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5.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ctrlProps/ctrlProp3.xml" ContentType="application/vnd.ms-excel.controlproperties+xml"/>
  <Override PartName="/xl/ctrlProps/ctrlProp4.xml" ContentType="application/vnd.ms-excel.controlproperties+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omments3.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tables/table9.xml" ContentType="application/vnd.openxmlformats-officedocument.spreadsheetml.table+xml"/>
  <Override PartName="/xl/queryTables/queryTable2.xml" ContentType="application/vnd.openxmlformats-officedocument.spreadsheetml.queryTable+xml"/>
  <Override PartName="/xl/drawings/drawing8.xml" ContentType="application/vnd.openxmlformats-officedocument.drawing+xml"/>
  <Override PartName="/xl/comments4.xml" ContentType="application/vnd.openxmlformats-officedocument.spreadsheetml.comments+xml"/>
  <Override PartName="/xl/drawings/drawing9.xml" ContentType="application/vnd.openxmlformats-officedocument.drawing+xml"/>
  <Override PartName="/xl/comments5.xml" ContentType="application/vnd.openxmlformats-officedocument.spreadsheetml.comments+xml"/>
  <Override PartName="/xl/drawings/drawing10.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11.xml" ContentType="application/vnd.openxmlformats-officedocument.drawing+xml"/>
  <Override PartName="/xl/ctrlProps/ctrlProp10.xml" ContentType="application/vnd.ms-excel.controlproperti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2.xml" ContentType="application/vnd.openxmlformats-officedocument.drawing+xml"/>
  <Override PartName="/xl/ctrlProps/ctrlProp11.xml" ContentType="application/vnd.ms-excel.controlproperti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0.xml" ContentType="application/vnd.openxmlformats-officedocument.spreadsheetml.table+xml"/>
  <Override PartName="/xl/queryTables/queryTable3.xml" ContentType="application/vnd.openxmlformats-officedocument.spreadsheetml.queryTable+xml"/>
  <Override PartName="/xl/tables/table11.xml" ContentType="application/vnd.openxmlformats-officedocument.spreadsheetml.table+xml"/>
  <Override PartName="/xl/queryTables/queryTable4.xml" ContentType="application/vnd.openxmlformats-officedocument.spreadsheetml.queryTable+xml"/>
  <Override PartName="/xl/drawings/drawing13.xml" ContentType="application/vnd.openxmlformats-officedocument.drawing+xml"/>
  <Override PartName="/xl/tables/table12.xml" ContentType="application/vnd.openxmlformats-officedocument.spreadsheetml.table+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EstaPastaDeTrabalho" defaultThemeVersion="166925"/>
  <mc:AlternateContent xmlns:mc="http://schemas.openxmlformats.org/markup-compatibility/2006">
    <mc:Choice Requires="x15">
      <x15ac:absPath xmlns:x15ac="http://schemas.microsoft.com/office/spreadsheetml/2010/11/ac" url="C:\Users\vinic\Downloads\"/>
    </mc:Choice>
  </mc:AlternateContent>
  <xr:revisionPtr revIDLastSave="0" documentId="13_ncr:1_{646F7D91-03E8-48AA-936F-769FB7026AD7}" xr6:coauthVersionLast="47" xr6:coauthVersionMax="47" xr10:uidLastSave="{00000000-0000-0000-0000-000000000000}"/>
  <bookViews>
    <workbookView xWindow="-120" yWindow="285" windowWidth="29040" windowHeight="15315" tabRatio="764" xr2:uid="{67D312D3-49F5-4C3C-9BB4-CC95A4C5DF37}"/>
  </bookViews>
  <sheets>
    <sheet name="Financeiro" sheetId="2" r:id="rId1"/>
    <sheet name="Controle" sheetId="49" r:id="rId2"/>
    <sheet name="Dash" sheetId="45" r:id="rId3"/>
    <sheet name="Planilha3" sheetId="46" r:id="rId4"/>
    <sheet name="Prospectos" sheetId="50" r:id="rId5"/>
    <sheet name="PréDim" sheetId="38" r:id="rId6"/>
    <sheet name="Início" sheetId="1" r:id="rId7"/>
    <sheet name="Simulação_Dados" sheetId="36" r:id="rId8"/>
    <sheet name="Simulação" sheetId="15" r:id="rId9"/>
    <sheet name="Kits" sheetId="31" r:id="rId10"/>
    <sheet name="Orçamento" sheetId="21" r:id="rId11"/>
    <sheet name="Orç._Vendedor" sheetId="37" r:id="rId12"/>
    <sheet name="Projetos" sheetId="48" r:id="rId13"/>
    <sheet name="Visita Técnica" sheetId="35" r:id="rId14"/>
    <sheet name="Resumo" sheetId="26" r:id="rId15"/>
    <sheet name="Pré-Proposta" sheetId="43" r:id="rId16"/>
    <sheet name="Proposta Comercial" sheetId="28" r:id="rId17"/>
    <sheet name="Módulos" sheetId="16" r:id="rId18"/>
    <sheet name="Inversores" sheetId="17" r:id="rId19"/>
    <sheet name="Temperatura Máxima (ºC)" sheetId="18" r:id="rId20"/>
    <sheet name="Temperatura Mínima (ºC)" sheetId="20" r:id="rId21"/>
    <sheet name="Homologação" sheetId="33" r:id="rId22"/>
    <sheet name="Solicitação" sheetId="34" r:id="rId23"/>
  </sheets>
  <definedNames>
    <definedName name="_Toc49896416" localSheetId="15">'Pré-Proposta'!$B$49</definedName>
    <definedName name="_Toc49896416" localSheetId="16">'Proposta Comercial'!$B$46</definedName>
    <definedName name="_Toc49896417" localSheetId="15">'Pré-Proposta'!$B$79</definedName>
    <definedName name="_Toc49896417" localSheetId="16">'Proposta Comercial'!$B$51</definedName>
    <definedName name="_xlnm.Print_Area" localSheetId="15">'Pré-Proposta'!$A$1:$AC$540</definedName>
    <definedName name="_xlnm.Print_Area" localSheetId="16">'Proposta Comercial'!$A$1:$AC$535</definedName>
    <definedName name="codenome" localSheetId="1">#REF!</definedName>
    <definedName name="codenome">#REF!</definedName>
    <definedName name="DadosExternos_1" localSheetId="18" hidden="1">Inversores!$A$2:$AP$33</definedName>
    <definedName name="DadosExternos_1" localSheetId="9" hidden="1">Kits!$A$2:$N$1736</definedName>
    <definedName name="DadosExternos_1" localSheetId="17" hidden="1">Módulos!$A$2:$AD$18</definedName>
    <definedName name="DadosExternos_2" localSheetId="4" hidden="1">Prospectos!$A$1:$AQ$569</definedName>
    <definedName name="Equipamentos" localSheetId="1">#REF!</definedName>
    <definedName name="Equipamentos">ConsumoEquipamentos[Equipamento]</definedName>
    <definedName name="EstudoProsp">PROSPECTOS[Estudo]</definedName>
    <definedName name="NativeTimeline_Data_Fechamento">#N/A</definedName>
  </definedNames>
  <calcPr calcId="191029"/>
  <pivotCaches>
    <pivotCache cacheId="0" r:id="rId24"/>
  </pivotCaches>
  <fileRecoveryPr repairLoad="1"/>
  <extLst>
    <ext xmlns:x14="http://schemas.microsoft.com/office/spreadsheetml/2009/9/main" uri="{79F54976-1DA5-4618-B147-4CDE4B953A38}">
      <x14:workbookPr/>
    </ext>
    <ext xmlns:x15="http://schemas.microsoft.com/office/spreadsheetml/2010/11/main" uri="{D0CA8CA8-9F24-4464-BF8E-62219DCF47F9}">
      <x15:timelineCacheRefs>
        <x15:timelineCacheRef r:id="rId25"/>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23" i="49" l="1"/>
  <c r="D422" i="49"/>
  <c r="D421" i="49"/>
  <c r="D420" i="49"/>
  <c r="D419" i="49"/>
  <c r="D418" i="49"/>
  <c r="D417" i="49" l="1"/>
  <c r="D416" i="49"/>
  <c r="D415" i="49"/>
  <c r="D414" i="49"/>
  <c r="D413" i="49"/>
  <c r="D412" i="49" l="1"/>
  <c r="D411" i="49"/>
  <c r="D410" i="49"/>
  <c r="D409" i="49"/>
  <c r="D408" i="49"/>
  <c r="D407" i="49"/>
  <c r="D406" i="49"/>
  <c r="D405" i="49"/>
  <c r="D404" i="49"/>
  <c r="D403" i="49"/>
  <c r="D402" i="49"/>
  <c r="D401" i="49"/>
  <c r="D400" i="49"/>
  <c r="D399" i="49"/>
  <c r="D398" i="49"/>
  <c r="F306" i="26"/>
  <c r="E306" i="26" s="1"/>
  <c r="J20" i="36"/>
  <c r="J19" i="36"/>
  <c r="D397" i="49" l="1"/>
  <c r="D396" i="49"/>
  <c r="D395" i="49"/>
  <c r="D394" i="49"/>
  <c r="D393" i="49" l="1"/>
  <c r="D392" i="49"/>
  <c r="D391" i="49"/>
  <c r="D390" i="49"/>
  <c r="D389" i="49"/>
  <c r="D388" i="49"/>
  <c r="D387" i="49"/>
  <c r="D386" i="49"/>
  <c r="D385" i="49"/>
  <c r="D384" i="49"/>
  <c r="D383" i="49"/>
  <c r="D382" i="49"/>
  <c r="D381" i="49"/>
  <c r="D380" i="49"/>
  <c r="D379" i="49"/>
  <c r="D378" i="49"/>
  <c r="D377" i="49"/>
  <c r="D376" i="49" l="1"/>
  <c r="D375" i="49"/>
  <c r="D374" i="49"/>
  <c r="D373" i="49"/>
  <c r="D372" i="49"/>
  <c r="D371" i="49"/>
  <c r="D370" i="49"/>
  <c r="D369" i="49"/>
  <c r="D368" i="49"/>
  <c r="D367" i="49"/>
  <c r="C135" i="38"/>
  <c r="C134" i="38"/>
  <c r="D134" i="38" s="1"/>
  <c r="C133" i="38"/>
  <c r="D133" i="38" s="1"/>
  <c r="C132" i="38"/>
  <c r="D132" i="38" s="1"/>
  <c r="C131" i="38"/>
  <c r="D131" i="38" s="1"/>
  <c r="C130" i="38"/>
  <c r="D130" i="38" s="1"/>
  <c r="C129" i="38"/>
  <c r="D129" i="38" s="1"/>
  <c r="C128" i="38"/>
  <c r="D128" i="38" s="1"/>
  <c r="C127" i="38"/>
  <c r="D127" i="38" s="1"/>
  <c r="C126" i="38"/>
  <c r="D126" i="38" s="1"/>
  <c r="C125" i="38"/>
  <c r="D125" i="38" s="1"/>
  <c r="C124" i="38"/>
  <c r="D124" i="38" s="1"/>
  <c r="C122" i="38"/>
  <c r="C141" i="38" s="1"/>
  <c r="D366" i="49"/>
  <c r="D365" i="49"/>
  <c r="F314" i="2"/>
  <c r="D364" i="49"/>
  <c r="D363" i="49"/>
  <c r="D362" i="49"/>
  <c r="D361" i="49"/>
  <c r="D360" i="49"/>
  <c r="D359" i="49"/>
  <c r="D358" i="49"/>
  <c r="D357" i="49"/>
  <c r="D356" i="49"/>
  <c r="D355" i="49"/>
  <c r="D354" i="49"/>
  <c r="D353" i="49"/>
  <c r="D352" i="49"/>
  <c r="D351" i="49"/>
  <c r="D350" i="49"/>
  <c r="D349" i="49"/>
  <c r="D348" i="49"/>
  <c r="D347" i="49"/>
  <c r="D346" i="49"/>
  <c r="C138" i="38" l="1"/>
  <c r="C139" i="38"/>
  <c r="C140" i="38"/>
  <c r="D345" i="49"/>
  <c r="D344" i="49"/>
  <c r="D343" i="49"/>
  <c r="D342" i="49"/>
  <c r="D341" i="49"/>
  <c r="D340" i="49"/>
  <c r="D339" i="49" l="1"/>
  <c r="D338" i="49"/>
  <c r="D337" i="49"/>
  <c r="D336" i="49"/>
  <c r="D335" i="49"/>
  <c r="D334" i="49"/>
  <c r="D333" i="49"/>
  <c r="D332" i="49"/>
  <c r="D331" i="49"/>
  <c r="D330" i="49"/>
  <c r="D329" i="49"/>
  <c r="D328" i="49"/>
  <c r="D327" i="49"/>
  <c r="D326" i="49"/>
  <c r="D325" i="49"/>
  <c r="F37" i="1"/>
  <c r="F35" i="1"/>
  <c r="D324" i="49" l="1"/>
  <c r="D323" i="49"/>
  <c r="D322" i="49"/>
  <c r="D321" i="49"/>
  <c r="D320" i="49"/>
  <c r="D319" i="49"/>
  <c r="D318" i="49"/>
  <c r="D317" i="49"/>
  <c r="D316" i="49"/>
  <c r="D315" i="49"/>
  <c r="D314" i="49"/>
  <c r="D313" i="49"/>
  <c r="D312" i="49"/>
  <c r="D311" i="49"/>
  <c r="D310" i="49"/>
  <c r="D309" i="49"/>
  <c r="D308" i="49"/>
  <c r="J344" i="26"/>
  <c r="D307" i="49" l="1"/>
  <c r="D306" i="49"/>
  <c r="D305" i="49"/>
  <c r="D304" i="49"/>
  <c r="D303" i="49"/>
  <c r="D302" i="49"/>
  <c r="D301" i="49"/>
  <c r="D300" i="49"/>
  <c r="D299" i="49"/>
  <c r="D298" i="49"/>
  <c r="D297" i="49" l="1"/>
  <c r="AH57" i="21"/>
  <c r="AG57" i="21"/>
  <c r="AF57" i="21"/>
  <c r="AE57" i="21"/>
  <c r="AD57" i="21"/>
  <c r="AC57" i="21"/>
  <c r="AB57" i="21"/>
  <c r="AA57" i="21"/>
  <c r="Z57" i="21"/>
  <c r="Y57" i="21"/>
  <c r="X57" i="21"/>
  <c r="D296" i="49" l="1"/>
  <c r="D295" i="49"/>
  <c r="D294" i="49"/>
  <c r="D293" i="49"/>
  <c r="D292" i="49" l="1"/>
  <c r="D291" i="49"/>
  <c r="D290" i="49"/>
  <c r="D289" i="49"/>
  <c r="D288" i="49"/>
  <c r="K40" i="35"/>
  <c r="D287" i="49" l="1"/>
  <c r="D286" i="49"/>
  <c r="D285" i="49"/>
  <c r="D284" i="49"/>
  <c r="D283" i="49"/>
  <c r="D282" i="49"/>
  <c r="D281" i="49"/>
  <c r="D280" i="49"/>
  <c r="D279" i="49"/>
  <c r="D278" i="49"/>
  <c r="D277" i="49"/>
  <c r="D276" i="49"/>
  <c r="D275" i="49"/>
  <c r="D274" i="49"/>
  <c r="D273" i="49"/>
  <c r="D272" i="49"/>
  <c r="D271" i="49"/>
  <c r="D270" i="49"/>
  <c r="D269" i="49"/>
  <c r="D268" i="49"/>
  <c r="D267" i="49"/>
  <c r="D266" i="49"/>
  <c r="D265" i="49"/>
  <c r="D264" i="49"/>
  <c r="D263" i="49"/>
  <c r="D262" i="49"/>
  <c r="D261" i="49"/>
  <c r="D260" i="49"/>
  <c r="D259" i="49"/>
  <c r="D258" i="49"/>
  <c r="D257" i="49"/>
  <c r="D256" i="49"/>
  <c r="D255" i="49"/>
  <c r="D254" i="49"/>
  <c r="D253" i="49"/>
  <c r="D252" i="49"/>
  <c r="D251" i="49"/>
  <c r="D250" i="49"/>
  <c r="D249" i="49"/>
  <c r="D248" i="49" l="1"/>
  <c r="D247" i="49"/>
  <c r="D246" i="49"/>
  <c r="D245" i="49"/>
  <c r="D244" i="49"/>
  <c r="D243" i="49"/>
  <c r="D242" i="49"/>
  <c r="D241" i="49"/>
  <c r="D240" i="49" l="1"/>
  <c r="D239" i="49"/>
  <c r="D238" i="49"/>
  <c r="D237" i="49"/>
  <c r="D236" i="49" l="1"/>
  <c r="D235" i="49"/>
  <c r="D234" i="49"/>
  <c r="D233" i="49"/>
  <c r="D232" i="49"/>
  <c r="D231" i="49"/>
  <c r="D230" i="49"/>
  <c r="D229" i="49"/>
  <c r="D228" i="49"/>
  <c r="E430" i="26"/>
  <c r="D227" i="49"/>
  <c r="D226" i="49"/>
  <c r="D225" i="49"/>
  <c r="D224" i="49"/>
  <c r="D223" i="49"/>
  <c r="D222" i="49"/>
  <c r="A12" i="38"/>
  <c r="L12" i="38"/>
  <c r="K12" i="38"/>
  <c r="J12" i="38"/>
  <c r="I12" i="38"/>
  <c r="H12" i="38"/>
  <c r="G12" i="38"/>
  <c r="F12" i="38"/>
  <c r="E12" i="38"/>
  <c r="D12" i="38"/>
  <c r="C12" i="38"/>
  <c r="B12" i="38"/>
  <c r="D221" i="49" l="1"/>
  <c r="C19" i="21"/>
  <c r="D220" i="49"/>
  <c r="D219" i="49"/>
  <c r="D218" i="49"/>
  <c r="D217" i="49"/>
  <c r="D215" i="49"/>
  <c r="D214" i="49"/>
  <c r="D213" i="49"/>
  <c r="D212" i="49"/>
  <c r="D216" i="49"/>
  <c r="D211" i="49"/>
  <c r="D210" i="49"/>
  <c r="D209" i="49"/>
  <c r="D208" i="49"/>
  <c r="D207" i="49"/>
  <c r="D206" i="49"/>
  <c r="D205" i="49"/>
  <c r="D204" i="49"/>
  <c r="D203" i="49"/>
  <c r="D202" i="49"/>
  <c r="D201" i="49"/>
  <c r="D200" i="49"/>
  <c r="D199" i="49"/>
  <c r="D198" i="49"/>
  <c r="D197" i="49"/>
  <c r="D196" i="49"/>
  <c r="D195" i="49"/>
  <c r="D194" i="49"/>
  <c r="D193" i="49"/>
  <c r="D192" i="49"/>
  <c r="D191" i="49"/>
  <c r="D190" i="49"/>
  <c r="D189" i="49"/>
  <c r="D188" i="49"/>
  <c r="D187" i="49"/>
  <c r="D186" i="49"/>
  <c r="D185" i="49"/>
  <c r="D184" i="49"/>
  <c r="D183" i="49"/>
  <c r="D182" i="49"/>
  <c r="D181" i="49"/>
  <c r="D180" i="49"/>
  <c r="D179" i="49"/>
  <c r="D178" i="49"/>
  <c r="D177" i="49"/>
  <c r="D176" i="49"/>
  <c r="D175" i="49"/>
  <c r="D174" i="49"/>
  <c r="D173" i="49"/>
  <c r="D172" i="49"/>
  <c r="D171" i="49" l="1"/>
  <c r="AM9" i="38"/>
  <c r="AM12" i="38" s="1"/>
  <c r="AN12" i="38" s="1"/>
  <c r="AM13" i="38" s="1"/>
  <c r="AN13" i="38" s="1"/>
  <c r="AP7" i="38"/>
  <c r="AP8" i="38" s="1"/>
  <c r="AN9" i="38" l="1"/>
  <c r="AP6" i="38"/>
  <c r="AM10" i="38"/>
  <c r="AN10" i="38" s="1"/>
  <c r="AM11" i="38"/>
  <c r="AN11" i="38" s="1"/>
  <c r="AM16" i="38" s="1"/>
  <c r="AN16" i="38" s="1"/>
  <c r="AM17" i="38" s="1"/>
  <c r="AN17" i="38" s="1"/>
  <c r="AM18" i="38" s="1"/>
  <c r="AN18" i="38" s="1"/>
  <c r="AM19" i="38" s="1"/>
  <c r="AQ7" i="38"/>
  <c r="AM14" i="38" l="1"/>
  <c r="AN14" i="38" s="1"/>
  <c r="AM15" i="38" s="1"/>
  <c r="AN15" i="38" s="1"/>
  <c r="AN19" i="38" s="1"/>
  <c r="AM20" i="38" s="1"/>
  <c r="AN20" i="38" s="1"/>
  <c r="AM21" i="38" s="1"/>
  <c r="AN21" i="38" s="1"/>
  <c r="AM22" i="38" s="1"/>
  <c r="AN22" i="38" s="1"/>
  <c r="AQ8" i="38"/>
  <c r="AR7" i="38"/>
  <c r="AN7" i="38" l="1"/>
  <c r="AN6" i="38"/>
  <c r="AR8" i="38"/>
  <c r="AS7" i="38"/>
  <c r="AS8" i="38" l="1"/>
  <c r="AT7" i="38"/>
  <c r="AT8" i="38" l="1"/>
  <c r="AU7" i="38"/>
  <c r="AU8" i="38" l="1"/>
  <c r="AV7" i="38"/>
  <c r="AV8" i="38" l="1"/>
  <c r="AW7" i="38"/>
  <c r="AW8" i="38" l="1"/>
  <c r="AX7" i="38"/>
  <c r="AW6" i="38"/>
  <c r="AX8" i="38" l="1"/>
  <c r="AY7" i="38"/>
  <c r="AY8" i="38" l="1"/>
  <c r="AZ7" i="38"/>
  <c r="AZ8" i="38" l="1"/>
  <c r="BA7" i="38"/>
  <c r="BA8" i="38" l="1"/>
  <c r="BB7" i="38"/>
  <c r="BC7" i="38" l="1"/>
  <c r="BB8" i="38"/>
  <c r="BC8" i="38" l="1"/>
  <c r="BD7" i="38"/>
  <c r="BD6" i="38" l="1"/>
  <c r="BD8" i="38"/>
  <c r="BE7" i="38"/>
  <c r="BE8" i="38" l="1"/>
  <c r="BF7" i="38"/>
  <c r="BF8" i="38" l="1"/>
  <c r="BG7" i="38"/>
  <c r="BG8" i="38" l="1"/>
  <c r="BH7" i="38"/>
  <c r="BI7" i="38" l="1"/>
  <c r="BH8" i="38"/>
  <c r="BI8" i="38" l="1"/>
  <c r="BJ7" i="38"/>
  <c r="BJ8" i="38" l="1"/>
  <c r="BK7" i="38"/>
  <c r="BK8" i="38" l="1"/>
  <c r="BL7" i="38"/>
  <c r="BK6" i="38"/>
  <c r="BL8" i="38" l="1"/>
  <c r="BM7" i="38"/>
  <c r="BM8" i="38" l="1"/>
  <c r="BN7" i="38"/>
  <c r="BN8" i="38" l="1"/>
  <c r="BO7" i="38"/>
  <c r="BO8" i="38" l="1"/>
  <c r="BP7" i="38"/>
  <c r="BP8" i="38" l="1"/>
  <c r="BQ7" i="38"/>
  <c r="BQ8" i="38" l="1"/>
  <c r="BR7" i="38"/>
  <c r="BR8" i="38" l="1"/>
  <c r="BS7" i="38"/>
  <c r="BR6" i="38"/>
  <c r="BS8" i="38" l="1"/>
  <c r="BT7" i="38"/>
  <c r="BU7" i="38" l="1"/>
  <c r="BV7" i="38" s="1"/>
  <c r="BT8" i="38"/>
  <c r="BV8" i="38" l="1"/>
  <c r="BW7" i="38"/>
  <c r="BX7" i="38" l="1"/>
  <c r="BW8" i="38"/>
  <c r="BX8" i="38" l="1"/>
  <c r="BY7" i="38"/>
  <c r="BY6" i="38" l="1"/>
  <c r="BZ7" i="38"/>
  <c r="BY8" i="38"/>
  <c r="BZ8" i="38" l="1"/>
  <c r="CA7" i="38"/>
  <c r="CB7" i="38" l="1"/>
  <c r="CA8" i="38"/>
  <c r="CC7" i="38" l="1"/>
  <c r="CB8" i="38"/>
  <c r="CD7" i="38" l="1"/>
  <c r="CC8" i="38"/>
  <c r="CD8" i="38" l="1"/>
  <c r="CE7" i="38"/>
  <c r="CF7" i="38" l="1"/>
  <c r="CE8" i="38"/>
  <c r="CF8" i="38" l="1"/>
  <c r="CF6" i="38"/>
  <c r="CG7" i="38"/>
  <c r="CH7" i="38" l="1"/>
  <c r="CG8" i="38"/>
  <c r="CH8" i="38" l="1"/>
  <c r="CI7" i="38"/>
  <c r="CJ7" i="38" l="1"/>
  <c r="CI8" i="38"/>
  <c r="CK7" i="38" l="1"/>
  <c r="CJ8" i="38"/>
  <c r="CL7" i="38" l="1"/>
  <c r="CL8" i="38" s="1"/>
  <c r="CK8" i="38"/>
  <c r="D170" i="49" l="1"/>
  <c r="F2" i="26"/>
  <c r="F9" i="1" s="1" a="1"/>
  <c r="F9" i="1" s="1"/>
  <c r="D49" i="45"/>
  <c r="D48" i="45"/>
  <c r="D47" i="45"/>
  <c r="D46" i="45"/>
  <c r="D45" i="45"/>
  <c r="D44" i="45"/>
  <c r="D43" i="45"/>
  <c r="D42" i="45"/>
  <c r="D36" i="45"/>
  <c r="D35" i="45"/>
  <c r="D34" i="45"/>
  <c r="D33" i="45"/>
  <c r="D32" i="45"/>
  <c r="D31" i="45"/>
  <c r="D169" i="49"/>
  <c r="F23" i="1" l="1" a="1"/>
  <c r="F23" i="1" s="1"/>
  <c r="F3" i="26" a="1"/>
  <c r="F3" i="26" s="1"/>
  <c r="F17" i="1" a="1"/>
  <c r="F17" i="1" s="1"/>
  <c r="F15" i="1" a="1"/>
  <c r="F15" i="1" s="1"/>
  <c r="F27" i="1" a="1"/>
  <c r="F27" i="1" s="1"/>
  <c r="F25" i="1" a="1"/>
  <c r="F25" i="1" s="1"/>
  <c r="F7" i="1" a="1"/>
  <c r="F7" i="1" s="1"/>
  <c r="K28" i="1" a="1"/>
  <c r="K28" i="1" s="1"/>
  <c r="K8" i="1" a="1"/>
  <c r="K8" i="1" s="1"/>
  <c r="R18" i="38" a="1"/>
  <c r="R18" i="38" s="1"/>
  <c r="F19" i="1" a="1"/>
  <c r="F19" i="1" s="1"/>
  <c r="K22" i="1" a="1"/>
  <c r="K22" i="1" s="1"/>
  <c r="K9" i="1" a="1"/>
  <c r="K9" i="1" s="1"/>
  <c r="K27" i="1" a="1"/>
  <c r="K27" i="1" s="1"/>
  <c r="K7" i="1" a="1"/>
  <c r="K7" i="1" s="1"/>
  <c r="B310" i="2" s="1"/>
  <c r="Q3" i="1" a="1"/>
  <c r="Q3" i="1" s="1"/>
  <c r="J35" i="38" s="1"/>
  <c r="K20" i="1" a="1"/>
  <c r="K20" i="1" s="1"/>
  <c r="K23" i="1" a="1"/>
  <c r="K23" i="1" s="1"/>
  <c r="K26" i="1" a="1"/>
  <c r="K26" i="1" s="1"/>
  <c r="F31" i="1" a="1"/>
  <c r="F31" i="1" s="1"/>
  <c r="K18" i="1" a="1"/>
  <c r="K18" i="1" s="1"/>
  <c r="K21" i="1" a="1"/>
  <c r="K21" i="1" s="1"/>
  <c r="K24" i="1" a="1"/>
  <c r="K24" i="1" s="1"/>
  <c r="F33" i="1" a="1"/>
  <c r="F33" i="1" s="1"/>
  <c r="E57" i="26" a="1"/>
  <c r="E57" i="26" s="1"/>
  <c r="K17" i="1" a="1"/>
  <c r="K17" i="1" s="1"/>
  <c r="K19" i="1" a="1"/>
  <c r="K19" i="1" s="1"/>
  <c r="K25" i="1" a="1"/>
  <c r="K25" i="1" s="1"/>
  <c r="D168" i="49"/>
  <c r="D167" i="49"/>
  <c r="D166" i="49"/>
  <c r="D165" i="49"/>
  <c r="D164" i="49"/>
  <c r="E352" i="26"/>
  <c r="C13" i="21"/>
  <c r="E338" i="26"/>
  <c r="E333" i="26"/>
  <c r="E346" i="26"/>
  <c r="N29" i="21"/>
  <c r="N23" i="21"/>
  <c r="N22" i="21"/>
  <c r="N21" i="21"/>
  <c r="N20" i="21"/>
  <c r="N19" i="21"/>
  <c r="N18" i="21"/>
  <c r="N17" i="21"/>
  <c r="M11" i="21"/>
  <c r="N11" i="21" s="1"/>
  <c r="D12" i="21"/>
  <c r="D163" i="49"/>
  <c r="D162" i="49"/>
  <c r="N31" i="21" l="1"/>
  <c r="N33" i="21" s="1"/>
  <c r="C20" i="21" s="1"/>
  <c r="C16" i="21" s="1"/>
  <c r="N110" i="38"/>
  <c r="N109" i="38"/>
  <c r="M112" i="38"/>
  <c r="L112" i="38"/>
  <c r="K112" i="38"/>
  <c r="J112" i="38"/>
  <c r="I112" i="38"/>
  <c r="H112" i="38"/>
  <c r="G112" i="38"/>
  <c r="F112" i="38"/>
  <c r="E112" i="38"/>
  <c r="D112" i="38"/>
  <c r="C112" i="38"/>
  <c r="B112" i="38"/>
  <c r="N111" i="38"/>
  <c r="N108" i="38"/>
  <c r="N112" i="38" l="1"/>
  <c r="D161" i="49" l="1"/>
  <c r="D160" i="49"/>
  <c r="D159" i="49"/>
  <c r="D158" i="49"/>
  <c r="D157" i="49"/>
  <c r="D156" i="49"/>
  <c r="F20" i="15"/>
  <c r="F425" i="26"/>
  <c r="D155" i="49"/>
  <c r="D154" i="49"/>
  <c r="D151" i="49"/>
  <c r="D152" i="49"/>
  <c r="D153" i="49"/>
  <c r="D150" i="49" l="1"/>
  <c r="D149" i="49"/>
  <c r="D148" i="49"/>
  <c r="D147" i="49"/>
  <c r="D146" i="49"/>
  <c r="D145" i="49"/>
  <c r="D144" i="49"/>
  <c r="D143" i="49"/>
  <c r="D142" i="49"/>
  <c r="D141" i="49"/>
  <c r="D140" i="49"/>
  <c r="D139" i="49"/>
  <c r="D138" i="49"/>
  <c r="D137" i="49"/>
  <c r="D136" i="49"/>
  <c r="D135" i="49"/>
  <c r="D134" i="49"/>
  <c r="D133" i="49"/>
  <c r="D132" i="49"/>
  <c r="D131" i="49"/>
  <c r="D130" i="49"/>
  <c r="D129" i="49"/>
  <c r="D128" i="49"/>
  <c r="D127" i="49"/>
  <c r="D126" i="49"/>
  <c r="D125" i="49"/>
  <c r="D124" i="49"/>
  <c r="D123" i="49"/>
  <c r="D122" i="49"/>
  <c r="D121" i="49"/>
  <c r="D120" i="49"/>
  <c r="D119" i="49"/>
  <c r="D118" i="49"/>
  <c r="D117" i="49"/>
  <c r="D116" i="49"/>
  <c r="D115" i="49"/>
  <c r="D114" i="49"/>
  <c r="D113" i="49"/>
  <c r="D112" i="49"/>
  <c r="D111" i="49"/>
  <c r="D110" i="49"/>
  <c r="D109" i="49"/>
  <c r="D108" i="49"/>
  <c r="D107" i="49"/>
  <c r="D106" i="49"/>
  <c r="D105" i="49"/>
  <c r="D104" i="49"/>
  <c r="D103" i="49"/>
  <c r="D102" i="49"/>
  <c r="D101" i="49"/>
  <c r="D100" i="49"/>
  <c r="D99" i="49"/>
  <c r="D98" i="49"/>
  <c r="D97" i="49"/>
  <c r="D96" i="49"/>
  <c r="D95" i="49"/>
  <c r="D94" i="49"/>
  <c r="D93" i="49"/>
  <c r="D92" i="49"/>
  <c r="D91" i="49"/>
  <c r="D90" i="49"/>
  <c r="D89" i="49"/>
  <c r="D88" i="49"/>
  <c r="D87" i="49"/>
  <c r="D86" i="49"/>
  <c r="D85" i="49"/>
  <c r="D84" i="49"/>
  <c r="D83" i="49"/>
  <c r="D82" i="49"/>
  <c r="D81" i="49"/>
  <c r="D80" i="49"/>
  <c r="D79" i="49"/>
  <c r="D78" i="49"/>
  <c r="D77" i="49"/>
  <c r="D76" i="49"/>
  <c r="D75" i="49"/>
  <c r="D74" i="49"/>
  <c r="D73" i="49"/>
  <c r="D72" i="49"/>
  <c r="D71" i="49"/>
  <c r="D70" i="49"/>
  <c r="D69" i="49"/>
  <c r="D68" i="49"/>
  <c r="D67" i="49"/>
  <c r="D66" i="49"/>
  <c r="D65" i="49"/>
  <c r="D64" i="49"/>
  <c r="D63" i="49"/>
  <c r="D62" i="49"/>
  <c r="D61" i="49"/>
  <c r="D60" i="49"/>
  <c r="D59" i="49"/>
  <c r="D58" i="49"/>
  <c r="D57" i="49"/>
  <c r="D56" i="49"/>
  <c r="D55" i="49"/>
  <c r="D54" i="49"/>
  <c r="D53" i="49"/>
  <c r="D52" i="49"/>
  <c r="D51" i="49"/>
  <c r="D50" i="49"/>
  <c r="D49" i="49"/>
  <c r="D48" i="49"/>
  <c r="D47" i="49"/>
  <c r="D46" i="49"/>
  <c r="D45" i="49"/>
  <c r="D44" i="49"/>
  <c r="D43" i="49"/>
  <c r="D42" i="49"/>
  <c r="D41" i="49"/>
  <c r="D40" i="49"/>
  <c r="D39" i="49"/>
  <c r="D38" i="49"/>
  <c r="D37" i="49"/>
  <c r="D36" i="49"/>
  <c r="D35" i="49"/>
  <c r="D34" i="49"/>
  <c r="D33" i="49"/>
  <c r="D32" i="49"/>
  <c r="D31" i="49"/>
  <c r="D30" i="49"/>
  <c r="D29" i="49"/>
  <c r="D28" i="49"/>
  <c r="D27" i="49"/>
  <c r="D26" i="49"/>
  <c r="D25" i="49"/>
  <c r="D24" i="49"/>
  <c r="D23" i="49"/>
  <c r="D22" i="49"/>
  <c r="D21" i="49"/>
  <c r="D20" i="49"/>
  <c r="D19" i="49"/>
  <c r="D18" i="49"/>
  <c r="D17" i="49"/>
  <c r="D16" i="49"/>
  <c r="D15" i="49"/>
  <c r="D14" i="49"/>
  <c r="D13" i="49"/>
  <c r="D12" i="49"/>
  <c r="D11" i="49"/>
  <c r="D10" i="49"/>
  <c r="D9" i="49"/>
  <c r="D8" i="49"/>
  <c r="D7" i="49"/>
  <c r="D6" i="49"/>
  <c r="D5" i="49"/>
  <c r="D4" i="49"/>
  <c r="D3" i="49"/>
  <c r="AH56" i="21" l="1"/>
  <c r="AG56" i="21"/>
  <c r="AF56" i="21"/>
  <c r="AE56" i="21"/>
  <c r="AD56" i="21"/>
  <c r="AC56" i="21"/>
  <c r="AB56" i="21"/>
  <c r="AA56" i="21"/>
  <c r="Z56" i="21"/>
  <c r="Y56" i="21"/>
  <c r="X56" i="21"/>
  <c r="O15" i="34"/>
  <c r="F18" i="26"/>
  <c r="AG60" i="34" s="1"/>
  <c r="R14" i="38"/>
  <c r="C23" i="36" s="1"/>
  <c r="E76" i="26" s="1"/>
  <c r="E37" i="26"/>
  <c r="AG4" i="34" s="1"/>
  <c r="E29" i="26"/>
  <c r="E30" i="26" s="1"/>
  <c r="Q16" i="48"/>
  <c r="E405" i="26" s="1"/>
  <c r="V11" i="36"/>
  <c r="V10" i="36"/>
  <c r="V9" i="36"/>
  <c r="V8" i="36"/>
  <c r="V7" i="36"/>
  <c r="E43" i="36" s="1"/>
  <c r="V6" i="36"/>
  <c r="V5" i="36"/>
  <c r="E41" i="36" s="1"/>
  <c r="V4" i="36"/>
  <c r="E40" i="36" s="1"/>
  <c r="C20" i="2"/>
  <c r="D55" i="38"/>
  <c r="D52" i="38"/>
  <c r="D51" i="38"/>
  <c r="D50" i="38"/>
  <c r="D48" i="38"/>
  <c r="A23" i="38" s="1"/>
  <c r="F23" i="38" s="1"/>
  <c r="G23" i="38" s="1"/>
  <c r="D47" i="38"/>
  <c r="A26" i="38" s="1"/>
  <c r="F26" i="38" s="1"/>
  <c r="G26" i="38" s="1"/>
  <c r="B101" i="38"/>
  <c r="A30" i="38"/>
  <c r="F30" i="38" s="1"/>
  <c r="G30" i="38" s="1"/>
  <c r="A31" i="38"/>
  <c r="F31" i="38" s="1"/>
  <c r="G31" i="38" s="1"/>
  <c r="A32" i="38"/>
  <c r="F32" i="38" s="1"/>
  <c r="G32" i="38" s="1"/>
  <c r="A33" i="38"/>
  <c r="F33" i="38" s="1"/>
  <c r="G33" i="38" s="1"/>
  <c r="A34" i="38"/>
  <c r="F34" i="38" s="1"/>
  <c r="G34" i="38" s="1"/>
  <c r="A35" i="38"/>
  <c r="F35" i="38" s="1"/>
  <c r="G35" i="38" s="1"/>
  <c r="H30" i="38"/>
  <c r="H31" i="38"/>
  <c r="H32" i="38"/>
  <c r="H33" i="38"/>
  <c r="H34" i="38"/>
  <c r="H35" i="38"/>
  <c r="N101" i="38"/>
  <c r="M101" i="38"/>
  <c r="L101" i="38"/>
  <c r="K101" i="38"/>
  <c r="J101" i="38"/>
  <c r="I101" i="38"/>
  <c r="H101" i="38"/>
  <c r="G101" i="38"/>
  <c r="F101" i="38"/>
  <c r="E101" i="38"/>
  <c r="D101" i="38"/>
  <c r="C101" i="38"/>
  <c r="A101" i="38"/>
  <c r="BM21" i="21"/>
  <c r="AH55" i="21"/>
  <c r="AG55" i="21"/>
  <c r="AF55" i="21"/>
  <c r="AE55" i="21"/>
  <c r="AD55" i="21"/>
  <c r="AC55" i="21"/>
  <c r="AB55" i="21"/>
  <c r="AA55" i="21"/>
  <c r="Z55" i="21"/>
  <c r="Y55" i="21"/>
  <c r="X55" i="21"/>
  <c r="A29" i="38"/>
  <c r="F29" i="38" s="1"/>
  <c r="G29" i="38" s="1"/>
  <c r="H29" i="38"/>
  <c r="A24" i="38"/>
  <c r="F24" i="38" s="1"/>
  <c r="A27" i="38"/>
  <c r="F27" i="38" s="1"/>
  <c r="G27" i="38" s="1"/>
  <c r="H23" i="38"/>
  <c r="H24" i="38"/>
  <c r="H25" i="38"/>
  <c r="H26" i="38"/>
  <c r="H27" i="38"/>
  <c r="H28" i="38"/>
  <c r="H65" i="38"/>
  <c r="B26" i="45"/>
  <c r="B19" i="45"/>
  <c r="B20" i="45"/>
  <c r="B21" i="45"/>
  <c r="B22" i="45"/>
  <c r="B23" i="45"/>
  <c r="B24" i="45"/>
  <c r="B25" i="45"/>
  <c r="B18" i="45"/>
  <c r="A49" i="45"/>
  <c r="A43" i="45"/>
  <c r="A44" i="45"/>
  <c r="A45" i="45"/>
  <c r="A46" i="45"/>
  <c r="A47" i="45"/>
  <c r="A48" i="45"/>
  <c r="A42" i="45"/>
  <c r="A35" i="45"/>
  <c r="A34" i="45"/>
  <c r="A33" i="45"/>
  <c r="A32" i="45"/>
  <c r="A31" i="45"/>
  <c r="A36" i="45"/>
  <c r="E421" i="26" a="1"/>
  <c r="E421" i="26" s="1"/>
  <c r="F14" i="15"/>
  <c r="F213" i="26" s="1"/>
  <c r="E213" i="26" s="1"/>
  <c r="F12" i="15"/>
  <c r="N10" i="1"/>
  <c r="M10" i="1"/>
  <c r="C4" i="37"/>
  <c r="BM19" i="21"/>
  <c r="E419" i="26" s="1"/>
  <c r="C19" i="2"/>
  <c r="E188" i="26"/>
  <c r="AJ18" i="33" s="1"/>
  <c r="E187" i="26"/>
  <c r="C149" i="21" s="1"/>
  <c r="C106" i="21" s="1"/>
  <c r="CC5" i="21"/>
  <c r="CD5" i="21"/>
  <c r="CE5" i="21"/>
  <c r="CF5" i="21"/>
  <c r="CG5" i="21"/>
  <c r="BX7" i="21"/>
  <c r="BY7" i="21" s="1"/>
  <c r="BZ7" i="21" s="1"/>
  <c r="CA7" i="21" s="1"/>
  <c r="BX8" i="21"/>
  <c r="BY8" i="21" s="1"/>
  <c r="BZ8" i="21" s="1"/>
  <c r="CA8" i="21" s="1"/>
  <c r="BX9" i="21"/>
  <c r="BY9" i="21" s="1"/>
  <c r="BZ9" i="21" s="1"/>
  <c r="CA9" i="21" s="1"/>
  <c r="BX10" i="21"/>
  <c r="BY10" i="21" s="1"/>
  <c r="BZ10" i="21" s="1"/>
  <c r="CA10" i="21" s="1"/>
  <c r="BX11" i="21"/>
  <c r="BY11" i="21" s="1"/>
  <c r="BZ11" i="21" s="1"/>
  <c r="CA11" i="21" s="1"/>
  <c r="BX12" i="21"/>
  <c r="BY12" i="21" s="1"/>
  <c r="BZ12" i="21" s="1"/>
  <c r="CA12" i="21" s="1"/>
  <c r="BP35" i="21"/>
  <c r="F96" i="38"/>
  <c r="H96" i="38" s="1"/>
  <c r="F95" i="38"/>
  <c r="H95" i="38" s="1"/>
  <c r="F94" i="38"/>
  <c r="H94" i="38" s="1"/>
  <c r="F93" i="38"/>
  <c r="H93" i="38" s="1"/>
  <c r="A84" i="38"/>
  <c r="O80" i="38"/>
  <c r="L80" i="38"/>
  <c r="H80" i="38"/>
  <c r="C80" i="38"/>
  <c r="O79" i="38"/>
  <c r="L79" i="38"/>
  <c r="H79" i="38"/>
  <c r="C79" i="38"/>
  <c r="O78" i="38"/>
  <c r="L78" i="38"/>
  <c r="H78" i="38"/>
  <c r="C78" i="38"/>
  <c r="O77" i="38"/>
  <c r="L77" i="38"/>
  <c r="H77" i="38"/>
  <c r="C77" i="38"/>
  <c r="O76" i="38"/>
  <c r="L76" i="38"/>
  <c r="H76" i="38"/>
  <c r="C76" i="38"/>
  <c r="O75" i="38"/>
  <c r="L75" i="38"/>
  <c r="H75" i="38"/>
  <c r="C75" i="38"/>
  <c r="O74" i="38"/>
  <c r="L74" i="38"/>
  <c r="H74" i="38"/>
  <c r="C74" i="38"/>
  <c r="O73" i="38"/>
  <c r="M73" i="38"/>
  <c r="K73" i="38"/>
  <c r="H73" i="38"/>
  <c r="G73" i="38"/>
  <c r="S16" i="38"/>
  <c r="T16" i="38"/>
  <c r="U16" i="38"/>
  <c r="V16" i="38"/>
  <c r="W16" i="38"/>
  <c r="D45" i="38"/>
  <c r="A28" i="38"/>
  <c r="F28" i="38" s="1"/>
  <c r="G28" i="38" s="1"/>
  <c r="B3" i="38"/>
  <c r="E190" i="36"/>
  <c r="E189" i="36"/>
  <c r="E188" i="36"/>
  <c r="E187" i="36"/>
  <c r="E186" i="36"/>
  <c r="E185" i="36"/>
  <c r="E184" i="36"/>
  <c r="E183" i="36"/>
  <c r="E182" i="36"/>
  <c r="E181" i="36"/>
  <c r="E180" i="36"/>
  <c r="E179" i="36"/>
  <c r="C177" i="36"/>
  <c r="E174" i="36"/>
  <c r="E173" i="36"/>
  <c r="E172" i="36"/>
  <c r="E171" i="36"/>
  <c r="E170" i="36"/>
  <c r="E169" i="36"/>
  <c r="E168" i="36"/>
  <c r="E167" i="36"/>
  <c r="E166" i="36"/>
  <c r="E165" i="36"/>
  <c r="E164" i="36"/>
  <c r="E163" i="36"/>
  <c r="C161" i="36"/>
  <c r="E158" i="36"/>
  <c r="E157" i="36"/>
  <c r="E156" i="36"/>
  <c r="E155" i="36"/>
  <c r="E154" i="36"/>
  <c r="E153" i="36"/>
  <c r="E152" i="36"/>
  <c r="E151" i="36"/>
  <c r="E150" i="36"/>
  <c r="E149" i="36"/>
  <c r="E148" i="36"/>
  <c r="E147" i="36"/>
  <c r="C145" i="36"/>
  <c r="E142" i="36"/>
  <c r="E141" i="36"/>
  <c r="E140" i="36"/>
  <c r="E139" i="36"/>
  <c r="E138" i="36"/>
  <c r="E137" i="36"/>
  <c r="E136" i="36"/>
  <c r="E135" i="36"/>
  <c r="E134" i="36"/>
  <c r="E133" i="36"/>
  <c r="E132" i="36"/>
  <c r="E131" i="36"/>
  <c r="C129" i="36"/>
  <c r="D80" i="38" s="1"/>
  <c r="G80" i="38" s="1"/>
  <c r="E126" i="36"/>
  <c r="E125" i="36"/>
  <c r="E124" i="36"/>
  <c r="E123" i="36"/>
  <c r="E122" i="36"/>
  <c r="E121" i="36"/>
  <c r="E120" i="36"/>
  <c r="E119" i="36"/>
  <c r="E118" i="36"/>
  <c r="E117" i="36"/>
  <c r="E116" i="36"/>
  <c r="E115" i="36"/>
  <c r="C113" i="36"/>
  <c r="D79" i="38" s="1"/>
  <c r="E110" i="36"/>
  <c r="E109" i="36"/>
  <c r="E108" i="36"/>
  <c r="E107" i="36"/>
  <c r="E106" i="36"/>
  <c r="E105" i="36"/>
  <c r="E104" i="36"/>
  <c r="E103" i="36"/>
  <c r="E102" i="36"/>
  <c r="E101" i="36"/>
  <c r="E100" i="36"/>
  <c r="E99" i="36"/>
  <c r="C97" i="36"/>
  <c r="D78" i="38" s="1"/>
  <c r="E94" i="36"/>
  <c r="E93" i="36"/>
  <c r="E92" i="36"/>
  <c r="E91" i="36"/>
  <c r="E90" i="36"/>
  <c r="E89" i="36"/>
  <c r="E88" i="36"/>
  <c r="E87" i="36"/>
  <c r="E86" i="36"/>
  <c r="E85" i="36"/>
  <c r="E84" i="36"/>
  <c r="E83" i="36"/>
  <c r="C81" i="36"/>
  <c r="D77" i="38" s="1"/>
  <c r="E78" i="36"/>
  <c r="E77" i="36"/>
  <c r="E76" i="36"/>
  <c r="E75" i="36"/>
  <c r="E74" i="36"/>
  <c r="E73" i="36"/>
  <c r="E72" i="36"/>
  <c r="E71" i="36"/>
  <c r="E70" i="36"/>
  <c r="E69" i="36"/>
  <c r="E68" i="36"/>
  <c r="E67" i="36"/>
  <c r="C65" i="36"/>
  <c r="D76" i="38" s="1"/>
  <c r="G76" i="38" s="1"/>
  <c r="E62" i="36"/>
  <c r="E61" i="36"/>
  <c r="E60" i="36"/>
  <c r="E59" i="36"/>
  <c r="E58" i="36"/>
  <c r="E57" i="36"/>
  <c r="E56" i="36"/>
  <c r="E55" i="36"/>
  <c r="E54" i="36"/>
  <c r="E53" i="36"/>
  <c r="E52" i="36"/>
  <c r="E51" i="36"/>
  <c r="C49" i="36"/>
  <c r="D75" i="38" s="1"/>
  <c r="G75" i="38" s="1"/>
  <c r="E46" i="36"/>
  <c r="E45" i="36"/>
  <c r="E44" i="36"/>
  <c r="E42" i="36"/>
  <c r="E39" i="36"/>
  <c r="E38" i="36"/>
  <c r="E37" i="36"/>
  <c r="E36" i="36"/>
  <c r="E35" i="36"/>
  <c r="C33" i="36"/>
  <c r="I33" i="15" s="1"/>
  <c r="AH54" i="21"/>
  <c r="AG54" i="21"/>
  <c r="AF54" i="21"/>
  <c r="AE54" i="21"/>
  <c r="AD54" i="21"/>
  <c r="AC54" i="21"/>
  <c r="AB54" i="21"/>
  <c r="AA54" i="21"/>
  <c r="Z54" i="21"/>
  <c r="Y54" i="21"/>
  <c r="X54" i="21"/>
  <c r="E284" i="26"/>
  <c r="E24" i="26"/>
  <c r="E172" i="2"/>
  <c r="AC172" i="2" s="1"/>
  <c r="C172" i="2"/>
  <c r="AA172" i="2" s="1"/>
  <c r="Z188" i="2"/>
  <c r="Z187" i="2"/>
  <c r="Z186" i="2"/>
  <c r="Z185" i="2"/>
  <c r="Z182" i="2"/>
  <c r="Z181" i="2"/>
  <c r="Z180" i="2"/>
  <c r="T180" i="2"/>
  <c r="Z179" i="2"/>
  <c r="Z178" i="2"/>
  <c r="Z177" i="2"/>
  <c r="Z176" i="2"/>
  <c r="Z175" i="2"/>
  <c r="Z174" i="2"/>
  <c r="Z173" i="2"/>
  <c r="Z172" i="2"/>
  <c r="T171" i="2"/>
  <c r="B327" i="2"/>
  <c r="B326" i="2"/>
  <c r="B325" i="2"/>
  <c r="B324" i="2"/>
  <c r="B323" i="2"/>
  <c r="B322" i="2"/>
  <c r="B321" i="2"/>
  <c r="F313" i="2"/>
  <c r="F312" i="2"/>
  <c r="N33" i="34"/>
  <c r="N9" i="34"/>
  <c r="AH53" i="21"/>
  <c r="AG53" i="21"/>
  <c r="AF53" i="21"/>
  <c r="AE53" i="21"/>
  <c r="AD53" i="21"/>
  <c r="AC53" i="21"/>
  <c r="AB53" i="21"/>
  <c r="AA53" i="21"/>
  <c r="Z53" i="21"/>
  <c r="Y53" i="21"/>
  <c r="X53" i="21"/>
  <c r="K42" i="35"/>
  <c r="K41" i="35"/>
  <c r="O6" i="21"/>
  <c r="E318" i="26"/>
  <c r="AV16" i="33" s="1"/>
  <c r="AO44" i="33"/>
  <c r="AO43" i="33"/>
  <c r="AO42" i="33"/>
  <c r="AT14" i="33"/>
  <c r="AO10" i="33"/>
  <c r="AT8" i="33"/>
  <c r="AO6" i="33"/>
  <c r="AR48" i="33"/>
  <c r="E270" i="26"/>
  <c r="E269" i="26"/>
  <c r="E309" i="26"/>
  <c r="AG29" i="34"/>
  <c r="AG10" i="34"/>
  <c r="AG53" i="34"/>
  <c r="X21" i="34"/>
  <c r="X5" i="34"/>
  <c r="F368" i="28"/>
  <c r="H86" i="21"/>
  <c r="H88" i="21"/>
  <c r="H94" i="21"/>
  <c r="H95" i="21"/>
  <c r="H96" i="21"/>
  <c r="H97" i="21"/>
  <c r="H98" i="21"/>
  <c r="X52" i="21"/>
  <c r="Y52" i="21"/>
  <c r="Z52" i="21"/>
  <c r="AA52" i="21"/>
  <c r="AB52" i="21"/>
  <c r="AC52" i="21"/>
  <c r="AD52" i="21"/>
  <c r="AE52" i="21"/>
  <c r="AF52" i="21"/>
  <c r="AG52" i="21"/>
  <c r="AH52" i="21"/>
  <c r="F98" i="21"/>
  <c r="F97" i="21"/>
  <c r="F94" i="21"/>
  <c r="F86" i="21"/>
  <c r="E88" i="21"/>
  <c r="F88" i="21" s="1"/>
  <c r="E87" i="21"/>
  <c r="F87" i="21" s="1"/>
  <c r="D89" i="21"/>
  <c r="D87" i="21"/>
  <c r="H87" i="21" s="1"/>
  <c r="E85" i="21"/>
  <c r="D85" i="21"/>
  <c r="D84" i="21"/>
  <c r="E84" i="21"/>
  <c r="D4" i="26"/>
  <c r="E22" i="26"/>
  <c r="E23" i="26"/>
  <c r="E4" i="26"/>
  <c r="AG14" i="34" s="1"/>
  <c r="D9" i="1"/>
  <c r="D10" i="1" s="1"/>
  <c r="C82" i="35"/>
  <c r="K75" i="21"/>
  <c r="K74" i="21"/>
  <c r="K76" i="21"/>
  <c r="K73" i="21"/>
  <c r="P13" i="34"/>
  <c r="E305" i="26"/>
  <c r="E271" i="26" s="1"/>
  <c r="K48" i="35"/>
  <c r="K45" i="35"/>
  <c r="E304" i="26"/>
  <c r="E316" i="26"/>
  <c r="E315" i="26"/>
  <c r="E314" i="26"/>
  <c r="E311" i="26"/>
  <c r="C213" i="21"/>
  <c r="C221" i="21"/>
  <c r="C214" i="21" s="1"/>
  <c r="AH51" i="21"/>
  <c r="AG51" i="21"/>
  <c r="AF51" i="21"/>
  <c r="AE51" i="21"/>
  <c r="AD51" i="21"/>
  <c r="AC51" i="21"/>
  <c r="AB51" i="21"/>
  <c r="AA51" i="21"/>
  <c r="Z51" i="21"/>
  <c r="Y51" i="21"/>
  <c r="X51" i="21"/>
  <c r="AH50" i="21"/>
  <c r="AG50" i="21"/>
  <c r="AF50" i="21"/>
  <c r="AE50" i="21"/>
  <c r="AD50" i="21"/>
  <c r="AC50" i="21"/>
  <c r="AB50" i="21"/>
  <c r="AA50" i="21"/>
  <c r="Z50" i="21"/>
  <c r="Y50" i="21"/>
  <c r="X50" i="21"/>
  <c r="AH49" i="21"/>
  <c r="AG49" i="21"/>
  <c r="AF49" i="21"/>
  <c r="AE49" i="21"/>
  <c r="AD49" i="21"/>
  <c r="AC49" i="21"/>
  <c r="AB49" i="21"/>
  <c r="AA49" i="21"/>
  <c r="Z49" i="21"/>
  <c r="Y49" i="21"/>
  <c r="X49" i="21"/>
  <c r="AH48" i="21"/>
  <c r="AG48" i="21"/>
  <c r="AF48" i="21"/>
  <c r="AE48" i="21"/>
  <c r="AD48" i="21"/>
  <c r="AC48" i="21"/>
  <c r="AB48" i="21"/>
  <c r="AA48" i="21"/>
  <c r="Z48" i="21"/>
  <c r="Y48" i="21"/>
  <c r="X48" i="21"/>
  <c r="AH47" i="21"/>
  <c r="AG47" i="21"/>
  <c r="AF47" i="21"/>
  <c r="AE47" i="21"/>
  <c r="AD47" i="21"/>
  <c r="AC47" i="21"/>
  <c r="AB47" i="21"/>
  <c r="AA47" i="21"/>
  <c r="Z47" i="21"/>
  <c r="Y47" i="21"/>
  <c r="X47" i="21"/>
  <c r="K57" i="21"/>
  <c r="K58" i="21" s="1"/>
  <c r="N50" i="33"/>
  <c r="V30" i="33"/>
  <c r="AJ11" i="33"/>
  <c r="P41" i="34"/>
  <c r="N28" i="34"/>
  <c r="N24" i="34"/>
  <c r="AM3" i="28"/>
  <c r="C2" i="21"/>
  <c r="I49" i="26"/>
  <c r="H49" i="26"/>
  <c r="G49" i="26"/>
  <c r="I48" i="26"/>
  <c r="H48" i="26"/>
  <c r="G48" i="26"/>
  <c r="I47" i="26"/>
  <c r="H47" i="26"/>
  <c r="G47" i="26"/>
  <c r="I46" i="26"/>
  <c r="H46" i="26"/>
  <c r="G46" i="26"/>
  <c r="I45" i="26"/>
  <c r="H45" i="26"/>
  <c r="G45" i="26"/>
  <c r="I44" i="26"/>
  <c r="H44" i="26"/>
  <c r="G44" i="26"/>
  <c r="I43" i="26"/>
  <c r="H43" i="26"/>
  <c r="G43" i="26"/>
  <c r="I42" i="26"/>
  <c r="H42" i="26"/>
  <c r="G42" i="26"/>
  <c r="I41" i="26"/>
  <c r="H41" i="26"/>
  <c r="G41" i="26"/>
  <c r="I40" i="26"/>
  <c r="H40" i="26"/>
  <c r="G40" i="26"/>
  <c r="I39" i="26"/>
  <c r="H39" i="26"/>
  <c r="G39" i="26"/>
  <c r="I38" i="26"/>
  <c r="H38" i="26"/>
  <c r="G38" i="26"/>
  <c r="N30" i="1"/>
  <c r="N36" i="1" s="1"/>
  <c r="I54" i="26" s="1"/>
  <c r="M30" i="1"/>
  <c r="L30" i="1"/>
  <c r="L36" i="1" s="1"/>
  <c r="G54" i="26" s="1"/>
  <c r="J53" i="26"/>
  <c r="N32" i="1"/>
  <c r="I52" i="26" s="1"/>
  <c r="N31" i="1"/>
  <c r="I51" i="26" s="1"/>
  <c r="M32" i="1"/>
  <c r="H52" i="26" s="1"/>
  <c r="L32" i="1"/>
  <c r="M31" i="1"/>
  <c r="H51" i="26" s="1"/>
  <c r="L31" i="1"/>
  <c r="I53" i="26"/>
  <c r="H53" i="26"/>
  <c r="G53" i="26"/>
  <c r="J54" i="26"/>
  <c r="F367" i="28"/>
  <c r="E367" i="28"/>
  <c r="B61" i="21"/>
  <c r="K14" i="33"/>
  <c r="A10" i="33"/>
  <c r="P12" i="33"/>
  <c r="K45" i="33"/>
  <c r="K44" i="33"/>
  <c r="K43" i="33"/>
  <c r="F14" i="33"/>
  <c r="D47" i="33"/>
  <c r="A42" i="33"/>
  <c r="A43" i="33"/>
  <c r="A41" i="33"/>
  <c r="F8" i="33"/>
  <c r="A6" i="33"/>
  <c r="F19" i="15"/>
  <c r="K9" i="2" s="1"/>
  <c r="E404" i="26"/>
  <c r="E403" i="26"/>
  <c r="E402" i="26"/>
  <c r="E401" i="26"/>
  <c r="E398" i="26"/>
  <c r="E397" i="26"/>
  <c r="E396" i="26"/>
  <c r="E395" i="26"/>
  <c r="E394" i="26"/>
  <c r="E361" i="26"/>
  <c r="E360" i="26"/>
  <c r="E359" i="26"/>
  <c r="E255" i="26"/>
  <c r="E254" i="26"/>
  <c r="E253" i="26"/>
  <c r="E252" i="26"/>
  <c r="E251" i="26"/>
  <c r="E169" i="26"/>
  <c r="U49" i="21"/>
  <c r="U50" i="21"/>
  <c r="E387" i="26"/>
  <c r="E96" i="21"/>
  <c r="F96" i="21" s="1"/>
  <c r="E95" i="21"/>
  <c r="F95" i="21" s="1"/>
  <c r="D35" i="21"/>
  <c r="E351" i="26" s="1"/>
  <c r="E388" i="26" s="1"/>
  <c r="E186" i="26"/>
  <c r="E93" i="21"/>
  <c r="D92" i="21"/>
  <c r="E92" i="21" s="1"/>
  <c r="G1" i="26"/>
  <c r="F374" i="28"/>
  <c r="F377" i="28"/>
  <c r="D375" i="28"/>
  <c r="D376" i="28"/>
  <c r="E377" i="28"/>
  <c r="F364" i="28"/>
  <c r="F369" i="28"/>
  <c r="F370" i="28"/>
  <c r="F371" i="28"/>
  <c r="F372" i="28"/>
  <c r="E364" i="28"/>
  <c r="E368" i="28"/>
  <c r="D369" i="28"/>
  <c r="D370" i="28"/>
  <c r="E372" i="28"/>
  <c r="E378" i="26"/>
  <c r="E372" i="26"/>
  <c r="E373" i="26"/>
  <c r="E413" i="26"/>
  <c r="E168" i="26"/>
  <c r="E167" i="26"/>
  <c r="E116" i="26"/>
  <c r="E115" i="26"/>
  <c r="E114" i="26"/>
  <c r="E113" i="26"/>
  <c r="E111" i="26"/>
  <c r="E110" i="26"/>
  <c r="E109" i="26"/>
  <c r="E106" i="26"/>
  <c r="F105" i="26"/>
  <c r="E105" i="26" s="1"/>
  <c r="E85" i="26"/>
  <c r="E65" i="26"/>
  <c r="E64" i="26"/>
  <c r="E63" i="26"/>
  <c r="E62" i="26"/>
  <c r="E36" i="26"/>
  <c r="AG52" i="34" s="1"/>
  <c r="E35" i="26"/>
  <c r="E34" i="26"/>
  <c r="X33" i="34" s="1"/>
  <c r="E10" i="26"/>
  <c r="E8" i="26"/>
  <c r="AG7" i="34" s="1"/>
  <c r="E7" i="26"/>
  <c r="AG54" i="34" s="1"/>
  <c r="E6" i="26"/>
  <c r="X8" i="34" s="1"/>
  <c r="E5" i="26"/>
  <c r="X7" i="34" s="1"/>
  <c r="L8" i="2"/>
  <c r="L10" i="2"/>
  <c r="L13" i="2"/>
  <c r="L12" i="2"/>
  <c r="L11" i="2"/>
  <c r="L6" i="2"/>
  <c r="L15" i="2"/>
  <c r="L9" i="2"/>
  <c r="L14" i="2"/>
  <c r="L7" i="2"/>
  <c r="L16" i="2"/>
  <c r="L5" i="2"/>
  <c r="Q3" i="15"/>
  <c r="AB5" i="18"/>
  <c r="AB6" i="18"/>
  <c r="AB7" i="18"/>
  <c r="AB8" i="18"/>
  <c r="AB9" i="18"/>
  <c r="AB10" i="18"/>
  <c r="AB11" i="18"/>
  <c r="AB12" i="18"/>
  <c r="AB13" i="18"/>
  <c r="AB14" i="18"/>
  <c r="AB15" i="18"/>
  <c r="AB16" i="18"/>
  <c r="AB17" i="18"/>
  <c r="AB18" i="18"/>
  <c r="AB19" i="18"/>
  <c r="AB20" i="18"/>
  <c r="AB21" i="18"/>
  <c r="AB22" i="18"/>
  <c r="AB23" i="18"/>
  <c r="AB24" i="18"/>
  <c r="AB25" i="18"/>
  <c r="AB26" i="18"/>
  <c r="AB27" i="18"/>
  <c r="AB28" i="18"/>
  <c r="AB29" i="18"/>
  <c r="AB30" i="18"/>
  <c r="AB4" i="18"/>
  <c r="F6" i="15"/>
  <c r="E104" i="26" s="1"/>
  <c r="K234" i="2"/>
  <c r="B259" i="2"/>
  <c r="B258" i="2"/>
  <c r="B257" i="2"/>
  <c r="B256" i="2"/>
  <c r="B255" i="2"/>
  <c r="B254" i="2"/>
  <c r="B253" i="2"/>
  <c r="B252" i="2"/>
  <c r="B251" i="2"/>
  <c r="B250" i="2"/>
  <c r="B249" i="2"/>
  <c r="B248" i="2"/>
  <c r="B247" i="2"/>
  <c r="B246" i="2"/>
  <c r="B245" i="2"/>
  <c r="B244" i="2"/>
  <c r="B243" i="2"/>
  <c r="B242" i="2"/>
  <c r="B241" i="2"/>
  <c r="B240" i="2"/>
  <c r="B239" i="2"/>
  <c r="B238" i="2"/>
  <c r="B237" i="2"/>
  <c r="B236" i="2"/>
  <c r="B235" i="2"/>
  <c r="B234" i="2"/>
  <c r="K233" i="2"/>
  <c r="J233" i="2"/>
  <c r="I233" i="2"/>
  <c r="H233" i="2"/>
  <c r="G233" i="2"/>
  <c r="F233" i="2"/>
  <c r="E233" i="2"/>
  <c r="D233" i="2"/>
  <c r="C233" i="2"/>
  <c r="B233" i="2"/>
  <c r="P235" i="2"/>
  <c r="E358" i="26"/>
  <c r="F53" i="26"/>
  <c r="E173" i="26"/>
  <c r="E174" i="26"/>
  <c r="I39" i="21"/>
  <c r="P44" i="2"/>
  <c r="I20" i="15"/>
  <c r="I19" i="15"/>
  <c r="I21" i="15"/>
  <c r="I28" i="15"/>
  <c r="I29" i="15"/>
  <c r="D3" i="45"/>
  <c r="I27" i="15"/>
  <c r="I30" i="15"/>
  <c r="I23" i="15"/>
  <c r="I24" i="15"/>
  <c r="N23" i="45"/>
  <c r="N26" i="45"/>
  <c r="I25" i="15"/>
  <c r="I22" i="15"/>
  <c r="N25" i="45"/>
  <c r="N24" i="45"/>
  <c r="C7" i="45"/>
  <c r="I26" i="15"/>
  <c r="G24" i="38" l="1"/>
  <c r="A25" i="38"/>
  <c r="F25" i="38" s="1"/>
  <c r="G25" i="38" s="1"/>
  <c r="U40" i="33"/>
  <c r="F232" i="26"/>
  <c r="E232" i="26" s="1"/>
  <c r="C86" i="35"/>
  <c r="C87" i="35"/>
  <c r="B92" i="21"/>
  <c r="H92" i="21" s="1"/>
  <c r="C126" i="21"/>
  <c r="C107" i="21" s="1"/>
  <c r="F46" i="26"/>
  <c r="K10" i="1"/>
  <c r="X34" i="34"/>
  <c r="AG34" i="34"/>
  <c r="F208" i="26"/>
  <c r="E208" i="26" s="1"/>
  <c r="F19" i="26"/>
  <c r="X30" i="34" s="1"/>
  <c r="F226" i="26"/>
  <c r="E226" i="26" s="1"/>
  <c r="E243" i="26" a="1"/>
  <c r="E243" i="26" s="1"/>
  <c r="F233" i="26"/>
  <c r="E233" i="26" s="1"/>
  <c r="E234" i="26"/>
  <c r="E223" i="26"/>
  <c r="F223" i="26" s="1"/>
  <c r="AG23" i="34" s="1"/>
  <c r="E32" i="26"/>
  <c r="AO12" i="33"/>
  <c r="E224" i="26"/>
  <c r="N15" i="34"/>
  <c r="E227" i="26"/>
  <c r="B49" i="21"/>
  <c r="A2" i="34"/>
  <c r="AJ9" i="33"/>
  <c r="BP41" i="21"/>
  <c r="X19" i="34"/>
  <c r="F236" i="26"/>
  <c r="E236" i="26" s="1"/>
  <c r="F231" i="26"/>
  <c r="E231" i="26" s="1"/>
  <c r="F230" i="26"/>
  <c r="E230" i="26" s="1"/>
  <c r="C88" i="35"/>
  <c r="J94" i="35" s="1"/>
  <c r="L94" i="35" s="1"/>
  <c r="E294" i="26"/>
  <c r="E369" i="43" s="1"/>
  <c r="F240" i="26"/>
  <c r="E240" i="26" s="1"/>
  <c r="F238" i="26"/>
  <c r="E238" i="26" s="1"/>
  <c r="R7" i="38"/>
  <c r="C16" i="36" s="1"/>
  <c r="E69" i="26" s="1"/>
  <c r="K51" i="21"/>
  <c r="P49" i="21" s="1"/>
  <c r="L57" i="21" s="1"/>
  <c r="L58" i="21" s="1"/>
  <c r="F242" i="26"/>
  <c r="E242" i="26" s="1"/>
  <c r="F241" i="26"/>
  <c r="E241" i="26" s="1"/>
  <c r="F237" i="26"/>
  <c r="E237" i="26" s="1"/>
  <c r="E295" i="26"/>
  <c r="D406" i="28" s="1"/>
  <c r="F239" i="26"/>
  <c r="E239" i="26" s="1"/>
  <c r="N37" i="1"/>
  <c r="I55" i="26" s="1"/>
  <c r="C89" i="35"/>
  <c r="F95" i="35" s="1"/>
  <c r="E95" i="35" s="1"/>
  <c r="F34" i="26"/>
  <c r="F283" i="26" s="1"/>
  <c r="E283" i="26" s="1"/>
  <c r="AG35" i="34"/>
  <c r="C212" i="21"/>
  <c r="AG36" i="34"/>
  <c r="X9" i="34"/>
  <c r="AG56" i="34"/>
  <c r="R6" i="38"/>
  <c r="C15" i="36" s="1"/>
  <c r="E68" i="26" s="1"/>
  <c r="K16" i="2"/>
  <c r="R11" i="38"/>
  <c r="C20" i="36" s="1"/>
  <c r="E73" i="26" s="1"/>
  <c r="R4" i="38"/>
  <c r="C13" i="36" s="1"/>
  <c r="E66" i="26" s="1"/>
  <c r="R16" i="38"/>
  <c r="R15" i="38"/>
  <c r="C24" i="36" s="1"/>
  <c r="E77" i="26" s="1"/>
  <c r="R13" i="38"/>
  <c r="C22" i="36" s="1"/>
  <c r="E75" i="26" s="1"/>
  <c r="R12" i="38"/>
  <c r="C21" i="36" s="1"/>
  <c r="E74" i="26" s="1"/>
  <c r="F43" i="26"/>
  <c r="R2" i="38"/>
  <c r="M17" i="15"/>
  <c r="AG19" i="34"/>
  <c r="M18" i="15"/>
  <c r="F161" i="26" s="1"/>
  <c r="X242" i="43" s="1"/>
  <c r="F34" i="15"/>
  <c r="E389" i="26" s="1"/>
  <c r="F389" i="26" s="1"/>
  <c r="D8" i="1"/>
  <c r="E200" i="26"/>
  <c r="AJ19" i="33" s="1"/>
  <c r="K15" i="33"/>
  <c r="X29" i="34"/>
  <c r="A12" i="33"/>
  <c r="E18" i="26"/>
  <c r="G18" i="26" s="1"/>
  <c r="X11" i="34"/>
  <c r="AJ15" i="33"/>
  <c r="P10" i="26"/>
  <c r="B48" i="21"/>
  <c r="D74" i="38"/>
  <c r="G74" i="38" s="1"/>
  <c r="E63" i="36"/>
  <c r="AJ8" i="33"/>
  <c r="N10" i="34"/>
  <c r="X4" i="34"/>
  <c r="G78" i="38"/>
  <c r="M78" i="38"/>
  <c r="G79" i="38"/>
  <c r="M79" i="38"/>
  <c r="F219" i="26"/>
  <c r="E219" i="26" s="1"/>
  <c r="AG55" i="34"/>
  <c r="K11" i="2"/>
  <c r="E272" i="26"/>
  <c r="M75" i="38"/>
  <c r="V25" i="2"/>
  <c r="K6" i="2"/>
  <c r="F216" i="26"/>
  <c r="E216" i="26" s="1"/>
  <c r="K15" i="2"/>
  <c r="E202" i="26"/>
  <c r="F205" i="26"/>
  <c r="E205" i="26" s="1"/>
  <c r="E319" i="26"/>
  <c r="E203" i="26"/>
  <c r="F192" i="26" s="1"/>
  <c r="E192" i="26" s="1"/>
  <c r="G52" i="26"/>
  <c r="O10" i="26"/>
  <c r="E159" i="36"/>
  <c r="K10" i="2"/>
  <c r="F29" i="15"/>
  <c r="E118" i="26" s="1"/>
  <c r="E292" i="26"/>
  <c r="L405" i="28" s="1"/>
  <c r="AR16" i="33"/>
  <c r="F204" i="26"/>
  <c r="E204" i="26" s="1"/>
  <c r="F206" i="26"/>
  <c r="E206" i="26" s="1"/>
  <c r="F217" i="26"/>
  <c r="E217" i="26" s="1"/>
  <c r="F209" i="26"/>
  <c r="E209" i="26" s="1"/>
  <c r="AB32" i="18"/>
  <c r="K14" i="2"/>
  <c r="X6" i="34"/>
  <c r="F210" i="26"/>
  <c r="E210" i="26" s="1"/>
  <c r="F197" i="26"/>
  <c r="F280" i="26" s="1"/>
  <c r="B66" i="21" s="1"/>
  <c r="H66" i="21" s="1"/>
  <c r="K12" i="2"/>
  <c r="E175" i="36"/>
  <c r="E293" i="26"/>
  <c r="L406" i="28" s="1"/>
  <c r="K13" i="2"/>
  <c r="E320" i="26"/>
  <c r="K5" i="2"/>
  <c r="I50" i="26"/>
  <c r="F218" i="26"/>
  <c r="E218" i="26" s="1"/>
  <c r="E108" i="26"/>
  <c r="E317" i="26"/>
  <c r="C234" i="2"/>
  <c r="E234" i="2"/>
  <c r="G51" i="26"/>
  <c r="E176" i="36"/>
  <c r="C162" i="36" s="1"/>
  <c r="E64" i="36"/>
  <c r="I75" i="38" s="1"/>
  <c r="K75" i="38" s="1"/>
  <c r="E112" i="36"/>
  <c r="C98" i="36" s="1"/>
  <c r="E127" i="36"/>
  <c r="B27" i="45"/>
  <c r="E80" i="36"/>
  <c r="C66" i="36" s="1"/>
  <c r="R9" i="38"/>
  <c r="C18" i="36" s="1"/>
  <c r="E71" i="26" s="1"/>
  <c r="R5" i="38"/>
  <c r="C14" i="36" s="1"/>
  <c r="E67" i="26" s="1"/>
  <c r="AG9" i="34"/>
  <c r="R8" i="38"/>
  <c r="C17" i="36" s="1"/>
  <c r="E70" i="26" s="1"/>
  <c r="R3" i="38"/>
  <c r="R10" i="38"/>
  <c r="C19" i="36" s="1"/>
  <c r="E72" i="26" s="1"/>
  <c r="AO9" i="33"/>
  <c r="V29" i="2"/>
  <c r="O19" i="1"/>
  <c r="K40" i="26" s="1"/>
  <c r="Q10" i="2"/>
  <c r="Q13" i="2"/>
  <c r="Q5" i="2"/>
  <c r="Q15" i="2"/>
  <c r="Q16" i="2"/>
  <c r="Q11" i="2"/>
  <c r="Q6" i="2"/>
  <c r="Q7" i="2"/>
  <c r="Q14" i="2"/>
  <c r="Q8" i="2"/>
  <c r="Q12" i="2"/>
  <c r="Q9" i="2"/>
  <c r="L37" i="1"/>
  <c r="H50" i="26"/>
  <c r="M36" i="1"/>
  <c r="G77" i="38"/>
  <c r="M77" i="38"/>
  <c r="O529" i="28"/>
  <c r="AF14" i="34"/>
  <c r="U37" i="33"/>
  <c r="U39" i="33"/>
  <c r="E96" i="36"/>
  <c r="E95" i="36"/>
  <c r="E192" i="36"/>
  <c r="E191" i="36"/>
  <c r="E128" i="36"/>
  <c r="E143" i="36"/>
  <c r="E144" i="36"/>
  <c r="M76" i="38"/>
  <c r="M80" i="38"/>
  <c r="E222" i="26"/>
  <c r="E172" i="26"/>
  <c r="F225" i="26"/>
  <c r="E235" i="26"/>
  <c r="E111" i="36"/>
  <c r="E160" i="36"/>
  <c r="E215" i="26"/>
  <c r="F207" i="26"/>
  <c r="E207" i="26" s="1"/>
  <c r="F211" i="26"/>
  <c r="E211" i="26" s="1"/>
  <c r="E201" i="26"/>
  <c r="F212" i="26"/>
  <c r="E212" i="26" s="1"/>
  <c r="F214" i="26"/>
  <c r="E214" i="26" s="1"/>
  <c r="E197" i="26"/>
  <c r="F220" i="26"/>
  <c r="E220" i="26" s="1"/>
  <c r="E48" i="36"/>
  <c r="E47" i="36"/>
  <c r="M19" i="15"/>
  <c r="P33" i="15" s="1"/>
  <c r="K8" i="2"/>
  <c r="K7" i="2"/>
  <c r="G50" i="26"/>
  <c r="G55" i="26" s="1"/>
  <c r="E79" i="36"/>
  <c r="L234" i="2"/>
  <c r="M234" i="2" s="1"/>
  <c r="E31" i="26"/>
  <c r="I31" i="15"/>
  <c r="C6" i="45"/>
  <c r="H18" i="26" l="1"/>
  <c r="AH40" i="34" s="1"/>
  <c r="AU15" i="33"/>
  <c r="F307" i="26"/>
  <c r="G36" i="38"/>
  <c r="F36" i="38"/>
  <c r="C9" i="2"/>
  <c r="E160" i="26"/>
  <c r="D1" i="31"/>
  <c r="F92" i="21"/>
  <c r="O25" i="1"/>
  <c r="K46" i="26" s="1"/>
  <c r="V30" i="2"/>
  <c r="D10" i="21"/>
  <c r="E332" i="26" s="1"/>
  <c r="D405" i="28"/>
  <c r="AR15" i="33"/>
  <c r="AX15" i="33"/>
  <c r="F309" i="26"/>
  <c r="G19" i="26"/>
  <c r="AG61" i="34"/>
  <c r="E19" i="26"/>
  <c r="C48" i="21"/>
  <c r="F365" i="28" s="1"/>
  <c r="C84" i="38"/>
  <c r="B54" i="21"/>
  <c r="D371" i="28" s="1"/>
  <c r="D365" i="28"/>
  <c r="D366" i="28"/>
  <c r="I94" i="35"/>
  <c r="K22" i="33"/>
  <c r="J95" i="35"/>
  <c r="L95" i="35" s="1"/>
  <c r="F228" i="26"/>
  <c r="E228" i="26" s="1"/>
  <c r="T230" i="28"/>
  <c r="E370" i="43"/>
  <c r="E390" i="26"/>
  <c r="F94" i="35"/>
  <c r="H94" i="35" s="1"/>
  <c r="AJ17" i="33"/>
  <c r="H95" i="35"/>
  <c r="AG21" i="34"/>
  <c r="K55" i="21"/>
  <c r="K52" i="21"/>
  <c r="E191" i="26"/>
  <c r="AJ21" i="33" s="1"/>
  <c r="F66" i="21"/>
  <c r="G197" i="26"/>
  <c r="Q49" i="21"/>
  <c r="Q50" i="21" s="1"/>
  <c r="E161" i="26"/>
  <c r="I78" i="38"/>
  <c r="K78" i="38" s="1"/>
  <c r="M74" i="38"/>
  <c r="P50" i="21"/>
  <c r="P51" i="21" s="1"/>
  <c r="L56" i="21" s="1"/>
  <c r="F41" i="26"/>
  <c r="J41" i="26" s="1"/>
  <c r="Q42" i="34"/>
  <c r="E185" i="26"/>
  <c r="O22" i="1"/>
  <c r="K43" i="26" s="1"/>
  <c r="V27" i="2"/>
  <c r="O20" i="1"/>
  <c r="K41" i="26" s="1"/>
  <c r="F40" i="26"/>
  <c r="A25" i="2" s="1"/>
  <c r="C25" i="2" s="1"/>
  <c r="AG24" i="34"/>
  <c r="V24" i="2"/>
  <c r="K20" i="33"/>
  <c r="AO7" i="33"/>
  <c r="A8" i="33"/>
  <c r="K12" i="33"/>
  <c r="E15" i="26"/>
  <c r="A7" i="33"/>
  <c r="K11" i="33"/>
  <c r="X20" i="34"/>
  <c r="N34" i="34"/>
  <c r="N13" i="34"/>
  <c r="E2" i="26"/>
  <c r="E25" i="26"/>
  <c r="AO8" i="33"/>
  <c r="N41" i="34"/>
  <c r="E14" i="26"/>
  <c r="K13" i="33"/>
  <c r="I76" i="38"/>
  <c r="K76" i="38" s="1"/>
  <c r="A9" i="33"/>
  <c r="Q14" i="34"/>
  <c r="F45" i="26"/>
  <c r="J45" i="26" s="1"/>
  <c r="E16" i="26"/>
  <c r="AG11" i="34" s="1"/>
  <c r="I18" i="26"/>
  <c r="AI40" i="34" s="1"/>
  <c r="C80" i="36"/>
  <c r="C50" i="36"/>
  <c r="C64" i="36"/>
  <c r="C25" i="36"/>
  <c r="E78" i="26" s="1"/>
  <c r="O24" i="1"/>
  <c r="K45" i="26" s="1"/>
  <c r="K8" i="36"/>
  <c r="K9" i="36" s="1"/>
  <c r="J16" i="36" s="1"/>
  <c r="C26" i="36"/>
  <c r="E79" i="26" s="1"/>
  <c r="C27" i="36"/>
  <c r="E80" i="26" s="1"/>
  <c r="C28" i="36"/>
  <c r="E81" i="26" s="1"/>
  <c r="V33" i="2"/>
  <c r="O28" i="1"/>
  <c r="K49" i="26" s="1"/>
  <c r="F49" i="26"/>
  <c r="A34" i="2" s="1"/>
  <c r="V23" i="2"/>
  <c r="F39" i="26"/>
  <c r="O18" i="1"/>
  <c r="K39" i="26" s="1"/>
  <c r="E27" i="26"/>
  <c r="AV8" i="33"/>
  <c r="N12" i="34"/>
  <c r="E17" i="26"/>
  <c r="N40" i="34"/>
  <c r="R12" i="33"/>
  <c r="H8" i="33"/>
  <c r="O21" i="1"/>
  <c r="K42" i="26" s="1"/>
  <c r="F42" i="26"/>
  <c r="V26" i="2"/>
  <c r="F38" i="26"/>
  <c r="O17" i="1"/>
  <c r="V22" i="2"/>
  <c r="K31" i="1"/>
  <c r="K30" i="1"/>
  <c r="K32" i="1"/>
  <c r="I80" i="38"/>
  <c r="K80" i="38" s="1"/>
  <c r="C130" i="36"/>
  <c r="F6" i="33"/>
  <c r="N32" i="34"/>
  <c r="E28" i="26"/>
  <c r="AT6" i="33"/>
  <c r="C146" i="36"/>
  <c r="A28" i="2"/>
  <c r="C28" i="2" s="1"/>
  <c r="J43" i="26"/>
  <c r="J46" i="26"/>
  <c r="A31" i="2"/>
  <c r="C31" i="2" s="1"/>
  <c r="E73" i="38"/>
  <c r="E75" i="38"/>
  <c r="O10" i="1"/>
  <c r="AG22" i="34"/>
  <c r="K19" i="33"/>
  <c r="AJ16" i="33"/>
  <c r="V32" i="2"/>
  <c r="O27" i="1"/>
  <c r="K48" i="26" s="1"/>
  <c r="F48" i="26"/>
  <c r="A33" i="2" s="1"/>
  <c r="C178" i="36"/>
  <c r="O23" i="1"/>
  <c r="K44" i="26" s="1"/>
  <c r="V28" i="2"/>
  <c r="F44" i="26"/>
  <c r="I77" i="38"/>
  <c r="K77" i="38" s="1"/>
  <c r="C82" i="36"/>
  <c r="E27" i="36"/>
  <c r="E99" i="26" s="1"/>
  <c r="E22" i="36"/>
  <c r="E13" i="36" a="1"/>
  <c r="E13" i="36" s="1"/>
  <c r="E14" i="36"/>
  <c r="N42" i="34"/>
  <c r="E15" i="36"/>
  <c r="E17" i="36"/>
  <c r="E16" i="36"/>
  <c r="E19" i="36"/>
  <c r="E18" i="36"/>
  <c r="E12" i="26"/>
  <c r="S10" i="26" s="1"/>
  <c r="E24" i="36"/>
  <c r="E20" i="36"/>
  <c r="E21" i="36"/>
  <c r="N14" i="34"/>
  <c r="E23" i="36"/>
  <c r="R14" i="33"/>
  <c r="F11" i="33"/>
  <c r="A11" i="33"/>
  <c r="AT11" i="33"/>
  <c r="F9" i="26"/>
  <c r="AO11" i="33"/>
  <c r="E9" i="26"/>
  <c r="O14" i="33"/>
  <c r="A229" i="28"/>
  <c r="E190" i="26"/>
  <c r="F190" i="26" s="1"/>
  <c r="E225" i="26"/>
  <c r="E189" i="26"/>
  <c r="E11" i="21" s="1"/>
  <c r="A241" i="43"/>
  <c r="H54" i="26"/>
  <c r="M37" i="1"/>
  <c r="H55" i="26" s="1"/>
  <c r="Q17" i="2"/>
  <c r="O42" i="34"/>
  <c r="AT9" i="33"/>
  <c r="E13" i="26"/>
  <c r="O14" i="34"/>
  <c r="F9" i="33"/>
  <c r="P13" i="33"/>
  <c r="F47" i="26"/>
  <c r="V31" i="2"/>
  <c r="O26" i="1"/>
  <c r="K47" i="26" s="1"/>
  <c r="I74" i="38"/>
  <c r="K74" i="38" s="1"/>
  <c r="C48" i="36"/>
  <c r="C34" i="36"/>
  <c r="AG25" i="34"/>
  <c r="C49" i="21"/>
  <c r="F366" i="28" s="1"/>
  <c r="B84" i="38"/>
  <c r="C114" i="36"/>
  <c r="I79" i="38"/>
  <c r="K79" i="38" s="1"/>
  <c r="AG40" i="34"/>
  <c r="C5" i="45"/>
  <c r="E20" i="26" l="1"/>
  <c r="I27" i="26"/>
  <c r="G5" i="26"/>
  <c r="E307" i="26"/>
  <c r="AO14" i="33"/>
  <c r="AG32" i="34"/>
  <c r="A14" i="33"/>
  <c r="X31" i="34"/>
  <c r="B33" i="48"/>
  <c r="I22" i="36"/>
  <c r="R49" i="21"/>
  <c r="E329" i="26"/>
  <c r="I8" i="21" s="1"/>
  <c r="I28" i="21"/>
  <c r="D24" i="37" s="1"/>
  <c r="I29" i="21" a="1"/>
  <c r="I29" i="21" s="1"/>
  <c r="I31" i="21" s="1"/>
  <c r="J29" i="21" s="1"/>
  <c r="J31" i="21" s="1"/>
  <c r="B57" i="21"/>
  <c r="E374" i="28" s="1"/>
  <c r="Q51" i="21"/>
  <c r="R51" i="21" s="1"/>
  <c r="M56" i="21"/>
  <c r="B41" i="28"/>
  <c r="X22" i="34"/>
  <c r="R50" i="21"/>
  <c r="U51" i="21"/>
  <c r="K56" i="21"/>
  <c r="C132" i="21"/>
  <c r="C108" i="21" s="1"/>
  <c r="C143" i="21"/>
  <c r="C109" i="21" s="1"/>
  <c r="C120" i="21"/>
  <c r="C105" i="21" s="1"/>
  <c r="H19" i="26"/>
  <c r="I19" i="26" s="1"/>
  <c r="AI41" i="34" s="1"/>
  <c r="AG41" i="34"/>
  <c r="E94" i="35"/>
  <c r="I95" i="35"/>
  <c r="F229" i="26"/>
  <c r="E229" i="26" s="1"/>
  <c r="A26" i="2"/>
  <c r="C26" i="2" s="1"/>
  <c r="C96" i="2" s="1"/>
  <c r="E80" i="38"/>
  <c r="E78" i="38"/>
  <c r="C4" i="35"/>
  <c r="E76" i="38"/>
  <c r="J40" i="26"/>
  <c r="N10" i="26"/>
  <c r="S36" i="1"/>
  <c r="S35" i="1"/>
  <c r="Q10" i="26"/>
  <c r="A30" i="2"/>
  <c r="C30" i="2" s="1"/>
  <c r="C76" i="2" s="1"/>
  <c r="E3" i="26"/>
  <c r="BW36" i="21"/>
  <c r="B44" i="43"/>
  <c r="AG6" i="34"/>
  <c r="U36" i="33"/>
  <c r="BP40" i="21"/>
  <c r="O528" i="28"/>
  <c r="X3" i="34"/>
  <c r="BW35" i="21"/>
  <c r="B32" i="48"/>
  <c r="C147" i="36"/>
  <c r="C67" i="36"/>
  <c r="C179" i="36"/>
  <c r="C51" i="36"/>
  <c r="C99" i="36"/>
  <c r="C83" i="36"/>
  <c r="C163" i="36"/>
  <c r="C35" i="36"/>
  <c r="C115" i="36"/>
  <c r="C131" i="36"/>
  <c r="E95" i="26"/>
  <c r="M14" i="2"/>
  <c r="E77" i="38"/>
  <c r="J38" i="26"/>
  <c r="F51" i="26"/>
  <c r="F50" i="26"/>
  <c r="A35" i="2" s="1"/>
  <c r="F52" i="26"/>
  <c r="D216" i="28" s="1"/>
  <c r="A23" i="2"/>
  <c r="C23" i="2" s="1"/>
  <c r="C71" i="2"/>
  <c r="C59" i="2"/>
  <c r="C119" i="2"/>
  <c r="C83" i="2"/>
  <c r="C143" i="2"/>
  <c r="C47" i="2"/>
  <c r="C155" i="2"/>
  <c r="C131" i="2"/>
  <c r="C95" i="2"/>
  <c r="Q22" i="15"/>
  <c r="C107" i="2"/>
  <c r="F99" i="26"/>
  <c r="F175" i="26"/>
  <c r="A29" i="2"/>
  <c r="C29" i="2" s="1"/>
  <c r="J44" i="26"/>
  <c r="C110" i="2"/>
  <c r="C98" i="2"/>
  <c r="Q25" i="15"/>
  <c r="C146" i="2"/>
  <c r="C134" i="2"/>
  <c r="C74" i="2"/>
  <c r="C86" i="2"/>
  <c r="C50" i="2"/>
  <c r="C122" i="2"/>
  <c r="C62" i="2"/>
  <c r="C158" i="2"/>
  <c r="C34" i="2"/>
  <c r="J49" i="26"/>
  <c r="E91" i="26"/>
  <c r="M10" i="2"/>
  <c r="X23" i="34"/>
  <c r="R10" i="26"/>
  <c r="AG12" i="34"/>
  <c r="B45" i="43"/>
  <c r="B42" i="28"/>
  <c r="E96" i="26"/>
  <c r="M15" i="2"/>
  <c r="E89" i="26"/>
  <c r="M8" i="2"/>
  <c r="J42" i="26"/>
  <c r="A27" i="2"/>
  <c r="C27" i="2" s="1"/>
  <c r="J307" i="2"/>
  <c r="AI307" i="2"/>
  <c r="AR307" i="2"/>
  <c r="N307" i="2"/>
  <c r="U307" i="2"/>
  <c r="R307" i="2"/>
  <c r="AQ307" i="2"/>
  <c r="Q307" i="2"/>
  <c r="AD307" i="2"/>
  <c r="F307" i="2"/>
  <c r="AH307" i="2"/>
  <c r="D307" i="2"/>
  <c r="B307" i="2"/>
  <c r="D31" i="2" s="1"/>
  <c r="O307" i="2"/>
  <c r="AL307" i="2"/>
  <c r="Z307" i="2"/>
  <c r="AB307" i="2"/>
  <c r="W307" i="2"/>
  <c r="AF307" i="2"/>
  <c r="AN307" i="2"/>
  <c r="AP307" i="2"/>
  <c r="AJ307" i="2"/>
  <c r="AE307" i="2"/>
  <c r="C307" i="2"/>
  <c r="AG307" i="2"/>
  <c r="AM307" i="2"/>
  <c r="Y307" i="2"/>
  <c r="L307" i="2"/>
  <c r="AS307" i="2"/>
  <c r="P307" i="2"/>
  <c r="T307" i="2"/>
  <c r="X307" i="2"/>
  <c r="E307" i="2"/>
  <c r="AC307" i="2"/>
  <c r="I307" i="2"/>
  <c r="AK307" i="2"/>
  <c r="AO307" i="2"/>
  <c r="G307" i="2"/>
  <c r="S307" i="2"/>
  <c r="M307" i="2"/>
  <c r="H307" i="2"/>
  <c r="AA307" i="2"/>
  <c r="K307" i="2"/>
  <c r="V307" i="2"/>
  <c r="E92" i="26"/>
  <c r="M11" i="2"/>
  <c r="A32" i="2"/>
  <c r="C32" i="2" s="1"/>
  <c r="J47" i="26"/>
  <c r="AG15" i="34"/>
  <c r="X10" i="34"/>
  <c r="M9" i="2"/>
  <c r="E90" i="26"/>
  <c r="E74" i="38"/>
  <c r="F15" i="26"/>
  <c r="G27" i="26"/>
  <c r="F27" i="26"/>
  <c r="H27" i="26"/>
  <c r="E88" i="26"/>
  <c r="M7" i="2"/>
  <c r="E79" i="38"/>
  <c r="C65" i="2"/>
  <c r="C89" i="2"/>
  <c r="Q28" i="15"/>
  <c r="C113" i="2"/>
  <c r="C137" i="2"/>
  <c r="C77" i="2"/>
  <c r="C149" i="2"/>
  <c r="C53" i="2"/>
  <c r="C161" i="2"/>
  <c r="C101" i="2"/>
  <c r="C125" i="2"/>
  <c r="K36" i="1"/>
  <c r="F54" i="26" s="1"/>
  <c r="E93" i="26"/>
  <c r="M12" i="2"/>
  <c r="E33" i="26"/>
  <c r="C8" i="2"/>
  <c r="AG37" i="34"/>
  <c r="AG5" i="34"/>
  <c r="J39" i="26"/>
  <c r="A24" i="2"/>
  <c r="C24" i="2" s="1"/>
  <c r="E94" i="26"/>
  <c r="M13" i="2"/>
  <c r="F3" i="37"/>
  <c r="F189" i="26"/>
  <c r="D84" i="38"/>
  <c r="F193" i="26"/>
  <c r="AJ20" i="33"/>
  <c r="K21" i="33"/>
  <c r="C1" i="21"/>
  <c r="C3" i="37"/>
  <c r="E196" i="26"/>
  <c r="D1" i="21"/>
  <c r="E97" i="26"/>
  <c r="M16" i="2"/>
  <c r="M6" i="2"/>
  <c r="E87" i="26"/>
  <c r="C33" i="2"/>
  <c r="J48" i="26"/>
  <c r="V35" i="2"/>
  <c r="V34" i="2"/>
  <c r="E28" i="36"/>
  <c r="E100" i="26" s="1"/>
  <c r="E86" i="26"/>
  <c r="E25" i="36"/>
  <c r="F23" i="15" s="1"/>
  <c r="M5" i="2"/>
  <c r="O30" i="1"/>
  <c r="K50" i="26" s="1"/>
  <c r="D215" i="28" s="1"/>
  <c r="K38" i="26"/>
  <c r="O32" i="1"/>
  <c r="K52" i="26" s="1"/>
  <c r="O31" i="1"/>
  <c r="K51" i="26" s="1"/>
  <c r="AG8" i="34"/>
  <c r="B43" i="28"/>
  <c r="X24" i="34"/>
  <c r="B46" i="43"/>
  <c r="C4" i="45"/>
  <c r="E21" i="26" l="1"/>
  <c r="F5" i="26"/>
  <c r="F4" i="26" s="1"/>
  <c r="I33" i="21" a="1"/>
  <c r="I33" i="21" s="1"/>
  <c r="D25" i="37" s="1"/>
  <c r="I32" i="21"/>
  <c r="A5" i="37"/>
  <c r="D5" i="21"/>
  <c r="P6" i="21" s="1"/>
  <c r="Q6" i="21" s="1"/>
  <c r="I30" i="21"/>
  <c r="E24" i="37" s="1"/>
  <c r="L84" i="38"/>
  <c r="M84" i="38" s="1"/>
  <c r="AH41" i="34"/>
  <c r="C120" i="2"/>
  <c r="C48" i="2"/>
  <c r="C144" i="2"/>
  <c r="C156" i="2"/>
  <c r="C84" i="2"/>
  <c r="C132" i="2"/>
  <c r="C60" i="2"/>
  <c r="T8" i="2" s="1"/>
  <c r="C108" i="2"/>
  <c r="C72" i="2"/>
  <c r="Q23" i="15"/>
  <c r="C52" i="2"/>
  <c r="C124" i="2"/>
  <c r="Q27" i="15"/>
  <c r="C148" i="2"/>
  <c r="C100" i="2"/>
  <c r="C136" i="2"/>
  <c r="C64" i="2"/>
  <c r="T12" i="2" s="1"/>
  <c r="C160" i="2"/>
  <c r="C88" i="2"/>
  <c r="C112" i="2"/>
  <c r="F28" i="2"/>
  <c r="E362" i="26"/>
  <c r="A9" i="2" s="1"/>
  <c r="F44" i="2" s="1"/>
  <c r="D26" i="2"/>
  <c r="D30" i="2"/>
  <c r="D25" i="2"/>
  <c r="E26" i="2"/>
  <c r="F26" i="2"/>
  <c r="F31" i="2"/>
  <c r="F30" i="2"/>
  <c r="E31" i="2"/>
  <c r="W22" i="2"/>
  <c r="E25" i="2"/>
  <c r="F25" i="2"/>
  <c r="W28" i="2"/>
  <c r="W26" i="2"/>
  <c r="E50" i="26"/>
  <c r="F55" i="26"/>
  <c r="J55" i="26" s="1"/>
  <c r="M12" i="15" s="1"/>
  <c r="J50" i="26"/>
  <c r="I10" i="38"/>
  <c r="D44" i="2"/>
  <c r="W29" i="2"/>
  <c r="W24" i="2"/>
  <c r="W30" i="2"/>
  <c r="W27" i="2"/>
  <c r="W25" i="2"/>
  <c r="E193" i="26"/>
  <c r="E184" i="26"/>
  <c r="AG27" i="34" s="1"/>
  <c r="AG26" i="34"/>
  <c r="AG66" i="34"/>
  <c r="X35" i="34"/>
  <c r="A17" i="33"/>
  <c r="AO18" i="33"/>
  <c r="E198" i="26"/>
  <c r="E280" i="26" s="1"/>
  <c r="N25" i="34"/>
  <c r="AG20" i="34"/>
  <c r="N36" i="34"/>
  <c r="D227" i="43"/>
  <c r="W33" i="2"/>
  <c r="Q26" i="15"/>
  <c r="C159" i="2"/>
  <c r="C87" i="2"/>
  <c r="C75" i="2"/>
  <c r="C147" i="2"/>
  <c r="C51" i="2"/>
  <c r="C123" i="2"/>
  <c r="C111" i="2"/>
  <c r="C63" i="2"/>
  <c r="C135" i="2"/>
  <c r="D29" i="2"/>
  <c r="F29" i="2"/>
  <c r="E29" i="2"/>
  <c r="C99" i="2"/>
  <c r="J51" i="26"/>
  <c r="J52" i="26"/>
  <c r="F56" i="26" s="1"/>
  <c r="C140" i="2"/>
  <c r="C92" i="2"/>
  <c r="C56" i="2"/>
  <c r="D34" i="2"/>
  <c r="C164" i="2"/>
  <c r="C128" i="2"/>
  <c r="F34" i="2"/>
  <c r="E34" i="2"/>
  <c r="C116" i="2"/>
  <c r="C104" i="2"/>
  <c r="C80" i="2"/>
  <c r="Q31" i="15"/>
  <c r="C152" i="2"/>
  <c r="C68" i="2"/>
  <c r="E28" i="2"/>
  <c r="F28" i="15" a="1"/>
  <c r="F28" i="15" s="1"/>
  <c r="E117" i="26" s="1"/>
  <c r="F196" i="26"/>
  <c r="E30" i="2"/>
  <c r="W31" i="2"/>
  <c r="E98" i="26"/>
  <c r="C103" i="2"/>
  <c r="C79" i="2"/>
  <c r="Q30" i="15"/>
  <c r="C55" i="2"/>
  <c r="D33" i="2"/>
  <c r="F33" i="2"/>
  <c r="E33" i="2"/>
  <c r="C67" i="2"/>
  <c r="C151" i="2"/>
  <c r="C139" i="2"/>
  <c r="C91" i="2"/>
  <c r="C163" i="2"/>
  <c r="C127" i="2"/>
  <c r="C115" i="2"/>
  <c r="W23" i="2"/>
  <c r="C46" i="2"/>
  <c r="C130" i="2"/>
  <c r="C154" i="2"/>
  <c r="C106" i="2"/>
  <c r="Q21" i="15"/>
  <c r="C94" i="2"/>
  <c r="C142" i="2"/>
  <c r="C58" i="2"/>
  <c r="C82" i="2"/>
  <c r="F24" i="2"/>
  <c r="C70" i="2"/>
  <c r="C118" i="2"/>
  <c r="D24" i="2"/>
  <c r="E24" i="2"/>
  <c r="E175" i="26"/>
  <c r="E171" i="26"/>
  <c r="T7" i="2"/>
  <c r="D28" i="2"/>
  <c r="W32" i="2"/>
  <c r="K37" i="1"/>
  <c r="O37" i="1" s="1"/>
  <c r="K55" i="26" s="1"/>
  <c r="T13" i="2"/>
  <c r="Q29" i="15"/>
  <c r="C54" i="2"/>
  <c r="C78" i="2"/>
  <c r="C126" i="2"/>
  <c r="C162" i="2"/>
  <c r="C138" i="2"/>
  <c r="E32" i="2"/>
  <c r="C90" i="2"/>
  <c r="F32" i="2"/>
  <c r="C66" i="2"/>
  <c r="C150" i="2"/>
  <c r="D32" i="2"/>
  <c r="C102" i="2"/>
  <c r="C114" i="2"/>
  <c r="Q24" i="15"/>
  <c r="C73" i="2"/>
  <c r="C85" i="2"/>
  <c r="E27" i="2"/>
  <c r="C109" i="2"/>
  <c r="D27" i="2"/>
  <c r="C157" i="2"/>
  <c r="C145" i="2"/>
  <c r="C61" i="2"/>
  <c r="C133" i="2"/>
  <c r="C97" i="2"/>
  <c r="C121" i="2"/>
  <c r="C49" i="2"/>
  <c r="F27" i="2"/>
  <c r="T10" i="2"/>
  <c r="Q20" i="15"/>
  <c r="C81" i="2"/>
  <c r="C57" i="2"/>
  <c r="F23" i="2"/>
  <c r="C93" i="2"/>
  <c r="E23" i="2"/>
  <c r="C117" i="2"/>
  <c r="C105" i="2"/>
  <c r="D23" i="2"/>
  <c r="C45" i="2"/>
  <c r="C36" i="2"/>
  <c r="D36" i="2" s="1"/>
  <c r="C69" i="2"/>
  <c r="C129" i="2"/>
  <c r="C141" i="2"/>
  <c r="C35" i="2"/>
  <c r="C153" i="2"/>
  <c r="E52" i="26"/>
  <c r="D228" i="43"/>
  <c r="C3" i="45"/>
  <c r="A1" i="43" l="1"/>
  <c r="E25" i="37"/>
  <c r="G30" i="2"/>
  <c r="G28" i="2"/>
  <c r="F172" i="2"/>
  <c r="G172" i="2" s="1"/>
  <c r="G234" i="2" s="1"/>
  <c r="I19" i="2"/>
  <c r="G33" i="2"/>
  <c r="G31" i="2"/>
  <c r="G26" i="2"/>
  <c r="G29" i="2"/>
  <c r="G34" i="2"/>
  <c r="G23" i="2"/>
  <c r="G27" i="2"/>
  <c r="G25" i="2"/>
  <c r="W34" i="2"/>
  <c r="G32" i="2"/>
  <c r="W35" i="2"/>
  <c r="T11" i="2"/>
  <c r="E384" i="26"/>
  <c r="D35" i="2"/>
  <c r="E385" i="26"/>
  <c r="E58" i="26"/>
  <c r="B83" i="21"/>
  <c r="B81" i="21"/>
  <c r="E263" i="26"/>
  <c r="E279" i="26"/>
  <c r="F262" i="26"/>
  <c r="B82" i="21"/>
  <c r="B76" i="21"/>
  <c r="B77" i="21"/>
  <c r="B79" i="21"/>
  <c r="B80" i="21"/>
  <c r="B78" i="21"/>
  <c r="T16" i="2"/>
  <c r="I56" i="26"/>
  <c r="H56" i="26"/>
  <c r="J56" i="26"/>
  <c r="G56" i="26"/>
  <c r="G24" i="2"/>
  <c r="D172" i="2"/>
  <c r="Q44" i="2"/>
  <c r="E157" i="26"/>
  <c r="M13" i="15"/>
  <c r="T6" i="2"/>
  <c r="E112" i="26"/>
  <c r="F30" i="15"/>
  <c r="C173" i="2"/>
  <c r="T9" i="2"/>
  <c r="G44" i="2"/>
  <c r="H44" i="2"/>
  <c r="T15" i="2"/>
  <c r="T14" i="2"/>
  <c r="T5" i="2"/>
  <c r="Q215" i="28" l="1"/>
  <c r="Q216" i="28"/>
  <c r="F234" i="2"/>
  <c r="G35" i="2"/>
  <c r="F18" i="15"/>
  <c r="E119" i="26"/>
  <c r="E158" i="26"/>
  <c r="G36" i="2"/>
  <c r="F80" i="21"/>
  <c r="H80" i="21"/>
  <c r="F81" i="21"/>
  <c r="H81" i="21"/>
  <c r="Q227" i="43"/>
  <c r="Q228" i="43"/>
  <c r="H79" i="21"/>
  <c r="F79" i="21"/>
  <c r="F83" i="21"/>
  <c r="H83" i="21"/>
  <c r="F78" i="21"/>
  <c r="H78" i="21"/>
  <c r="J44" i="2"/>
  <c r="I172" i="2" s="1"/>
  <c r="H172" i="2"/>
  <c r="H234" i="2" s="1"/>
  <c r="F77" i="21"/>
  <c r="H77" i="21"/>
  <c r="F76" i="21"/>
  <c r="H76" i="21"/>
  <c r="H82" i="21"/>
  <c r="F82" i="21"/>
  <c r="E262" i="26"/>
  <c r="B67" i="21"/>
  <c r="B68" i="21"/>
  <c r="C59" i="21"/>
  <c r="F376" i="28" s="1"/>
  <c r="F264" i="26"/>
  <c r="E264" i="26" s="1"/>
  <c r="B73" i="21"/>
  <c r="B75" i="21"/>
  <c r="B74" i="21"/>
  <c r="B69" i="21"/>
  <c r="C58" i="21"/>
  <c r="F375" i="28" s="1"/>
  <c r="B72" i="21"/>
  <c r="B70" i="21"/>
  <c r="B71" i="21"/>
  <c r="T17" i="2"/>
  <c r="AB172" i="2"/>
  <c r="D234" i="2"/>
  <c r="C235" i="2"/>
  <c r="F173" i="2"/>
  <c r="AA173" i="2"/>
  <c r="C174" i="2"/>
  <c r="B85" i="21"/>
  <c r="B89" i="21"/>
  <c r="B91" i="21"/>
  <c r="B84" i="21"/>
  <c r="B90" i="21"/>
  <c r="B211" i="28"/>
  <c r="B221" i="43"/>
  <c r="M14" i="15" l="1"/>
  <c r="E159" i="26" s="1"/>
  <c r="F235" i="2"/>
  <c r="E383" i="26"/>
  <c r="Q13" i="15"/>
  <c r="AA174" i="2"/>
  <c r="C236" i="2"/>
  <c r="F174" i="2"/>
  <c r="C175" i="2"/>
  <c r="H75" i="21"/>
  <c r="F75" i="21"/>
  <c r="F74" i="21"/>
  <c r="H74" i="21"/>
  <c r="H90" i="21"/>
  <c r="F90" i="21"/>
  <c r="H73" i="21"/>
  <c r="F73" i="21"/>
  <c r="H84" i="21"/>
  <c r="F84" i="21"/>
  <c r="G173" i="2"/>
  <c r="G235" i="2" s="1"/>
  <c r="F71" i="21"/>
  <c r="H71" i="21"/>
  <c r="H89" i="21"/>
  <c r="F89" i="21"/>
  <c r="H72" i="21"/>
  <c r="F72" i="21"/>
  <c r="B93" i="21"/>
  <c r="H68" i="21"/>
  <c r="F68" i="21"/>
  <c r="F107" i="26"/>
  <c r="E107" i="26" s="1"/>
  <c r="K3" i="2"/>
  <c r="H85" i="21"/>
  <c r="F85" i="21"/>
  <c r="F67" i="21"/>
  <c r="H67" i="21"/>
  <c r="H91" i="21"/>
  <c r="F91" i="21"/>
  <c r="H70" i="21"/>
  <c r="F70" i="21"/>
  <c r="H69" i="21"/>
  <c r="F69" i="21"/>
  <c r="I234" i="2"/>
  <c r="AD172" i="2"/>
  <c r="M15" i="15" l="1"/>
  <c r="E162" i="26" s="1"/>
  <c r="D217" i="28"/>
  <c r="F236" i="2"/>
  <c r="D229" i="43"/>
  <c r="E386" i="26"/>
  <c r="G174" i="2"/>
  <c r="G236" i="2" s="1"/>
  <c r="F175" i="2"/>
  <c r="C237" i="2"/>
  <c r="C176" i="2"/>
  <c r="AA175" i="2"/>
  <c r="N6" i="2"/>
  <c r="P6" i="2" s="1"/>
  <c r="H24" i="2" s="1"/>
  <c r="N13" i="2"/>
  <c r="P13" i="2" s="1"/>
  <c r="H31" i="2" s="1"/>
  <c r="N15" i="2"/>
  <c r="P15" i="2" s="1"/>
  <c r="H33" i="2" s="1"/>
  <c r="N9" i="2"/>
  <c r="P9" i="2" s="1"/>
  <c r="H27" i="2" s="1"/>
  <c r="N16" i="2"/>
  <c r="P16" i="2" s="1"/>
  <c r="H34" i="2" s="1"/>
  <c r="N10" i="2"/>
  <c r="P10" i="2" s="1"/>
  <c r="H28" i="2" s="1"/>
  <c r="N7" i="2"/>
  <c r="P7" i="2" s="1"/>
  <c r="H25" i="2" s="1"/>
  <c r="N8" i="2"/>
  <c r="P8" i="2" s="1"/>
  <c r="H26" i="2" s="1"/>
  <c r="N12" i="2"/>
  <c r="P12" i="2" s="1"/>
  <c r="H30" i="2" s="1"/>
  <c r="N14" i="2"/>
  <c r="P14" i="2" s="1"/>
  <c r="H32" i="2" s="1"/>
  <c r="N11" i="2"/>
  <c r="P11" i="2" s="1"/>
  <c r="H29" i="2" s="1"/>
  <c r="N5" i="2"/>
  <c r="P5" i="2" s="1"/>
  <c r="H93" i="21"/>
  <c r="F93" i="21"/>
  <c r="D230" i="43" l="1"/>
  <c r="F237" i="2"/>
  <c r="D218" i="28"/>
  <c r="F386" i="26"/>
  <c r="E138" i="2"/>
  <c r="E102" i="2"/>
  <c r="E150" i="2"/>
  <c r="E126" i="2"/>
  <c r="E114" i="2"/>
  <c r="F144" i="26"/>
  <c r="E90" i="2"/>
  <c r="E162" i="2"/>
  <c r="E66" i="2"/>
  <c r="E78" i="2"/>
  <c r="E54" i="2"/>
  <c r="I32" i="2"/>
  <c r="J32" i="2" s="1"/>
  <c r="H99" i="21"/>
  <c r="D100" i="21" s="1"/>
  <c r="E144" i="2"/>
  <c r="E108" i="2"/>
  <c r="E120" i="2"/>
  <c r="E96" i="2"/>
  <c r="E60" i="2"/>
  <c r="E72" i="2"/>
  <c r="E48" i="2"/>
  <c r="E84" i="2"/>
  <c r="E156" i="2"/>
  <c r="F138" i="26"/>
  <c r="E132" i="2"/>
  <c r="I26" i="2"/>
  <c r="J26" i="2" s="1"/>
  <c r="E131" i="2"/>
  <c r="E143" i="2"/>
  <c r="E59" i="2"/>
  <c r="E83" i="2"/>
  <c r="E155" i="2"/>
  <c r="E119" i="2"/>
  <c r="E95" i="2"/>
  <c r="F137" i="26"/>
  <c r="E107" i="2"/>
  <c r="E71" i="2"/>
  <c r="E47" i="2"/>
  <c r="I25" i="2"/>
  <c r="J25" i="2" s="1"/>
  <c r="G175" i="2"/>
  <c r="G237" i="2" s="1"/>
  <c r="E110" i="2"/>
  <c r="E50" i="2"/>
  <c r="E122" i="2"/>
  <c r="E98" i="2"/>
  <c r="E146" i="2"/>
  <c r="F140" i="26"/>
  <c r="E86" i="2"/>
  <c r="E158" i="2"/>
  <c r="E134" i="2"/>
  <c r="E62" i="2"/>
  <c r="E74" i="2"/>
  <c r="I28" i="2"/>
  <c r="J28" i="2" s="1"/>
  <c r="AA176" i="2"/>
  <c r="C238" i="2"/>
  <c r="F176" i="2"/>
  <c r="C177" i="2"/>
  <c r="F141" i="26"/>
  <c r="E87" i="2"/>
  <c r="E51" i="2"/>
  <c r="E147" i="2"/>
  <c r="E159" i="2"/>
  <c r="E123" i="2"/>
  <c r="E135" i="2"/>
  <c r="E111" i="2"/>
  <c r="E75" i="2"/>
  <c r="E99" i="2"/>
  <c r="E63" i="2"/>
  <c r="I29" i="2"/>
  <c r="J29" i="2" s="1"/>
  <c r="E100" i="2"/>
  <c r="E112" i="2"/>
  <c r="E64" i="2"/>
  <c r="E136" i="2"/>
  <c r="E148" i="2"/>
  <c r="E76" i="2"/>
  <c r="E52" i="2"/>
  <c r="F142" i="26"/>
  <c r="E88" i="2"/>
  <c r="E160" i="2"/>
  <c r="E124" i="2"/>
  <c r="I30" i="2"/>
  <c r="J30" i="2" s="1"/>
  <c r="E94" i="2"/>
  <c r="E130" i="2"/>
  <c r="E58" i="2"/>
  <c r="F136" i="26"/>
  <c r="E70" i="2"/>
  <c r="E142" i="2"/>
  <c r="E118" i="2"/>
  <c r="E106" i="2"/>
  <c r="E46" i="2"/>
  <c r="E82" i="2"/>
  <c r="E154" i="2"/>
  <c r="I20" i="2"/>
  <c r="I24" i="2"/>
  <c r="J24" i="2" s="1"/>
  <c r="E104" i="2"/>
  <c r="F146" i="26"/>
  <c r="E68" i="2"/>
  <c r="E80" i="2"/>
  <c r="E164" i="2"/>
  <c r="E92" i="2"/>
  <c r="E56" i="2"/>
  <c r="E116" i="2"/>
  <c r="E152" i="2"/>
  <c r="E128" i="2"/>
  <c r="E140" i="2"/>
  <c r="I34" i="2"/>
  <c r="J34" i="2" s="1"/>
  <c r="H23" i="2"/>
  <c r="P17" i="2"/>
  <c r="E49" i="2"/>
  <c r="E145" i="2"/>
  <c r="E61" i="2"/>
  <c r="E121" i="2"/>
  <c r="E157" i="2"/>
  <c r="E85" i="2"/>
  <c r="E109" i="2"/>
  <c r="E97" i="2"/>
  <c r="E73" i="2"/>
  <c r="E133" i="2"/>
  <c r="F139" i="26"/>
  <c r="I27" i="2"/>
  <c r="J27" i="2" s="1"/>
  <c r="E55" i="2"/>
  <c r="E127" i="2"/>
  <c r="E163" i="2"/>
  <c r="E103" i="2"/>
  <c r="E151" i="2"/>
  <c r="F145" i="26"/>
  <c r="E79" i="2"/>
  <c r="E139" i="2"/>
  <c r="E67" i="2"/>
  <c r="E115" i="2"/>
  <c r="E91" i="2"/>
  <c r="I33" i="2"/>
  <c r="J33" i="2" s="1"/>
  <c r="F99" i="21"/>
  <c r="F100" i="21" s="1"/>
  <c r="E65" i="2"/>
  <c r="E77" i="2"/>
  <c r="E101" i="2"/>
  <c r="E89" i="2"/>
  <c r="E53" i="2"/>
  <c r="E161" i="2"/>
  <c r="E125" i="2"/>
  <c r="E137" i="2"/>
  <c r="E149" i="2"/>
  <c r="F143" i="26"/>
  <c r="E113" i="2"/>
  <c r="I31" i="2"/>
  <c r="J31" i="2" s="1"/>
  <c r="Q218" i="28" l="1"/>
  <c r="F238" i="2"/>
  <c r="Q230" i="43"/>
  <c r="D9" i="21"/>
  <c r="G176" i="2"/>
  <c r="G238" i="2" s="1"/>
  <c r="K29" i="2"/>
  <c r="L29" i="2" s="1"/>
  <c r="K27" i="2"/>
  <c r="L27" i="2" s="1"/>
  <c r="K25" i="2"/>
  <c r="L25" i="2" s="1"/>
  <c r="K24" i="2"/>
  <c r="L24" i="2" s="1"/>
  <c r="K26" i="2"/>
  <c r="L26" i="2" s="1"/>
  <c r="F116" i="2"/>
  <c r="G116" i="2" s="1"/>
  <c r="P30" i="2"/>
  <c r="F148" i="2"/>
  <c r="G148" i="2" s="1"/>
  <c r="F87" i="2"/>
  <c r="G87" i="2" s="1"/>
  <c r="K28" i="2"/>
  <c r="L28" i="2" s="1"/>
  <c r="F143" i="2"/>
  <c r="G143" i="2" s="1"/>
  <c r="F72" i="2"/>
  <c r="G72" i="2" s="1"/>
  <c r="F114" i="2"/>
  <c r="G114" i="2" s="1"/>
  <c r="F53" i="2"/>
  <c r="G53" i="2" s="1"/>
  <c r="F163" i="2"/>
  <c r="G163" i="2" s="1"/>
  <c r="K34" i="2"/>
  <c r="L34" i="2" s="1"/>
  <c r="F118" i="2"/>
  <c r="G118" i="2" s="1"/>
  <c r="F136" i="2"/>
  <c r="G136" i="2" s="1"/>
  <c r="F111" i="2"/>
  <c r="G111" i="2" s="1"/>
  <c r="U10" i="2"/>
  <c r="F62" i="2"/>
  <c r="G62" i="2" s="1"/>
  <c r="F122" i="2"/>
  <c r="G122" i="2" s="1"/>
  <c r="F131" i="2"/>
  <c r="G131" i="2" s="1"/>
  <c r="U8" i="2"/>
  <c r="F60" i="2"/>
  <c r="G60" i="2" s="1"/>
  <c r="F54" i="2"/>
  <c r="G54" i="2" s="1"/>
  <c r="F126" i="2"/>
  <c r="G126" i="2" s="1"/>
  <c r="F75" i="2"/>
  <c r="G75" i="2" s="1"/>
  <c r="F74" i="2"/>
  <c r="G74" i="2" s="1"/>
  <c r="F107" i="2"/>
  <c r="G107" i="2" s="1"/>
  <c r="P32" i="2"/>
  <c r="P31" i="2"/>
  <c r="F115" i="2"/>
  <c r="G115" i="2" s="1"/>
  <c r="F109" i="2"/>
  <c r="G109" i="2" s="1"/>
  <c r="F124" i="2"/>
  <c r="G124" i="2" s="1"/>
  <c r="K31" i="2"/>
  <c r="L31" i="2" s="1"/>
  <c r="F89" i="2"/>
  <c r="G89" i="2" s="1"/>
  <c r="K33" i="2"/>
  <c r="F127" i="2"/>
  <c r="G127" i="2" s="1"/>
  <c r="F85" i="2"/>
  <c r="G85" i="2" s="1"/>
  <c r="E153" i="2"/>
  <c r="E45" i="2"/>
  <c r="E129" i="2"/>
  <c r="E93" i="2"/>
  <c r="E105" i="2"/>
  <c r="E57" i="2"/>
  <c r="E81" i="2"/>
  <c r="H36" i="2"/>
  <c r="F148" i="26" s="1"/>
  <c r="E117" i="2"/>
  <c r="H35" i="2"/>
  <c r="E141" i="2"/>
  <c r="E69" i="2"/>
  <c r="F135" i="26"/>
  <c r="I23" i="2"/>
  <c r="J23" i="2" s="1"/>
  <c r="F92" i="2"/>
  <c r="G92" i="2" s="1"/>
  <c r="P24" i="2"/>
  <c r="F142" i="2"/>
  <c r="G142" i="2" s="1"/>
  <c r="F160" i="2"/>
  <c r="G160" i="2" s="1"/>
  <c r="U12" i="2"/>
  <c r="F64" i="2"/>
  <c r="G64" i="2" s="1"/>
  <c r="F135" i="2"/>
  <c r="G135" i="2" s="1"/>
  <c r="C178" i="2"/>
  <c r="C239" i="2"/>
  <c r="AA177" i="2"/>
  <c r="F177" i="2"/>
  <c r="F134" i="2"/>
  <c r="G134" i="2" s="1"/>
  <c r="F50" i="2"/>
  <c r="G50" i="2" s="1"/>
  <c r="F95" i="2"/>
  <c r="G95" i="2" s="1"/>
  <c r="P26" i="2"/>
  <c r="F96" i="2"/>
  <c r="G96" i="2" s="1"/>
  <c r="F78" i="2"/>
  <c r="G78" i="2" s="1"/>
  <c r="F150" i="2"/>
  <c r="G150" i="2" s="1"/>
  <c r="F99" i="2"/>
  <c r="G99" i="2" s="1"/>
  <c r="F125" i="2"/>
  <c r="G125" i="2" s="1"/>
  <c r="F151" i="2"/>
  <c r="G151" i="2" s="1"/>
  <c r="F145" i="2"/>
  <c r="G145" i="2" s="1"/>
  <c r="F106" i="2"/>
  <c r="G106" i="2" s="1"/>
  <c r="P28" i="2"/>
  <c r="F103" i="2"/>
  <c r="G103" i="2" s="1"/>
  <c r="F49" i="2"/>
  <c r="G49" i="2" s="1"/>
  <c r="F101" i="2"/>
  <c r="G101" i="2" s="1"/>
  <c r="F55" i="2"/>
  <c r="G55" i="2" s="1"/>
  <c r="F164" i="2"/>
  <c r="G164" i="2" s="1"/>
  <c r="F88" i="2"/>
  <c r="G88" i="2" s="1"/>
  <c r="F119" i="2"/>
  <c r="G119" i="2" s="1"/>
  <c r="F155" i="2"/>
  <c r="G155" i="2" s="1"/>
  <c r="F162" i="2"/>
  <c r="G162" i="2" s="1"/>
  <c r="F138" i="2"/>
  <c r="G138" i="2" s="1"/>
  <c r="F161" i="2"/>
  <c r="G161" i="2" s="1"/>
  <c r="F97" i="2"/>
  <c r="G97" i="2" s="1"/>
  <c r="F56" i="2"/>
  <c r="G56" i="2" s="1"/>
  <c r="U15" i="2"/>
  <c r="F67" i="2"/>
  <c r="G67" i="2" s="1"/>
  <c r="F112" i="2"/>
  <c r="G112" i="2" s="1"/>
  <c r="F123" i="2"/>
  <c r="G123" i="2" s="1"/>
  <c r="F158" i="2"/>
  <c r="G158" i="2" s="1"/>
  <c r="F110" i="2"/>
  <c r="G110" i="2" s="1"/>
  <c r="F132" i="2"/>
  <c r="G132" i="2" s="1"/>
  <c r="F102" i="2"/>
  <c r="G102" i="2" s="1"/>
  <c r="F77" i="2"/>
  <c r="G77" i="2" s="1"/>
  <c r="F139" i="2"/>
  <c r="G139" i="2" s="1"/>
  <c r="F157" i="2"/>
  <c r="G157" i="2" s="1"/>
  <c r="F80" i="2"/>
  <c r="G80" i="2" s="1"/>
  <c r="F100" i="2"/>
  <c r="G100" i="2" s="1"/>
  <c r="U16" i="2"/>
  <c r="F68" i="2"/>
  <c r="G68" i="2" s="1"/>
  <c r="U6" i="2"/>
  <c r="F58" i="2"/>
  <c r="G58" i="2" s="1"/>
  <c r="P29" i="2"/>
  <c r="F159" i="2"/>
  <c r="G159" i="2" s="1"/>
  <c r="P25" i="2"/>
  <c r="F83" i="2"/>
  <c r="G83" i="2" s="1"/>
  <c r="F156" i="2"/>
  <c r="G156" i="2" s="1"/>
  <c r="F108" i="2"/>
  <c r="G108" i="2" s="1"/>
  <c r="K32" i="2"/>
  <c r="P33" i="2"/>
  <c r="F73" i="2"/>
  <c r="G73" i="2" s="1"/>
  <c r="F104" i="2"/>
  <c r="G104" i="2" s="1"/>
  <c r="F94" i="2"/>
  <c r="G94" i="2" s="1"/>
  <c r="F76" i="2"/>
  <c r="G76" i="2" s="1"/>
  <c r="F51" i="2"/>
  <c r="G51" i="2" s="1"/>
  <c r="F98" i="2"/>
  <c r="G98" i="2" s="1"/>
  <c r="F71" i="2"/>
  <c r="G71" i="2" s="1"/>
  <c r="F48" i="2"/>
  <c r="G48" i="2" s="1"/>
  <c r="F91" i="2"/>
  <c r="G91" i="2" s="1"/>
  <c r="F113" i="2"/>
  <c r="G113" i="2" s="1"/>
  <c r="P34" i="2"/>
  <c r="F70" i="2"/>
  <c r="G70" i="2" s="1"/>
  <c r="U14" i="2"/>
  <c r="F66" i="2"/>
  <c r="G66" i="2" s="1"/>
  <c r="P27" i="2"/>
  <c r="F140" i="2"/>
  <c r="G140" i="2" s="1"/>
  <c r="F154" i="2"/>
  <c r="G154" i="2" s="1"/>
  <c r="F86" i="2"/>
  <c r="G86" i="2" s="1"/>
  <c r="F120" i="2"/>
  <c r="G120" i="2" s="1"/>
  <c r="F149" i="2"/>
  <c r="G149" i="2" s="1"/>
  <c r="U13" i="2"/>
  <c r="F65" i="2"/>
  <c r="G65" i="2" s="1"/>
  <c r="F79" i="2"/>
  <c r="G79" i="2" s="1"/>
  <c r="F121" i="2"/>
  <c r="G121" i="2" s="1"/>
  <c r="F128" i="2"/>
  <c r="G128" i="2" s="1"/>
  <c r="F82" i="2"/>
  <c r="G82" i="2" s="1"/>
  <c r="F52" i="2"/>
  <c r="G52" i="2" s="1"/>
  <c r="F137" i="2"/>
  <c r="G137" i="2" s="1"/>
  <c r="F133" i="2"/>
  <c r="G133" i="2" s="1"/>
  <c r="U9" i="2"/>
  <c r="F61" i="2"/>
  <c r="G61" i="2" s="1"/>
  <c r="F152" i="2"/>
  <c r="G152" i="2" s="1"/>
  <c r="F46" i="2"/>
  <c r="G46" i="2" s="1"/>
  <c r="F130" i="2"/>
  <c r="G130" i="2" s="1"/>
  <c r="K30" i="2"/>
  <c r="U11" i="2"/>
  <c r="F63" i="2"/>
  <c r="G63" i="2" s="1"/>
  <c r="F147" i="2"/>
  <c r="G147" i="2" s="1"/>
  <c r="F146" i="2"/>
  <c r="G146" i="2" s="1"/>
  <c r="F47" i="2"/>
  <c r="G47" i="2" s="1"/>
  <c r="U7" i="2"/>
  <c r="F59" i="2"/>
  <c r="G59" i="2" s="1"/>
  <c r="F84" i="2"/>
  <c r="G84" i="2" s="1"/>
  <c r="F144" i="2"/>
  <c r="G144" i="2" s="1"/>
  <c r="F90" i="2"/>
  <c r="G90" i="2" s="1"/>
  <c r="F239" i="2" l="1"/>
  <c r="D8" i="21"/>
  <c r="D27" i="37" s="1"/>
  <c r="E331" i="26"/>
  <c r="H114" i="2"/>
  <c r="H58" i="2"/>
  <c r="H62" i="2"/>
  <c r="H60" i="2"/>
  <c r="H154" i="2"/>
  <c r="H88" i="2"/>
  <c r="H106" i="2"/>
  <c r="H92" i="2"/>
  <c r="H146" i="2"/>
  <c r="H144" i="2"/>
  <c r="H134" i="2"/>
  <c r="K23" i="2"/>
  <c r="L23" i="2" s="1"/>
  <c r="H107" i="2"/>
  <c r="H77" i="2"/>
  <c r="H123" i="2"/>
  <c r="H138" i="2"/>
  <c r="H127" i="2"/>
  <c r="H100" i="2"/>
  <c r="H102" i="2"/>
  <c r="H49" i="2"/>
  <c r="H130" i="2"/>
  <c r="H66" i="2"/>
  <c r="H89" i="2"/>
  <c r="H122" i="2"/>
  <c r="H108" i="2"/>
  <c r="H80" i="2"/>
  <c r="H99" i="2"/>
  <c r="H135" i="2"/>
  <c r="H126" i="2"/>
  <c r="H87" i="2"/>
  <c r="H116" i="2"/>
  <c r="H74" i="2"/>
  <c r="H136" i="2"/>
  <c r="H158" i="2"/>
  <c r="G177" i="2"/>
  <c r="G239" i="2" s="1"/>
  <c r="H64" i="2"/>
  <c r="H85" i="2"/>
  <c r="H124" i="2"/>
  <c r="D163" i="2"/>
  <c r="D63" i="2"/>
  <c r="H121" i="2"/>
  <c r="H70" i="2"/>
  <c r="H51" i="2"/>
  <c r="H73" i="2"/>
  <c r="D159" i="2"/>
  <c r="H160" i="2"/>
  <c r="F141" i="2"/>
  <c r="G141" i="2" s="1"/>
  <c r="F129" i="2"/>
  <c r="G129" i="2" s="1"/>
  <c r="D89" i="2"/>
  <c r="H109" i="2"/>
  <c r="H75" i="2"/>
  <c r="V8" i="2"/>
  <c r="AA8" i="2"/>
  <c r="D111" i="2"/>
  <c r="H163" i="2"/>
  <c r="H143" i="2"/>
  <c r="D131" i="2"/>
  <c r="H111" i="2"/>
  <c r="D53" i="2"/>
  <c r="L30" i="2"/>
  <c r="V13" i="2"/>
  <c r="AA13" i="2"/>
  <c r="D143" i="2"/>
  <c r="D152" i="2"/>
  <c r="H137" i="2"/>
  <c r="H91" i="2"/>
  <c r="D156" i="2"/>
  <c r="V11" i="2"/>
  <c r="AA11" i="2"/>
  <c r="D48" i="2"/>
  <c r="D68" i="2"/>
  <c r="H157" i="2"/>
  <c r="H112" i="2"/>
  <c r="H125" i="2"/>
  <c r="H96" i="2"/>
  <c r="H50" i="2"/>
  <c r="D135" i="2"/>
  <c r="H142" i="2"/>
  <c r="D92" i="2"/>
  <c r="F117" i="2"/>
  <c r="G117" i="2" s="1"/>
  <c r="F153" i="2"/>
  <c r="G153" i="2" s="1"/>
  <c r="H115" i="2"/>
  <c r="L32" i="2"/>
  <c r="D126" i="2"/>
  <c r="H131" i="2"/>
  <c r="D136" i="2"/>
  <c r="H53" i="2"/>
  <c r="D87" i="2"/>
  <c r="D116" i="2"/>
  <c r="H84" i="2"/>
  <c r="D147" i="2"/>
  <c r="D46" i="2"/>
  <c r="H133" i="2"/>
  <c r="H128" i="2"/>
  <c r="D149" i="2"/>
  <c r="D140" i="2"/>
  <c r="D59" i="2"/>
  <c r="H147" i="2"/>
  <c r="H46" i="2"/>
  <c r="D137" i="2"/>
  <c r="D121" i="2"/>
  <c r="H149" i="2"/>
  <c r="H140" i="2"/>
  <c r="D70" i="2"/>
  <c r="D91" i="2"/>
  <c r="D51" i="2"/>
  <c r="D73" i="2"/>
  <c r="D155" i="2"/>
  <c r="D95" i="2"/>
  <c r="C179" i="2"/>
  <c r="C240" i="2"/>
  <c r="F178" i="2"/>
  <c r="AA178" i="2"/>
  <c r="D142" i="2"/>
  <c r="D19" i="2"/>
  <c r="P16" i="15" s="1"/>
  <c r="F147" i="26"/>
  <c r="E173" i="2"/>
  <c r="F45" i="2"/>
  <c r="G45" i="2" s="1"/>
  <c r="D115" i="2"/>
  <c r="H90" i="2"/>
  <c r="D47" i="2"/>
  <c r="H63" i="2"/>
  <c r="D61" i="2"/>
  <c r="H52" i="2"/>
  <c r="H79" i="2"/>
  <c r="D86" i="2"/>
  <c r="H48" i="2"/>
  <c r="H76" i="2"/>
  <c r="D83" i="2"/>
  <c r="H68" i="2"/>
  <c r="D139" i="2"/>
  <c r="D110" i="2"/>
  <c r="D67" i="2"/>
  <c r="H161" i="2"/>
  <c r="H119" i="2"/>
  <c r="H101" i="2"/>
  <c r="D144" i="2"/>
  <c r="H47" i="2"/>
  <c r="H61" i="2"/>
  <c r="D82" i="2"/>
  <c r="D65" i="2"/>
  <c r="H86" i="2"/>
  <c r="D71" i="2"/>
  <c r="D94" i="2"/>
  <c r="L33" i="2"/>
  <c r="H83" i="2"/>
  <c r="V16" i="2"/>
  <c r="AA16" i="2"/>
  <c r="H139" i="2"/>
  <c r="H110" i="2"/>
  <c r="H67" i="2"/>
  <c r="D138" i="2"/>
  <c r="D88" i="2"/>
  <c r="D49" i="2"/>
  <c r="D106" i="2"/>
  <c r="D99" i="2"/>
  <c r="D134" i="2"/>
  <c r="E410" i="26"/>
  <c r="F194" i="26"/>
  <c r="E194" i="26" s="1"/>
  <c r="F195" i="26"/>
  <c r="E195" i="26" s="1"/>
  <c r="E148" i="26"/>
  <c r="P14" i="15"/>
  <c r="D85" i="2"/>
  <c r="D124" i="2"/>
  <c r="D107" i="2"/>
  <c r="D122" i="2"/>
  <c r="D114" i="2"/>
  <c r="D84" i="2"/>
  <c r="D133" i="2"/>
  <c r="D128" i="2"/>
  <c r="V14" i="2"/>
  <c r="AA14" i="2"/>
  <c r="D113" i="2"/>
  <c r="D98" i="2"/>
  <c r="D104" i="2"/>
  <c r="D56" i="2"/>
  <c r="D162" i="2"/>
  <c r="D164" i="2"/>
  <c r="D103" i="2"/>
  <c r="D145" i="2"/>
  <c r="D150" i="2"/>
  <c r="V7" i="2"/>
  <c r="AA7" i="2"/>
  <c r="D120" i="2"/>
  <c r="V6" i="2"/>
  <c r="AA6" i="2"/>
  <c r="D157" i="2"/>
  <c r="D132" i="2"/>
  <c r="D112" i="2"/>
  <c r="H97" i="2"/>
  <c r="H155" i="2"/>
  <c r="H55" i="2"/>
  <c r="H151" i="2"/>
  <c r="H78" i="2"/>
  <c r="H95" i="2"/>
  <c r="D90" i="2"/>
  <c r="H59" i="2"/>
  <c r="H152" i="2"/>
  <c r="D52" i="2"/>
  <c r="D79" i="2"/>
  <c r="H120" i="2"/>
  <c r="D76" i="2"/>
  <c r="H156" i="2"/>
  <c r="H159" i="2"/>
  <c r="H132" i="2"/>
  <c r="D161" i="2"/>
  <c r="D119" i="2"/>
  <c r="D101" i="2"/>
  <c r="D125" i="2"/>
  <c r="D96" i="2"/>
  <c r="D50" i="2"/>
  <c r="D146" i="2"/>
  <c r="D130" i="2"/>
  <c r="V9" i="2"/>
  <c r="AA9" i="2"/>
  <c r="H82" i="2"/>
  <c r="H65" i="2"/>
  <c r="D154" i="2"/>
  <c r="D66" i="2"/>
  <c r="H71" i="2"/>
  <c r="H94" i="2"/>
  <c r="D100" i="2"/>
  <c r="D77" i="2"/>
  <c r="D158" i="2"/>
  <c r="V15" i="2"/>
  <c r="AA15" i="2"/>
  <c r="D64" i="2"/>
  <c r="P23" i="2"/>
  <c r="F81" i="2"/>
  <c r="G81" i="2" s="1"/>
  <c r="D54" i="2"/>
  <c r="D118" i="2"/>
  <c r="D148" i="2"/>
  <c r="U5" i="2"/>
  <c r="F57" i="2"/>
  <c r="G57" i="2" s="1"/>
  <c r="D127" i="2"/>
  <c r="D74" i="2"/>
  <c r="H54" i="2"/>
  <c r="D62" i="2"/>
  <c r="H118" i="2"/>
  <c r="D72" i="2"/>
  <c r="H148" i="2"/>
  <c r="H113" i="2"/>
  <c r="H98" i="2"/>
  <c r="H104" i="2"/>
  <c r="D108" i="2"/>
  <c r="D58" i="2"/>
  <c r="D80" i="2"/>
  <c r="D102" i="2"/>
  <c r="D123" i="2"/>
  <c r="H56" i="2"/>
  <c r="H162" i="2"/>
  <c r="H164" i="2"/>
  <c r="H103" i="2"/>
  <c r="H145" i="2"/>
  <c r="H150" i="2"/>
  <c r="V12" i="2"/>
  <c r="AA12" i="2"/>
  <c r="F69" i="2"/>
  <c r="G69" i="2" s="1"/>
  <c r="F105" i="2"/>
  <c r="G105" i="2" s="1"/>
  <c r="D60" i="2"/>
  <c r="V10" i="2"/>
  <c r="AA10" i="2"/>
  <c r="H72" i="2"/>
  <c r="D97" i="2"/>
  <c r="D55" i="2"/>
  <c r="D151" i="2"/>
  <c r="D78" i="2"/>
  <c r="D160" i="2"/>
  <c r="F93" i="2"/>
  <c r="G93" i="2" s="1"/>
  <c r="D109" i="2"/>
  <c r="D75" i="2"/>
  <c r="D34" i="21" l="1"/>
  <c r="D24" i="21"/>
  <c r="N23" i="2"/>
  <c r="O23" i="2" s="1"/>
  <c r="Q23" i="2" s="1"/>
  <c r="H141" i="2"/>
  <c r="H181" i="2" s="1"/>
  <c r="H243" i="2" s="1"/>
  <c r="M23" i="2"/>
  <c r="M20" i="2" s="1"/>
  <c r="H93" i="2"/>
  <c r="H177" i="2" s="1"/>
  <c r="H239" i="2" s="1"/>
  <c r="H69" i="2"/>
  <c r="H175" i="2" s="1"/>
  <c r="H237" i="2" s="1"/>
  <c r="H117" i="2"/>
  <c r="H179" i="2" s="1"/>
  <c r="H241" i="2" s="1"/>
  <c r="F240" i="2"/>
  <c r="G178" i="2"/>
  <c r="G240" i="2" s="1"/>
  <c r="D93" i="2"/>
  <c r="D81" i="2"/>
  <c r="U17" i="2"/>
  <c r="Y17" i="2" s="1"/>
  <c r="V5" i="2"/>
  <c r="AA5" i="2"/>
  <c r="H81" i="2"/>
  <c r="H176" i="2" s="1"/>
  <c r="H238" i="2" s="1"/>
  <c r="C180" i="2"/>
  <c r="C241" i="2"/>
  <c r="AA179" i="2"/>
  <c r="F179" i="2"/>
  <c r="D45" i="2"/>
  <c r="D153" i="2"/>
  <c r="D129" i="2"/>
  <c r="D105" i="2"/>
  <c r="E235" i="2"/>
  <c r="AC173" i="2"/>
  <c r="E174" i="2"/>
  <c r="H153" i="2"/>
  <c r="H182" i="2" s="1"/>
  <c r="H244" i="2" s="1"/>
  <c r="H129" i="2"/>
  <c r="H180" i="2" s="1"/>
  <c r="H242" i="2" s="1"/>
  <c r="H45" i="2"/>
  <c r="J45" i="2" s="1"/>
  <c r="K45" i="2" s="1"/>
  <c r="D117" i="2"/>
  <c r="D141" i="2"/>
  <c r="H105" i="2"/>
  <c r="H178" i="2" s="1"/>
  <c r="H240" i="2" s="1"/>
  <c r="D57" i="2"/>
  <c r="D69" i="2"/>
  <c r="H57" i="2"/>
  <c r="F285" i="43"/>
  <c r="E411" i="26"/>
  <c r="F275" i="28"/>
  <c r="E414" i="26"/>
  <c r="P13" i="15"/>
  <c r="E147" i="26"/>
  <c r="I84" i="38"/>
  <c r="E409" i="26"/>
  <c r="D26" i="21" l="1"/>
  <c r="D27" i="21" s="1"/>
  <c r="C31" i="21" s="1"/>
  <c r="F241" i="2"/>
  <c r="I26" i="21"/>
  <c r="D22" i="21"/>
  <c r="C30" i="21"/>
  <c r="M24" i="2"/>
  <c r="M25" i="2" s="1"/>
  <c r="N24" i="2"/>
  <c r="O24" i="2" s="1"/>
  <c r="Q24" i="2" s="1"/>
  <c r="N20" i="2"/>
  <c r="M19" i="2"/>
  <c r="N19" i="2"/>
  <c r="M45" i="2"/>
  <c r="N45" i="2" s="1"/>
  <c r="D179" i="2"/>
  <c r="D181" i="2"/>
  <c r="F286" i="43"/>
  <c r="F276" i="28"/>
  <c r="D182" i="2"/>
  <c r="AH172" i="2"/>
  <c r="D174" i="2"/>
  <c r="D180" i="2"/>
  <c r="D173" i="2"/>
  <c r="AA180" i="2"/>
  <c r="F180" i="2"/>
  <c r="C242" i="2"/>
  <c r="C181" i="2"/>
  <c r="I45" i="2"/>
  <c r="H173" i="2"/>
  <c r="H235" i="2" s="1"/>
  <c r="E236" i="2"/>
  <c r="E175" i="2"/>
  <c r="AC174" i="2"/>
  <c r="F149" i="26"/>
  <c r="G179" i="2"/>
  <c r="G241" i="2" s="1"/>
  <c r="D177" i="2"/>
  <c r="D176" i="2"/>
  <c r="F274" i="28"/>
  <c r="E415" i="26"/>
  <c r="F284" i="43"/>
  <c r="H174" i="2"/>
  <c r="H236" i="2" s="1"/>
  <c r="D178" i="2"/>
  <c r="Q274" i="28"/>
  <c r="Q284" i="43"/>
  <c r="D175" i="2"/>
  <c r="C25" i="21" l="1"/>
  <c r="E17" i="21" s="1"/>
  <c r="D17" i="21" s="1"/>
  <c r="D17" i="37"/>
  <c r="F242" i="2"/>
  <c r="I37" i="21"/>
  <c r="I38" i="21" s="1"/>
  <c r="H36" i="21"/>
  <c r="I25" i="21"/>
  <c r="D23" i="37" s="1"/>
  <c r="I24" i="21"/>
  <c r="E348" i="26" s="1"/>
  <c r="I23" i="21"/>
  <c r="E350" i="26" s="1"/>
  <c r="J8" i="21"/>
  <c r="D14" i="21"/>
  <c r="D13" i="21" s="1"/>
  <c r="E339" i="26" s="1"/>
  <c r="F347" i="26"/>
  <c r="E347" i="26"/>
  <c r="I347" i="26" s="1"/>
  <c r="I16" i="21"/>
  <c r="N25" i="2"/>
  <c r="O25" i="2" s="1"/>
  <c r="Q25" i="2" s="1"/>
  <c r="L45" i="2"/>
  <c r="M46" i="2" s="1"/>
  <c r="L46" i="2" s="1"/>
  <c r="O45" i="2"/>
  <c r="P45" i="2" s="1"/>
  <c r="Q45" i="2" s="1"/>
  <c r="G180" i="2"/>
  <c r="G242" i="2" s="1"/>
  <c r="D242" i="2"/>
  <c r="AB180" i="2"/>
  <c r="AB177" i="2"/>
  <c r="D239" i="2"/>
  <c r="P275" i="28"/>
  <c r="P285" i="43"/>
  <c r="J46" i="2"/>
  <c r="K46" i="2" s="1"/>
  <c r="E379" i="26"/>
  <c r="AB178" i="2"/>
  <c r="D240" i="2"/>
  <c r="AB176" i="2"/>
  <c r="D238" i="2"/>
  <c r="AB181" i="2"/>
  <c r="D243" i="2"/>
  <c r="M26" i="2"/>
  <c r="N26" i="2"/>
  <c r="O26" i="2" s="1"/>
  <c r="Q26" i="2" s="1"/>
  <c r="C243" i="2"/>
  <c r="C182" i="2"/>
  <c r="AA181" i="2"/>
  <c r="F181" i="2"/>
  <c r="AB174" i="2"/>
  <c r="D236" i="2"/>
  <c r="C524" i="28"/>
  <c r="E418" i="26"/>
  <c r="D235" i="2"/>
  <c r="F379" i="26"/>
  <c r="M3" i="21"/>
  <c r="J27" i="37"/>
  <c r="P41" i="15"/>
  <c r="AB173" i="2"/>
  <c r="D244" i="2"/>
  <c r="AB182" i="2"/>
  <c r="D183" i="2"/>
  <c r="D241" i="2"/>
  <c r="AB179" i="2"/>
  <c r="D237" i="2"/>
  <c r="AB175" i="2"/>
  <c r="E176" i="2"/>
  <c r="AC175" i="2"/>
  <c r="E237" i="2"/>
  <c r="Q217" i="28" l="1"/>
  <c r="E354" i="26"/>
  <c r="I354" i="26" s="1"/>
  <c r="J354" i="26" s="1"/>
  <c r="E353" i="26"/>
  <c r="D25" i="21"/>
  <c r="E337" i="26" s="1"/>
  <c r="E19" i="21"/>
  <c r="D19" i="21" s="1"/>
  <c r="E336" i="26"/>
  <c r="E20" i="21"/>
  <c r="D20" i="21" s="1"/>
  <c r="E18" i="21"/>
  <c r="D18" i="21" s="1"/>
  <c r="I343" i="26"/>
  <c r="F243" i="2"/>
  <c r="C7" i="37"/>
  <c r="H347" i="26"/>
  <c r="F84" i="38"/>
  <c r="G84" i="38" s="1"/>
  <c r="E342" i="26"/>
  <c r="C6" i="37"/>
  <c r="E349" i="26"/>
  <c r="I19" i="21"/>
  <c r="N84" i="38" s="1"/>
  <c r="G347" i="26"/>
  <c r="G181" i="2"/>
  <c r="G243" i="2" s="1"/>
  <c r="I46" i="2"/>
  <c r="J47" i="2" s="1"/>
  <c r="K47" i="2" s="1"/>
  <c r="D184" i="2"/>
  <c r="D245" i="2"/>
  <c r="N46" i="2"/>
  <c r="O46" i="2" s="1"/>
  <c r="P46" i="2" s="1"/>
  <c r="B428" i="28"/>
  <c r="P458" i="43"/>
  <c r="E238" i="2"/>
  <c r="E177" i="2"/>
  <c r="AC176" i="2"/>
  <c r="M27" i="2"/>
  <c r="N27" i="2"/>
  <c r="O27" i="2" s="1"/>
  <c r="Q27" i="2" s="1"/>
  <c r="B426" i="28"/>
  <c r="P37" i="15"/>
  <c r="B458" i="43"/>
  <c r="K1" i="21"/>
  <c r="F533" i="43"/>
  <c r="F506" i="28"/>
  <c r="Q229" i="43"/>
  <c r="J23" i="37"/>
  <c r="M47" i="2"/>
  <c r="L47" i="2" s="1"/>
  <c r="C244" i="2"/>
  <c r="AA182" i="2"/>
  <c r="C183" i="2"/>
  <c r="F182" i="2"/>
  <c r="E340" i="26" l="1"/>
  <c r="D16" i="21"/>
  <c r="D21" i="21" s="1"/>
  <c r="A20" i="37"/>
  <c r="J347" i="26"/>
  <c r="C5" i="2" s="1"/>
  <c r="R44" i="2" s="1"/>
  <c r="R45" i="2" s="1"/>
  <c r="I353" i="26"/>
  <c r="J353" i="26" s="1"/>
  <c r="BA172" i="2" s="1"/>
  <c r="BB172" i="2" s="1"/>
  <c r="BC172" i="2"/>
  <c r="BD172" i="2" s="1"/>
  <c r="F244" i="2"/>
  <c r="G354" i="26"/>
  <c r="O84" i="38"/>
  <c r="E343" i="26"/>
  <c r="F353" i="26"/>
  <c r="E344" i="26"/>
  <c r="G353" i="26"/>
  <c r="E345" i="26"/>
  <c r="F354" i="26"/>
  <c r="M48" i="2"/>
  <c r="Q46" i="2"/>
  <c r="M28" i="2"/>
  <c r="N28" i="2"/>
  <c r="O28" i="2" s="1"/>
  <c r="Q28" i="2" s="1"/>
  <c r="G182" i="2"/>
  <c r="G244" i="2" s="1"/>
  <c r="AC177" i="2"/>
  <c r="E178" i="2"/>
  <c r="E239" i="2"/>
  <c r="C184" i="2"/>
  <c r="F183" i="2"/>
  <c r="C245" i="2"/>
  <c r="N47" i="2"/>
  <c r="O47" i="2" s="1"/>
  <c r="P47" i="2" s="1"/>
  <c r="Q47" i="2" s="1"/>
  <c r="D246" i="2"/>
  <c r="D185" i="2"/>
  <c r="I47" i="2"/>
  <c r="G24" i="21" l="1"/>
  <c r="D28" i="21"/>
  <c r="G1" i="37" s="1"/>
  <c r="AQ172" i="2"/>
  <c r="AS172" i="2" s="1"/>
  <c r="AT172" i="2" s="1"/>
  <c r="P172" i="2"/>
  <c r="P173" i="2" s="1"/>
  <c r="P174" i="2" s="1"/>
  <c r="P175" i="2" s="1"/>
  <c r="P176" i="2" s="1"/>
  <c r="P177" i="2" s="1"/>
  <c r="P178" i="2" s="1"/>
  <c r="P179" i="2" s="1"/>
  <c r="P180" i="2" s="1"/>
  <c r="P181" i="2" s="1"/>
  <c r="P182" i="2" s="1"/>
  <c r="P183" i="2" s="1"/>
  <c r="P184" i="2" s="1"/>
  <c r="P185" i="2" s="1"/>
  <c r="P186" i="2" s="1"/>
  <c r="P187" i="2" s="1"/>
  <c r="P188" i="2" s="1"/>
  <c r="P189" i="2" s="1"/>
  <c r="P190" i="2" s="1"/>
  <c r="P191" i="2" s="1"/>
  <c r="P192" i="2" s="1"/>
  <c r="P193" i="2" s="1"/>
  <c r="P194" i="2" s="1"/>
  <c r="P195" i="2" s="1"/>
  <c r="P196" i="2" s="1"/>
  <c r="P197" i="2" s="1"/>
  <c r="P200" i="2" s="1"/>
  <c r="P209" i="2"/>
  <c r="AD218" i="2" s="1"/>
  <c r="Q172" i="2"/>
  <c r="Q173" i="2" s="1"/>
  <c r="Q174" i="2" s="1"/>
  <c r="Q175" i="2" s="1"/>
  <c r="Q176" i="2" s="1"/>
  <c r="Q177" i="2" s="1"/>
  <c r="Q178" i="2" s="1"/>
  <c r="Q179" i="2" s="1"/>
  <c r="Q180" i="2" s="1"/>
  <c r="Q181" i="2" s="1"/>
  <c r="Q182" i="2" s="1"/>
  <c r="Q183" i="2" s="1"/>
  <c r="Q184" i="2" s="1"/>
  <c r="Q185" i="2" s="1"/>
  <c r="Q186" i="2" s="1"/>
  <c r="Q187" i="2" s="1"/>
  <c r="Q188" i="2" s="1"/>
  <c r="Q189" i="2" s="1"/>
  <c r="Q190" i="2" s="1"/>
  <c r="Q191" i="2" s="1"/>
  <c r="Q192" i="2" s="1"/>
  <c r="Q193" i="2" s="1"/>
  <c r="Q194" i="2" s="1"/>
  <c r="Q195" i="2" s="1"/>
  <c r="Q196" i="2" s="1"/>
  <c r="Q197" i="2" s="1"/>
  <c r="R46" i="2"/>
  <c r="R47" i="2" s="1"/>
  <c r="AX172" i="2"/>
  <c r="AX173" i="2" s="1"/>
  <c r="AX174" i="2" s="1"/>
  <c r="AX175" i="2" s="1"/>
  <c r="AX176" i="2" s="1"/>
  <c r="AX177" i="2" s="1"/>
  <c r="AX178" i="2" s="1"/>
  <c r="AX179" i="2" s="1"/>
  <c r="AX180" i="2" s="1"/>
  <c r="AX181" i="2" s="1"/>
  <c r="AX182" i="2" s="1"/>
  <c r="AX183" i="2" s="1"/>
  <c r="AX184" i="2" s="1"/>
  <c r="AX185" i="2" s="1"/>
  <c r="AX186" i="2" s="1"/>
  <c r="AX187" i="2" s="1"/>
  <c r="AX188" i="2" s="1"/>
  <c r="AX189" i="2" s="1"/>
  <c r="AX190" i="2" s="1"/>
  <c r="AX191" i="2" s="1"/>
  <c r="AX192" i="2" s="1"/>
  <c r="AX193" i="2" s="1"/>
  <c r="AX194" i="2" s="1"/>
  <c r="AX195" i="2" s="1"/>
  <c r="AX196" i="2" s="1"/>
  <c r="AX197" i="2" s="1"/>
  <c r="AW172" i="2"/>
  <c r="AW173" i="2" s="1"/>
  <c r="AW174" i="2" s="1"/>
  <c r="AW175" i="2" s="1"/>
  <c r="AW176" i="2" s="1"/>
  <c r="AW177" i="2" s="1"/>
  <c r="AW178" i="2" s="1"/>
  <c r="AW179" i="2" s="1"/>
  <c r="AW180" i="2" s="1"/>
  <c r="AW181" i="2" s="1"/>
  <c r="AW182" i="2" s="1"/>
  <c r="AW183" i="2" s="1"/>
  <c r="AW184" i="2" s="1"/>
  <c r="AW185" i="2" s="1"/>
  <c r="AW186" i="2" s="1"/>
  <c r="AW187" i="2" s="1"/>
  <c r="AW188" i="2" s="1"/>
  <c r="AW189" i="2" s="1"/>
  <c r="AW190" i="2" s="1"/>
  <c r="AW191" i="2" s="1"/>
  <c r="AW192" i="2" s="1"/>
  <c r="AW193" i="2" s="1"/>
  <c r="AW194" i="2" s="1"/>
  <c r="AW195" i="2" s="1"/>
  <c r="AW196" i="2" s="1"/>
  <c r="AW197" i="2" s="1"/>
  <c r="D13" i="2"/>
  <c r="J172" i="2"/>
  <c r="AE172" i="2" s="1"/>
  <c r="F245" i="2"/>
  <c r="G183" i="2"/>
  <c r="G245" i="2" s="1"/>
  <c r="J48" i="2"/>
  <c r="K48" i="2" s="1"/>
  <c r="C246" i="2"/>
  <c r="F184" i="2"/>
  <c r="C185" i="2"/>
  <c r="N29" i="2"/>
  <c r="O29" i="2" s="1"/>
  <c r="Q29" i="2" s="1"/>
  <c r="M29" i="2"/>
  <c r="E240" i="2"/>
  <c r="E179" i="2"/>
  <c r="AC178" i="2"/>
  <c r="N48" i="2"/>
  <c r="O48" i="2" s="1"/>
  <c r="P48" i="2" s="1"/>
  <c r="D247" i="2"/>
  <c r="D186" i="2"/>
  <c r="L48" i="2"/>
  <c r="F32" i="21" l="1"/>
  <c r="E335" i="26"/>
  <c r="C28" i="21"/>
  <c r="E334" i="26" s="1"/>
  <c r="D16" i="37"/>
  <c r="D18" i="37" s="1"/>
  <c r="AR172" i="2"/>
  <c r="AU172" i="2" s="1"/>
  <c r="AB219" i="2"/>
  <c r="AE218" i="2"/>
  <c r="AC218" i="2"/>
  <c r="AF219" i="2"/>
  <c r="AB220" i="2"/>
  <c r="AF220" i="2"/>
  <c r="AD220" i="2"/>
  <c r="AE220" i="2"/>
  <c r="AA220" i="2"/>
  <c r="AB218" i="2"/>
  <c r="AD219" i="2"/>
  <c r="AE219" i="2"/>
  <c r="AG220" i="2"/>
  <c r="AC219" i="2"/>
  <c r="AH219" i="2"/>
  <c r="AH218" i="2"/>
  <c r="AA218" i="2"/>
  <c r="AF218" i="2"/>
  <c r="P210" i="2"/>
  <c r="E374" i="26" s="1"/>
  <c r="AA219" i="2"/>
  <c r="AG218" i="2"/>
  <c r="AH220" i="2"/>
  <c r="AC220" i="2"/>
  <c r="AG219" i="2"/>
  <c r="K172" i="2"/>
  <c r="L172" i="2"/>
  <c r="M172" i="2" s="1"/>
  <c r="F246" i="2"/>
  <c r="I48" i="2"/>
  <c r="J49" i="2" s="1"/>
  <c r="K49" i="2" s="1"/>
  <c r="D248" i="2"/>
  <c r="D187" i="2"/>
  <c r="C247" i="2"/>
  <c r="F185" i="2"/>
  <c r="C186" i="2"/>
  <c r="G184" i="2"/>
  <c r="G246" i="2" s="1"/>
  <c r="Q48" i="2"/>
  <c r="R48" i="2" s="1"/>
  <c r="E241" i="2"/>
  <c r="AC179" i="2"/>
  <c r="E180" i="2"/>
  <c r="M49" i="2"/>
  <c r="N30" i="2"/>
  <c r="O30" i="2" s="1"/>
  <c r="Q30" i="2" s="1"/>
  <c r="M30" i="2"/>
  <c r="E27" i="37" l="1"/>
  <c r="K1" i="37"/>
  <c r="AV172" i="2"/>
  <c r="P214" i="2"/>
  <c r="E376" i="26" s="1"/>
  <c r="P211" i="2"/>
  <c r="E375" i="26" s="1"/>
  <c r="N172" i="2"/>
  <c r="O172" i="2"/>
  <c r="AF172" i="2"/>
  <c r="F247" i="2"/>
  <c r="C187" i="2"/>
  <c r="F186" i="2"/>
  <c r="C248" i="2"/>
  <c r="N49" i="2"/>
  <c r="O49" i="2" s="1"/>
  <c r="P49" i="2" s="1"/>
  <c r="I49" i="2"/>
  <c r="L49" i="2"/>
  <c r="E181" i="2"/>
  <c r="AC180" i="2"/>
  <c r="E242" i="2"/>
  <c r="D249" i="2"/>
  <c r="D188" i="2"/>
  <c r="N31" i="2"/>
  <c r="O31" i="2" s="1"/>
  <c r="Q31" i="2" s="1"/>
  <c r="M31" i="2"/>
  <c r="G185" i="2"/>
  <c r="G247" i="2" s="1"/>
  <c r="F248" i="2" l="1"/>
  <c r="G186" i="2"/>
  <c r="G248" i="2" s="1"/>
  <c r="N32" i="2"/>
  <c r="O32" i="2" s="1"/>
  <c r="Q32" i="2" s="1"/>
  <c r="M32" i="2"/>
  <c r="AC181" i="2"/>
  <c r="E182" i="2"/>
  <c r="E243" i="2"/>
  <c r="Q49" i="2"/>
  <c r="R49" i="2" s="1"/>
  <c r="M50" i="2"/>
  <c r="J50" i="2"/>
  <c r="K50" i="2" s="1"/>
  <c r="C188" i="2"/>
  <c r="C249" i="2"/>
  <c r="F187" i="2"/>
  <c r="D189" i="2"/>
  <c r="D250" i="2"/>
  <c r="F249" i="2" l="1"/>
  <c r="G187" i="2"/>
  <c r="G249" i="2" s="1"/>
  <c r="N50" i="2"/>
  <c r="O50" i="2" s="1"/>
  <c r="P50" i="2" s="1"/>
  <c r="D251" i="2"/>
  <c r="D190" i="2"/>
  <c r="L50" i="2"/>
  <c r="N33" i="2"/>
  <c r="O33" i="2" s="1"/>
  <c r="Q33" i="2" s="1"/>
  <c r="M33" i="2"/>
  <c r="C189" i="2"/>
  <c r="F188" i="2"/>
  <c r="C250" i="2"/>
  <c r="E183" i="2"/>
  <c r="E244" i="2"/>
  <c r="AC182" i="2"/>
  <c r="I50" i="2"/>
  <c r="F250" i="2" l="1"/>
  <c r="G188" i="2"/>
  <c r="G250" i="2" s="1"/>
  <c r="D191" i="2"/>
  <c r="D252" i="2"/>
  <c r="C190" i="2"/>
  <c r="F189" i="2"/>
  <c r="C251" i="2"/>
  <c r="J51" i="2"/>
  <c r="K51" i="2" s="1"/>
  <c r="M34" i="2"/>
  <c r="N34" i="2"/>
  <c r="O34" i="2" s="1"/>
  <c r="Q34" i="2" s="1"/>
  <c r="Q50" i="2"/>
  <c r="R50" i="2" s="1"/>
  <c r="E184" i="2"/>
  <c r="E245" i="2"/>
  <c r="H183" i="2"/>
  <c r="H245" i="2" s="1"/>
  <c r="M51" i="2"/>
  <c r="F251" i="2" l="1"/>
  <c r="F190" i="2"/>
  <c r="C191" i="2"/>
  <c r="C252" i="2"/>
  <c r="E185" i="2"/>
  <c r="E246" i="2"/>
  <c r="H184" i="2"/>
  <c r="H246" i="2" s="1"/>
  <c r="Q35" i="2"/>
  <c r="Q36" i="2"/>
  <c r="N51" i="2"/>
  <c r="O51" i="2" s="1"/>
  <c r="P51" i="2" s="1"/>
  <c r="Q51" i="2" s="1"/>
  <c r="R51" i="2" s="1"/>
  <c r="L51" i="2"/>
  <c r="I51" i="2"/>
  <c r="D192" i="2"/>
  <c r="D253" i="2"/>
  <c r="G189" i="2"/>
  <c r="G251" i="2" s="1"/>
  <c r="F252" i="2" l="1"/>
  <c r="G190" i="2"/>
  <c r="G252" i="2" s="1"/>
  <c r="D254" i="2"/>
  <c r="D193" i="2"/>
  <c r="J52" i="2"/>
  <c r="K52" i="2" s="1"/>
  <c r="E186" i="2"/>
  <c r="H185" i="2"/>
  <c r="H247" i="2" s="1"/>
  <c r="E247" i="2"/>
  <c r="M52" i="2"/>
  <c r="C253" i="2"/>
  <c r="F191" i="2"/>
  <c r="C192" i="2"/>
  <c r="F253" i="2" l="1"/>
  <c r="E187" i="2"/>
  <c r="H186" i="2"/>
  <c r="H248" i="2" s="1"/>
  <c r="E248" i="2"/>
  <c r="I52" i="2"/>
  <c r="N52" i="2"/>
  <c r="O52" i="2" s="1"/>
  <c r="P52" i="2" s="1"/>
  <c r="Q52" i="2" s="1"/>
  <c r="R52" i="2" s="1"/>
  <c r="L52" i="2"/>
  <c r="D194" i="2"/>
  <c r="D255" i="2"/>
  <c r="C193" i="2"/>
  <c r="C254" i="2"/>
  <c r="F192" i="2"/>
  <c r="G191" i="2"/>
  <c r="G253" i="2" s="1"/>
  <c r="F254" i="2" l="1"/>
  <c r="G192" i="2"/>
  <c r="G254" i="2" s="1"/>
  <c r="C255" i="2"/>
  <c r="F193" i="2"/>
  <c r="C194" i="2"/>
  <c r="J53" i="2"/>
  <c r="K53" i="2" s="1"/>
  <c r="D256" i="2"/>
  <c r="D195" i="2"/>
  <c r="M53" i="2"/>
  <c r="L53" i="2" s="1"/>
  <c r="E249" i="2"/>
  <c r="E188" i="2"/>
  <c r="H187" i="2"/>
  <c r="H249" i="2" s="1"/>
  <c r="F255" i="2" l="1"/>
  <c r="M54" i="2"/>
  <c r="I53" i="2"/>
  <c r="C195" i="2"/>
  <c r="F194" i="2"/>
  <c r="C256" i="2"/>
  <c r="D196" i="2"/>
  <c r="D257" i="2"/>
  <c r="G193" i="2"/>
  <c r="G255" i="2" s="1"/>
  <c r="N53" i="2"/>
  <c r="O53" i="2" s="1"/>
  <c r="P53" i="2" s="1"/>
  <c r="Q53" i="2" s="1"/>
  <c r="R53" i="2" s="1"/>
  <c r="E189" i="2"/>
  <c r="E250" i="2"/>
  <c r="H188" i="2"/>
  <c r="H250" i="2" s="1"/>
  <c r="F256" i="2" l="1"/>
  <c r="G194" i="2"/>
  <c r="G256" i="2" s="1"/>
  <c r="F195" i="2"/>
  <c r="C196" i="2"/>
  <c r="C257" i="2"/>
  <c r="J54" i="2"/>
  <c r="K54" i="2" s="1"/>
  <c r="D258" i="2"/>
  <c r="D197" i="2"/>
  <c r="N54" i="2"/>
  <c r="O54" i="2" s="1"/>
  <c r="P54" i="2" s="1"/>
  <c r="Q54" i="2" s="1"/>
  <c r="R54" i="2" s="1"/>
  <c r="H189" i="2"/>
  <c r="H251" i="2" s="1"/>
  <c r="E190" i="2"/>
  <c r="E251" i="2"/>
  <c r="L54" i="2"/>
  <c r="F257" i="2" l="1"/>
  <c r="G195" i="2"/>
  <c r="G257" i="2" s="1"/>
  <c r="I54" i="2"/>
  <c r="M55" i="2"/>
  <c r="AB185" i="2"/>
  <c r="D259" i="2"/>
  <c r="C197" i="2"/>
  <c r="F196" i="2"/>
  <c r="C258" i="2"/>
  <c r="E252" i="2"/>
  <c r="H190" i="2"/>
  <c r="H252" i="2" s="1"/>
  <c r="E191" i="2"/>
  <c r="F258" i="2" l="1"/>
  <c r="G196" i="2"/>
  <c r="G258" i="2" s="1"/>
  <c r="E192" i="2"/>
  <c r="E253" i="2"/>
  <c r="H191" i="2"/>
  <c r="H253" i="2" s="1"/>
  <c r="N55" i="2"/>
  <c r="O55" i="2" s="1"/>
  <c r="P55" i="2" s="1"/>
  <c r="Q55" i="2" s="1"/>
  <c r="R55" i="2" s="1"/>
  <c r="L55" i="2"/>
  <c r="J55" i="2"/>
  <c r="K55" i="2" s="1"/>
  <c r="C259" i="2"/>
  <c r="F197" i="2"/>
  <c r="AA185" i="2"/>
  <c r="F259" i="2" l="1"/>
  <c r="G197" i="2"/>
  <c r="G259" i="2" s="1"/>
  <c r="M56" i="2"/>
  <c r="I55" i="2"/>
  <c r="E254" i="2"/>
  <c r="H192" i="2"/>
  <c r="H254" i="2" s="1"/>
  <c r="E193" i="2"/>
  <c r="J56" i="2" l="1"/>
  <c r="K56" i="2" s="1"/>
  <c r="N56" i="2"/>
  <c r="O56" i="2" s="1"/>
  <c r="P56" i="2" s="1"/>
  <c r="Q56" i="2" s="1"/>
  <c r="R56" i="2" s="1"/>
  <c r="L56" i="2"/>
  <c r="E194" i="2"/>
  <c r="H193" i="2"/>
  <c r="H255" i="2" s="1"/>
  <c r="E255" i="2"/>
  <c r="E195" i="2" l="1"/>
  <c r="E256" i="2"/>
  <c r="H194" i="2"/>
  <c r="H256" i="2" s="1"/>
  <c r="M57" i="2"/>
  <c r="I56" i="2"/>
  <c r="N57" i="2" l="1"/>
  <c r="O57" i="2" s="1"/>
  <c r="P57" i="2" s="1"/>
  <c r="Z5" i="2" a="1"/>
  <c r="Z5" i="2" s="1"/>
  <c r="L57" i="2"/>
  <c r="E196" i="2"/>
  <c r="H195" i="2"/>
  <c r="H257" i="2" s="1"/>
  <c r="E257" i="2"/>
  <c r="J57" i="2"/>
  <c r="K57" i="2" s="1"/>
  <c r="E258" i="2" l="1"/>
  <c r="H196" i="2"/>
  <c r="H258" i="2" s="1"/>
  <c r="E197" i="2"/>
  <c r="T194" i="2" s="1"/>
  <c r="T197" i="2" s="1"/>
  <c r="X5" i="2"/>
  <c r="Y5" i="2"/>
  <c r="W5" i="2"/>
  <c r="M58" i="2"/>
  <c r="I57" i="2"/>
  <c r="Q57" i="2"/>
  <c r="R57" i="2" s="1"/>
  <c r="M232" i="43" l="1"/>
  <c r="M220" i="28"/>
  <c r="N58" i="2"/>
  <c r="O58" i="2" s="1"/>
  <c r="P58" i="2" s="1"/>
  <c r="Z6" i="2" a="1"/>
  <c r="Z6" i="2" s="1"/>
  <c r="L58" i="2"/>
  <c r="J58" i="2"/>
  <c r="K58" i="2" s="1"/>
  <c r="H197" i="2"/>
  <c r="H259" i="2" s="1"/>
  <c r="AC185" i="2"/>
  <c r="E259" i="2"/>
  <c r="I58" i="2" l="1"/>
  <c r="M59" i="2"/>
  <c r="Q58" i="2"/>
  <c r="R58" i="2" s="1"/>
  <c r="X6" i="2"/>
  <c r="Y6" i="2"/>
  <c r="W6" i="2"/>
  <c r="N59" i="2" l="1"/>
  <c r="O59" i="2" s="1"/>
  <c r="P59" i="2" s="1"/>
  <c r="Z7" i="2" a="1"/>
  <c r="Z7" i="2" s="1"/>
  <c r="L59" i="2"/>
  <c r="J59" i="2"/>
  <c r="K59" i="2" s="1"/>
  <c r="Q59" i="2" l="1"/>
  <c r="R59" i="2" s="1"/>
  <c r="X7" i="2"/>
  <c r="W7" i="2"/>
  <c r="Y7" i="2"/>
  <c r="I59" i="2"/>
  <c r="M60" i="2"/>
  <c r="L60" i="2" s="1"/>
  <c r="M61" i="2" l="1"/>
  <c r="J60" i="2"/>
  <c r="K60" i="2" s="1"/>
  <c r="N60" i="2"/>
  <c r="O60" i="2" s="1"/>
  <c r="P60" i="2" s="1"/>
  <c r="Z8" i="2" a="1"/>
  <c r="Z8" i="2" s="1"/>
  <c r="Q60" i="2" l="1"/>
  <c r="R60" i="2" s="1"/>
  <c r="I60" i="2"/>
  <c r="N61" i="2"/>
  <c r="O61" i="2" s="1"/>
  <c r="P61" i="2" s="1"/>
  <c r="Q61" i="2" s="1"/>
  <c r="Z9" i="2" a="1"/>
  <c r="Z9" i="2" s="1"/>
  <c r="L61" i="2"/>
  <c r="X8" i="2"/>
  <c r="Y8" i="2"/>
  <c r="W8" i="2"/>
  <c r="M62" i="2" l="1"/>
  <c r="W9" i="2"/>
  <c r="Y9" i="2"/>
  <c r="X9" i="2"/>
  <c r="J61" i="2"/>
  <c r="K61" i="2" s="1"/>
  <c r="R61" i="2"/>
  <c r="I61" i="2" l="1"/>
  <c r="N62" i="2"/>
  <c r="O62" i="2" s="1"/>
  <c r="P62" i="2" s="1"/>
  <c r="Q62" i="2" s="1"/>
  <c r="R62" i="2" s="1"/>
  <c r="Z10" i="2" a="1"/>
  <c r="Z10" i="2" s="1"/>
  <c r="L62" i="2"/>
  <c r="X10" i="2" l="1"/>
  <c r="W10" i="2"/>
  <c r="Y10" i="2"/>
  <c r="M63" i="2"/>
  <c r="L63" i="2" s="1"/>
  <c r="J62" i="2"/>
  <c r="K62" i="2" s="1"/>
  <c r="M64" i="2" l="1"/>
  <c r="N63" i="2"/>
  <c r="O63" i="2" s="1"/>
  <c r="P63" i="2" s="1"/>
  <c r="Q63" i="2" s="1"/>
  <c r="R63" i="2" s="1"/>
  <c r="Z11" i="2" a="1"/>
  <c r="Z11" i="2" s="1"/>
  <c r="I62" i="2"/>
  <c r="J63" i="2" l="1"/>
  <c r="K63" i="2" s="1"/>
  <c r="N64" i="2"/>
  <c r="O64" i="2" s="1"/>
  <c r="P64" i="2" s="1"/>
  <c r="Q64" i="2" s="1"/>
  <c r="R64" i="2" s="1"/>
  <c r="Z12" i="2" a="1"/>
  <c r="Z12" i="2" s="1"/>
  <c r="X11" i="2"/>
  <c r="Y11" i="2"/>
  <c r="W11" i="2"/>
  <c r="L64" i="2"/>
  <c r="W12" i="2" l="1"/>
  <c r="Y12" i="2"/>
  <c r="X12" i="2"/>
  <c r="M65" i="2"/>
  <c r="L65" i="2" s="1"/>
  <c r="I63" i="2"/>
  <c r="M66" i="2" l="1"/>
  <c r="L66" i="2" s="1"/>
  <c r="N65" i="2"/>
  <c r="O65" i="2" s="1"/>
  <c r="P65" i="2" s="1"/>
  <c r="Q65" i="2" s="1"/>
  <c r="R65" i="2" s="1"/>
  <c r="Z13" i="2" a="1"/>
  <c r="Z13" i="2" s="1"/>
  <c r="J64" i="2"/>
  <c r="K64" i="2" s="1"/>
  <c r="W13" i="2" l="1"/>
  <c r="Y13" i="2"/>
  <c r="X13" i="2"/>
  <c r="I64" i="2"/>
  <c r="N66" i="2"/>
  <c r="O66" i="2" s="1"/>
  <c r="P66" i="2" s="1"/>
  <c r="Q66" i="2" s="1"/>
  <c r="R66" i="2" s="1"/>
  <c r="Z14" i="2" a="1"/>
  <c r="Z14" i="2" s="1"/>
  <c r="M67" i="2"/>
  <c r="J65" i="2" l="1"/>
  <c r="K65" i="2" s="1"/>
  <c r="W14" i="2"/>
  <c r="X14" i="2"/>
  <c r="Y14" i="2"/>
  <c r="N67" i="2"/>
  <c r="O67" i="2" s="1"/>
  <c r="P67" i="2" s="1"/>
  <c r="Q67" i="2" s="1"/>
  <c r="R67" i="2" s="1"/>
  <c r="Z15" i="2" a="1"/>
  <c r="Z15" i="2" s="1"/>
  <c r="L67" i="2"/>
  <c r="M68" i="2" l="1"/>
  <c r="L68" i="2" s="1"/>
  <c r="I65" i="2"/>
  <c r="Y15" i="2"/>
  <c r="X15" i="2"/>
  <c r="W15" i="2"/>
  <c r="M69" i="2" l="1"/>
  <c r="J66" i="2"/>
  <c r="K66" i="2" s="1"/>
  <c r="N68" i="2"/>
  <c r="O68" i="2" s="1"/>
  <c r="P68" i="2" s="1"/>
  <c r="Q68" i="2" s="1"/>
  <c r="R68" i="2" s="1"/>
  <c r="Z16" i="2" a="1"/>
  <c r="Z16" i="2" s="1"/>
  <c r="W16" i="2" l="1"/>
  <c r="X16" i="2"/>
  <c r="Y16" i="2"/>
  <c r="N69" i="2"/>
  <c r="O69" i="2" s="1"/>
  <c r="P69" i="2" s="1"/>
  <c r="I66" i="2"/>
  <c r="L69" i="2"/>
  <c r="Q69" i="2" l="1"/>
  <c r="R69" i="2" s="1"/>
  <c r="M70" i="2"/>
  <c r="J67" i="2"/>
  <c r="K67" i="2" s="1"/>
  <c r="I67" i="2" l="1"/>
  <c r="N70" i="2"/>
  <c r="O70" i="2" s="1"/>
  <c r="P70" i="2" s="1"/>
  <c r="L70" i="2"/>
  <c r="M71" i="2" l="1"/>
  <c r="Q70" i="2"/>
  <c r="R70" i="2" s="1"/>
  <c r="J68" i="2"/>
  <c r="K68" i="2" s="1"/>
  <c r="N71" i="2" l="1"/>
  <c r="O71" i="2" s="1"/>
  <c r="P71" i="2" s="1"/>
  <c r="I68" i="2"/>
  <c r="L71" i="2"/>
  <c r="M72" i="2" l="1"/>
  <c r="Q71" i="2"/>
  <c r="R71" i="2" s="1"/>
  <c r="J69" i="2"/>
  <c r="K69" i="2" s="1"/>
  <c r="N72" i="2" l="1"/>
  <c r="O72" i="2" s="1"/>
  <c r="P72" i="2" s="1"/>
  <c r="I69" i="2"/>
  <c r="L72" i="2"/>
  <c r="J70" i="2" l="1"/>
  <c r="K70" i="2" s="1"/>
  <c r="M73" i="2"/>
  <c r="Q72" i="2"/>
  <c r="R72" i="2" s="1"/>
  <c r="I70" i="2" l="1"/>
  <c r="J71" i="2" s="1"/>
  <c r="K71" i="2" s="1"/>
  <c r="N73" i="2"/>
  <c r="O73" i="2" s="1"/>
  <c r="P73" i="2" s="1"/>
  <c r="Q73" i="2" s="1"/>
  <c r="R73" i="2" s="1"/>
  <c r="L73" i="2"/>
  <c r="I71" i="2" l="1"/>
  <c r="M74" i="2"/>
  <c r="N74" i="2" l="1"/>
  <c r="O74" i="2" s="1"/>
  <c r="P74" i="2" s="1"/>
  <c r="Q74" i="2" s="1"/>
  <c r="R74" i="2" s="1"/>
  <c r="L74" i="2"/>
  <c r="J72" i="2"/>
  <c r="K72" i="2" s="1"/>
  <c r="I72" i="2" l="1"/>
  <c r="M75" i="2"/>
  <c r="L75" i="2" s="1"/>
  <c r="M76" i="2" l="1"/>
  <c r="N75" i="2"/>
  <c r="O75" i="2" s="1"/>
  <c r="P75" i="2" s="1"/>
  <c r="Q75" i="2" s="1"/>
  <c r="R75" i="2" s="1"/>
  <c r="J73" i="2"/>
  <c r="K73" i="2" s="1"/>
  <c r="N76" i="2" l="1"/>
  <c r="O76" i="2" s="1"/>
  <c r="P76" i="2" s="1"/>
  <c r="Q76" i="2" s="1"/>
  <c r="R76" i="2" s="1"/>
  <c r="I73" i="2"/>
  <c r="L76" i="2"/>
  <c r="M77" i="2" l="1"/>
  <c r="L77" i="2" s="1"/>
  <c r="J74" i="2"/>
  <c r="K74" i="2" s="1"/>
  <c r="M78" i="2" l="1"/>
  <c r="L78" i="2" s="1"/>
  <c r="I74" i="2"/>
  <c r="N77" i="2"/>
  <c r="O77" i="2" s="1"/>
  <c r="P77" i="2" s="1"/>
  <c r="Q77" i="2" s="1"/>
  <c r="R77" i="2" s="1"/>
  <c r="M79" i="2" l="1"/>
  <c r="J75" i="2"/>
  <c r="K75" i="2" s="1"/>
  <c r="N78" i="2"/>
  <c r="O78" i="2" s="1"/>
  <c r="P78" i="2" s="1"/>
  <c r="Q78" i="2" s="1"/>
  <c r="R78" i="2" s="1"/>
  <c r="I75" i="2" l="1"/>
  <c r="N79" i="2"/>
  <c r="O79" i="2" s="1"/>
  <c r="P79" i="2" s="1"/>
  <c r="Q79" i="2" s="1"/>
  <c r="R79" i="2" s="1"/>
  <c r="L79" i="2"/>
  <c r="M80" i="2" l="1"/>
  <c r="J76" i="2"/>
  <c r="K76" i="2" s="1"/>
  <c r="I76" i="2" l="1"/>
  <c r="N80" i="2"/>
  <c r="O80" i="2" s="1"/>
  <c r="P80" i="2" s="1"/>
  <c r="Q80" i="2" s="1"/>
  <c r="R80" i="2" s="1"/>
  <c r="L80" i="2"/>
  <c r="M81" i="2" l="1"/>
  <c r="J77" i="2"/>
  <c r="K77" i="2" s="1"/>
  <c r="N81" i="2" l="1"/>
  <c r="O81" i="2" s="1"/>
  <c r="P81" i="2" s="1"/>
  <c r="I77" i="2"/>
  <c r="L81" i="2"/>
  <c r="M82" i="2" l="1"/>
  <c r="J78" i="2"/>
  <c r="K78" i="2" s="1"/>
  <c r="Q81" i="2"/>
  <c r="R81" i="2" s="1"/>
  <c r="I78" i="2" l="1"/>
  <c r="N82" i="2"/>
  <c r="O82" i="2" s="1"/>
  <c r="P82" i="2" s="1"/>
  <c r="L82" i="2"/>
  <c r="M83" i="2" l="1"/>
  <c r="L83" i="2" s="1"/>
  <c r="Q82" i="2"/>
  <c r="R82" i="2" s="1"/>
  <c r="J79" i="2"/>
  <c r="K79" i="2" s="1"/>
  <c r="N83" i="2" l="1"/>
  <c r="O83" i="2" s="1"/>
  <c r="P83" i="2" s="1"/>
  <c r="I79" i="2"/>
  <c r="M84" i="2"/>
  <c r="N84" i="2" l="1"/>
  <c r="O84" i="2" s="1"/>
  <c r="P84" i="2" s="1"/>
  <c r="Q84" i="2" s="1"/>
  <c r="L84" i="2"/>
  <c r="J80" i="2"/>
  <c r="K80" i="2" s="1"/>
  <c r="Q83" i="2"/>
  <c r="R83" i="2" s="1"/>
  <c r="R84" i="2" l="1"/>
  <c r="I80" i="2"/>
  <c r="M85" i="2"/>
  <c r="N85" i="2" l="1"/>
  <c r="O85" i="2" s="1"/>
  <c r="P85" i="2" s="1"/>
  <c r="L85" i="2"/>
  <c r="J81" i="2"/>
  <c r="K81" i="2" s="1"/>
  <c r="I81" i="2" l="1"/>
  <c r="M86" i="2"/>
  <c r="L86" i="2" s="1"/>
  <c r="Q85" i="2"/>
  <c r="R85" i="2" s="1"/>
  <c r="M87" i="2" l="1"/>
  <c r="J82" i="2"/>
  <c r="K82" i="2" s="1"/>
  <c r="N86" i="2"/>
  <c r="O86" i="2" s="1"/>
  <c r="P86" i="2" s="1"/>
  <c r="Q86" i="2" s="1"/>
  <c r="R86" i="2" s="1"/>
  <c r="N87" i="2" l="1"/>
  <c r="O87" i="2" s="1"/>
  <c r="P87" i="2" s="1"/>
  <c r="Q87" i="2" s="1"/>
  <c r="R87" i="2" s="1"/>
  <c r="I82" i="2"/>
  <c r="L87" i="2"/>
  <c r="M88" i="2" l="1"/>
  <c r="L88" i="2" s="1"/>
  <c r="J83" i="2"/>
  <c r="K83" i="2" s="1"/>
  <c r="I83" i="2" l="1"/>
  <c r="J84" i="2" s="1"/>
  <c r="K84" i="2" s="1"/>
  <c r="M89" i="2"/>
  <c r="N88" i="2"/>
  <c r="O88" i="2" s="1"/>
  <c r="P88" i="2" s="1"/>
  <c r="Q88" i="2" s="1"/>
  <c r="R88" i="2" s="1"/>
  <c r="I84" i="2" l="1"/>
  <c r="N89" i="2"/>
  <c r="O89" i="2" s="1"/>
  <c r="P89" i="2" s="1"/>
  <c r="Q89" i="2" s="1"/>
  <c r="R89" i="2" s="1"/>
  <c r="L89" i="2"/>
  <c r="M90" i="2" l="1"/>
  <c r="J85" i="2"/>
  <c r="K85" i="2" s="1"/>
  <c r="I85" i="2" l="1"/>
  <c r="N90" i="2"/>
  <c r="O90" i="2" s="1"/>
  <c r="P90" i="2" s="1"/>
  <c r="Q90" i="2" s="1"/>
  <c r="R90" i="2" s="1"/>
  <c r="L90" i="2"/>
  <c r="M91" i="2" l="1"/>
  <c r="J86" i="2"/>
  <c r="K86" i="2" s="1"/>
  <c r="N91" i="2" l="1"/>
  <c r="O91" i="2" s="1"/>
  <c r="P91" i="2" s="1"/>
  <c r="Q91" i="2" s="1"/>
  <c r="R91" i="2" s="1"/>
  <c r="I86" i="2"/>
  <c r="L91" i="2"/>
  <c r="M92" i="2" l="1"/>
  <c r="J87" i="2"/>
  <c r="K87" i="2" s="1"/>
  <c r="I87" i="2" l="1"/>
  <c r="N92" i="2"/>
  <c r="O92" i="2" s="1"/>
  <c r="P92" i="2" s="1"/>
  <c r="Q92" i="2" s="1"/>
  <c r="R92" i="2" s="1"/>
  <c r="L92" i="2"/>
  <c r="M93" i="2" l="1"/>
  <c r="J88" i="2"/>
  <c r="K88" i="2" s="1"/>
  <c r="I88" i="2" l="1"/>
  <c r="N93" i="2"/>
  <c r="O93" i="2" s="1"/>
  <c r="P93" i="2" s="1"/>
  <c r="L93" i="2"/>
  <c r="M94" i="2" l="1"/>
  <c r="Q93" i="2"/>
  <c r="R93" i="2" s="1"/>
  <c r="J89" i="2"/>
  <c r="K89" i="2" s="1"/>
  <c r="I89" i="2" l="1"/>
  <c r="N94" i="2"/>
  <c r="O94" i="2" s="1"/>
  <c r="P94" i="2" s="1"/>
  <c r="L94" i="2"/>
  <c r="M95" i="2" l="1"/>
  <c r="Q94" i="2"/>
  <c r="R94" i="2" s="1"/>
  <c r="J90" i="2"/>
  <c r="K90" i="2" s="1"/>
  <c r="I90" i="2" l="1"/>
  <c r="N95" i="2"/>
  <c r="O95" i="2" s="1"/>
  <c r="P95" i="2" s="1"/>
  <c r="L95" i="2"/>
  <c r="Q95" i="2" l="1"/>
  <c r="R95" i="2" s="1"/>
  <c r="M96" i="2"/>
  <c r="L96" i="2" s="1"/>
  <c r="J91" i="2"/>
  <c r="K91" i="2" s="1"/>
  <c r="M97" i="2" l="1"/>
  <c r="I91" i="2"/>
  <c r="N96" i="2"/>
  <c r="O96" i="2" s="1"/>
  <c r="P96" i="2" s="1"/>
  <c r="N97" i="2" l="1"/>
  <c r="O97" i="2" s="1"/>
  <c r="P97" i="2" s="1"/>
  <c r="Q97" i="2" s="1"/>
  <c r="Q96" i="2"/>
  <c r="R96" i="2" s="1"/>
  <c r="J92" i="2"/>
  <c r="K92" i="2" s="1"/>
  <c r="L97" i="2"/>
  <c r="R97" i="2" l="1"/>
  <c r="M98" i="2"/>
  <c r="I92" i="2"/>
  <c r="J93" i="2" l="1"/>
  <c r="K93" i="2" s="1"/>
  <c r="N98" i="2"/>
  <c r="O98" i="2" s="1"/>
  <c r="P98" i="2" s="1"/>
  <c r="Q98" i="2" s="1"/>
  <c r="R98" i="2" s="1"/>
  <c r="L98" i="2"/>
  <c r="M99" i="2" l="1"/>
  <c r="I93" i="2"/>
  <c r="J94" i="2" l="1"/>
  <c r="K94" i="2" s="1"/>
  <c r="N99" i="2"/>
  <c r="O99" i="2" s="1"/>
  <c r="P99" i="2" s="1"/>
  <c r="Q99" i="2" s="1"/>
  <c r="R99" i="2" s="1"/>
  <c r="L99" i="2"/>
  <c r="M100" i="2" l="1"/>
  <c r="I94" i="2"/>
  <c r="N100" i="2" l="1"/>
  <c r="O100" i="2" s="1"/>
  <c r="P100" i="2" s="1"/>
  <c r="Q100" i="2" s="1"/>
  <c r="R100" i="2" s="1"/>
  <c r="L100" i="2"/>
  <c r="J95" i="2"/>
  <c r="K95" i="2" s="1"/>
  <c r="I95" i="2" l="1"/>
  <c r="M101" i="2"/>
  <c r="N101" i="2" l="1"/>
  <c r="O101" i="2" s="1"/>
  <c r="P101" i="2" s="1"/>
  <c r="Q101" i="2" s="1"/>
  <c r="R101" i="2" s="1"/>
  <c r="L101" i="2"/>
  <c r="J96" i="2"/>
  <c r="K96" i="2" s="1"/>
  <c r="I96" i="2" l="1"/>
  <c r="M102" i="2"/>
  <c r="N102" i="2" l="1"/>
  <c r="O102" i="2" s="1"/>
  <c r="P102" i="2" s="1"/>
  <c r="Q102" i="2" s="1"/>
  <c r="R102" i="2" s="1"/>
  <c r="L102" i="2"/>
  <c r="J97" i="2"/>
  <c r="K97" i="2" s="1"/>
  <c r="I97" i="2" l="1"/>
  <c r="M103" i="2"/>
  <c r="L103" i="2" s="1"/>
  <c r="M104" i="2" l="1"/>
  <c r="N103" i="2"/>
  <c r="O103" i="2" s="1"/>
  <c r="P103" i="2" s="1"/>
  <c r="Q103" i="2" s="1"/>
  <c r="R103" i="2" s="1"/>
  <c r="J98" i="2"/>
  <c r="K98" i="2" s="1"/>
  <c r="I98" i="2" l="1"/>
  <c r="N104" i="2"/>
  <c r="O104" i="2" s="1"/>
  <c r="P104" i="2" s="1"/>
  <c r="Q104" i="2" s="1"/>
  <c r="R104" i="2" s="1"/>
  <c r="L104" i="2"/>
  <c r="M105" i="2" l="1"/>
  <c r="J99" i="2"/>
  <c r="K99" i="2" s="1"/>
  <c r="N105" i="2" l="1"/>
  <c r="O105" i="2" s="1"/>
  <c r="P105" i="2" s="1"/>
  <c r="I99" i="2"/>
  <c r="L105" i="2"/>
  <c r="M106" i="2" l="1"/>
  <c r="J100" i="2"/>
  <c r="K100" i="2" s="1"/>
  <c r="Q105" i="2"/>
  <c r="R105" i="2" s="1"/>
  <c r="I100" i="2" l="1"/>
  <c r="N106" i="2"/>
  <c r="O106" i="2" s="1"/>
  <c r="P106" i="2" s="1"/>
  <c r="L106" i="2"/>
  <c r="Q106" i="2" l="1"/>
  <c r="R106" i="2" s="1"/>
  <c r="M107" i="2"/>
  <c r="J101" i="2"/>
  <c r="K101" i="2" s="1"/>
  <c r="N107" i="2" l="1"/>
  <c r="O107" i="2" s="1"/>
  <c r="P107" i="2" s="1"/>
  <c r="L107" i="2"/>
  <c r="I101" i="2"/>
  <c r="M108" i="2" l="1"/>
  <c r="Q107" i="2"/>
  <c r="R107" i="2" s="1"/>
  <c r="J102" i="2"/>
  <c r="K102" i="2" s="1"/>
  <c r="I102" i="2" l="1"/>
  <c r="N108" i="2"/>
  <c r="O108" i="2" s="1"/>
  <c r="P108" i="2" s="1"/>
  <c r="L108" i="2"/>
  <c r="Q108" i="2" l="1"/>
  <c r="R108" i="2" s="1"/>
  <c r="M109" i="2"/>
  <c r="J103" i="2"/>
  <c r="K103" i="2" s="1"/>
  <c r="I103" i="2" l="1"/>
  <c r="N109" i="2"/>
  <c r="O109" i="2" s="1"/>
  <c r="P109" i="2" s="1"/>
  <c r="Q109" i="2" s="1"/>
  <c r="R109" i="2" s="1"/>
  <c r="L109" i="2"/>
  <c r="M110" i="2" l="1"/>
  <c r="J104" i="2"/>
  <c r="K104" i="2" s="1"/>
  <c r="N110" i="2" l="1"/>
  <c r="O110" i="2" s="1"/>
  <c r="P110" i="2" s="1"/>
  <c r="Q110" i="2" s="1"/>
  <c r="R110" i="2" s="1"/>
  <c r="I104" i="2"/>
  <c r="L110" i="2"/>
  <c r="M111" i="2" l="1"/>
  <c r="J105" i="2"/>
  <c r="K105" i="2" s="1"/>
  <c r="I105" i="2" l="1"/>
  <c r="N111" i="2"/>
  <c r="O111" i="2" s="1"/>
  <c r="P111" i="2" s="1"/>
  <c r="Q111" i="2" s="1"/>
  <c r="R111" i="2" s="1"/>
  <c r="L111" i="2"/>
  <c r="M112" i="2" l="1"/>
  <c r="J106" i="2"/>
  <c r="K106" i="2" s="1"/>
  <c r="I106" i="2" l="1"/>
  <c r="N112" i="2"/>
  <c r="O112" i="2" s="1"/>
  <c r="P112" i="2" s="1"/>
  <c r="Q112" i="2" s="1"/>
  <c r="R112" i="2" s="1"/>
  <c r="L112" i="2"/>
  <c r="M113" i="2" l="1"/>
  <c r="J107" i="2"/>
  <c r="K107" i="2" s="1"/>
  <c r="N113" i="2" l="1"/>
  <c r="O113" i="2" s="1"/>
  <c r="P113" i="2" s="1"/>
  <c r="Q113" i="2" s="1"/>
  <c r="R113" i="2" s="1"/>
  <c r="I107" i="2"/>
  <c r="L113" i="2"/>
  <c r="M114" i="2" l="1"/>
  <c r="J108" i="2"/>
  <c r="K108" i="2" s="1"/>
  <c r="I108" i="2" l="1"/>
  <c r="N114" i="2"/>
  <c r="O114" i="2" s="1"/>
  <c r="P114" i="2" s="1"/>
  <c r="Q114" i="2" s="1"/>
  <c r="R114" i="2" s="1"/>
  <c r="L114" i="2"/>
  <c r="M115" i="2" l="1"/>
  <c r="J109" i="2"/>
  <c r="K109" i="2" s="1"/>
  <c r="I109" i="2" l="1"/>
  <c r="N115" i="2"/>
  <c r="O115" i="2" s="1"/>
  <c r="P115" i="2" s="1"/>
  <c r="Q115" i="2" s="1"/>
  <c r="R115" i="2" s="1"/>
  <c r="L115" i="2"/>
  <c r="M116" i="2" l="1"/>
  <c r="J110" i="2"/>
  <c r="K110" i="2" s="1"/>
  <c r="I110" i="2" l="1"/>
  <c r="N116" i="2"/>
  <c r="O116" i="2" s="1"/>
  <c r="P116" i="2" s="1"/>
  <c r="Q116" i="2" s="1"/>
  <c r="R116" i="2" s="1"/>
  <c r="L116" i="2"/>
  <c r="M117" i="2" l="1"/>
  <c r="J111" i="2"/>
  <c r="K111" i="2" s="1"/>
  <c r="N117" i="2" l="1"/>
  <c r="O117" i="2" s="1"/>
  <c r="P117" i="2" s="1"/>
  <c r="I111" i="2"/>
  <c r="L117" i="2"/>
  <c r="Q117" i="2" l="1"/>
  <c r="R117" i="2" s="1"/>
  <c r="M118" i="2"/>
  <c r="J112" i="2"/>
  <c r="K112" i="2" s="1"/>
  <c r="I112" i="2" l="1"/>
  <c r="N118" i="2"/>
  <c r="O118" i="2" s="1"/>
  <c r="P118" i="2" s="1"/>
  <c r="L118" i="2"/>
  <c r="Q118" i="2" l="1"/>
  <c r="R118" i="2" s="1"/>
  <c r="M119" i="2"/>
  <c r="L119" i="2" s="1"/>
  <c r="J113" i="2"/>
  <c r="K113" i="2" s="1"/>
  <c r="M120" i="2" l="1"/>
  <c r="I113" i="2"/>
  <c r="N119" i="2"/>
  <c r="O119" i="2" s="1"/>
  <c r="P119" i="2" s="1"/>
  <c r="Q119" i="2" l="1"/>
  <c r="R119" i="2" s="1"/>
  <c r="N120" i="2"/>
  <c r="O120" i="2" s="1"/>
  <c r="P120" i="2" s="1"/>
  <c r="Q120" i="2" s="1"/>
  <c r="J114" i="2"/>
  <c r="K114" i="2" s="1"/>
  <c r="L120" i="2"/>
  <c r="M121" i="2" l="1"/>
  <c r="I114" i="2"/>
  <c r="R120" i="2"/>
  <c r="J115" i="2" l="1"/>
  <c r="K115" i="2" s="1"/>
  <c r="N121" i="2"/>
  <c r="O121" i="2" s="1"/>
  <c r="P121" i="2" s="1"/>
  <c r="Q121" i="2" s="1"/>
  <c r="R121" i="2" s="1"/>
  <c r="L121" i="2"/>
  <c r="M122" i="2" l="1"/>
  <c r="I115" i="2"/>
  <c r="J116" i="2" l="1"/>
  <c r="K116" i="2" s="1"/>
  <c r="N122" i="2"/>
  <c r="O122" i="2" s="1"/>
  <c r="P122" i="2" s="1"/>
  <c r="Q122" i="2" s="1"/>
  <c r="R122" i="2" s="1"/>
  <c r="L122" i="2"/>
  <c r="M123" i="2" l="1"/>
  <c r="I116" i="2"/>
  <c r="N123" i="2" l="1"/>
  <c r="O123" i="2" s="1"/>
  <c r="P123" i="2" s="1"/>
  <c r="Q123" i="2" s="1"/>
  <c r="R123" i="2" s="1"/>
  <c r="J117" i="2"/>
  <c r="K117" i="2" s="1"/>
  <c r="L123" i="2"/>
  <c r="M124" i="2" l="1"/>
  <c r="I117" i="2"/>
  <c r="J118" i="2" l="1"/>
  <c r="K118" i="2" s="1"/>
  <c r="N124" i="2"/>
  <c r="O124" i="2" s="1"/>
  <c r="P124" i="2" s="1"/>
  <c r="Q124" i="2" s="1"/>
  <c r="R124" i="2" s="1"/>
  <c r="L124" i="2"/>
  <c r="M125" i="2" l="1"/>
  <c r="I118" i="2"/>
  <c r="J119" i="2" l="1"/>
  <c r="K119" i="2" s="1"/>
  <c r="N125" i="2"/>
  <c r="O125" i="2" s="1"/>
  <c r="P125" i="2" s="1"/>
  <c r="Q125" i="2" s="1"/>
  <c r="R125" i="2" s="1"/>
  <c r="L125" i="2"/>
  <c r="M126" i="2" l="1"/>
  <c r="I119" i="2"/>
  <c r="J120" i="2" l="1"/>
  <c r="K120" i="2" s="1"/>
  <c r="N126" i="2"/>
  <c r="O126" i="2" s="1"/>
  <c r="P126" i="2" s="1"/>
  <c r="Q126" i="2" s="1"/>
  <c r="R126" i="2" s="1"/>
  <c r="L126" i="2"/>
  <c r="M127" i="2" l="1"/>
  <c r="I120" i="2"/>
  <c r="N127" i="2" l="1"/>
  <c r="O127" i="2" s="1"/>
  <c r="P127" i="2" s="1"/>
  <c r="Q127" i="2" s="1"/>
  <c r="R127" i="2" s="1"/>
  <c r="J121" i="2"/>
  <c r="K121" i="2" s="1"/>
  <c r="L127" i="2"/>
  <c r="M128" i="2" l="1"/>
  <c r="I121" i="2"/>
  <c r="N128" i="2" l="1"/>
  <c r="O128" i="2" s="1"/>
  <c r="P128" i="2" s="1"/>
  <c r="Q128" i="2" s="1"/>
  <c r="R128" i="2" s="1"/>
  <c r="J122" i="2"/>
  <c r="K122" i="2" s="1"/>
  <c r="L128" i="2"/>
  <c r="M129" i="2" l="1"/>
  <c r="I122" i="2"/>
  <c r="J123" i="2" l="1"/>
  <c r="K123" i="2" s="1"/>
  <c r="N129" i="2"/>
  <c r="O129" i="2" s="1"/>
  <c r="P129" i="2" s="1"/>
  <c r="L129" i="2"/>
  <c r="M130" i="2" l="1"/>
  <c r="Q129" i="2"/>
  <c r="R129" i="2" s="1"/>
  <c r="I123" i="2"/>
  <c r="J124" i="2" l="1"/>
  <c r="K124" i="2" s="1"/>
  <c r="N130" i="2"/>
  <c r="O130" i="2" s="1"/>
  <c r="P130" i="2" s="1"/>
  <c r="L130" i="2"/>
  <c r="Q130" i="2" l="1"/>
  <c r="R130" i="2" s="1"/>
  <c r="M131" i="2"/>
  <c r="I124" i="2"/>
  <c r="J125" i="2" l="1"/>
  <c r="K125" i="2" s="1"/>
  <c r="N131" i="2"/>
  <c r="O131" i="2" s="1"/>
  <c r="P131" i="2" s="1"/>
  <c r="L131" i="2"/>
  <c r="M132" i="2" l="1"/>
  <c r="Q131" i="2"/>
  <c r="R131" i="2" s="1"/>
  <c r="I125" i="2"/>
  <c r="J126" i="2" l="1"/>
  <c r="K126" i="2" s="1"/>
  <c r="N132" i="2"/>
  <c r="O132" i="2" s="1"/>
  <c r="P132" i="2" s="1"/>
  <c r="L132" i="2"/>
  <c r="Q132" i="2" l="1"/>
  <c r="R132" i="2" s="1"/>
  <c r="M133" i="2"/>
  <c r="I126" i="2"/>
  <c r="J127" i="2" l="1"/>
  <c r="K127" i="2" s="1"/>
  <c r="N133" i="2"/>
  <c r="O133" i="2" s="1"/>
  <c r="P133" i="2" s="1"/>
  <c r="Q133" i="2" s="1"/>
  <c r="R133" i="2" s="1"/>
  <c r="L133" i="2"/>
  <c r="M134" i="2" l="1"/>
  <c r="I127" i="2"/>
  <c r="N134" i="2" l="1"/>
  <c r="O134" i="2" s="1"/>
  <c r="P134" i="2" s="1"/>
  <c r="Q134" i="2" s="1"/>
  <c r="R134" i="2" s="1"/>
  <c r="J128" i="2"/>
  <c r="K128" i="2" s="1"/>
  <c r="L134" i="2"/>
  <c r="I128" i="2" l="1"/>
  <c r="J129" i="2" s="1"/>
  <c r="K129" i="2" s="1"/>
  <c r="M135" i="2"/>
  <c r="N135" i="2" l="1"/>
  <c r="O135" i="2" s="1"/>
  <c r="P135" i="2" s="1"/>
  <c r="Q135" i="2" s="1"/>
  <c r="R135" i="2" s="1"/>
  <c r="I129" i="2"/>
  <c r="L135" i="2"/>
  <c r="J130" i="2" l="1"/>
  <c r="K130" i="2" s="1"/>
  <c r="M136" i="2"/>
  <c r="N136" i="2" l="1"/>
  <c r="O136" i="2" s="1"/>
  <c r="P136" i="2" s="1"/>
  <c r="Q136" i="2" s="1"/>
  <c r="R136" i="2" s="1"/>
  <c r="L136" i="2"/>
  <c r="I130" i="2"/>
  <c r="M137" i="2" l="1"/>
  <c r="J131" i="2"/>
  <c r="K131" i="2" s="1"/>
  <c r="N137" i="2" l="1"/>
  <c r="O137" i="2" s="1"/>
  <c r="P137" i="2" s="1"/>
  <c r="Q137" i="2" s="1"/>
  <c r="R137" i="2" s="1"/>
  <c r="I131" i="2"/>
  <c r="L137" i="2"/>
  <c r="M138" i="2" l="1"/>
  <c r="J132" i="2"/>
  <c r="K132" i="2" s="1"/>
  <c r="N138" i="2" l="1"/>
  <c r="O138" i="2" s="1"/>
  <c r="P138" i="2" s="1"/>
  <c r="Q138" i="2" s="1"/>
  <c r="R138" i="2" s="1"/>
  <c r="I132" i="2"/>
  <c r="L138" i="2"/>
  <c r="M139" i="2" l="1"/>
  <c r="J133" i="2"/>
  <c r="K133" i="2" s="1"/>
  <c r="I133" i="2" l="1"/>
  <c r="N139" i="2"/>
  <c r="O139" i="2" s="1"/>
  <c r="P139" i="2" s="1"/>
  <c r="Q139" i="2" s="1"/>
  <c r="R139" i="2" s="1"/>
  <c r="L139" i="2"/>
  <c r="M140" i="2" l="1"/>
  <c r="J134" i="2"/>
  <c r="K134" i="2" s="1"/>
  <c r="N140" i="2" l="1"/>
  <c r="O140" i="2" s="1"/>
  <c r="P140" i="2" s="1"/>
  <c r="Q140" i="2" s="1"/>
  <c r="R140" i="2" s="1"/>
  <c r="I134" i="2"/>
  <c r="L140" i="2"/>
  <c r="M141" i="2" l="1"/>
  <c r="J135" i="2"/>
  <c r="K135" i="2" s="1"/>
  <c r="I135" i="2" l="1"/>
  <c r="N141" i="2"/>
  <c r="O141" i="2" s="1"/>
  <c r="P141" i="2" s="1"/>
  <c r="L141" i="2"/>
  <c r="M142" i="2" l="1"/>
  <c r="Q141" i="2"/>
  <c r="R141" i="2" s="1"/>
  <c r="J136" i="2"/>
  <c r="K136" i="2" s="1"/>
  <c r="I136" i="2" l="1"/>
  <c r="N142" i="2"/>
  <c r="O142" i="2" s="1"/>
  <c r="P142" i="2" s="1"/>
  <c r="L142" i="2"/>
  <c r="M143" i="2" l="1"/>
  <c r="Q142" i="2"/>
  <c r="R142" i="2" s="1"/>
  <c r="J137" i="2"/>
  <c r="K137" i="2" s="1"/>
  <c r="I137" i="2" l="1"/>
  <c r="N143" i="2"/>
  <c r="O143" i="2" s="1"/>
  <c r="P143" i="2" s="1"/>
  <c r="L143" i="2"/>
  <c r="M144" i="2" l="1"/>
  <c r="Q143" i="2"/>
  <c r="R143" i="2" s="1"/>
  <c r="J138" i="2"/>
  <c r="K138" i="2" s="1"/>
  <c r="N144" i="2" l="1"/>
  <c r="O144" i="2" s="1"/>
  <c r="P144" i="2" s="1"/>
  <c r="I138" i="2"/>
  <c r="L144" i="2"/>
  <c r="Q144" i="2" l="1"/>
  <c r="R144" i="2" s="1"/>
  <c r="M145" i="2"/>
  <c r="J139" i="2"/>
  <c r="K139" i="2" s="1"/>
  <c r="I139" i="2" l="1"/>
  <c r="N145" i="2"/>
  <c r="O145" i="2" s="1"/>
  <c r="P145" i="2" s="1"/>
  <c r="Q145" i="2" s="1"/>
  <c r="R145" i="2" s="1"/>
  <c r="L145" i="2"/>
  <c r="M146" i="2" l="1"/>
  <c r="L146" i="2" s="1"/>
  <c r="J140" i="2"/>
  <c r="K140" i="2" s="1"/>
  <c r="M147" i="2" l="1"/>
  <c r="I140" i="2"/>
  <c r="N146" i="2"/>
  <c r="O146" i="2" s="1"/>
  <c r="P146" i="2" s="1"/>
  <c r="Q146" i="2" s="1"/>
  <c r="R146" i="2" s="1"/>
  <c r="N147" i="2" l="1"/>
  <c r="O147" i="2" s="1"/>
  <c r="P147" i="2" s="1"/>
  <c r="Q147" i="2" s="1"/>
  <c r="R147" i="2" s="1"/>
  <c r="J141" i="2"/>
  <c r="K141" i="2" s="1"/>
  <c r="L147" i="2"/>
  <c r="M148" i="2" l="1"/>
  <c r="L148" i="2" s="1"/>
  <c r="I141" i="2"/>
  <c r="M149" i="2" l="1"/>
  <c r="L149" i="2" s="1"/>
  <c r="J142" i="2"/>
  <c r="K142" i="2" s="1"/>
  <c r="N148" i="2"/>
  <c r="O148" i="2" s="1"/>
  <c r="P148" i="2" s="1"/>
  <c r="Q148" i="2" s="1"/>
  <c r="R148" i="2" s="1"/>
  <c r="I142" i="2" l="1"/>
  <c r="J143" i="2" s="1"/>
  <c r="K143" i="2" s="1"/>
  <c r="N149" i="2"/>
  <c r="O149" i="2" s="1"/>
  <c r="P149" i="2" s="1"/>
  <c r="Q149" i="2" s="1"/>
  <c r="R149" i="2" s="1"/>
  <c r="M150" i="2"/>
  <c r="N150" i="2" l="1"/>
  <c r="O150" i="2" s="1"/>
  <c r="P150" i="2" s="1"/>
  <c r="Q150" i="2" s="1"/>
  <c r="R150" i="2" s="1"/>
  <c r="L150" i="2"/>
  <c r="I143" i="2"/>
  <c r="J144" i="2" l="1"/>
  <c r="K144" i="2" s="1"/>
  <c r="M151" i="2"/>
  <c r="N151" i="2" l="1"/>
  <c r="O151" i="2" s="1"/>
  <c r="P151" i="2" s="1"/>
  <c r="Q151" i="2" s="1"/>
  <c r="R151" i="2" s="1"/>
  <c r="L151" i="2"/>
  <c r="I144" i="2"/>
  <c r="M152" i="2" l="1"/>
  <c r="J145" i="2"/>
  <c r="K145" i="2" s="1"/>
  <c r="I145" i="2" l="1"/>
  <c r="N152" i="2"/>
  <c r="O152" i="2" s="1"/>
  <c r="P152" i="2" s="1"/>
  <c r="Q152" i="2" s="1"/>
  <c r="R152" i="2" s="1"/>
  <c r="L152" i="2"/>
  <c r="M153" i="2" l="1"/>
  <c r="J146" i="2"/>
  <c r="K146" i="2" s="1"/>
  <c r="I146" i="2" l="1"/>
  <c r="N153" i="2"/>
  <c r="O153" i="2" s="1"/>
  <c r="P153" i="2" s="1"/>
  <c r="L153" i="2"/>
  <c r="M154" i="2" l="1"/>
  <c r="Q153" i="2"/>
  <c r="R153" i="2" s="1"/>
  <c r="J147" i="2"/>
  <c r="K147" i="2" s="1"/>
  <c r="I147" i="2" l="1"/>
  <c r="N154" i="2"/>
  <c r="O154" i="2" s="1"/>
  <c r="P154" i="2" s="1"/>
  <c r="L154" i="2"/>
  <c r="Q154" i="2" l="1"/>
  <c r="R154" i="2" s="1"/>
  <c r="M155" i="2"/>
  <c r="J148" i="2"/>
  <c r="K148" i="2" s="1"/>
  <c r="N155" i="2" l="1"/>
  <c r="O155" i="2" s="1"/>
  <c r="P155" i="2" s="1"/>
  <c r="I148" i="2"/>
  <c r="L155" i="2"/>
  <c r="Q155" i="2" l="1"/>
  <c r="R155" i="2" s="1"/>
  <c r="M156" i="2"/>
  <c r="J149" i="2"/>
  <c r="K149" i="2" s="1"/>
  <c r="I149" i="2" l="1"/>
  <c r="N156" i="2"/>
  <c r="O156" i="2" s="1"/>
  <c r="P156" i="2" s="1"/>
  <c r="L156" i="2"/>
  <c r="M157" i="2" l="1"/>
  <c r="Q156" i="2"/>
  <c r="R156" i="2" s="1"/>
  <c r="J150" i="2"/>
  <c r="K150" i="2" s="1"/>
  <c r="N157" i="2" l="1"/>
  <c r="O157" i="2" s="1"/>
  <c r="P157" i="2" s="1"/>
  <c r="Q157" i="2" s="1"/>
  <c r="R157" i="2" s="1"/>
  <c r="I150" i="2"/>
  <c r="L157" i="2"/>
  <c r="M158" i="2" l="1"/>
  <c r="J151" i="2"/>
  <c r="K151" i="2" s="1"/>
  <c r="I151" i="2" l="1"/>
  <c r="N158" i="2"/>
  <c r="O158" i="2" s="1"/>
  <c r="P158" i="2" s="1"/>
  <c r="Q158" i="2" s="1"/>
  <c r="R158" i="2" s="1"/>
  <c r="L158" i="2"/>
  <c r="M159" i="2" l="1"/>
  <c r="J152" i="2"/>
  <c r="K152" i="2" s="1"/>
  <c r="I152" i="2" l="1"/>
  <c r="N159" i="2"/>
  <c r="O159" i="2" s="1"/>
  <c r="P159" i="2" s="1"/>
  <c r="Q159" i="2" s="1"/>
  <c r="R159" i="2" s="1"/>
  <c r="L159" i="2"/>
  <c r="M160" i="2" l="1"/>
  <c r="J153" i="2"/>
  <c r="K153" i="2" s="1"/>
  <c r="I153" i="2" l="1"/>
  <c r="N160" i="2"/>
  <c r="O160" i="2" s="1"/>
  <c r="P160" i="2" s="1"/>
  <c r="Q160" i="2" s="1"/>
  <c r="R160" i="2" s="1"/>
  <c r="L160" i="2"/>
  <c r="M161" i="2" l="1"/>
  <c r="J154" i="2"/>
  <c r="K154" i="2" s="1"/>
  <c r="N161" i="2" l="1"/>
  <c r="O161" i="2" s="1"/>
  <c r="P161" i="2" s="1"/>
  <c r="Q161" i="2" s="1"/>
  <c r="R161" i="2" s="1"/>
  <c r="I154" i="2"/>
  <c r="L161" i="2"/>
  <c r="M162" i="2" l="1"/>
  <c r="J155" i="2"/>
  <c r="K155" i="2" s="1"/>
  <c r="I155" i="2" l="1"/>
  <c r="N162" i="2"/>
  <c r="O162" i="2" s="1"/>
  <c r="P162" i="2" s="1"/>
  <c r="Q162" i="2" s="1"/>
  <c r="R162" i="2" s="1"/>
  <c r="L162" i="2"/>
  <c r="M163" i="2" l="1"/>
  <c r="J156" i="2"/>
  <c r="K156" i="2" s="1"/>
  <c r="N163" i="2" l="1"/>
  <c r="O163" i="2" s="1"/>
  <c r="P163" i="2" s="1"/>
  <c r="Q163" i="2" s="1"/>
  <c r="R163" i="2" s="1"/>
  <c r="I156" i="2"/>
  <c r="L163" i="2"/>
  <c r="M164" i="2" l="1"/>
  <c r="J157" i="2"/>
  <c r="K157" i="2" s="1"/>
  <c r="N164" i="2" l="1"/>
  <c r="O164" i="2" s="1"/>
  <c r="P164" i="2" s="1"/>
  <c r="I157" i="2"/>
  <c r="L164" i="2"/>
  <c r="J158" i="2" l="1"/>
  <c r="K158" i="2" s="1"/>
  <c r="Q164" i="2"/>
  <c r="R164" i="2" s="1"/>
  <c r="I173" i="2"/>
  <c r="I174" i="2"/>
  <c r="AI172" i="2"/>
  <c r="I175" i="2"/>
  <c r="I176" i="2"/>
  <c r="I177" i="2"/>
  <c r="I178" i="2"/>
  <c r="I179" i="2"/>
  <c r="I180" i="2"/>
  <c r="I181" i="2"/>
  <c r="I182" i="2"/>
  <c r="BA182" i="2" l="1"/>
  <c r="BC182" i="2"/>
  <c r="BA180" i="2"/>
  <c r="BC180" i="2"/>
  <c r="BA178" i="2"/>
  <c r="BC178" i="2"/>
  <c r="BA179" i="2"/>
  <c r="BC179" i="2"/>
  <c r="BA181" i="2"/>
  <c r="BC181" i="2"/>
  <c r="BA175" i="2"/>
  <c r="BC175" i="2"/>
  <c r="BA174" i="2"/>
  <c r="BC174" i="2"/>
  <c r="BA176" i="2"/>
  <c r="BC176" i="2"/>
  <c r="BA177" i="2"/>
  <c r="BC177" i="2"/>
  <c r="BA173" i="2"/>
  <c r="BC173" i="2"/>
  <c r="I237" i="2"/>
  <c r="AD175" i="2"/>
  <c r="J175" i="2"/>
  <c r="I243" i="2"/>
  <c r="AD181" i="2"/>
  <c r="J181" i="2"/>
  <c r="AD174" i="2"/>
  <c r="I236" i="2"/>
  <c r="J174" i="2"/>
  <c r="AD180" i="2"/>
  <c r="I242" i="2"/>
  <c r="J180" i="2"/>
  <c r="I235" i="2"/>
  <c r="AD173" i="2"/>
  <c r="J173" i="2"/>
  <c r="I183" i="2"/>
  <c r="AD182" i="2"/>
  <c r="I244" i="2"/>
  <c r="J182" i="2"/>
  <c r="I241" i="2"/>
  <c r="AD179" i="2"/>
  <c r="J179" i="2"/>
  <c r="E380" i="26"/>
  <c r="AJ172" i="2"/>
  <c r="AK172" i="2" s="1"/>
  <c r="I238" i="2"/>
  <c r="AD176" i="2"/>
  <c r="J176" i="2"/>
  <c r="I240" i="2"/>
  <c r="AD178" i="2"/>
  <c r="J178" i="2"/>
  <c r="AD177" i="2"/>
  <c r="I239" i="2"/>
  <c r="J177" i="2"/>
  <c r="I158" i="2"/>
  <c r="BA183" i="2" l="1"/>
  <c r="BC183" i="2"/>
  <c r="I245" i="2"/>
  <c r="I184" i="2"/>
  <c r="J183" i="2"/>
  <c r="J244" i="2"/>
  <c r="AE182" i="2"/>
  <c r="L182" i="2"/>
  <c r="P39" i="15"/>
  <c r="AE173" i="2"/>
  <c r="J235" i="2"/>
  <c r="J25" i="37"/>
  <c r="M1" i="21"/>
  <c r="K173" i="2"/>
  <c r="L173" i="2"/>
  <c r="M173" i="2" s="1"/>
  <c r="AE179" i="2"/>
  <c r="J241" i="2"/>
  <c r="L179" i="2"/>
  <c r="L181" i="2"/>
  <c r="AE181" i="2"/>
  <c r="J243" i="2"/>
  <c r="L175" i="2"/>
  <c r="AE175" i="2"/>
  <c r="J237" i="2"/>
  <c r="R35" i="2"/>
  <c r="K2" i="21"/>
  <c r="J24" i="37"/>
  <c r="P38" i="15"/>
  <c r="L506" i="28"/>
  <c r="L533" i="43"/>
  <c r="E381" i="26"/>
  <c r="L178" i="2"/>
  <c r="AE178" i="2"/>
  <c r="J240" i="2"/>
  <c r="J242" i="2"/>
  <c r="L180" i="2"/>
  <c r="AE180" i="2"/>
  <c r="J238" i="2"/>
  <c r="L176" i="2"/>
  <c r="AE176" i="2"/>
  <c r="J159" i="2"/>
  <c r="K159" i="2" s="1"/>
  <c r="L177" i="2"/>
  <c r="AE177" i="2"/>
  <c r="J239" i="2"/>
  <c r="AE174" i="2"/>
  <c r="L174" i="2"/>
  <c r="J236" i="2"/>
  <c r="BA184" i="2" l="1"/>
  <c r="BC184" i="2"/>
  <c r="K174" i="2"/>
  <c r="N174" i="2" s="1"/>
  <c r="BD173" i="2"/>
  <c r="M174" i="2"/>
  <c r="M175" i="2" s="1"/>
  <c r="M176" i="2" s="1"/>
  <c r="M177" i="2" s="1"/>
  <c r="M178" i="2" s="1"/>
  <c r="M179" i="2" s="1"/>
  <c r="M180" i="2" s="1"/>
  <c r="M181" i="2" s="1"/>
  <c r="M182" i="2" s="1"/>
  <c r="I159" i="2"/>
  <c r="J160" i="2" s="1"/>
  <c r="K160" i="2" s="1"/>
  <c r="AF173" i="2"/>
  <c r="O173" i="2"/>
  <c r="N173" i="2"/>
  <c r="L244" i="2"/>
  <c r="L239" i="2"/>
  <c r="L237" i="2"/>
  <c r="L241" i="2"/>
  <c r="J245" i="2"/>
  <c r="L183" i="2"/>
  <c r="E382" i="26"/>
  <c r="G365" i="26"/>
  <c r="R506" i="28"/>
  <c r="R533" i="43"/>
  <c r="L235" i="2"/>
  <c r="M235" i="2" s="1"/>
  <c r="K235" i="2"/>
  <c r="K236" i="2" s="1"/>
  <c r="K237" i="2" s="1"/>
  <c r="K238" i="2" s="1"/>
  <c r="K239" i="2" s="1"/>
  <c r="K240" i="2" s="1"/>
  <c r="K241" i="2" s="1"/>
  <c r="K242" i="2" s="1"/>
  <c r="K243" i="2" s="1"/>
  <c r="K244" i="2" s="1"/>
  <c r="I185" i="2"/>
  <c r="I246" i="2"/>
  <c r="J184" i="2"/>
  <c r="L238" i="2"/>
  <c r="L236" i="2"/>
  <c r="L242" i="2"/>
  <c r="L243" i="2"/>
  <c r="L240" i="2"/>
  <c r="O174" i="2" l="1"/>
  <c r="AF174" i="2"/>
  <c r="BA185" i="2"/>
  <c r="BC185" i="2"/>
  <c r="K175" i="2"/>
  <c r="BD174" i="2"/>
  <c r="M183" i="2"/>
  <c r="I160" i="2"/>
  <c r="M236" i="2"/>
  <c r="M237" i="2" s="1"/>
  <c r="M238" i="2" s="1"/>
  <c r="M239" i="2" s="1"/>
  <c r="M240" i="2" s="1"/>
  <c r="M241" i="2" s="1"/>
  <c r="M242" i="2" s="1"/>
  <c r="M243" i="2" s="1"/>
  <c r="M244" i="2" s="1"/>
  <c r="I186" i="2"/>
  <c r="I247" i="2"/>
  <c r="J185" i="2"/>
  <c r="L184" i="2"/>
  <c r="J246" i="2"/>
  <c r="L245" i="2"/>
  <c r="K245" i="2"/>
  <c r="V506" i="28"/>
  <c r="V533" i="43"/>
  <c r="BA186" i="2" l="1"/>
  <c r="BC186" i="2"/>
  <c r="BD175" i="2"/>
  <c r="O175" i="2"/>
  <c r="AF175" i="2"/>
  <c r="K176" i="2"/>
  <c r="N175" i="2"/>
  <c r="M184" i="2"/>
  <c r="K246" i="2"/>
  <c r="L246" i="2"/>
  <c r="I187" i="2"/>
  <c r="I248" i="2"/>
  <c r="J186" i="2"/>
  <c r="L185" i="2"/>
  <c r="J247" i="2"/>
  <c r="M245" i="2"/>
  <c r="J161" i="2"/>
  <c r="K161" i="2" s="1"/>
  <c r="BA187" i="2" l="1"/>
  <c r="BC187" i="2"/>
  <c r="BD176" i="2"/>
  <c r="N176" i="2"/>
  <c r="K177" i="2"/>
  <c r="AF176" i="2"/>
  <c r="O176" i="2"/>
  <c r="M185" i="2"/>
  <c r="I161" i="2"/>
  <c r="L186" i="2"/>
  <c r="J248" i="2"/>
  <c r="M246" i="2"/>
  <c r="L247" i="2"/>
  <c r="K247" i="2"/>
  <c r="I249" i="2"/>
  <c r="I188" i="2"/>
  <c r="J187" i="2"/>
  <c r="BA188" i="2" l="1"/>
  <c r="BC188" i="2"/>
  <c r="BD177" i="2"/>
  <c r="AF177" i="2"/>
  <c r="O177" i="2"/>
  <c r="K178" i="2"/>
  <c r="N177" i="2"/>
  <c r="M186" i="2"/>
  <c r="M247" i="2"/>
  <c r="L187" i="2"/>
  <c r="J249" i="2"/>
  <c r="J162" i="2"/>
  <c r="K162" i="2" s="1"/>
  <c r="I250" i="2"/>
  <c r="I189" i="2"/>
  <c r="J188" i="2"/>
  <c r="K248" i="2"/>
  <c r="L248" i="2"/>
  <c r="BA189" i="2" l="1"/>
  <c r="BC189" i="2"/>
  <c r="BD178" i="2"/>
  <c r="N178" i="2"/>
  <c r="AF178" i="2"/>
  <c r="K179" i="2"/>
  <c r="O178" i="2"/>
  <c r="M187" i="2"/>
  <c r="I190" i="2"/>
  <c r="I251" i="2"/>
  <c r="J189" i="2"/>
  <c r="M248" i="2"/>
  <c r="J250" i="2"/>
  <c r="L188" i="2"/>
  <c r="K249" i="2"/>
  <c r="L249" i="2"/>
  <c r="I162" i="2"/>
  <c r="BA190" i="2" l="1"/>
  <c r="BC190" i="2"/>
  <c r="BD179" i="2"/>
  <c r="AF179" i="2"/>
  <c r="K180" i="2"/>
  <c r="O179" i="2"/>
  <c r="N179" i="2"/>
  <c r="M188" i="2"/>
  <c r="M249" i="2"/>
  <c r="J163" i="2"/>
  <c r="K163" i="2" s="1"/>
  <c r="K250" i="2"/>
  <c r="L250" i="2"/>
  <c r="L189" i="2"/>
  <c r="J251" i="2"/>
  <c r="I191" i="2"/>
  <c r="I252" i="2"/>
  <c r="J190" i="2"/>
  <c r="BA191" i="2" l="1"/>
  <c r="BC191" i="2"/>
  <c r="BD180" i="2"/>
  <c r="N180" i="2"/>
  <c r="AF180" i="2"/>
  <c r="K181" i="2"/>
  <c r="O180" i="2"/>
  <c r="M189" i="2"/>
  <c r="M250" i="2"/>
  <c r="L190" i="2"/>
  <c r="J252" i="2"/>
  <c r="L251" i="2"/>
  <c r="K251" i="2"/>
  <c r="I192" i="2"/>
  <c r="I253" i="2"/>
  <c r="J191" i="2"/>
  <c r="I163" i="2"/>
  <c r="BA192" i="2" l="1"/>
  <c r="BC192" i="2"/>
  <c r="BD181" i="2"/>
  <c r="N181" i="2"/>
  <c r="O181" i="2"/>
  <c r="K182" i="2"/>
  <c r="AF181" i="2"/>
  <c r="M190" i="2"/>
  <c r="M251" i="2"/>
  <c r="L191" i="2"/>
  <c r="J253" i="2"/>
  <c r="I254" i="2"/>
  <c r="I193" i="2"/>
  <c r="J192" i="2"/>
  <c r="J164" i="2"/>
  <c r="K164" i="2" s="1"/>
  <c r="K252" i="2"/>
  <c r="L252" i="2"/>
  <c r="BA193" i="2" l="1"/>
  <c r="BC193" i="2"/>
  <c r="BD182" i="2"/>
  <c r="AF182" i="2"/>
  <c r="K183" i="2"/>
  <c r="N182" i="2"/>
  <c r="O182" i="2"/>
  <c r="M191" i="2"/>
  <c r="M252" i="2"/>
  <c r="I164" i="2"/>
  <c r="L192" i="2"/>
  <c r="J254" i="2"/>
  <c r="I194" i="2"/>
  <c r="I255" i="2"/>
  <c r="J193" i="2"/>
  <c r="K253" i="2"/>
  <c r="L253" i="2"/>
  <c r="AP173" i="2"/>
  <c r="AQ173" i="2" s="1"/>
  <c r="AP174" i="2"/>
  <c r="AQ174" i="2" s="1"/>
  <c r="AP175" i="2"/>
  <c r="AQ175" i="2" s="1"/>
  <c r="AP176" i="2"/>
  <c r="AQ176" i="2" s="1"/>
  <c r="AP177" i="2"/>
  <c r="AQ177" i="2" s="1"/>
  <c r="AP178" i="2"/>
  <c r="AQ178" i="2" s="1"/>
  <c r="AP179" i="2"/>
  <c r="AQ179" i="2" s="1"/>
  <c r="AP180" i="2"/>
  <c r="AQ180" i="2" s="1"/>
  <c r="AP181" i="2"/>
  <c r="AQ181" i="2" s="1"/>
  <c r="AP182" i="2"/>
  <c r="BA194" i="2" l="1"/>
  <c r="BC194" i="2"/>
  <c r="BD183" i="2"/>
  <c r="K184" i="2"/>
  <c r="O183" i="2"/>
  <c r="N183" i="2"/>
  <c r="M192" i="2"/>
  <c r="M253" i="2"/>
  <c r="AS174" i="2"/>
  <c r="L193" i="2"/>
  <c r="J255" i="2"/>
  <c r="AR173" i="2"/>
  <c r="AS173" i="2"/>
  <c r="AT173" i="2" s="1"/>
  <c r="BB173" i="2" s="1"/>
  <c r="AS180" i="2"/>
  <c r="I195" i="2"/>
  <c r="I256" i="2"/>
  <c r="J194" i="2"/>
  <c r="AS178" i="2"/>
  <c r="K254" i="2"/>
  <c r="L254" i="2"/>
  <c r="AS181" i="2"/>
  <c r="AS177" i="2"/>
  <c r="AS176" i="2"/>
  <c r="AP183" i="2"/>
  <c r="AQ182" i="2"/>
  <c r="O1" i="21" s="1"/>
  <c r="AS179" i="2"/>
  <c r="AS175" i="2"/>
  <c r="AR174" i="2" l="1"/>
  <c r="AR175" i="2" s="1"/>
  <c r="BA195" i="2"/>
  <c r="BC195" i="2"/>
  <c r="BD184" i="2"/>
  <c r="O184" i="2"/>
  <c r="N184" i="2"/>
  <c r="K185" i="2"/>
  <c r="M193" i="2"/>
  <c r="M254" i="2"/>
  <c r="AT174" i="2"/>
  <c r="L194" i="2"/>
  <c r="J256" i="2"/>
  <c r="L255" i="2"/>
  <c r="K255" i="2"/>
  <c r="AU173" i="2"/>
  <c r="AV173" i="2"/>
  <c r="AS182" i="2"/>
  <c r="AP184" i="2"/>
  <c r="AQ183" i="2"/>
  <c r="I257" i="2"/>
  <c r="I196" i="2"/>
  <c r="J195" i="2"/>
  <c r="AU174" i="2" l="1"/>
  <c r="AV174" i="2"/>
  <c r="BA196" i="2"/>
  <c r="BC196" i="2"/>
  <c r="BD185" i="2"/>
  <c r="N185" i="2"/>
  <c r="O185" i="2"/>
  <c r="K186" i="2"/>
  <c r="AT175" i="2"/>
  <c r="BB174" i="2"/>
  <c r="M194" i="2"/>
  <c r="M255" i="2"/>
  <c r="AS183" i="2"/>
  <c r="J257" i="2"/>
  <c r="L195" i="2"/>
  <c r="AP185" i="2"/>
  <c r="AQ184" i="2"/>
  <c r="I197" i="2"/>
  <c r="I258" i="2"/>
  <c r="J196" i="2"/>
  <c r="K256" i="2"/>
  <c r="L256" i="2"/>
  <c r="AU175" i="2"/>
  <c r="AV175" i="2"/>
  <c r="AR176" i="2"/>
  <c r="BA197" i="2" l="1"/>
  <c r="BC197" i="2"/>
  <c r="BD167" i="2" s="1"/>
  <c r="BD186" i="2"/>
  <c r="O186" i="2"/>
  <c r="K187" i="2"/>
  <c r="N186" i="2"/>
  <c r="AT176" i="2"/>
  <c r="BB175" i="2"/>
  <c r="M195" i="2"/>
  <c r="M256" i="2"/>
  <c r="L196" i="2"/>
  <c r="J258" i="2"/>
  <c r="AS184" i="2"/>
  <c r="AP186" i="2"/>
  <c r="AQ185" i="2"/>
  <c r="K257" i="2"/>
  <c r="L257" i="2"/>
  <c r="AD185" i="2"/>
  <c r="I259" i="2"/>
  <c r="J197" i="2"/>
  <c r="AU176" i="2"/>
  <c r="AV176" i="2"/>
  <c r="AR177" i="2"/>
  <c r="BD166" i="2" l="1"/>
  <c r="BD165" i="2"/>
  <c r="BB167" i="2"/>
  <c r="BB165" i="2"/>
  <c r="BB166" i="2"/>
  <c r="BD187" i="2"/>
  <c r="K188" i="2"/>
  <c r="N187" i="2"/>
  <c r="O187" i="2"/>
  <c r="AT177" i="2"/>
  <c r="BB176" i="2"/>
  <c r="M196" i="2"/>
  <c r="M257" i="2"/>
  <c r="AS185" i="2"/>
  <c r="K258" i="2"/>
  <c r="L258" i="2"/>
  <c r="AU177" i="2"/>
  <c r="AV177" i="2"/>
  <c r="AR178" i="2"/>
  <c r="J259" i="2"/>
  <c r="AE185" i="2"/>
  <c r="L197" i="2"/>
  <c r="T174" i="2"/>
  <c r="E366" i="26" s="1"/>
  <c r="T173" i="2"/>
  <c r="E365" i="26" s="1"/>
  <c r="T172" i="2"/>
  <c r="J26" i="37"/>
  <c r="P40" i="15"/>
  <c r="M2" i="21"/>
  <c r="AP187" i="2"/>
  <c r="AQ186" i="2"/>
  <c r="BD188" i="2" l="1"/>
  <c r="O188" i="2"/>
  <c r="K189" i="2"/>
  <c r="N188" i="2"/>
  <c r="AT178" i="2"/>
  <c r="BB177" i="2"/>
  <c r="M197" i="2"/>
  <c r="T176" i="2" s="1"/>
  <c r="E371" i="26" s="1"/>
  <c r="F371" i="26" s="1"/>
  <c r="H371" i="26" s="1"/>
  <c r="M258" i="2"/>
  <c r="E364" i="26"/>
  <c r="AV178" i="2"/>
  <c r="AU178" i="2"/>
  <c r="AR179" i="2"/>
  <c r="AP188" i="2"/>
  <c r="AQ187" i="2"/>
  <c r="AS186" i="2"/>
  <c r="K259" i="2"/>
  <c r="P239" i="2" s="1"/>
  <c r="L259" i="2"/>
  <c r="P236" i="2"/>
  <c r="P237" i="2"/>
  <c r="P238" i="2"/>
  <c r="BD189" i="2" l="1"/>
  <c r="K190" i="2"/>
  <c r="O189" i="2"/>
  <c r="N189" i="2"/>
  <c r="AT179" i="2"/>
  <c r="BB178" i="2"/>
  <c r="M259" i="2"/>
  <c r="P240" i="2" s="1"/>
  <c r="G371" i="26"/>
  <c r="R239" i="2"/>
  <c r="S239" i="2" s="1"/>
  <c r="E377" i="26"/>
  <c r="AU179" i="2"/>
  <c r="AV179" i="2"/>
  <c r="AR180" i="2"/>
  <c r="AP189" i="2"/>
  <c r="AQ188" i="2"/>
  <c r="AS187" i="2"/>
  <c r="BD190" i="2" l="1"/>
  <c r="N190" i="2"/>
  <c r="O190" i="2"/>
  <c r="K191" i="2"/>
  <c r="AT180" i="2"/>
  <c r="BB179" i="2"/>
  <c r="T239" i="2"/>
  <c r="F377" i="26"/>
  <c r="G377" i="26" s="1"/>
  <c r="I377" i="26" s="1"/>
  <c r="AP190" i="2"/>
  <c r="AQ189" i="2"/>
  <c r="AV180" i="2"/>
  <c r="AU180" i="2"/>
  <c r="AR181" i="2"/>
  <c r="AS188" i="2"/>
  <c r="BD191" i="2" l="1"/>
  <c r="K192" i="2"/>
  <c r="N191" i="2"/>
  <c r="O191" i="2"/>
  <c r="AT181" i="2"/>
  <c r="BB180" i="2"/>
  <c r="H377" i="26"/>
  <c r="AS189" i="2"/>
  <c r="AP191" i="2"/>
  <c r="AQ190" i="2"/>
  <c r="AV181" i="2"/>
  <c r="AU181" i="2"/>
  <c r="AR182" i="2"/>
  <c r="BD192" i="2" l="1"/>
  <c r="O192" i="2"/>
  <c r="K193" i="2"/>
  <c r="N192" i="2"/>
  <c r="BB181" i="2"/>
  <c r="AT182" i="2"/>
  <c r="AS190" i="2"/>
  <c r="AP192" i="2"/>
  <c r="AQ191" i="2"/>
  <c r="AV182" i="2"/>
  <c r="AU182" i="2"/>
  <c r="AR183" i="2"/>
  <c r="BD193" i="2" l="1"/>
  <c r="N193" i="2"/>
  <c r="O193" i="2"/>
  <c r="K194" i="2"/>
  <c r="BB182" i="2"/>
  <c r="AT183" i="2"/>
  <c r="AV183" i="2"/>
  <c r="AU183" i="2"/>
  <c r="AR184" i="2"/>
  <c r="AP193" i="2"/>
  <c r="AQ192" i="2"/>
  <c r="AS191" i="2"/>
  <c r="BD194" i="2" l="1"/>
  <c r="N194" i="2"/>
  <c r="K195" i="2"/>
  <c r="O194" i="2"/>
  <c r="BB183" i="2"/>
  <c r="AT184" i="2"/>
  <c r="AS192" i="2"/>
  <c r="AP194" i="2"/>
  <c r="AQ193" i="2"/>
  <c r="AU184" i="2"/>
  <c r="AV184" i="2"/>
  <c r="AR185" i="2"/>
  <c r="BD195" i="2" l="1"/>
  <c r="N195" i="2"/>
  <c r="O195" i="2"/>
  <c r="K196" i="2"/>
  <c r="BB184" i="2"/>
  <c r="AT185" i="2"/>
  <c r="AS193" i="2"/>
  <c r="AP195" i="2"/>
  <c r="AQ194" i="2"/>
  <c r="AU185" i="2"/>
  <c r="AV185" i="2"/>
  <c r="AR186" i="2"/>
  <c r="BD196" i="2" l="1"/>
  <c r="O196" i="2"/>
  <c r="N196" i="2"/>
  <c r="K197" i="2"/>
  <c r="BB185" i="2"/>
  <c r="AT186" i="2"/>
  <c r="AS194" i="2"/>
  <c r="AU186" i="2"/>
  <c r="AV186" i="2"/>
  <c r="AR187" i="2"/>
  <c r="AP196" i="2"/>
  <c r="AQ195" i="2"/>
  <c r="T175" i="2" l="1"/>
  <c r="BD197" i="2"/>
  <c r="BD168" i="2" s="1"/>
  <c r="BD169" i="2" s="1"/>
  <c r="K354" i="26" s="1"/>
  <c r="N197" i="2"/>
  <c r="AF185" i="2"/>
  <c r="E363" i="26"/>
  <c r="O197" i="2"/>
  <c r="BB186" i="2"/>
  <c r="AT187" i="2"/>
  <c r="AU187" i="2"/>
  <c r="AV187" i="2"/>
  <c r="AR188" i="2"/>
  <c r="AS195" i="2"/>
  <c r="AP197" i="2"/>
  <c r="AQ197" i="2" s="1"/>
  <c r="AQ196" i="2"/>
  <c r="E367" i="26" l="1"/>
  <c r="I1" i="21" s="1"/>
  <c r="J84" i="38" s="1"/>
  <c r="V175" i="2"/>
  <c r="E368" i="26" s="1"/>
  <c r="BB187" i="2"/>
  <c r="AT188" i="2"/>
  <c r="AS196" i="2"/>
  <c r="AV188" i="2"/>
  <c r="AU188" i="2"/>
  <c r="AR189" i="2"/>
  <c r="AS197" i="2"/>
  <c r="AN172" i="2"/>
  <c r="AN173" i="2"/>
  <c r="AN174" i="2"/>
  <c r="O2" i="21"/>
  <c r="X175" i="2" l="1"/>
  <c r="E370" i="26" s="1"/>
  <c r="W175" i="2"/>
  <c r="E369" i="26" s="1"/>
  <c r="F367" i="26" s="1"/>
  <c r="K347" i="26" s="1"/>
  <c r="BB188" i="2"/>
  <c r="AT189" i="2"/>
  <c r="AU189" i="2"/>
  <c r="AV189" i="2"/>
  <c r="AR190" i="2"/>
  <c r="P36" i="15" l="1"/>
  <c r="E170" i="26" s="1"/>
  <c r="I2" i="21"/>
  <c r="H84" i="38" s="1"/>
  <c r="J22" i="37"/>
  <c r="BB189" i="2"/>
  <c r="AT190" i="2"/>
  <c r="AU190" i="2"/>
  <c r="AV190" i="2"/>
  <c r="AR191" i="2"/>
  <c r="BB190" i="2" l="1"/>
  <c r="AT191" i="2"/>
  <c r="AV191" i="2"/>
  <c r="AU191" i="2"/>
  <c r="AR192" i="2"/>
  <c r="BB191" i="2" l="1"/>
  <c r="AT192" i="2"/>
  <c r="AV192" i="2"/>
  <c r="AU192" i="2"/>
  <c r="AR193" i="2"/>
  <c r="BB192" i="2" l="1"/>
  <c r="AT193" i="2"/>
  <c r="AV193" i="2"/>
  <c r="AU193" i="2"/>
  <c r="AR194" i="2"/>
  <c r="BB193" i="2" l="1"/>
  <c r="AT194" i="2"/>
  <c r="AV194" i="2"/>
  <c r="AU194" i="2"/>
  <c r="AR195" i="2"/>
  <c r="BB194" i="2" l="1"/>
  <c r="AT195" i="2"/>
  <c r="AV195" i="2"/>
  <c r="AU195" i="2"/>
  <c r="AR196" i="2"/>
  <c r="BB195" i="2" l="1"/>
  <c r="AT196" i="2"/>
  <c r="AU196" i="2"/>
  <c r="AV196" i="2"/>
  <c r="AR197" i="2"/>
  <c r="AN175" i="2" s="1"/>
  <c r="I3" i="21" s="1"/>
  <c r="AT197" i="2" l="1"/>
  <c r="BB196" i="2"/>
  <c r="AU197" i="2"/>
  <c r="AV197" i="2"/>
  <c r="AN176" i="2" l="1"/>
  <c r="BB197" i="2"/>
  <c r="BB168" i="2" s="1"/>
  <c r="BB169" i="2" s="1"/>
  <c r="K353" i="2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VINICIUS L TEIXEIRA</author>
    <author>Vinicius Teixeira</author>
  </authors>
  <commentList>
    <comment ref="C2" authorId="0" shapeId="0" xr:uid="{ECC4AD25-74B4-424E-8CE3-827793292D83}">
      <text>
        <r>
          <rPr>
            <b/>
            <sz val="9"/>
            <color indexed="81"/>
            <rFont val="Segoe UI"/>
            <family val="2"/>
          </rPr>
          <t>VINICIUS L TEIXEIRA:</t>
        </r>
        <r>
          <rPr>
            <sz val="9"/>
            <color indexed="81"/>
            <rFont val="Segoe UI"/>
            <family val="2"/>
          </rPr>
          <t xml:space="preserve">
Fórmula antiga "=SE(Início!$K$6="Light";"Não";SE(Início!$K$6="Enel";"Sim";"VERIFICAR"))"</t>
        </r>
      </text>
    </comment>
    <comment ref="A9" authorId="0" shapeId="0" xr:uid="{092B0A1F-DB9D-4CAA-A016-16BC117A8B35}">
      <text>
        <r>
          <rPr>
            <b/>
            <sz val="9"/>
            <color indexed="81"/>
            <rFont val="Segoe UI"/>
            <family val="2"/>
          </rPr>
          <t>VINICIUS L TEIXEIRA:</t>
        </r>
        <r>
          <rPr>
            <sz val="9"/>
            <color indexed="81"/>
            <rFont val="Segoe UI"/>
            <family val="2"/>
          </rPr>
          <t xml:space="preserve">
Fator de Simultaneidade considerando Autoconsumo remoto</t>
        </r>
      </text>
    </comment>
    <comment ref="B9" authorId="1" shapeId="0" xr:uid="{816606FB-4F91-4D8E-9857-D3884D1A3392}">
      <text>
        <r>
          <rPr>
            <b/>
            <sz val="9"/>
            <color indexed="81"/>
            <rFont val="Segoe UI"/>
            <family val="2"/>
          </rPr>
          <t>Vinicius Teixeira:</t>
        </r>
        <r>
          <rPr>
            <sz val="9"/>
            <color indexed="81"/>
            <rFont val="Segoe UI"/>
            <family val="2"/>
          </rPr>
          <t xml:space="preserve">
Fator médio: 30-40% residêncial, 60-85% comercial(Verificar).
Perfil de consumo do cliente: Quantos % do consumo dele, ocorre no período de geração.
Muito consumo e pouca geração, a geração é toda autoconsumida; muito geração e pouco consumo, o percentual será em função do consumo no período de geração.</t>
        </r>
      </text>
    </comment>
    <comment ref="H22" authorId="1" shapeId="0" xr:uid="{DB4D1304-04BB-4412-97FE-94D6723800BC}">
      <text>
        <r>
          <rPr>
            <b/>
            <sz val="9"/>
            <color indexed="81"/>
            <rFont val="Segoe UI"/>
            <family val="2"/>
          </rPr>
          <t>Vinicius Teixeira:</t>
        </r>
        <r>
          <rPr>
            <sz val="9"/>
            <color indexed="81"/>
            <rFont val="Segoe UI"/>
            <family val="2"/>
          </rPr>
          <t xml:space="preserve">
Informação calculada pro sistema (planilha ou software)</t>
        </r>
      </text>
    </comment>
    <comment ref="L22" authorId="1" shapeId="0" xr:uid="{80AC8F75-7526-4FC2-ABC8-5D6168016525}">
      <text>
        <r>
          <rPr>
            <b/>
            <sz val="9"/>
            <color indexed="81"/>
            <rFont val="Segoe UI"/>
            <family val="2"/>
          </rPr>
          <t>Vinicius Teixeira:</t>
        </r>
        <r>
          <rPr>
            <sz val="9"/>
            <color indexed="81"/>
            <rFont val="Segoe UI"/>
            <family val="2"/>
          </rPr>
          <t xml:space="preserve">
Se Positivo, consumiu da rede;
Se Negativo, gera crédito.</t>
        </r>
      </text>
    </comment>
    <comment ref="O22" authorId="1" shapeId="0" xr:uid="{7987376C-A972-4BEB-A671-9771EFDA20B0}">
      <text>
        <r>
          <rPr>
            <b/>
            <sz val="9"/>
            <color indexed="81"/>
            <rFont val="Segoe UI"/>
            <family val="2"/>
          </rPr>
          <t>Vinicius Teixeira:</t>
        </r>
        <r>
          <rPr>
            <sz val="9"/>
            <color indexed="81"/>
            <rFont val="Segoe UI"/>
            <family val="2"/>
          </rPr>
          <t xml:space="preserve">
Energia Fornecida pela Concessionária - Energia Injetada (geração) + Energia Excedente + Diferença do Custo de Disponiblidade</t>
        </r>
      </text>
    </comment>
    <comment ref="D43" authorId="1" shapeId="0" xr:uid="{C020EBC9-91AA-41AE-8399-9B38B0167F49}">
      <text>
        <r>
          <rPr>
            <b/>
            <sz val="9"/>
            <color indexed="81"/>
            <rFont val="Segoe UI"/>
            <family val="2"/>
          </rPr>
          <t>Vinicius Teixeira:</t>
        </r>
        <r>
          <rPr>
            <sz val="9"/>
            <color indexed="81"/>
            <rFont val="Segoe UI"/>
            <family val="2"/>
          </rPr>
          <t xml:space="preserve">
Tarifa com ICMS em função do kWh, PIS, COFINS e COSIP em função do kWh. Está sendo adicionado a inflação estimada anual até o 10º ano.</t>
        </r>
      </text>
    </comment>
    <comment ref="E43" authorId="1" shapeId="0" xr:uid="{855511B7-886F-4E29-91FE-2F1F7DFB4B22}">
      <text>
        <r>
          <rPr>
            <b/>
            <sz val="9"/>
            <color indexed="81"/>
            <rFont val="Segoe UI"/>
            <family val="2"/>
          </rPr>
          <t>Vinicius Teixeira:</t>
        </r>
        <r>
          <rPr>
            <sz val="9"/>
            <color indexed="81"/>
            <rFont val="Segoe UI"/>
            <family val="2"/>
          </rPr>
          <t xml:space="preserve">
Considerando a depreciação anual do sistema FV</t>
        </r>
      </text>
    </comment>
    <comment ref="BA167" authorId="1" shapeId="0" xr:uid="{B72ED28B-8754-4A87-807D-C56B75CD4BB1}">
      <text>
        <r>
          <rPr>
            <b/>
            <sz val="9"/>
            <color indexed="81"/>
            <rFont val="Segoe UI"/>
            <family val="2"/>
          </rPr>
          <t>Vinicius Teixeira:</t>
        </r>
        <r>
          <rPr>
            <sz val="9"/>
            <color indexed="81"/>
            <rFont val="Segoe UI"/>
            <family val="2"/>
          </rPr>
          <t xml:space="preserve">
Somatório dos VPs do fluxo de caixa (VPL sem valor de investimento) dividido pelo investimento inicial. Informa quanto será o retorno para cara 1 real investido.</t>
        </r>
      </text>
    </comment>
    <comment ref="BC167" authorId="1" shapeId="0" xr:uid="{68656A1C-85A8-46D4-8386-B406C9905B4D}">
      <text>
        <r>
          <rPr>
            <b/>
            <sz val="9"/>
            <color indexed="81"/>
            <rFont val="Segoe UI"/>
            <family val="2"/>
          </rPr>
          <t>Vinicius Teixeira:</t>
        </r>
        <r>
          <rPr>
            <sz val="9"/>
            <color indexed="81"/>
            <rFont val="Segoe UI"/>
            <family val="2"/>
          </rPr>
          <t xml:space="preserve">
Somatório dos VPs do fluxo de caixa (VPL sem valor de investimento) dividido pelo investimento inicial. Informa quanto será o retorno para cara 1 real investido.</t>
        </r>
      </text>
    </comment>
    <comment ref="D171" authorId="1" shapeId="0" xr:uid="{2A8FA3D9-A209-4911-9901-7A5FF3F5E8AC}">
      <text>
        <r>
          <rPr>
            <b/>
            <sz val="9"/>
            <color indexed="81"/>
            <rFont val="Segoe UI"/>
            <family val="2"/>
          </rPr>
          <t>Vinicius Teixeira:</t>
        </r>
        <r>
          <rPr>
            <sz val="9"/>
            <color indexed="81"/>
            <rFont val="Segoe UI"/>
            <family val="2"/>
          </rPr>
          <t xml:space="preserve">
Inflação aplicada até o 10 ano pois não se tem previsibilidade de prazos muitos distantes</t>
        </r>
      </text>
    </comment>
    <comment ref="J171" authorId="1" shapeId="0" xr:uid="{16D673B9-18E0-4217-95BE-92D7ADC2C003}">
      <text>
        <r>
          <rPr>
            <b/>
            <sz val="9"/>
            <color indexed="81"/>
            <rFont val="Segoe UI"/>
            <family val="2"/>
          </rPr>
          <t>Vinicius Teixeira:</t>
        </r>
        <r>
          <rPr>
            <sz val="9"/>
            <color indexed="81"/>
            <rFont val="Segoe UI"/>
            <family val="2"/>
          </rPr>
          <t xml:space="preserve">
É a economia com o sistema FV ao ano, quanto eu estou deixando de pagar de fatura de energia - (quanto eu continuo pagando + O&amp;M)</t>
        </r>
      </text>
    </comment>
    <comment ref="AQ171" authorId="1" shapeId="0" xr:uid="{1380BE84-B4B6-41FF-B8C0-E868D695346E}">
      <text>
        <r>
          <rPr>
            <b/>
            <sz val="9"/>
            <color indexed="81"/>
            <rFont val="Segoe UI"/>
            <family val="2"/>
          </rPr>
          <t>Vinicius Teixeira:</t>
        </r>
        <r>
          <rPr>
            <sz val="9"/>
            <color indexed="81"/>
            <rFont val="Segoe UI"/>
            <family val="2"/>
          </rPr>
          <t xml:space="preserve">
É a economia com o sistema FV ao ano, quanto eu estou deixando de pagar de fatura de energia - (quanto eu continuo pagando + O&amp;M)</t>
        </r>
      </text>
    </comment>
    <comment ref="BA171" authorId="1" shapeId="0" xr:uid="{2868F887-A54D-486E-B428-F87B1B49C20E}">
      <text>
        <r>
          <rPr>
            <b/>
            <sz val="9"/>
            <color indexed="81"/>
            <rFont val="Segoe UI"/>
            <family val="2"/>
          </rPr>
          <t>Vinicius Teixeira:</t>
        </r>
        <r>
          <rPr>
            <sz val="9"/>
            <color indexed="81"/>
            <rFont val="Segoe UI"/>
            <family val="2"/>
          </rPr>
          <t xml:space="preserve">
É a economia com o sistema FV ao ano, quanto eu estou deixando de pagar de fatura de energia - (quanto eu continuo pagando + O&amp;M)</t>
        </r>
      </text>
    </comment>
    <comment ref="BC171" authorId="1" shapeId="0" xr:uid="{46AFC281-45DD-424C-BCAF-552DCB557A95}">
      <text>
        <r>
          <rPr>
            <b/>
            <sz val="9"/>
            <color indexed="81"/>
            <rFont val="Segoe UI"/>
            <family val="2"/>
          </rPr>
          <t>Vinicius Teixeira:</t>
        </r>
        <r>
          <rPr>
            <sz val="9"/>
            <color indexed="81"/>
            <rFont val="Segoe UI"/>
            <family val="2"/>
          </rPr>
          <t xml:space="preserve">
É a economia com o sistema FV ao ano, quanto eu estou deixando de pagar de fatura de energia - (quanto eu continuo pagando + O&amp;M)</t>
        </r>
      </text>
    </comment>
    <comment ref="S174" authorId="1" shapeId="0" xr:uid="{93ECB101-2144-4BD3-9E26-99077C1525E6}">
      <text>
        <r>
          <rPr>
            <b/>
            <sz val="9"/>
            <color indexed="81"/>
            <rFont val="Segoe UI"/>
            <family val="2"/>
          </rPr>
          <t>Vinicius Teixeira:</t>
        </r>
        <r>
          <rPr>
            <sz val="9"/>
            <color indexed="81"/>
            <rFont val="Segoe UI"/>
            <family val="2"/>
          </rPr>
          <t xml:space="preserve">
Somatório dos VPs do fluxo de caixa (VPL sem valor de investimento) dividido pelo investimento inicial. Informa quanto será o retorno para cara 1 real investido.</t>
        </r>
      </text>
    </comment>
    <comment ref="AM174" authorId="1" shapeId="0" xr:uid="{3AF09AA3-EA98-4066-B7FA-8A805F839721}">
      <text>
        <r>
          <rPr>
            <b/>
            <sz val="9"/>
            <color indexed="81"/>
            <rFont val="Segoe UI"/>
            <family val="2"/>
          </rPr>
          <t>Vinicius Teixeira:</t>
        </r>
        <r>
          <rPr>
            <sz val="9"/>
            <color indexed="81"/>
            <rFont val="Segoe UI"/>
            <family val="2"/>
          </rPr>
          <t xml:space="preserve">
Somatório dos VPs do fluxo de caixa (VPL sem valor de investimento) dividido pelo investimento inicial. Informa quanto será o retorno para cara 1 real investido.</t>
        </r>
      </text>
    </comment>
    <comment ref="R209" authorId="1" shapeId="0" xr:uid="{96028CB0-A2E7-412B-B5AF-837736E9484A}">
      <text>
        <r>
          <rPr>
            <b/>
            <sz val="9"/>
            <color indexed="81"/>
            <rFont val="Segoe UI"/>
            <family val="2"/>
          </rPr>
          <t>Vinicius Teixeira:</t>
        </r>
        <r>
          <rPr>
            <sz val="9"/>
            <color indexed="81"/>
            <rFont val="Segoe UI"/>
            <family val="2"/>
          </rPr>
          <t xml:space="preserve">
Não apagar, está puxando para a lista de finaceiras</t>
        </r>
      </text>
    </comment>
    <comment ref="O238" authorId="1" shapeId="0" xr:uid="{B836A9E6-9D32-4955-B92E-A18F2F2519B9}">
      <text>
        <r>
          <rPr>
            <b/>
            <sz val="9"/>
            <color indexed="81"/>
            <rFont val="Segoe UI"/>
            <family val="2"/>
          </rPr>
          <t>Vinicius Teixeira:</t>
        </r>
        <r>
          <rPr>
            <sz val="9"/>
            <color indexed="81"/>
            <rFont val="Segoe UI"/>
            <family val="2"/>
          </rPr>
          <t xml:space="preserve">
Somatório dos VPs do fluxo de caixa (VPL sem valor de investimento) dividido pelo investimento inicial. Informa quanto será o retorno para cara 1 real investido.</t>
        </r>
      </text>
    </comment>
    <comment ref="A312" authorId="1" shapeId="0" xr:uid="{7577CAD2-508E-4551-8DFB-6E7E7BAD995D}">
      <text>
        <r>
          <rPr>
            <b/>
            <sz val="9"/>
            <color indexed="81"/>
            <rFont val="Segoe UI"/>
            <family val="2"/>
          </rPr>
          <t>Vinicius Teixeira:</t>
        </r>
        <r>
          <rPr>
            <sz val="9"/>
            <color indexed="81"/>
            <rFont val="Segoe UI"/>
            <family val="2"/>
          </rPr>
          <t xml:space="preserve">
A COSIP foi calculada proporcionalmente a da light para a cobrança do mês da fatura, não foi localizado os valores na internet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Vinicius Teixeira</author>
    <author>VINICIUS L TEIXEIRA</author>
  </authors>
  <commentList>
    <comment ref="I10" authorId="0" shapeId="0" xr:uid="{76180E81-0A82-40C3-91C1-85F0E6E295A7}">
      <text>
        <r>
          <rPr>
            <b/>
            <sz val="9"/>
            <color indexed="81"/>
            <rFont val="Segoe UI"/>
            <family val="2"/>
          </rPr>
          <t>Vinicius Teixeira:</t>
        </r>
        <r>
          <rPr>
            <sz val="9"/>
            <color indexed="81"/>
            <rFont val="Segoe UI"/>
            <family val="2"/>
          </rPr>
          <t xml:space="preserve">
Custo de Disponibilidade</t>
        </r>
      </text>
    </comment>
    <comment ref="I34" authorId="0" shapeId="0" xr:uid="{1932B63D-D638-460C-91A8-9E4CD4EA6AFF}">
      <text>
        <r>
          <rPr>
            <b/>
            <sz val="9"/>
            <color indexed="81"/>
            <rFont val="Segoe UI"/>
            <family val="2"/>
          </rPr>
          <t>Vinicius Teixeira:</t>
        </r>
        <r>
          <rPr>
            <sz val="9"/>
            <color indexed="81"/>
            <rFont val="Segoe UI"/>
            <family val="2"/>
          </rPr>
          <t xml:space="preserve">
Valor que será adicionado ao sistema (aumento de cosumo previsto) ou retirado (CDD)</t>
        </r>
      </text>
    </comment>
    <comment ref="D35" authorId="1" shapeId="0" xr:uid="{38B8195B-C003-4098-A54A-0FB8B01B46B5}">
      <text>
        <r>
          <rPr>
            <b/>
            <sz val="9"/>
            <color indexed="81"/>
            <rFont val="Segoe UI"/>
            <family val="2"/>
          </rPr>
          <t>VINICIUS L TEIXEIRA:</t>
        </r>
        <r>
          <rPr>
            <sz val="9"/>
            <color indexed="81"/>
            <rFont val="Segoe UI"/>
            <family val="2"/>
          </rPr>
          <t xml:space="preserve">
Usar "." como divisor</t>
        </r>
      </text>
    </comment>
    <comment ref="I36" authorId="0" shapeId="0" xr:uid="{352F6FF1-FA04-4F92-A3C4-8B5E4EE6D901}">
      <text>
        <r>
          <rPr>
            <b/>
            <sz val="9"/>
            <color indexed="81"/>
            <rFont val="Segoe UI"/>
            <family val="2"/>
          </rPr>
          <t>Vinicius Teixeira:</t>
        </r>
        <r>
          <rPr>
            <sz val="9"/>
            <color indexed="81"/>
            <rFont val="Segoe UI"/>
            <family val="2"/>
          </rPr>
          <t xml:space="preserve">
Valor que será adicionado ao sistema (aumento de cosumo previsto) ou retirado (CDD)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Vinicius Teixeira</author>
    <author>VINICIUS L TEIXEIRA</author>
  </authors>
  <commentList>
    <comment ref="D18" authorId="0" shapeId="0" xr:uid="{3F017B4C-94ED-4277-8AFE-93873F16620B}">
      <text>
        <r>
          <rPr>
            <b/>
            <sz val="9"/>
            <color indexed="81"/>
            <rFont val="Segoe UI"/>
            <family val="2"/>
          </rPr>
          <t>Vinicius Teixeira:</t>
        </r>
        <r>
          <rPr>
            <sz val="9"/>
            <color indexed="81"/>
            <rFont val="Segoe UI"/>
            <family val="2"/>
          </rPr>
          <t xml:space="preserve">
Taxa de Desempenho do Sistema ou Fator de Desempenho Global (FDG)</t>
        </r>
      </text>
    </comment>
    <comment ref="L18" authorId="0" shapeId="0" xr:uid="{560055A5-A958-4C6A-82E7-8DA6C07FD6FC}">
      <text>
        <r>
          <rPr>
            <b/>
            <sz val="9"/>
            <color indexed="81"/>
            <rFont val="Segoe UI"/>
            <family val="2"/>
          </rPr>
          <t>Vinicius Teixeira:</t>
        </r>
        <r>
          <rPr>
            <sz val="9"/>
            <color indexed="81"/>
            <rFont val="Segoe UI"/>
            <family val="2"/>
          </rPr>
          <t xml:space="preserve">
Considerando 5% a mais para os grampos (finais e intermediários)</t>
        </r>
      </text>
    </comment>
    <comment ref="D19" authorId="0" shapeId="0" xr:uid="{D93480A0-E384-47C8-9F91-62AF94EB68C7}">
      <text>
        <r>
          <rPr>
            <b/>
            <sz val="9"/>
            <color indexed="81"/>
            <rFont val="Segoe UI"/>
            <family val="2"/>
          </rPr>
          <t>Vinicius Teixeira:</t>
        </r>
        <r>
          <rPr>
            <sz val="9"/>
            <color indexed="81"/>
            <rFont val="Segoe UI"/>
            <family val="2"/>
          </rPr>
          <t xml:space="preserve">
N: 0%; NE e NO: ~5%;  L e O: ~12%; S: ~25%
*Valores para RJ; (quanto mais próximo próx. do Equador menor a variação).</t>
        </r>
      </text>
    </comment>
    <comment ref="D20" authorId="0" shapeId="0" xr:uid="{FD3C2B74-A75F-4E87-94BE-1DCFDA3EE683}">
      <text>
        <r>
          <rPr>
            <b/>
            <sz val="9"/>
            <color indexed="81"/>
            <rFont val="Segoe UI"/>
            <family val="2"/>
          </rPr>
          <t>Vinicius Teixeira:</t>
        </r>
        <r>
          <rPr>
            <sz val="9"/>
            <color indexed="81"/>
            <rFont val="Segoe UI"/>
            <family val="2"/>
          </rPr>
          <t xml:space="preserve">
Verificar se a inclinação está entre a latitude 5° para mais ou para menos, caso não estiver pode ser construída estrutura ou adicionar as perdas.
É preferível, em determinados casos, utilizar a inclinação um pouco menor que a latitude do local, para priorizar a geração no verão.</t>
        </r>
      </text>
    </comment>
    <comment ref="D21" authorId="0" shapeId="0" xr:uid="{FAB163D7-65DF-45F9-A7F1-4BEEB1158A00}">
      <text>
        <r>
          <rPr>
            <b/>
            <sz val="9"/>
            <color indexed="81"/>
            <rFont val="Segoe UI"/>
            <family val="2"/>
          </rPr>
          <t>Vinicius Teixeira:</t>
        </r>
        <r>
          <rPr>
            <sz val="9"/>
            <color indexed="81"/>
            <rFont val="Segoe UI"/>
            <family val="2"/>
          </rPr>
          <t xml:space="preserve">
1 - 10%: Causada por nuvens, passaros, etc. São os sombreamentos transitórios, que chegam depois vão embora.</t>
        </r>
      </text>
    </comment>
    <comment ref="D22" authorId="0" shapeId="0" xr:uid="{AC90E98A-FFF3-448A-B165-60674C985B42}">
      <text>
        <r>
          <rPr>
            <b/>
            <sz val="9"/>
            <color indexed="81"/>
            <rFont val="Segoe UI"/>
            <family val="2"/>
          </rPr>
          <t>Vinicius Teixeira:</t>
        </r>
        <r>
          <rPr>
            <sz val="9"/>
            <color indexed="81"/>
            <rFont val="Segoe UI"/>
            <family val="2"/>
          </rPr>
          <t xml:space="preserve">
Observar em um raio de distância durante todo o dia e nas estações do ano se há obstáculos que possam prejudicar a geração (inclusive horizonte). APP gratuito Sun Surveyor.
Para referência, sol das 9 às 16h, considerar perda de 4-5%</t>
        </r>
      </text>
    </comment>
    <comment ref="D23" authorId="0" shapeId="0" xr:uid="{DAB49546-4406-4827-B4B7-080DCD47D463}">
      <text>
        <r>
          <rPr>
            <b/>
            <sz val="9"/>
            <color indexed="81"/>
            <rFont val="Segoe UI"/>
            <family val="2"/>
          </rPr>
          <t>Vinicius Teixeira:</t>
        </r>
        <r>
          <rPr>
            <sz val="9"/>
            <color indexed="81"/>
            <rFont val="Segoe UI"/>
            <family val="2"/>
          </rPr>
          <t xml:space="preserve">
6,0 - 18,0% : Verificar o coeficiente de perda de potência por °C no módulo. Temperatura de instalação é Temp. Amiente + (Temp. Ambiente - Temp. referência [25°])</t>
        </r>
      </text>
    </comment>
    <comment ref="D24" authorId="0" shapeId="0" xr:uid="{3771D0B9-5986-468B-A685-86A913F9E8B1}">
      <text>
        <r>
          <rPr>
            <b/>
            <sz val="9"/>
            <color indexed="81"/>
            <rFont val="Segoe UI"/>
            <family val="2"/>
          </rPr>
          <t>Vinicius Teixeira:</t>
        </r>
        <r>
          <rPr>
            <sz val="9"/>
            <color indexed="81"/>
            <rFont val="Segoe UI"/>
            <family val="2"/>
          </rPr>
          <t xml:space="preserve">
1,0 - 2,0%: Diferentes características construtivas dos módulos; Instalação com sombreamento parcial; módulos posicionados com diferentes orientações/inclinações; strings com números de módulos diferentes em um mesmo MPPT.</t>
        </r>
      </text>
    </comment>
    <comment ref="D25" authorId="0" shapeId="0" xr:uid="{6DEE962E-C2B9-4FF8-8958-E9E03862A3E9}">
      <text>
        <r>
          <rPr>
            <b/>
            <sz val="9"/>
            <color indexed="81"/>
            <rFont val="Segoe UI"/>
            <family val="2"/>
          </rPr>
          <t>Vinicius Teixeira:</t>
        </r>
        <r>
          <rPr>
            <sz val="9"/>
            <color indexed="81"/>
            <rFont val="Segoe UI"/>
            <family val="2"/>
          </rPr>
          <t xml:space="preserve">
1,0 - 8,0%: Poeira, fuligem, fezes de passaros. Sujeiras acumuladas que causam uma redução na captação de energia solar. Verificar o tipo da estrada ao redor se é de terra por exemplo, se existe alguma obra no local ou nas redondezas que causará um acumulo de sujeira.</t>
        </r>
      </text>
    </comment>
    <comment ref="D26" authorId="0" shapeId="0" xr:uid="{072FE1E2-45FD-4D57-A4C8-88BA7259AFE1}">
      <text>
        <r>
          <rPr>
            <b/>
            <sz val="9"/>
            <color indexed="81"/>
            <rFont val="Segoe UI"/>
            <family val="2"/>
          </rPr>
          <t>Vinicius Teixeira:</t>
        </r>
        <r>
          <rPr>
            <sz val="9"/>
            <color indexed="81"/>
            <rFont val="Segoe UI"/>
            <family val="2"/>
          </rPr>
          <t xml:space="preserve">
0,5 - 1,0%</t>
        </r>
      </text>
    </comment>
    <comment ref="D27" authorId="0" shapeId="0" xr:uid="{F85F243A-7D2E-4B6F-A0F8-0AE6A5924880}">
      <text>
        <r>
          <rPr>
            <b/>
            <sz val="9"/>
            <color indexed="81"/>
            <rFont val="Segoe UI"/>
            <family val="2"/>
          </rPr>
          <t>Vinicius Teixeira:</t>
        </r>
        <r>
          <rPr>
            <sz val="9"/>
            <color indexed="81"/>
            <rFont val="Segoe UI"/>
            <family val="2"/>
          </rPr>
          <t xml:space="preserve">
0,5 - 1,0%</t>
        </r>
      </text>
    </comment>
    <comment ref="D28" authorId="0" shapeId="0" xr:uid="{B6697753-8524-4927-9F94-139E420B1B25}">
      <text>
        <r>
          <rPr>
            <b/>
            <sz val="9"/>
            <color indexed="81"/>
            <rFont val="Segoe UI"/>
            <family val="2"/>
          </rPr>
          <t>Vinicius Teixeira:</t>
        </r>
        <r>
          <rPr>
            <sz val="9"/>
            <color indexed="81"/>
            <rFont val="Segoe UI"/>
            <family val="2"/>
          </rPr>
          <t xml:space="preserve">
0,1 - 2% : Quando utilizado potência de módulos maior que de inversor.
Em estudos, um Oversize de 35% com orientação Norte, aumentou a geração/ano em 33% gerando uma perda de 1,35% por Clipping. Já o mesmo Oversize com orientação para Leste/Oeste aumentou a geração/ano em 35,33%, gerando uma perda de 0,34% por Clipping.
Quanto maior o Desvio Azimutal, mais aconselhavel será a realização de Oversize.</t>
        </r>
      </text>
    </comment>
    <comment ref="D29" authorId="0" shapeId="0" xr:uid="{9F1F9FAD-C329-47CB-B227-4ED359FD949D}">
      <text>
        <r>
          <rPr>
            <b/>
            <sz val="9"/>
            <color indexed="81"/>
            <rFont val="Segoe UI"/>
            <family val="2"/>
          </rPr>
          <t>Vinicius Teixeira:</t>
        </r>
        <r>
          <rPr>
            <sz val="9"/>
            <color indexed="81"/>
            <rFont val="Segoe UI"/>
            <family val="2"/>
          </rPr>
          <t xml:space="preserve">
2,0 - 5,0%</t>
        </r>
      </text>
    </comment>
    <comment ref="D33" authorId="0" shapeId="0" xr:uid="{5FBDA3FF-FB49-44F5-BB45-E857FE55F65E}">
      <text>
        <r>
          <rPr>
            <b/>
            <sz val="9"/>
            <color indexed="81"/>
            <rFont val="Segoe UI"/>
            <family val="2"/>
          </rPr>
          <t>Vinicius Teixeira:</t>
        </r>
        <r>
          <rPr>
            <sz val="9"/>
            <color indexed="81"/>
            <rFont val="Segoe UI"/>
            <family val="2"/>
          </rPr>
          <t xml:space="preserve">
Inversor: micro-1 / String-4
Conexão: Dentro do QDC já com eletroduto-1
    Dentro do QDC sem eletroduto (sobrepor)-3
    Sem eletroduto e adição de quadro (sobrepor)-3
    Sem eletroduto e adição de quadro (embutido)-8
Acesso: primeiro mavimento-1
     Segundo pavimento-4
     Terceiro pavimento-5
      Quarto pavimento ou superior-6
Tipo do telhado: Fibrocimento/metálico-1
     Cerâmico-4
Somar tudo e dividir por 4</t>
        </r>
      </text>
    </comment>
    <comment ref="O34" authorId="1" shapeId="0" xr:uid="{B8880510-6102-4E48-BA42-E51D7576BE37}">
      <text>
        <r>
          <rPr>
            <b/>
            <sz val="9"/>
            <color indexed="81"/>
            <rFont val="Segoe UI"/>
            <family val="2"/>
          </rPr>
          <t>VINICIUS L TEIXEIRA:</t>
        </r>
        <r>
          <rPr>
            <sz val="9"/>
            <color indexed="81"/>
            <rFont val="Segoe UI"/>
            <family val="2"/>
          </rPr>
          <t xml:space="preserve">
Caso precise alterar o fator de simultaneidade, coloque o novo valor ao lado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VINICIUS L TEIXEIRA</author>
    <author>Vinicius Teixeira</author>
  </authors>
  <commentList>
    <comment ref="B24" authorId="0" shapeId="0" xr:uid="{D3DD972F-8E70-416F-BAD3-7AFF35015F60}">
      <text>
        <r>
          <rPr>
            <b/>
            <sz val="9"/>
            <color indexed="81"/>
            <rFont val="Segoe UI"/>
            <family val="2"/>
          </rPr>
          <t>VINICIUS L TEIXEIRA:</t>
        </r>
        <r>
          <rPr>
            <sz val="9"/>
            <color indexed="81"/>
            <rFont val="Segoe UI"/>
            <family val="2"/>
          </rPr>
          <t xml:space="preserve">
PV = Custos / (1 - Incidências sobre o Faturamento)</t>
        </r>
      </text>
    </comment>
    <comment ref="O49" authorId="1" shapeId="0" xr:uid="{A8D28B36-70A7-4112-B4E1-4BEB5666A4C6}">
      <text>
        <r>
          <rPr>
            <b/>
            <sz val="9"/>
            <color indexed="81"/>
            <rFont val="Segoe UI"/>
            <family val="2"/>
          </rPr>
          <t>Vinicius Teixeira:</t>
        </r>
        <r>
          <rPr>
            <sz val="9"/>
            <color indexed="81"/>
            <rFont val="Segoe UI"/>
            <family val="2"/>
          </rPr>
          <t xml:space="preserve">
Meia linha (perfil superior ou inferior)</t>
        </r>
      </text>
    </comment>
    <comment ref="O50" authorId="1" shapeId="0" xr:uid="{7B96D89C-55C5-47A9-889B-C41A97C5592B}">
      <text>
        <r>
          <rPr>
            <b/>
            <sz val="9"/>
            <color indexed="81"/>
            <rFont val="Segoe UI"/>
            <family val="2"/>
          </rPr>
          <t>Vinicius Teixeira:</t>
        </r>
        <r>
          <rPr>
            <sz val="9"/>
            <color indexed="81"/>
            <rFont val="Segoe UI"/>
            <family val="2"/>
          </rPr>
          <t xml:space="preserve">
Perfil superior + inferior</t>
        </r>
      </text>
    </comment>
    <comment ref="J52" authorId="1" shapeId="0" xr:uid="{4D7B8F19-1AA5-415B-B11A-9168A940EAA3}">
      <text>
        <r>
          <rPr>
            <b/>
            <sz val="9"/>
            <color indexed="81"/>
            <rFont val="Segoe UI"/>
            <family val="2"/>
          </rPr>
          <t>Vinicius Teixeira:</t>
        </r>
        <r>
          <rPr>
            <sz val="9"/>
            <color indexed="81"/>
            <rFont val="Segoe UI"/>
            <family val="2"/>
          </rPr>
          <t xml:space="preserve">
</t>
        </r>
        <r>
          <rPr>
            <u/>
            <sz val="9"/>
            <color indexed="81"/>
            <rFont val="Segoe UI"/>
            <family val="2"/>
          </rPr>
          <t>Região 2</t>
        </r>
        <r>
          <rPr>
            <sz val="9"/>
            <color indexed="81"/>
            <rFont val="Segoe UI"/>
            <family val="2"/>
          </rPr>
          <t xml:space="preserve">
Módulos até 1000x2000m: 1,85m;
Módulos até 1100x2200m: 1,75m;
Módulos até 1200x2300m: 1,60m;</t>
        </r>
      </text>
    </comment>
    <comment ref="C60" authorId="1" shapeId="0" xr:uid="{8CB08E9B-40B7-4852-ACE2-E46F6266C6BB}">
      <text>
        <r>
          <rPr>
            <b/>
            <sz val="9"/>
            <color indexed="81"/>
            <rFont val="Segoe UI"/>
            <family val="2"/>
          </rPr>
          <t>Vinicius Teixeira:</t>
        </r>
        <r>
          <rPr>
            <sz val="9"/>
            <color indexed="81"/>
            <rFont val="Segoe UI"/>
            <family val="2"/>
          </rPr>
          <t xml:space="preserve">
 Eletroduto+curvas+Bucha+Cabeçote ou curva de 180°+luvas+caixa, temrinal olhal para cada 40cm de cabo de aterramento.</t>
        </r>
      </text>
    </comment>
    <comment ref="C99" authorId="1" shapeId="0" xr:uid="{C027121E-4121-466E-8750-96230DA23242}">
      <text>
        <r>
          <rPr>
            <b/>
            <sz val="9"/>
            <color indexed="81"/>
            <rFont val="Segoe UI"/>
            <family val="2"/>
          </rPr>
          <t>Vinicius Teixeira:</t>
        </r>
        <r>
          <rPr>
            <sz val="9"/>
            <color indexed="81"/>
            <rFont val="Segoe UI"/>
            <family val="2"/>
          </rPr>
          <t xml:space="preserve">
Abraçadeiras, buchas/arruelas, conectores, barramentos, organizador de cabos.
+MARGEM SEGURANÇA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VINICIUS L TEIXEIRA</author>
  </authors>
  <commentList>
    <comment ref="C12" authorId="0" shapeId="0" xr:uid="{CB6008E2-5E94-487D-BCA2-A6B272BC3587}">
      <text>
        <r>
          <rPr>
            <b/>
            <sz val="9"/>
            <color indexed="81"/>
            <rFont val="Segoe UI"/>
            <family val="2"/>
          </rPr>
          <t>VINICIUS L TEIXEIRA:</t>
        </r>
        <r>
          <rPr>
            <sz val="9"/>
            <color indexed="81"/>
            <rFont val="Segoe UI"/>
            <family val="2"/>
          </rPr>
          <t xml:space="preserve">
Gastos extras como, deslocamento,pedágios,aluguel, hospedagem.
Deslocamento: Município do RJ:+R$0; Niterói/Maricá:+R$500; Região dos Lagos/Angra:+R$1.000.
Adequação de padrão: +R$9.000.</t>
        </r>
      </text>
    </comment>
    <comment ref="C13" authorId="0" shapeId="0" xr:uid="{E122F8C2-31BD-4DA7-8E7F-70B9C295FE9A}">
      <text>
        <r>
          <rPr>
            <b/>
            <sz val="9"/>
            <color indexed="81"/>
            <rFont val="Segoe UI"/>
            <family val="2"/>
          </rPr>
          <t xml:space="preserve">FULL: </t>
        </r>
        <r>
          <rPr>
            <sz val="9"/>
            <color indexed="81"/>
            <rFont val="Segoe UI"/>
            <family val="2"/>
          </rPr>
          <t xml:space="preserve">não precisou de ajuda para fechar a venda e lead veio da casa
</t>
        </r>
        <r>
          <rPr>
            <b/>
            <sz val="9"/>
            <color indexed="81"/>
            <rFont val="Segoe UI"/>
            <family val="2"/>
          </rPr>
          <t xml:space="preserve">AJUDA: </t>
        </r>
        <r>
          <rPr>
            <sz val="9"/>
            <color indexed="81"/>
            <rFont val="Segoe UI"/>
            <family val="2"/>
          </rPr>
          <t>Precisou de ajuda para fechar a venda</t>
        </r>
        <r>
          <rPr>
            <b/>
            <sz val="9"/>
            <color indexed="81"/>
            <rFont val="Segoe UI"/>
            <family val="2"/>
          </rPr>
          <t xml:space="preserve"> -0,5%</t>
        </r>
        <r>
          <rPr>
            <sz val="9"/>
            <color indexed="81"/>
            <rFont val="Segoe UI"/>
            <family val="2"/>
          </rPr>
          <t xml:space="preserve">
</t>
        </r>
        <r>
          <rPr>
            <b/>
            <sz val="9"/>
            <color indexed="81"/>
            <rFont val="Segoe UI"/>
            <family val="2"/>
          </rPr>
          <t>VEND.EXTERNO:</t>
        </r>
        <r>
          <rPr>
            <sz val="9"/>
            <color indexed="81"/>
            <rFont val="Segoe UI"/>
            <family val="2"/>
          </rPr>
          <t xml:space="preserve"> Lead veio de vendedor externo </t>
        </r>
        <r>
          <rPr>
            <b/>
            <sz val="9"/>
            <color indexed="81"/>
            <rFont val="Segoe UI"/>
            <family val="2"/>
          </rPr>
          <t>-0,5%</t>
        </r>
        <r>
          <rPr>
            <sz val="9"/>
            <color indexed="81"/>
            <rFont val="Segoe UI"/>
            <family val="2"/>
          </rPr>
          <t xml:space="preserve">
</t>
        </r>
      </text>
    </comment>
    <comment ref="C14" authorId="0" shapeId="0" xr:uid="{2FE3F986-E6A9-4475-A234-54DC6EA9B416}">
      <text>
        <r>
          <rPr>
            <b/>
            <sz val="9"/>
            <color indexed="81"/>
            <rFont val="Segoe UI"/>
            <family val="2"/>
          </rPr>
          <t>&lt;=1%:</t>
        </r>
        <r>
          <rPr>
            <sz val="9"/>
            <color indexed="81"/>
            <rFont val="Segoe UI"/>
            <family val="2"/>
          </rPr>
          <t xml:space="preserve"> -0,0%
&lt;=1%: -0,0%
&lt;=3%: -0,5%
&lt;=5%: -1,0%</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Vinicius Teixeira</author>
  </authors>
  <commentList>
    <comment ref="P9" authorId="0" shapeId="0" xr:uid="{0308B331-7428-41A8-AD21-5295AFFD52ED}">
      <text>
        <r>
          <rPr>
            <b/>
            <sz val="9"/>
            <color indexed="81"/>
            <rFont val="Segoe UI"/>
            <family val="2"/>
          </rPr>
          <t>Vinicius Teixeira:</t>
        </r>
        <r>
          <rPr>
            <sz val="9"/>
            <color indexed="81"/>
            <rFont val="Segoe UI"/>
            <family val="2"/>
          </rPr>
          <t xml:space="preserve">
*Obs, se não estiver presente na instalação, exigir fotos e checkist de comprovação da instalação. Verificando se foi tudo feito de maneira correta e se precavendo de danos futuros.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Vinicius Teixeira</author>
  </authors>
  <commentList>
    <comment ref="D175" authorId="0" shapeId="0" xr:uid="{C1B9B303-6C7B-49E2-86D5-30BC6F85FDDE}">
      <text>
        <r>
          <rPr>
            <b/>
            <sz val="9"/>
            <color indexed="81"/>
            <rFont val="Segoe UI"/>
            <family val="2"/>
          </rPr>
          <t>Vinicius Teixeira:</t>
        </r>
        <r>
          <rPr>
            <sz val="9"/>
            <color indexed="81"/>
            <rFont val="Segoe UI"/>
            <family val="2"/>
          </rPr>
          <t xml:space="preserve">
Utilizado uma temperatura, 5°C menor, que a mínima histórica absolula.</t>
        </r>
      </text>
    </comment>
    <comment ref="D195" authorId="0" shapeId="0" xr:uid="{0E4BA3D0-6D92-4206-A16B-BAF19C401F56}">
      <text>
        <r>
          <rPr>
            <b/>
            <sz val="9"/>
            <color indexed="81"/>
            <rFont val="Segoe UI"/>
            <family val="2"/>
          </rPr>
          <t>Vinicius Teixeira:</t>
        </r>
        <r>
          <rPr>
            <sz val="9"/>
            <color indexed="81"/>
            <rFont val="Segoe UI"/>
            <family val="2"/>
          </rPr>
          <t xml:space="preserve">
Também conhecido como Índice de Rendimento</t>
        </r>
      </text>
    </comment>
    <comment ref="D383" authorId="0" shapeId="0" xr:uid="{F00ADF0E-0618-4572-81C3-5B890D00AC7B}">
      <text>
        <r>
          <rPr>
            <b/>
            <sz val="9"/>
            <color indexed="81"/>
            <rFont val="Segoe UI"/>
            <family val="2"/>
          </rPr>
          <t>Vinicius Teixeira:</t>
        </r>
        <r>
          <rPr>
            <sz val="9"/>
            <color indexed="81"/>
            <rFont val="Segoe UI"/>
            <family val="2"/>
          </rPr>
          <t xml:space="preserve">
Fatura média da aba financeiro retirando o percentual de aumento do valor</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Consulta - INVERSORES" description="Conexão com a consulta 'INVERSORES' na pasta de trabalho." type="5" refreshedVersion="8" background="1" saveData="1">
    <dbPr connection="Provider=Microsoft.Mashup.OleDb.1;Data Source=$Workbook$;Location=INVERSORES;Extended Properties=&quot;&quot;" command="SELECT * FROM [INVERSORES]"/>
  </connection>
  <connection id="2" xr16:uid="{00000000-0015-0000-FFFF-FFFF01000000}" keepAlive="1" name="Consulta - KIT_FV" description="Conexão com a consulta 'KIT_FV' na pasta de trabalho." type="5" refreshedVersion="8" background="1" saveData="1">
    <dbPr connection="Provider=Microsoft.Mashup.OleDb.1;Data Source=$Workbook$;Location=KIT_FV;Extended Properties=&quot;&quot;" command="SELECT * FROM [KIT_FV]"/>
  </connection>
  <connection id="3" xr16:uid="{00000000-0015-0000-FFFF-FFFF02000000}" keepAlive="1" name="Consulta - MÓDULOS" description="Conexão com a consulta 'MÓDULOS' na pasta de trabalho." type="5" refreshedVersion="8" background="1" saveData="1">
    <dbPr connection="Provider=Microsoft.Mashup.OleDb.1;Data Source=$Workbook$;Location=MÓDULOS;Extended Properties=&quot;&quot;" command="SELECT * FROM [MÓDULOS]"/>
  </connection>
  <connection id="4" xr16:uid="{34F9568F-A921-46E7-94B2-D4FF24F79886}" keepAlive="1" name="Consulta - PROSPECTOS" description="Conexão com a consulta 'PROSPECTOS' na pasta de trabalho." type="5" refreshedVersion="8" background="1" saveData="1">
    <dbPr connection="Provider=Microsoft.Mashup.OleDb.1;Data Source=$Workbook$;Location=PROSPECTOS;Extended Properties=&quot;&quot;" command="SELECT * FROM [PROSPECTO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<sst xmlns="http://schemas.openxmlformats.org/spreadsheetml/2006/main" count="20630" uniqueCount="7608">
  <si>
    <t>Log</t>
  </si>
  <si>
    <t>Usuário</t>
  </si>
  <si>
    <t>Senha</t>
  </si>
  <si>
    <t>Acesso Automático</t>
  </si>
  <si>
    <t>Cargo</t>
  </si>
  <si>
    <t>Admin</t>
  </si>
  <si>
    <t>Comercial</t>
  </si>
  <si>
    <t>Projetos</t>
  </si>
  <si>
    <t>Início</t>
  </si>
  <si>
    <t>Final</t>
  </si>
  <si>
    <t>Duração</t>
  </si>
  <si>
    <t>vclt</t>
  </si>
  <si>
    <t>VINICIUS L TEIXEIRA</t>
  </si>
  <si>
    <t>GESTOR</t>
  </si>
  <si>
    <t>sim</t>
  </si>
  <si>
    <t>PROJETISTA</t>
  </si>
  <si>
    <t>dan</t>
  </si>
  <si>
    <t>daniel123</t>
  </si>
  <si>
    <t>CLOSER</t>
  </si>
  <si>
    <t>Clara Hypólito</t>
  </si>
  <si>
    <t>Fabrine F. Lopes</t>
  </si>
  <si>
    <t>Daniel</t>
  </si>
  <si>
    <t>ADM</t>
  </si>
  <si>
    <t>Rótulos de Linha</t>
  </si>
  <si>
    <t>Contagem de Etapa</t>
  </si>
  <si>
    <t>Contagem de Origem</t>
  </si>
  <si>
    <t>Média de Valor</t>
  </si>
  <si>
    <t>Soma de Pot.</t>
  </si>
  <si>
    <t>Contagem de Data Fechamento</t>
  </si>
  <si>
    <t>Novo LEAD</t>
  </si>
  <si>
    <t>(vazio)</t>
  </si>
  <si>
    <t>&lt;21/07/2020</t>
  </si>
  <si>
    <t>Ganho</t>
  </si>
  <si>
    <t>Pré-Proposta</t>
  </si>
  <si>
    <t>Solutudo</t>
  </si>
  <si>
    <t>jan</t>
  </si>
  <si>
    <t>Pausado</t>
  </si>
  <si>
    <t>Visita Téc.</t>
  </si>
  <si>
    <t>Instagram</t>
  </si>
  <si>
    <t>Soma de Valor</t>
  </si>
  <si>
    <t>Média de Pot.</t>
  </si>
  <si>
    <t>fev</t>
  </si>
  <si>
    <t>Perda</t>
  </si>
  <si>
    <t>Projeto</t>
  </si>
  <si>
    <t>Outros</t>
  </si>
  <si>
    <t>mar</t>
  </si>
  <si>
    <t>Google Ads</t>
  </si>
  <si>
    <t>abr</t>
  </si>
  <si>
    <t>Engelink</t>
  </si>
  <si>
    <t>mai</t>
  </si>
  <si>
    <t>Indicação (outros)</t>
  </si>
  <si>
    <t>jun</t>
  </si>
  <si>
    <t>Indicação Remunerada</t>
  </si>
  <si>
    <t>jul</t>
  </si>
  <si>
    <t>início</t>
  </si>
  <si>
    <t>Network</t>
  </si>
  <si>
    <t>ago</t>
  </si>
  <si>
    <t>novo</t>
  </si>
  <si>
    <t>Meta Ads</t>
  </si>
  <si>
    <t>set</t>
  </si>
  <si>
    <t>Total Geral</t>
  </si>
  <si>
    <t>Indicação de Clientes</t>
  </si>
  <si>
    <t>out</t>
  </si>
  <si>
    <t>nov</t>
  </si>
  <si>
    <t>dez</t>
  </si>
  <si>
    <t>Pipeline</t>
  </si>
  <si>
    <t>Fechamento</t>
  </si>
  <si>
    <t>Faturamento total</t>
  </si>
  <si>
    <t>Ticket médio</t>
  </si>
  <si>
    <t>pot médio</t>
  </si>
  <si>
    <t>Atendimentos</t>
  </si>
  <si>
    <t>Pot total</t>
  </si>
  <si>
    <t>Taxa de Conversão</t>
  </si>
  <si>
    <t>Faixa de Potência</t>
  </si>
  <si>
    <t>Título</t>
  </si>
  <si>
    <t>Maior ou igual</t>
  </si>
  <si>
    <t>Menor que</t>
  </si>
  <si>
    <t>-</t>
  </si>
  <si>
    <t>Faixa de Consumo</t>
  </si>
  <si>
    <t>Conversor de nome para maiúsculo</t>
  </si>
  <si>
    <t>HSP</t>
  </si>
  <si>
    <t>Considerada</t>
  </si>
  <si>
    <t>Anil</t>
  </si>
  <si>
    <t>Jardim Primavera - Duque de Caxias</t>
  </si>
  <si>
    <t>São João de Meriti</t>
  </si>
  <si>
    <t>Recreio/RJ</t>
  </si>
  <si>
    <t>Mangaratiba/RJ</t>
  </si>
  <si>
    <t>FERIADOS</t>
  </si>
  <si>
    <t>Nome</t>
  </si>
  <si>
    <t>ângulo</t>
  </si>
  <si>
    <t>Maior Média anual</t>
  </si>
  <si>
    <t>Data</t>
  </si>
  <si>
    <t>Feriado</t>
  </si>
  <si>
    <t>Maiúsculo</t>
  </si>
  <si>
    <t>Inclinação</t>
  </si>
  <si>
    <t>Confraternização Universal</t>
  </si>
  <si>
    <t>Jan</t>
  </si>
  <si>
    <t>Carnaval</t>
  </si>
  <si>
    <t>Fev</t>
  </si>
  <si>
    <t>Mar</t>
  </si>
  <si>
    <t>Paixão de Cristo</t>
  </si>
  <si>
    <t>Dias Úteis:</t>
  </si>
  <si>
    <t>Data Início</t>
  </si>
  <si>
    <t>Abr</t>
  </si>
  <si>
    <t>Tiradentes</t>
  </si>
  <si>
    <t>Dias Totais:</t>
  </si>
  <si>
    <t>Mai</t>
  </si>
  <si>
    <t>Páscoa</t>
  </si>
  <si>
    <t>Início Real</t>
  </si>
  <si>
    <t>Termino Real</t>
  </si>
  <si>
    <t>Término</t>
  </si>
  <si>
    <t>Tarefa</t>
  </si>
  <si>
    <t>Q</t>
  </si>
  <si>
    <t>Curva de consumo</t>
  </si>
  <si>
    <t>Jun</t>
  </si>
  <si>
    <t>Dia do Trabalhador</t>
  </si>
  <si>
    <t>Coleta de Documentação</t>
  </si>
  <si>
    <t>Consumo médio:</t>
  </si>
  <si>
    <t>Valor da Fatura:</t>
  </si>
  <si>
    <t>Jul</t>
  </si>
  <si>
    <t>Corpo de Cristo</t>
  </si>
  <si>
    <t>Assinatura do Contrato (KickOff)</t>
  </si>
  <si>
    <t>Ago</t>
  </si>
  <si>
    <t>Set</t>
  </si>
  <si>
    <t>Out</t>
  </si>
  <si>
    <t>Nov</t>
  </si>
  <si>
    <t>Dez</t>
  </si>
  <si>
    <t>Independência</t>
  </si>
  <si>
    <t>Pagamento -Parte 1</t>
  </si>
  <si>
    <t>Nossa Senhora Aparecida</t>
  </si>
  <si>
    <t>Emissão da ART</t>
  </si>
  <si>
    <t>Finados</t>
  </si>
  <si>
    <t>Assinatura da ART e Procuração</t>
  </si>
  <si>
    <t>*Fatores retirados de faturas reais</t>
  </si>
  <si>
    <t>Proclamação da República</t>
  </si>
  <si>
    <t>Elaboração do Projeto</t>
  </si>
  <si>
    <t>Natal</t>
  </si>
  <si>
    <t>Parecer de Acesso</t>
  </si>
  <si>
    <t>Média</t>
  </si>
  <si>
    <t>Recebimento do Material</t>
  </si>
  <si>
    <t>*Adicionar colunas no meio para esticar o range da fórmula</t>
  </si>
  <si>
    <t>Pagamento -Parte 2</t>
  </si>
  <si>
    <t>Coluna considerada</t>
  </si>
  <si>
    <t>Instalação</t>
  </si>
  <si>
    <t>COLOCAR LINK DO CRESESB</t>
  </si>
  <si>
    <t>Solicitação de Vistoria</t>
  </si>
  <si>
    <t>Pagamento -Parte 3</t>
  </si>
  <si>
    <t>Levantamento de Carga</t>
  </si>
  <si>
    <t>Vistoria + Troca do Medidor</t>
  </si>
  <si>
    <t>Consumo médio</t>
  </si>
  <si>
    <t>Equipamento</t>
  </si>
  <si>
    <t>Quantidade</t>
  </si>
  <si>
    <t>horas por dia</t>
  </si>
  <si>
    <t>Dias de uso</t>
  </si>
  <si>
    <t>Consumo</t>
  </si>
  <si>
    <t>Méd. sazonal</t>
  </si>
  <si>
    <t>obs</t>
  </si>
  <si>
    <t>Quantidade de Meses AC:</t>
  </si>
  <si>
    <t>TurnKey</t>
  </si>
  <si>
    <t>Split 18.000 BTU</t>
  </si>
  <si>
    <t>*verão considerar 4 meses</t>
  </si>
  <si>
    <t>Link da pasta para backup proposta excel</t>
  </si>
  <si>
    <t>Split 12.000 BTU</t>
  </si>
  <si>
    <t>C:\Users\vinic\OneDrive\Documentos\01 - Profissional\01 - Projetos\000 - Prospectos - Pré-Propostas\</t>
  </si>
  <si>
    <t>Total</t>
  </si>
  <si>
    <t>Consumos de equipamentos:</t>
  </si>
  <si>
    <t>Faixa de cons.</t>
  </si>
  <si>
    <t>Categoria</t>
  </si>
  <si>
    <t>1h*30d (kWh)</t>
  </si>
  <si>
    <t>Obs.</t>
  </si>
  <si>
    <t>17,1 a 17,6kWh</t>
  </si>
  <si>
    <t>AC</t>
  </si>
  <si>
    <t>Split 9.000 BTU</t>
  </si>
  <si>
    <t>12m²</t>
  </si>
  <si>
    <t>22,7 a 32,5kWh</t>
  </si>
  <si>
    <t>17m²</t>
  </si>
  <si>
    <t>32,3 a 34,2kWh</t>
  </si>
  <si>
    <t>25m²</t>
  </si>
  <si>
    <t>38,6 a 46,1kWh</t>
  </si>
  <si>
    <t>Split 24.000 BTU</t>
  </si>
  <si>
    <t>32m²</t>
  </si>
  <si>
    <t>54,1 a 60,9kWh</t>
  </si>
  <si>
    <t>Split 30.000 BTU</t>
  </si>
  <si>
    <t>40m²</t>
  </si>
  <si>
    <t>Aquecimento</t>
  </si>
  <si>
    <t>Boiler</t>
  </si>
  <si>
    <t>Tempo médio: 2h/dia x 30 dias</t>
  </si>
  <si>
    <t>Chuveiro Elétrico</t>
  </si>
  <si>
    <t>Potência de 6,8kWh. Tempo de uso: 2 banhos de 10min (20min)/pessoa</t>
  </si>
  <si>
    <t>Cozinha</t>
  </si>
  <si>
    <t>Forno Elétrico</t>
  </si>
  <si>
    <t>Fogão de indução</t>
  </si>
  <si>
    <t>Considerado um fogão de 7kW, usados 4 bocas na potência máxima, 20min por dia, 30 dias no mês</t>
  </si>
  <si>
    <t>Microondas</t>
  </si>
  <si>
    <t>potência de 1,2kW</t>
  </si>
  <si>
    <t>Lazer</t>
  </si>
  <si>
    <t>Motor de piscina</t>
  </si>
  <si>
    <t>Tempo de uso por dia 6h</t>
  </si>
  <si>
    <t>Jacuzzi</t>
  </si>
  <si>
    <t>Banheira</t>
  </si>
  <si>
    <t>14,5 a 25 Kwh/mês</t>
  </si>
  <si>
    <t>Refrigerador</t>
  </si>
  <si>
    <t>Frigobar</t>
  </si>
  <si>
    <t>Uso 24h/dia</t>
  </si>
  <si>
    <t>Geladeira 2 portas frost free</t>
  </si>
  <si>
    <t>Carro Elétrico</t>
  </si>
  <si>
    <t>8km/kWh. Estimativa de 500km/mês. Informar a quantidade de km rodados em horas de uso e dias =1</t>
  </si>
  <si>
    <t>Ventilador de teto</t>
  </si>
  <si>
    <t>Consumo médio por pessoa</t>
  </si>
  <si>
    <t>Sem AC, Chuveiro e equips especiais (100+50/pessoa)</t>
  </si>
  <si>
    <t>Qnt. de pessoas</t>
  </si>
  <si>
    <t>Consumo base médio por pessoa (sem AC, chuveiro, e equips especiais)</t>
  </si>
  <si>
    <t>Consumo no verão: Nov/2, Dez, Jan, Fev, mar/2</t>
  </si>
  <si>
    <t>AC x tamanho ambiente: ~3mil BTUs a cada 4m²</t>
  </si>
  <si>
    <t>http://www.procelinfo.com.br/main.asp?View=%7BE6BC2A5F-E787-48AF-B485-439862B17000%7D</t>
  </si>
  <si>
    <t>http://natureba.com.br/energia-eletrodomesticos.htm</t>
  </si>
  <si>
    <t>Comparativo - PEDIR AUXILIIO NO PRIMEIRO USO</t>
  </si>
  <si>
    <t>Versão</t>
  </si>
  <si>
    <t>Inversor</t>
  </si>
  <si>
    <t>Módulos</t>
  </si>
  <si>
    <t>kWp</t>
  </si>
  <si>
    <t>Consumo Médio</t>
  </si>
  <si>
    <t>Preço Final</t>
  </si>
  <si>
    <t>R$/kWp</t>
  </si>
  <si>
    <t>PayBack</t>
  </si>
  <si>
    <t>Geração média</t>
  </si>
  <si>
    <t>PB</t>
  </si>
  <si>
    <t>Valor/geração</t>
  </si>
  <si>
    <t>Valor kit</t>
  </si>
  <si>
    <t>R$/kWp kit</t>
  </si>
  <si>
    <t>Lucro</t>
  </si>
  <si>
    <t>Lucro %</t>
  </si>
  <si>
    <t>V0</t>
  </si>
  <si>
    <t>Growatt 5k</t>
  </si>
  <si>
    <t>9*BE-550W</t>
  </si>
  <si>
    <t>V1</t>
  </si>
  <si>
    <t>V2</t>
  </si>
  <si>
    <t>BELENERGY BEL2000G3-US-220</t>
  </si>
  <si>
    <t>V3</t>
  </si>
  <si>
    <t>Growatt MIN 4200 TL-X</t>
  </si>
  <si>
    <t>V4</t>
  </si>
  <si>
    <t>V5</t>
  </si>
  <si>
    <t>Hoymiles-HMS2000</t>
  </si>
  <si>
    <t>V6</t>
  </si>
  <si>
    <t>V7</t>
  </si>
  <si>
    <t>Versão atual</t>
  </si>
  <si>
    <t>Propostas concorrentes</t>
  </si>
  <si>
    <t>Potência Ref.</t>
  </si>
  <si>
    <t>Inv</t>
  </si>
  <si>
    <t>Pot</t>
  </si>
  <si>
    <t>Valor na pot. Ref.</t>
  </si>
  <si>
    <t>Growatt 3k</t>
  </si>
  <si>
    <t>5*530</t>
  </si>
  <si>
    <t>6*530</t>
  </si>
  <si>
    <t>Growatt 4k</t>
  </si>
  <si>
    <t>6*550</t>
  </si>
  <si>
    <t>Converter ClickUp para excel</t>
  </si>
  <si>
    <t>1,151</t>
  </si>
  <si>
    <t>819</t>
  </si>
  <si>
    <t>1,373</t>
  </si>
  <si>
    <t>865</t>
  </si>
  <si>
    <t>585</t>
  </si>
  <si>
    <t>506</t>
  </si>
  <si>
    <t>387</t>
  </si>
  <si>
    <t>756</t>
  </si>
  <si>
    <t>776</t>
  </si>
  <si>
    <t>785</t>
  </si>
  <si>
    <t>725</t>
  </si>
  <si>
    <t>745</t>
  </si>
  <si>
    <t>Junto à Carga</t>
  </si>
  <si>
    <t>COMERCIAL</t>
  </si>
  <si>
    <t>Somador de contas</t>
  </si>
  <si>
    <t>BI- 7227691</t>
  </si>
  <si>
    <t>Estudo</t>
  </si>
  <si>
    <t>N°</t>
  </si>
  <si>
    <t>Etapa</t>
  </si>
  <si>
    <t>Primeiro Contato</t>
  </si>
  <si>
    <t>Origem</t>
  </si>
  <si>
    <t>Telefone</t>
  </si>
  <si>
    <t>Endereço</t>
  </si>
  <si>
    <t>CEP</t>
  </si>
  <si>
    <t>Estado</t>
  </si>
  <si>
    <t>Município</t>
  </si>
  <si>
    <t>Bairro</t>
  </si>
  <si>
    <t>Concessionária</t>
  </si>
  <si>
    <t>Grupo/Sub-Grupo</t>
  </si>
  <si>
    <t>Fornecimento</t>
  </si>
  <si>
    <t>Tipo de Geração</t>
  </si>
  <si>
    <t>Local de Instalação</t>
  </si>
  <si>
    <t>Data Fechamento</t>
  </si>
  <si>
    <t>Pot.</t>
  </si>
  <si>
    <t>Valor</t>
  </si>
  <si>
    <t>Estrutura</t>
  </si>
  <si>
    <t>Qnt. Módulos</t>
  </si>
  <si>
    <t>Pt. Módulos</t>
  </si>
  <si>
    <t>Distância</t>
  </si>
  <si>
    <t>Remarketing?</t>
  </si>
  <si>
    <t>Motivo Perda</t>
  </si>
  <si>
    <t>Obs.:</t>
  </si>
  <si>
    <t>P0001 - LUIZ CARLOS COELHO</t>
  </si>
  <si>
    <t>P0001</t>
  </si>
  <si>
    <t>LUIZ CARLOS COELHO</t>
  </si>
  <si>
    <t>Rua das Violetas, 31</t>
  </si>
  <si>
    <t>CEP: 28.940-000</t>
  </si>
  <si>
    <t>São Pedro da Aldeia/RJ - CEP: 28.940-000</t>
  </si>
  <si>
    <t>Junto a Carga</t>
  </si>
  <si>
    <t/>
  </si>
  <si>
    <t>NÃO</t>
  </si>
  <si>
    <t>Fechou com outra empresa</t>
  </si>
  <si>
    <t>11/06/20 - Proposta enviada. Tem a preocupação e interesse com a conta de luz. Quer economizar. Não tem muita ideia como o sistema funciona (acha que o valor é por m²), vale sentar e conversar pra explicar melhor as etapas, prazos e como será feito a instalação do sistema. Não passou feedback da proposta. Ligar e perguntar como estão as coisas por lá, corona vírus, conta de luz etc;</t>
  </si>
  <si>
    <t>P0002 - MARIA MARTINS DE LIMA FILHA</t>
  </si>
  <si>
    <t>P0002</t>
  </si>
  <si>
    <t>MARIA MARTINS DE LIMA FILHA</t>
  </si>
  <si>
    <t>21996187355</t>
  </si>
  <si>
    <t>Fibrocimento</t>
  </si>
  <si>
    <t>P0003 - ANTÔNIO CARLOS DIAS TEIXEIRA</t>
  </si>
  <si>
    <t>P0003</t>
  </si>
  <si>
    <t>ANTÔNIO CARLOS DIAS TEIXEIRA</t>
  </si>
  <si>
    <t>21999586243</t>
  </si>
  <si>
    <t>Rua Geminiano Gois, 882, bloco 8 casa 107 (R A 345 LT 3 BL 8 AP 107)</t>
  </si>
  <si>
    <t>RJ</t>
  </si>
  <si>
    <t>RIO DE JANEIRO</t>
  </si>
  <si>
    <t>Light</t>
  </si>
  <si>
    <t>B1 - Residencial</t>
  </si>
  <si>
    <t>Trifásico</t>
  </si>
  <si>
    <t>Cerâmico</t>
  </si>
  <si>
    <t>P0004 - NELSON LUIS DE AMORIM CODA</t>
  </si>
  <si>
    <t>P0004</t>
  </si>
  <si>
    <t>NELSON LUIS DE AMORIM CODA</t>
  </si>
  <si>
    <t>21999770254</t>
  </si>
  <si>
    <t>R MAMORE 25 CA 106</t>
  </si>
  <si>
    <t>6+6</t>
  </si>
  <si>
    <t>455+550</t>
  </si>
  <si>
    <t>P0005 - MEIRE FERREIRA</t>
  </si>
  <si>
    <t>P0005</t>
  </si>
  <si>
    <t>MEIRE FERREIRA</t>
  </si>
  <si>
    <t>21987216647</t>
  </si>
  <si>
    <t>SIM</t>
  </si>
  <si>
    <t>Veio através do instagram. Possui uma loja de doces. Marido está trabalhando de casa. Consumo praticamente dobrou de out/19 para out/20. Proposta enviada em 07/11/2020 com sistema de 5,22kWp 12*435W mono Longi no valor de 23757,02, aplicando um desconto excepcional de 1000 reais. Lucro total 4534,02. Solicitou orçamento para o sogro Paulo Henrique P0006.</t>
  </si>
  <si>
    <t>P0006 - PAULO HENRIQUE</t>
  </si>
  <si>
    <t>P0006</t>
  </si>
  <si>
    <t>PAULO HENRIQUE</t>
  </si>
  <si>
    <t>21984274055</t>
  </si>
  <si>
    <t>R HADDOCK LOBO, 419A</t>
  </si>
  <si>
    <t>R HADDOCK LOBO</t>
  </si>
  <si>
    <t>Achou caro</t>
  </si>
  <si>
    <t>Indicação de Meire Ferreira P0005. Solicitou um orçamento maior que a fatura, para uma média de 500kWh/mês por uma previsão de aumento de consumo. Atendido pela filha Valéria. Estão se mudando de Minas para cá (casa ficava vazia). Necessitava reforço estrutural</t>
  </si>
  <si>
    <t>P0007 - MARCOS MARTINS DE LIMA</t>
  </si>
  <si>
    <t>P0007</t>
  </si>
  <si>
    <t>MARCOS MARTINS DE LIMA</t>
  </si>
  <si>
    <t>21991227304</t>
  </si>
  <si>
    <t>Concreto</t>
  </si>
  <si>
    <t>Tio marquinhos,não passou a fatura, fazendo uma estimativa para um consumo médio de 300kWh/mês</t>
  </si>
  <si>
    <t>P0008 - ANDRÉ COMPAN</t>
  </si>
  <si>
    <t>P0008</t>
  </si>
  <si>
    <t>ANDRÉ COMPAN</t>
  </si>
  <si>
    <t>21988222544</t>
  </si>
  <si>
    <t>P0009 - JOSE MARTINS DE LIMA</t>
  </si>
  <si>
    <t>P0009</t>
  </si>
  <si>
    <t>JOSE MARTINS DE LIMA</t>
  </si>
  <si>
    <t>21996581042</t>
  </si>
  <si>
    <t>R JEQUIRICA 574</t>
  </si>
  <si>
    <t>Tio martins querendo colocar sistema para reduzir. Valor da conta aumentou pois o chuveiro ficava em outro medidor que so pagava o custo de disponibilidade.</t>
  </si>
  <si>
    <t>P0010 - ANDRE RICARDO DA SILVA DAMAS</t>
  </si>
  <si>
    <t>P0010</t>
  </si>
  <si>
    <t>ANDRE RICARDO DA SILVA DAMAS</t>
  </si>
  <si>
    <t>21983059626</t>
  </si>
  <si>
    <t>EST DO PAU FERRO 710 BL 5 AP 103</t>
  </si>
  <si>
    <t>Indicação do Fabio (Primo). Fabio comentou "faz preço bom que leva". Se mudou e está querendo orçar novamente. Fechou com empresa que montou na casa do sócio</t>
  </si>
  <si>
    <t>P0011 - ANADILA CRISTINA GONÇALVES</t>
  </si>
  <si>
    <t>P0011</t>
  </si>
  <si>
    <t>ANADILA CRISTINA GONÇALVES</t>
  </si>
  <si>
    <t>21972324848</t>
  </si>
  <si>
    <t>Rua Jaborandi, 152 ap 101</t>
  </si>
  <si>
    <t>Indicação do Tio Lori, "namorada dele". Informou que consumo médio é de 1000 reais. Latitude e longitude aproximadas (apenas da rua).</t>
  </si>
  <si>
    <t>P0012 - COND DO EDIF RES MARLIM</t>
  </si>
  <si>
    <t>P0012</t>
  </si>
  <si>
    <t>COND DO EDIF RES MARLIM</t>
  </si>
  <si>
    <t>21999977747</t>
  </si>
  <si>
    <t>Enel</t>
  </si>
  <si>
    <t>Emir (trabalho com pai e mãe), está como síndico e veio através do post no facebook (amigo em comum). Fechamos um sistema de 7,2kWp (16x450W, porém não tinham em estoque e entregaram 17*440W (7,48kWp)</t>
  </si>
  <si>
    <t>P0013 - MIGUEL</t>
  </si>
  <si>
    <t>P0013</t>
  </si>
  <si>
    <t>MIGUEL</t>
  </si>
  <si>
    <t>21998821200</t>
  </si>
  <si>
    <t>Rua Geminiano Gois, 882</t>
  </si>
  <si>
    <t>Rua Geminiano Gois</t>
  </si>
  <si>
    <t>Optou por não realizar o projeto</t>
  </si>
  <si>
    <t>Mesmo condomínio do meu pai, acho que viu a placa. Informou que viu que já tinha feito instalação lá. Estava a 2 meses, não tinha fatura anual ainda. Passou valor médio de 450 reais mês</t>
  </si>
  <si>
    <t>P0014 - MARCOS</t>
  </si>
  <si>
    <t>P0014</t>
  </si>
  <si>
    <t>MARCOS</t>
  </si>
  <si>
    <t>21995437217</t>
  </si>
  <si>
    <t>JARDIM PRIMAVERA</t>
  </si>
  <si>
    <t>JARDIM PRIMAVERA - DUQUE DE CAXIAS</t>
  </si>
  <si>
    <t>Sem Resposta</t>
  </si>
  <si>
    <t>Indicação eng lucas. Fez treinamento comigo na bluesol. Consumo estimulado, dobrou o consumo a partir de outubro, os outros meses não acompanhavam.</t>
  </si>
  <si>
    <t>P0015 - LUIZ TERRA</t>
  </si>
  <si>
    <t>P0015</t>
  </si>
  <si>
    <t>LUIZ TERRA</t>
  </si>
  <si>
    <t>21982691358</t>
  </si>
  <si>
    <t>RUA LAGOA SANTA</t>
  </si>
  <si>
    <t>Amigo do meu pai (caixa).</t>
  </si>
  <si>
    <t>P0016 - PLACIDO DE SOUZA MEIRELLES</t>
  </si>
  <si>
    <t>P0016</t>
  </si>
  <si>
    <t>PLACIDO DE SOUZA MEIRELLES</t>
  </si>
  <si>
    <t>21981066324</t>
  </si>
  <si>
    <t>R FERNANDO NOGUEIRA DE SOUZA 122 C8</t>
  </si>
  <si>
    <t>Indicação pedro Mansur.</t>
  </si>
  <si>
    <t>P0017 - IRAILDES AZEVEDO CARVALHO MARTINS</t>
  </si>
  <si>
    <t>P0017</t>
  </si>
  <si>
    <t>IRAILDES AZEVEDO CARVALHO MARTINS</t>
  </si>
  <si>
    <t>21988644531</t>
  </si>
  <si>
    <t>R RAMOS DA FONSECA 175</t>
  </si>
  <si>
    <t>Veio através do site, preencheu a solicitação de orçamento. Lead antigo, no momento só enviava a proposta sem agregar valor. Enviei a proposta e "fiquei no aguardo", vale a pena retomar o contato seguindo o nome processo e verificar se ainda tem interesse.</t>
  </si>
  <si>
    <t>P0018 - MIGUEL ANGELO</t>
  </si>
  <si>
    <t>P0018</t>
  </si>
  <si>
    <t>MIGUEL ANGELO</t>
  </si>
  <si>
    <t>21988788341</t>
  </si>
  <si>
    <t>Indicação do tio Ni. Reside em Maricá, bairro de Inoã.Fechamento 19/03/21 e fechamento ampliação 31/08/21.</t>
  </si>
  <si>
    <t>P0019 - IAGO MACELLO</t>
  </si>
  <si>
    <t>P0019</t>
  </si>
  <si>
    <t>IAGO MACELLO</t>
  </si>
  <si>
    <t>21969859937</t>
  </si>
  <si>
    <t>P0020 - RODRIGO OTAVIO GOMES PERRONI</t>
  </si>
  <si>
    <t>P0020</t>
  </si>
  <si>
    <t>RODRIGO OTAVIO GOMES PERRONI</t>
  </si>
  <si>
    <t>21988149461</t>
  </si>
  <si>
    <t>R CEDRO, 137</t>
  </si>
  <si>
    <t>Indicação Luciana prima (Tio martins). Ex Chefe dela, dono na Velha Bahia Móveis. Morava em uma casa alugada, verificar status atual e interesse de colocar. Obs para casa alugada: O equipamento e registrado no endereço, é sim possível levar para outro local, mas nesse caso existem custas como, desmontagem, transporte, reinstalação, e homologação do novo endereço na concessionária. O ideal nesse cenário é entrar em acordo com o proprietário e o equipamento manter no local, já que é um benefício para o proprietário e inclusive valoriza o imóvel.</t>
  </si>
  <si>
    <t>P0021 - PRÉDIO COMERCIAL BELFORD ROXO</t>
  </si>
  <si>
    <t>P0021</t>
  </si>
  <si>
    <t>PRÉDIO COMERCIAL BELFORD ROXO</t>
  </si>
  <si>
    <t>P0022 - CARLOS SANTANA</t>
  </si>
  <si>
    <t>P0022</t>
  </si>
  <si>
    <t>CARLOS SANTANA</t>
  </si>
  <si>
    <t>21964214746</t>
  </si>
  <si>
    <t>PCA STA EMILIANA 111 BL 14 AP 401</t>
  </si>
  <si>
    <t>Monofásico</t>
  </si>
  <si>
    <t>Veio através do site, formulário. Disse que que viu que instalamos na casa de uma amiga. Na fatura consta como apartamento mas disse ter telhado. Ficou de alinhar com o pais e não deu mais retorno. Provavelmente indicação da Lucinana do martins.</t>
  </si>
  <si>
    <t>P0023 - LEONARDO ABREU</t>
  </si>
  <si>
    <t>P0023</t>
  </si>
  <si>
    <t>LEONARDO ABREU</t>
  </si>
  <si>
    <t>21996083238</t>
  </si>
  <si>
    <t>P0024 - COSME REGLY</t>
  </si>
  <si>
    <t>P0024</t>
  </si>
  <si>
    <t>COSME REGLY</t>
  </si>
  <si>
    <t>21988518357</t>
  </si>
  <si>
    <t>Sogro da Pam, pai do leandro. Casa em construção em cabo frio</t>
  </si>
  <si>
    <t>P0025</t>
  </si>
  <si>
    <t>21984783180</t>
  </si>
  <si>
    <t>R. Amendoeiras, 12</t>
  </si>
  <si>
    <t>Indicação do Marcio Martins (cunhado P0025), que foi indicação do Nilson da ComSol. Estava orçando com outras empresas, já veio com um tamanho de sistema 8,64kWp para uma geração aproximada de 1000kWh). Pediu para ele e para a cunhada ~500kWh/mês). A cunhada é a Marcia P0026.</t>
  </si>
  <si>
    <t>P0026 - Marcia Spadetti</t>
  </si>
  <si>
    <t>P0026</t>
  </si>
  <si>
    <t>Marcia Spadetti</t>
  </si>
  <si>
    <t>21993871708</t>
  </si>
  <si>
    <t>Indicação ComSol. Verificar descrição do p0025</t>
  </si>
  <si>
    <t>P0027 - SUELI TAVARES</t>
  </si>
  <si>
    <t>P0027</t>
  </si>
  <si>
    <t>SUELI TAVARES</t>
  </si>
  <si>
    <t>21987742478</t>
  </si>
  <si>
    <t>Kalhetão</t>
  </si>
  <si>
    <t>Indicação do Rafael Peixoto (primo) para mãe de Danielle Tavares.</t>
  </si>
  <si>
    <t>P0028 - CÉSAR</t>
  </si>
  <si>
    <t>P0028</t>
  </si>
  <si>
    <t>CÉSAR</t>
  </si>
  <si>
    <t>21964477560</t>
  </si>
  <si>
    <t>Indicação ComSol. Não tenho contato direto do cliente, o Nilson era o intermediador</t>
  </si>
  <si>
    <t>P0029 - Leandro</t>
  </si>
  <si>
    <t>P0029</t>
  </si>
  <si>
    <t>Leandro</t>
  </si>
  <si>
    <t>Indicação Nilson ComSol. Consumo médio de 2000/mês. Não tenho contato direto do cliente, o Nilson era o intermediador</t>
  </si>
  <si>
    <t>P0030 - CASSIANO BARROS DE OLIVEIRA</t>
  </si>
  <si>
    <t>P0030</t>
  </si>
  <si>
    <t>CASSIANO BARROS DE OLIVEIRA</t>
  </si>
  <si>
    <t>22988247660</t>
  </si>
  <si>
    <t>AV DOS PESCADORES, 666, LJ 10</t>
  </si>
  <si>
    <t>Morador do condomínio Merlin em cabo frio. Viu a instalação e se interessou para por em sua loja. Fizemos análise de sombreamento, mas não respondeu.</t>
  </si>
  <si>
    <t>P0031 - Cliente 3031</t>
  </si>
  <si>
    <t>P0031</t>
  </si>
  <si>
    <t>Cliente 3031</t>
  </si>
  <si>
    <t>21979597739</t>
  </si>
  <si>
    <t>Larissa, indicação do Pedro Masur. Cliente dela gostaria de trocar só o inversor. Não foi para frente</t>
  </si>
  <si>
    <t>P0032 - OSMAR AGOSTINHO</t>
  </si>
  <si>
    <t>P0032</t>
  </si>
  <si>
    <t>OSMAR AGOSTINHO</t>
  </si>
  <si>
    <t>21999136621</t>
  </si>
  <si>
    <t>indicação do brandão. Utilizado uma fatura média de 700kWh. Enviado a proposta e não respondeu mais, retomar contato para ver se chegou a fechar se ainda tem interesse etc.Nova tentativa de contato em 13/09/23 sem resposta</t>
  </si>
  <si>
    <t>P0033 - CELIA MARIA PIACENTINI COTRIM</t>
  </si>
  <si>
    <t>P0033</t>
  </si>
  <si>
    <t>CELIA MARIA PIACENTINI COTRIM</t>
  </si>
  <si>
    <t>21997360198</t>
  </si>
  <si>
    <t>R RAUL SEIXAS,268</t>
  </si>
  <si>
    <t>Autoconsumo Remoto</t>
  </si>
  <si>
    <t>Amiga mãe, da pró-vida. Quer aumentar o sistema pois colocou sistema de aquecimento da piscina. Deseja também consertar uma instalação antiga que está dando vazamento.</t>
  </si>
  <si>
    <t>P0034 - OFFGRID</t>
  </si>
  <si>
    <t>P0034</t>
  </si>
  <si>
    <t>OFFGRID</t>
  </si>
  <si>
    <t>21985211765</t>
  </si>
  <si>
    <t>Indicação Ronaldo - Goex Elétrica</t>
  </si>
  <si>
    <t>P0035 - JOSE AUGUSTO SILVEIRA ALKIMIM</t>
  </si>
  <si>
    <t>P0035</t>
  </si>
  <si>
    <t>JOSE AUGUSTO SILVEIRA ALKIMIM</t>
  </si>
  <si>
    <t>Fração 03 lt B PORTO REAL</t>
  </si>
  <si>
    <t>P0036 - CLAUDIO DE LUCAS LIMA</t>
  </si>
  <si>
    <t>P0036</t>
  </si>
  <si>
    <t>CLAUDIO DE LUCAS LIMA</t>
  </si>
  <si>
    <t>21983201778</t>
  </si>
  <si>
    <t>P0037 - RICARDO MONTEIRO PEREIRA</t>
  </si>
  <si>
    <t>P0037</t>
  </si>
  <si>
    <t>RICARDO MONTEIRO PEREIRA</t>
  </si>
  <si>
    <t>21964724820</t>
  </si>
  <si>
    <t>R TROVADOR, SN LT 18 QD 40 FD</t>
  </si>
  <si>
    <t>CAMPO GRANDE</t>
  </si>
  <si>
    <t>Indicado pelo Nikael</t>
  </si>
  <si>
    <t>P0038 - LUCAS MENENDEZ</t>
  </si>
  <si>
    <t>P0038</t>
  </si>
  <si>
    <t>LUCAS MENENDEZ</t>
  </si>
  <si>
    <t>21999391995</t>
  </si>
  <si>
    <t>Estimativa de consumo de 2000 reais média</t>
  </si>
  <si>
    <t>P0039 - JORGE PEPICON</t>
  </si>
  <si>
    <t>P0039</t>
  </si>
  <si>
    <t>JORGE PEPICON</t>
  </si>
  <si>
    <t>21987725802</t>
  </si>
  <si>
    <t>R IMBUIA, 89</t>
  </si>
  <si>
    <t>R IMBUIA</t>
  </si>
  <si>
    <t>Informou que jan não reflete realidade pois estavam viajando. Estava como 450kWh, considerei a média entre dez e fev. Aumento 21% o consumo de Jun/20 para Jun/21. Se mudou para portugal para ficar próximo à filha.</t>
  </si>
  <si>
    <t>P0040 - MARCELO NAVARRO</t>
  </si>
  <si>
    <t>P0040</t>
  </si>
  <si>
    <t>MARCELO NAVARRO</t>
  </si>
  <si>
    <t>21997645266</t>
  </si>
  <si>
    <t>R ANVERINO FLORESTA DE MIRANDA, 215</t>
  </si>
  <si>
    <t>R ANVERINO FLORESTA DE MIRANDA</t>
  </si>
  <si>
    <t>Indicado pelo cosme (pai do leandro)</t>
  </si>
  <si>
    <t>P0041 - Q DELICIA LANCHENETE BAR E PIZZARIA</t>
  </si>
  <si>
    <t>P0041</t>
  </si>
  <si>
    <t>Q DELICIA LANCHENETE BAR E PIZZARIA</t>
  </si>
  <si>
    <t>EST DO TINDIBA, 1796, LJ D</t>
  </si>
  <si>
    <t>Indicado pelo Ronaldo, fatura de jun/20 era 1038 subiu para 1397 em jun/21</t>
  </si>
  <si>
    <t>P0042 - Sem nome</t>
  </si>
  <si>
    <t>P0042</t>
  </si>
  <si>
    <t>Sem nome</t>
  </si>
  <si>
    <t>ANGRA DOS REIS</t>
  </si>
  <si>
    <t>Indicação de Nikael</t>
  </si>
  <si>
    <t>P0043 - DIEGO RUADE DA FONSECA</t>
  </si>
  <si>
    <t>P0043</t>
  </si>
  <si>
    <t>DIEGO RUADE DA FONSECA</t>
  </si>
  <si>
    <t>R JOSE SILVA 436 LJ F</t>
  </si>
  <si>
    <t>Indicação Ronaldo, set/20 402kWh (redução), são 4 lojas</t>
  </si>
  <si>
    <t>P0044 - EVANILDO</t>
  </si>
  <si>
    <t>P0044</t>
  </si>
  <si>
    <t>EVANILDO</t>
  </si>
  <si>
    <t>21964237323</t>
  </si>
  <si>
    <t>R MAMORÉ 25 CA 106</t>
  </si>
  <si>
    <t>Bifásico</t>
  </si>
  <si>
    <t>Vizinho camila. Setembro anterior563kWh, se manteve.</t>
  </si>
  <si>
    <t>P0045</t>
  </si>
  <si>
    <t>21988092701</t>
  </si>
  <si>
    <t>R. Adalgisa Aleixo, 550</t>
  </si>
  <si>
    <t>Bento Ribeiro</t>
  </si>
  <si>
    <t>Metálica</t>
  </si>
  <si>
    <t>Indicado pela camila coda. Colégia que faz seguro escolar em bento ribeiro. Estava em pandemia até outubro/20, consumo nesse periodo não reflete realidade.</t>
  </si>
  <si>
    <t>P0046 - CONDOMÍNIO EDIFICIO ROYAL BARRA</t>
  </si>
  <si>
    <t>P0046</t>
  </si>
  <si>
    <t>CONDOMÍNIO EDIFICIO ROYAL BARRA</t>
  </si>
  <si>
    <t>21992242171</t>
  </si>
  <si>
    <t>R. Jorn. Henrique Cordeiro, 400</t>
  </si>
  <si>
    <t>R. Jorn. Henrique Cordeiro</t>
  </si>
  <si>
    <t>Veio pelo google. Condomínio na barra, área da cobertura não antende todo o consumo.</t>
  </si>
  <si>
    <t>P0047 - VINICIUS MARTINS DO VALLE</t>
  </si>
  <si>
    <t>P0047</t>
  </si>
  <si>
    <t>VINICIUS MARTINS DO VALLE</t>
  </si>
  <si>
    <t>21986533553</t>
  </si>
  <si>
    <t>R. CEL PAULO MALTA RESENDE 35 AP906</t>
  </si>
  <si>
    <t>Sem Local/Apartamento</t>
  </si>
  <si>
    <t>Veio pelo google. Consumo de setembro passou de 180 em 2020 para 215 em 2021.19,4%. Consumo baixo e mora em apartamento.</t>
  </si>
  <si>
    <t>P0048 - CLÁUDIO LUIZ</t>
  </si>
  <si>
    <t>P0048</t>
  </si>
  <si>
    <t>CLÁUDIO LUIZ</t>
  </si>
  <si>
    <t>21966175796</t>
  </si>
  <si>
    <t>R. RAUL SEIXAS SN LT 77</t>
  </si>
  <si>
    <t>Pediu orçamento enquanto estava instalando P0033 célia cotrim. Vizinho de frente. Fatura aumentou por criação de peixe. Setembro/20 consumo foi de 326 (menos da metade). Achou caro e fechou com outra empresa</t>
  </si>
  <si>
    <t>P0049 - RAFAELA MILENA</t>
  </si>
  <si>
    <t>P0049</t>
  </si>
  <si>
    <t>RAFAELA MILENA</t>
  </si>
  <si>
    <t>21985105214</t>
  </si>
  <si>
    <t>Estrada de sepetiba, 5</t>
  </si>
  <si>
    <t>Estrada de sepetiba</t>
  </si>
  <si>
    <t>SANTA CRUZ</t>
  </si>
  <si>
    <t>Verificar origem. Pediu para um gasto médio de R$4890 reais. Foi gerada uma estimativa de valor a partir do consumo</t>
  </si>
  <si>
    <t>P0050 - ROBERTO CARLOS DIAS DE SOUZA</t>
  </si>
  <si>
    <t>P0050</t>
  </si>
  <si>
    <t>ROBERTO CARLOS DIAS DE SOUZA</t>
  </si>
  <si>
    <t>21970378176</t>
  </si>
  <si>
    <t>EST BOIUNA 727</t>
  </si>
  <si>
    <t>Formulário do site. Informou consumo médio de 450kWh. Indicação da cunhada que passou o link. Proposta enviada e não respondeu mais. Nova tentativa de contato em 15/09/23 sem resposta</t>
  </si>
  <si>
    <t>P0051 - PARÓQUIA SANTA RITA DE CÁSSIA</t>
  </si>
  <si>
    <t>P0051</t>
  </si>
  <si>
    <t>PARÓQUIA SANTA RITA DE CÁSSIA</t>
  </si>
  <si>
    <t>AV. MARIANA, 12</t>
  </si>
  <si>
    <t>AV. MARIANA</t>
  </si>
  <si>
    <t>P0052 - LUCIANA BOECHAT E DOUGLAS ALVES</t>
  </si>
  <si>
    <t>P0052</t>
  </si>
  <si>
    <t>LUCIANA BOECHAT E DOUGLAS ALVES</t>
  </si>
  <si>
    <t>21996481160</t>
  </si>
  <si>
    <t>RUA ATOR PAULO GUSTAVO, 66</t>
  </si>
  <si>
    <t>RUA ATOR PAULO GUSTAVO</t>
  </si>
  <si>
    <t>Arquiteto amigo pedro. Projeto Icaraí. Mudança. Apartamento novo. Trabalhar em área útil disponível. Valores de consumo como chute para análise.</t>
  </si>
  <si>
    <t>P0053 - JORGE SILVA OLIVEIRA</t>
  </si>
  <si>
    <t>P0053</t>
  </si>
  <si>
    <t>JORGE SILVA OLIVEIRA</t>
  </si>
  <si>
    <t>R RAPHAEL HAENY 9A</t>
  </si>
  <si>
    <t>P0054 - RICARDO ADESE AGOSTINI</t>
  </si>
  <si>
    <t>P0054</t>
  </si>
  <si>
    <t>RICARDO ADESE AGOSTINI</t>
  </si>
  <si>
    <t>22988061530</t>
  </si>
  <si>
    <t>R NITEROI</t>
  </si>
  <si>
    <t>Preencheu formulário no site. Mora em rio das ostras.</t>
  </si>
  <si>
    <t>P0055 - VANDA TENÓRIO DOS PASSOS</t>
  </si>
  <si>
    <t>P0055</t>
  </si>
  <si>
    <t>VANDA TENÓRIO DOS PASSOS</t>
  </si>
  <si>
    <t>21981365747</t>
  </si>
  <si>
    <t>RUA SAMANBAIA 80C1</t>
  </si>
  <si>
    <t>Formulário do site, google ads. Pssui consumo médio de 369kWh, solicitou aumento para aproximadamente 700kWh em janeiro. Achou caro, Ficou de analisar as propostas e me falar mas teria outra com preços melhores. Verificar se chegou a fechar com outra empresa. Novo contato 15/09/23 sem resposta</t>
  </si>
  <si>
    <t>P0056 - LOTEUM INCORPORAÇÕES S A</t>
  </si>
  <si>
    <t>P0056</t>
  </si>
  <si>
    <t>LOTEUM INCORPORAÇÕES S A</t>
  </si>
  <si>
    <t>21975535969</t>
  </si>
  <si>
    <t>AV LUCIO COSTA 9600 BL 2 SV SERV.</t>
  </si>
  <si>
    <t>Condomínio na barra, veio pelo google ads. Existe limitação de espaço. Enviou 3 faturas mas seria apenas para a intermediária (consumo comum)</t>
  </si>
  <si>
    <t>P0057 - MARCIO</t>
  </si>
  <si>
    <t>P0057</t>
  </si>
  <si>
    <t>MARCIO</t>
  </si>
  <si>
    <t>21971053393</t>
  </si>
  <si>
    <t>R DR CRESPO 1A BL 1 AP 305 GR 5 PA 11253</t>
  </si>
  <si>
    <t>Indicação do Helder (confirmar). Informou previsão de aumentar um Freezer vertical no consumo (aproximadamente 55kWh/mês). Além disso informou que foi montado uma "UTI" no apartamento. Pelo histórico os meses de outubro e novembro pertencem ao consumo antigo, tendo em vista que set/20 passou de 142kWh para 684kWh em set/21. Logo utilizou-se uma média para estes meses. Foi embarrerado pelo sindico de colocar. Telhado comum</t>
  </si>
  <si>
    <t>P0058 - SANDRA GUIMARAES SOBREIRO</t>
  </si>
  <si>
    <t>P0058</t>
  </si>
  <si>
    <t>SANDRA GUIMARAES SOBREIRO</t>
  </si>
  <si>
    <t>R ALBERT SCHWEITZER 276</t>
  </si>
  <si>
    <t>Idicação Nikael. Fatura mês out/20 foi de 600 e reduzio para 430</t>
  </si>
  <si>
    <t>P0059 - LATOS INCORPORACAO</t>
  </si>
  <si>
    <t>P0059</t>
  </si>
  <si>
    <t>LATOS INCORPORACAO</t>
  </si>
  <si>
    <t>21992956448</t>
  </si>
  <si>
    <t>AV JAIME POGGI SN LJ LT 240</t>
  </si>
  <si>
    <t>Indicação Roberto Prime. Meses de out e nov estavam muito abaixo, possível pandemia, foi feito uma estimativa para 10k</t>
  </si>
  <si>
    <t>P0060 - EMIR JIRJI KOUREICHE</t>
  </si>
  <si>
    <t>P0060</t>
  </si>
  <si>
    <t>EMIR JIRJI KOUREICHE</t>
  </si>
  <si>
    <t>R PEDRO TEIXEIRA 546</t>
  </si>
  <si>
    <t>Informou que quer aumentar o consumo com um ar condicionado de 24.000BTU nos meses de verão</t>
  </si>
  <si>
    <t>P0061 - VERA LUCIA STRZODA AMBROSIO</t>
  </si>
  <si>
    <t>P0061</t>
  </si>
  <si>
    <t>VERA LUCIA STRZODA AMBROSIO</t>
  </si>
  <si>
    <t>21980785795</t>
  </si>
  <si>
    <t>R MJ MEDEIROS 310 CA 1</t>
  </si>
  <si>
    <t>Bruno Strzoda da UERJ. Set de 2020, era 346 e aumentou para 390kWh (aumento de 12%)</t>
  </si>
  <si>
    <t>P0062 - CARLOS HENRIQUE MARQUES RIBEIRO</t>
  </si>
  <si>
    <t>P0062</t>
  </si>
  <si>
    <t>CARLOS HENRIQUE MARQUES RIBEIRO</t>
  </si>
  <si>
    <t>21999718373</t>
  </si>
  <si>
    <t>Rua Geraldo Martins Ourivio 91</t>
  </si>
  <si>
    <t>Indicação da esposa do Luiz Terra. Não passou a fatura. Informou que o consumo atual é de 500kWh, porém deseja aumentar usando mais ar condicionado (possui 5 antigos) e 1 boiler de 500L desativado. Prevê um aumento de consumo entre 1000 e 1.500kWh.</t>
  </si>
  <si>
    <t>P0063 - WALTER AFONSO FAZIO</t>
  </si>
  <si>
    <t>P0063</t>
  </si>
  <si>
    <t>WALTER AFONSO FAZIO</t>
  </si>
  <si>
    <t>RUA DAS MARGARIDAS, 182</t>
  </si>
  <si>
    <t>ITACOATIARA</t>
  </si>
  <si>
    <t>Passou de 115kWh em nov/2020 para 400 em nov/2021</t>
  </si>
  <si>
    <t>P0064 - JULIANA COSTA BITTENCOURT</t>
  </si>
  <si>
    <t>P0064</t>
  </si>
  <si>
    <t>JULIANA COSTA BITTENCOURT</t>
  </si>
  <si>
    <t>21987321709</t>
  </si>
  <si>
    <t>R GABIROBA 7</t>
  </si>
  <si>
    <t>Vizinha do Tio Marquinhos, passou de 769 em Dez/2020 para 995 em Dez/2021. Pretende aumentar o consumo com 3aparelhos de ar condicionado de 12mil BTU por 10h no verão. Ficou de pedir aumento de carga e retornaria no mês seguinte. Não falou mais nada. Novo contato em 15/09/23 sem resposta</t>
  </si>
  <si>
    <t>P0065 - MARCELO DIAS DONATO</t>
  </si>
  <si>
    <t>P0065</t>
  </si>
  <si>
    <t>MARCELO DIAS DONATO</t>
  </si>
  <si>
    <t>21979156263</t>
  </si>
  <si>
    <t>EST RIO GRANDE, 3330 BL 7 AP 106</t>
  </si>
  <si>
    <t>Marcelo amigo Pai. 457kWh em Set/20 para 461 em Set/21. Não respondeu mais, verificar se ainda tem interesse.novo contato em 18/09/23 sem resposta</t>
  </si>
  <si>
    <t>P0066 - EBERTHE VIEIRA DE SOUZA GOMES</t>
  </si>
  <si>
    <t>P0066</t>
  </si>
  <si>
    <t>EBERTHE VIEIRA DE SOUZA GOMES</t>
  </si>
  <si>
    <t>21980021428</t>
  </si>
  <si>
    <t>AV CELIA RIBEIRO DA SILVA MENDES 500 BL 9 AP 305 GR
18</t>
  </si>
  <si>
    <t>Vidro</t>
  </si>
  <si>
    <t>Ebethe do João. Gostaria de colocar sistema solar na laje de sua casa onde possui um telhado de vidro. Teve um consumo de 500kWh em Jan/21 e passou para 386 em Jan/22. Redução de 23%</t>
  </si>
  <si>
    <t>P0067 - MARCELO LOPES SOARES</t>
  </si>
  <si>
    <t>P0067</t>
  </si>
  <si>
    <t>MARCELO LOPES SOARES</t>
  </si>
  <si>
    <t>21969217048</t>
  </si>
  <si>
    <t>R ARICURI 1506B</t>
  </si>
  <si>
    <t>Indicação Nikael. Mora perto. Possui uma padaria com sistema que não dá vazão</t>
  </si>
  <si>
    <t>P0068 - GUISEPPE DONATO</t>
  </si>
  <si>
    <t>P0068</t>
  </si>
  <si>
    <t>GUISEPPE DONATO</t>
  </si>
  <si>
    <t>AV AMERICAS 2552SN CA20</t>
  </si>
  <si>
    <t>Indicação Ronaldo. Redução de 1424jan/21 para 963 jan/22</t>
  </si>
  <si>
    <t>P0069 - EDIF BRISTOL</t>
  </si>
  <si>
    <t>P0069</t>
  </si>
  <si>
    <t>EDIF BRISTOL</t>
  </si>
  <si>
    <t>21997625450</t>
  </si>
  <si>
    <t>R PAULO CESAR DE ANDRADE 70 SV</t>
  </si>
  <si>
    <t>B3 - Comercial</t>
  </si>
  <si>
    <t>Marcos Almeida é o sindico. Foi indicado pelo Luiz P0015. Amigo de infância, conhece desde os 10 anos. Ideia abater o consumo do condomínio e o excedente compartilhar entre os apartamentos. EMUC</t>
  </si>
  <si>
    <t>P0070 - IRMA ARAUJO DANTAS</t>
  </si>
  <si>
    <t>P0070</t>
  </si>
  <si>
    <t>IRMA ARAUJO DANTAS</t>
  </si>
  <si>
    <t>21964224204</t>
  </si>
  <si>
    <t>R ENG OSCAR WEINSCHENK 171 CA 1 FD</t>
  </si>
  <si>
    <t>P0071 - MARIA HELENA FERREIRA DA SILVA</t>
  </si>
  <si>
    <t>P0071</t>
  </si>
  <si>
    <t>MARIA HELENA FERREIRA DA SILVA</t>
  </si>
  <si>
    <t>21999732507</t>
  </si>
  <si>
    <t>R TRAIRI 229 FD</t>
  </si>
  <si>
    <t>Nome do contato MILLENE. Indicação do colégio penha grabriel, feito visita técnica, enviado a proposta, ficou de analisar e não retornou. Novo contato em 18/09/23 sem resposta</t>
  </si>
  <si>
    <t>P0072 - FLAVIO BARBOSA LUZ</t>
  </si>
  <si>
    <t>P0072</t>
  </si>
  <si>
    <t>FLAVIO BARBOSA LUZ</t>
  </si>
  <si>
    <t>21987990776</t>
  </si>
  <si>
    <t>R GUAPIARA 78</t>
  </si>
  <si>
    <t>Contato Eliana fabio da luz</t>
  </si>
  <si>
    <t>P0073 - DÁRIO LOUREIRO</t>
  </si>
  <si>
    <t>P0073</t>
  </si>
  <si>
    <t>DÁRIO LOUREIRO</t>
  </si>
  <si>
    <t>21997655498</t>
  </si>
  <si>
    <t>Condomino pai. Motivo valor</t>
  </si>
  <si>
    <t>P0074 - CRIS ARAUJO</t>
  </si>
  <si>
    <t>P0074</t>
  </si>
  <si>
    <t>CRIS ARAUJO</t>
  </si>
  <si>
    <t>21964933763</t>
  </si>
  <si>
    <t>R SEN VERGUEIRO 107 AP 804</t>
  </si>
  <si>
    <t>Indicação Victor, Celmar. Cobertura do prédio. Local com bastante sombra o que reduziria a eficiência. Estava aguardando autorização do condomínio para colocar no telhado mora em cobertura do prédio, telhado de uso comum. Nova tentativa de contato 18/09/23 sem resposta</t>
  </si>
  <si>
    <t>P0075 - LUIZ FELIPE</t>
  </si>
  <si>
    <t>P0075</t>
  </si>
  <si>
    <t>LUIZ FELIPE</t>
  </si>
  <si>
    <t>21999658909</t>
  </si>
  <si>
    <t>Indicado pelo Eberthe. Casa sendo construída, não tem estimativa em kWh mas tem quantiadade e medida de módulos prevista. Precisa de 16 módulos com 2,28 x 1,16m. Proposta enviada, ficou de dar uma olhada e não retornou. Novo contato em 18/09/23 sem resposta</t>
  </si>
  <si>
    <t>P0076 - MARCOS HENRIQUES</t>
  </si>
  <si>
    <t>P0076</t>
  </si>
  <si>
    <t>MARCOS HENRIQUES</t>
  </si>
  <si>
    <t>Indicação pai. Joga volei. Ia colocar na casa dele que mora a filha e o genro, mas desistiu, disse que já dava muita mordomia para eles.</t>
  </si>
  <si>
    <t>P0077 - JONATAS VALLE</t>
  </si>
  <si>
    <t>P0077</t>
  </si>
  <si>
    <t>JONATAS VALLE</t>
  </si>
  <si>
    <t>21969763307</t>
  </si>
  <si>
    <t>indicado pam, trabalha com ela</t>
  </si>
  <si>
    <t>P0078 - ANGELA MARIA CORREA BLANCO</t>
  </si>
  <si>
    <t>P0078</t>
  </si>
  <si>
    <t>ANGELA MARIA CORREA BLANCO</t>
  </si>
  <si>
    <t>21985588449</t>
  </si>
  <si>
    <t>EST CURIPOS 201</t>
  </si>
  <si>
    <t>Solicitado no grupo do condomínio Bosque dos Esquilos. Mora no cond. Jardim Clarisse. Deseja enviar energia para a filha também. Teve um aumento de consumo em mar/21 643 para mar/22 859, aumento de 34%. Fechou com a mesma empresa que fez para seus 2 sobrinhos.</t>
  </si>
  <si>
    <t>P0079 - CONDOMINIO RESIDENCIAL PLAZA MAYOR</t>
  </si>
  <si>
    <t>P0079</t>
  </si>
  <si>
    <t>CONDOMINIO RESIDENCIAL PLAZA MAYOR</t>
  </si>
  <si>
    <t>R FABIO LUZ 275 SV BL2</t>
  </si>
  <si>
    <t>Condomínio Plaza, idicado pela Eliane</t>
  </si>
  <si>
    <t>P0080 - CONDOMINIO RESIDENCIAL JARDINS DA COSTA</t>
  </si>
  <si>
    <t>P0080</t>
  </si>
  <si>
    <t>CONDOMINIO RESIDENCIAL JARDINS DA COSTA</t>
  </si>
  <si>
    <t>21988052815</t>
  </si>
  <si>
    <t>ROD AMARAL PEIXOTO 15500, ED 0</t>
  </si>
  <si>
    <t>Condomínio Jardisn da Costa Inoã, idicação miguel.Consumo aumentou de 2762 mar/21 para 2866 mar/22. Aprox 4%</t>
  </si>
  <si>
    <t>P0081 - CRIS</t>
  </si>
  <si>
    <t>P0081</t>
  </si>
  <si>
    <t>CRIS</t>
  </si>
  <si>
    <t>21982371494</t>
  </si>
  <si>
    <t>Travessa Cunha Galvão 248 casa 01</t>
  </si>
  <si>
    <t>Veio pelo google</t>
  </si>
  <si>
    <t>P0082 - PRISCILA</t>
  </si>
  <si>
    <t>P0082</t>
  </si>
  <si>
    <t>PRISCILA</t>
  </si>
  <si>
    <t>21973670878</t>
  </si>
  <si>
    <t>R SYLVIO DA ROCHA POLLIS 300 CA 82</t>
  </si>
  <si>
    <t>Indicação vivi, mãe do caio. Quer por na casa, clube e academia</t>
  </si>
  <si>
    <t>P0083 - SEBASTIÃO CARLOS DIAS</t>
  </si>
  <si>
    <t>P0083</t>
  </si>
  <si>
    <t>SEBASTIÃO CARLOS DIAS</t>
  </si>
  <si>
    <t>21974832087</t>
  </si>
  <si>
    <t>TRV CEL VARGAS 00094 CS 03</t>
  </si>
  <si>
    <t>Indicação Jonatas P0077. Aumento de Mar21 368 para Mar22 483kWh (31%). Pediu para um ocnsumo de 400 a 450kWh</t>
  </si>
  <si>
    <t>P0084 - LUIS CLAUDIO AMORIM BARRETTO</t>
  </si>
  <si>
    <t>P0084</t>
  </si>
  <si>
    <t>LUIS CLAUDIO AMORIM BARRETTO</t>
  </si>
  <si>
    <t>21988831033</t>
  </si>
  <si>
    <t>RUA SANTO AMARO LT 41 QD3</t>
  </si>
  <si>
    <t>Indicado por Marcelo Navarro. Quer aumentar o consumo em 10% (600kWh). Aumento de 459kWh em mai/21 para 576kWh mai/22 aumento de 25,5%.</t>
  </si>
  <si>
    <t>P0085 - LYRIO</t>
  </si>
  <si>
    <t>P0085</t>
  </si>
  <si>
    <t>LYRIO</t>
  </si>
  <si>
    <t>21996151558</t>
  </si>
  <si>
    <t>R MARIA T AMORAL LT1 QD 1</t>
  </si>
  <si>
    <t>Indicado pelo Luis Barretto do colégio penha gabriel (confirmar). Aumento de 940 em mai/21 para 1.070 em mai/22 (13,8%). Tem vontade de aumentar o consumo usando mais ar condicionado. Possui 4 ar de janela.</t>
  </si>
  <si>
    <t>P0086 - AURORA DE LOURDES COSTA MONTEIRO</t>
  </si>
  <si>
    <t>P0086</t>
  </si>
  <si>
    <t>AURORA DE LOURDES COSTA MONTEIRO</t>
  </si>
  <si>
    <t>21996753454</t>
  </si>
  <si>
    <t>R GERALDO MARTINS OURIVIO 105</t>
  </si>
  <si>
    <t>Viu a placa de atenção na casa do cliente Carlos P0062 - Informou que tem mais pessoas morando e com isso o consumo aumento, sendo mais fidedigno a partir de abril/22. Pelo comportamento da fatura, observamos um aumento a partir de jan/22. Mai/22 teve um aumento de 75,9% em relação Mai/21, se considerarmos um aumento de 75% para meses antes de janeiro, a média passa de 670kWh para 900kWh. Cliente pediu para considerar um consumo de 850kWh</t>
  </si>
  <si>
    <t>P0087</t>
  </si>
  <si>
    <t>21981008366</t>
  </si>
  <si>
    <t>P0088 - ADRIANO IBIAPINO</t>
  </si>
  <si>
    <t>P0088</t>
  </si>
  <si>
    <t>ADRIANO IBIAPINO</t>
  </si>
  <si>
    <t>21982328988</t>
  </si>
  <si>
    <t>R PECANHA DA SILVA 379 CA 2 FD</t>
  </si>
  <si>
    <t>Indicação Átila da caixa econômica. Atenção ao fornecimento Monofásico. Teve uma redução de consumo de 293kWh em jul/21 para 245kWh em jul/22. Deseja um sistema com geração de 500kWh. Pretende passar a usar fogão de indução.</t>
  </si>
  <si>
    <t>P0089 - GLAUCUS GALVÃO</t>
  </si>
  <si>
    <t>P0089</t>
  </si>
  <si>
    <t>GLAUCUS GALVÃO</t>
  </si>
  <si>
    <t>21982249821</t>
  </si>
  <si>
    <t>AV DAS AMÉRICAS 1981, CASA 25</t>
  </si>
  <si>
    <t>AV DAS AMÉRICAS 1981</t>
  </si>
  <si>
    <t>Indicação pai. Joga volei com ele. Consumo em mai/21 1039kWh (praticamente estabilizado). 2 meses se maior consumo foi com hospedes airbnb. Trabalhar média de consumo de 1200</t>
  </si>
  <si>
    <t>P0090 - NADJA VENTIN DE SOUZA</t>
  </si>
  <si>
    <t>P0090</t>
  </si>
  <si>
    <t>NADJA VENTIN DE SOUZA</t>
  </si>
  <si>
    <t>21994482117</t>
  </si>
  <si>
    <t>EST RIO GRANDE, 4057 LT 26 QD B</t>
  </si>
  <si>
    <t>Tia Marcella Rafael</t>
  </si>
  <si>
    <t>P0091 - RUBEN ANTELO VILAR</t>
  </si>
  <si>
    <t>P0091</t>
  </si>
  <si>
    <t>RUBEN ANTELO VILAR</t>
  </si>
  <si>
    <t>21988995527</t>
  </si>
  <si>
    <t>R ITABAIANA 204</t>
  </si>
  <si>
    <t>Indicação p0062 Carlos. Cunhado do carlos. Pediu para simular com 1000kWh e depois com 1200 a 1250kWh para usar mais ar condicionado</t>
  </si>
  <si>
    <t>P0092 - CAROL GOMES</t>
  </si>
  <si>
    <t>P0092</t>
  </si>
  <si>
    <t>CAROL GOMES</t>
  </si>
  <si>
    <t>21979044616</t>
  </si>
  <si>
    <t>Mae carol pensa se mudar para o recreio e por na cobertura.</t>
  </si>
  <si>
    <t>P0093 - SERGIO AUGUSTO TOLEDO</t>
  </si>
  <si>
    <t>P0093</t>
  </si>
  <si>
    <t>SERGIO AUGUSTO TOLEDO</t>
  </si>
  <si>
    <t>21995328325</t>
  </si>
  <si>
    <t>EST ITANHANGA 2222 LT 5 QD C</t>
  </si>
  <si>
    <t>Flávia do Crossfit. 429kWh em Jul/21 reduziu para 345kWh jul/22. Pretende passar para um consumo médio de 600kWh.</t>
  </si>
  <si>
    <t>P0094 - MARCELLO MACHADO</t>
  </si>
  <si>
    <t>P0094</t>
  </si>
  <si>
    <t>MARCELLO MACHADO</t>
  </si>
  <si>
    <t>21981865461</t>
  </si>
  <si>
    <t>Serra Grande</t>
  </si>
  <si>
    <t>Serra Grande - Condomínio Ubá Recanto</t>
  </si>
  <si>
    <t>Vizinho do Jonatas p0077</t>
  </si>
  <si>
    <t>P0095</t>
  </si>
  <si>
    <t>21964806434</t>
  </si>
  <si>
    <t>P0096 - CONDOMÍNIO GENESIS</t>
  </si>
  <si>
    <t>P0096</t>
  </si>
  <si>
    <t>CONDOMÍNIO GENESIS</t>
  </si>
  <si>
    <t>21983415493</t>
  </si>
  <si>
    <t>EST TRES RIOS 830 BL1 SV</t>
  </si>
  <si>
    <t>Condominio Helane crossfit. Previsão de aumentar o consumo. Parte de salar inutilizadas. Propor carregamento veicular</t>
  </si>
  <si>
    <t>P0097 - SERGIO MONTEIRO SALGADOS EMBALADOS</t>
  </si>
  <si>
    <t>P0097</t>
  </si>
  <si>
    <t>SERGIO MONTEIRO SALGADOS EMBALADOS</t>
  </si>
  <si>
    <t>21964085141</t>
  </si>
  <si>
    <t>R ALOISIO PEREIRA DE CARVALHO 106</t>
  </si>
  <si>
    <t>Cliente Engelink. Possou duas faturas locais diferentes. Consumo diminui de 3.729 em set/21 para 3.207 em set/22</t>
  </si>
  <si>
    <t>P0098 - SERGIO ANTONIO MONTEIRO</t>
  </si>
  <si>
    <t>P0098</t>
  </si>
  <si>
    <t>SERGIO ANTONIO MONTEIRO</t>
  </si>
  <si>
    <t>R MANHUACU 275B</t>
  </si>
  <si>
    <t>Cliente Engelink. Possou duas faturas locais diferentes. Consumo dobrou de 10.800 em set/21 para 20.937 em set/22</t>
  </si>
  <si>
    <t>P0099 - SILVIO CESAR NUNES</t>
  </si>
  <si>
    <t>P0099</t>
  </si>
  <si>
    <t>SILVIO CESAR NUNES</t>
  </si>
  <si>
    <t>21976159687</t>
  </si>
  <si>
    <t>Rua Francisco Neiva</t>
  </si>
  <si>
    <t>Cliente Engelink. Aparentemente possui um buffet. Chegou pedindo para geração de 600kWh e inversor de 6k</t>
  </si>
  <si>
    <t>P0100 - CONDOMÍNIO BARRA VILLAGE</t>
  </si>
  <si>
    <t>P0100</t>
  </si>
  <si>
    <t>CONDOMÍNIO BARRA VILLAGE</t>
  </si>
  <si>
    <t>21967189815</t>
  </si>
  <si>
    <t>Av. Cėsar Morani Comendador, 500</t>
  </si>
  <si>
    <t>Condomínio Eberthe. Possui 2 medidores, 1 com uso comum com média de 26,5k e outro para quadras com média 900</t>
  </si>
  <si>
    <t>P0101 - JOSÉ ARAUJO</t>
  </si>
  <si>
    <t>P0101</t>
  </si>
  <si>
    <t>JOSÉ ARAUJO</t>
  </si>
  <si>
    <t>21974429433</t>
  </si>
  <si>
    <t>AV ENG SOUZA FILHO 1207 CA 38H</t>
  </si>
  <si>
    <t>Indicação Veras Crossfit. Está fazendo cotação com outras empresas. Consumo reduziu de 275 set/21 para 244 set/22.</t>
  </si>
  <si>
    <t>P0102 - LEANDRO CRIVANO</t>
  </si>
  <si>
    <t>P0102</t>
  </si>
  <si>
    <t>LEANDRO CRIVANO</t>
  </si>
  <si>
    <t>21972732206</t>
  </si>
  <si>
    <t>R 133 L19 Q192 P LAG P NEGRA 0 LT 19 QD</t>
  </si>
  <si>
    <t>Crivano família. Quer consumo entre 600 e 700 kWh e simulação com inversor híbrido</t>
  </si>
  <si>
    <t>P0103 - MANUEL JOSE SARAIVA ALVES</t>
  </si>
  <si>
    <t>P0103</t>
  </si>
  <si>
    <t>MANUEL JOSE SARAIVA ALVES</t>
  </si>
  <si>
    <t>21964564095</t>
  </si>
  <si>
    <t>AV INDUSTRIARIO 219</t>
  </si>
  <si>
    <t>Indicação do Carlos P0062.Consumo reduziu de 740 em out/21 para 490 em out/22. Consumo atipico de 1000 em abr/22</t>
  </si>
  <si>
    <t>P0104 - EDUARDO CESAR SANTOS DA CUNHA</t>
  </si>
  <si>
    <t>P0104</t>
  </si>
  <si>
    <t>EDUARDO CESAR SANTOS DA CUNHA</t>
  </si>
  <si>
    <t>21999150845</t>
  </si>
  <si>
    <t>R JOR HENRIQUE CORDEIRO 350 BL 1 AP 2203</t>
  </si>
  <si>
    <t>Indicação Iranilson Alves, combinado 5% do equipamento (verificar impacto). Cliente apartamento, cobertura, possui telhado que fará reforço e limite de espaço e sombra. Cabem 8 paineis.</t>
  </si>
  <si>
    <t>P0105 - PAULO VITOR FERREIRA ROSCIO</t>
  </si>
  <si>
    <t>P0105</t>
  </si>
  <si>
    <t>PAULO VITOR FERREIRA ROSCIO</t>
  </si>
  <si>
    <t>21981199143</t>
  </si>
  <si>
    <t>R BRISA DO MAR 220</t>
  </si>
  <si>
    <t>Indicação do Luiz terra P0015 (primo nadja). Fatura passou de 1047 nov/21 para 1247 nov/22</t>
  </si>
  <si>
    <t>P0106 - JOACHIM MANUEL WALLY</t>
  </si>
  <si>
    <t>P0106</t>
  </si>
  <si>
    <t>JOACHIM MANUEL WALLY</t>
  </si>
  <si>
    <t>21999110106</t>
  </si>
  <si>
    <t>R BR TORRE 85 AP 402</t>
  </si>
  <si>
    <t>Outro</t>
  </si>
  <si>
    <t>Indicação do Pedro. Australiano vai alugar airbnb. Pensou em fazer layout específico para receber o sistema como toldo para sul</t>
  </si>
  <si>
    <t>P0107 - REGINALDO MARTINS</t>
  </si>
  <si>
    <t>P0107</t>
  </si>
  <si>
    <t>REGINALDO MARTINS</t>
  </si>
  <si>
    <t>21964746100</t>
  </si>
  <si>
    <t>R ERNANI DE FREITAS 209 CA 1</t>
  </si>
  <si>
    <t>Amigo pai, fez os móveis da cozinha. Fatura enviada possuia apenas os meses de jun a nov/22, estimativa dos outros meses para consumo de 350kWh/mês. Pretende adicionar um AC 9l btu escitório e outra na sana de 24k btu.</t>
  </si>
  <si>
    <t>P0108 - RAFAEL LESSA TELLES</t>
  </si>
  <si>
    <t>P0108</t>
  </si>
  <si>
    <t>RAFAEL LESSA TELLES</t>
  </si>
  <si>
    <t>21970215060</t>
  </si>
  <si>
    <t>R ERNANI DE FREITAS 233 CA 2</t>
  </si>
  <si>
    <t>Genro do Reginaldo, P0107, pretende aumentar o consumo, adicionar um AC de 24k btu na sala, uso de 10h, 8d/mês verão (considerar 5 meses)</t>
  </si>
  <si>
    <t>P0109 - ALINE RIBEIRO DA SILVA</t>
  </si>
  <si>
    <t>P0109</t>
  </si>
  <si>
    <t>ALINE RIBEIRO DA SILVA</t>
  </si>
  <si>
    <t>21969170036</t>
  </si>
  <si>
    <t>R ERNANI DE FREITAS 209 CA 2</t>
  </si>
  <si>
    <t>Filho e vizinho do P0107 - Reinaldo. Contato esposa. Passou orçamento da SolarOn, não passou fatura. Basear no tamanho do sistema do orçamento e verificar se a geração se assemelha. Consumo estimado.</t>
  </si>
  <si>
    <t>P0110 - MARCO AURELIO DE OLIVEIRA CORDEIRO</t>
  </si>
  <si>
    <t>P0110</t>
  </si>
  <si>
    <t>MARCO AURELIO DE OLIVEIRA CORDEIRO</t>
  </si>
  <si>
    <t>21997127822</t>
  </si>
  <si>
    <t>R JOSE PEIXOTO 72</t>
  </si>
  <si>
    <t>Indicação da P0095 - Regina.</t>
  </si>
  <si>
    <t>P0111 - BRUNO SATURNINO</t>
  </si>
  <si>
    <t>P0111</t>
  </si>
  <si>
    <t>BRUNO SATURNINO</t>
  </si>
  <si>
    <t>24999755990</t>
  </si>
  <si>
    <t>Rua pico do papagaio, 205</t>
  </si>
  <si>
    <t>Rua pico do papagaio</t>
  </si>
  <si>
    <t>P0112 - MARTA LIMA VALLE</t>
  </si>
  <si>
    <t>P0112</t>
  </si>
  <si>
    <t>MARTA LIMA VALLE</t>
  </si>
  <si>
    <t>21993459886</t>
  </si>
  <si>
    <t>M DEODORO 256A301 256</t>
  </si>
  <si>
    <t>Irmã do P0077 Jonathas. Simulação para EMUC</t>
  </si>
  <si>
    <t>P0113 - GLAUCO FIGUEIREDO</t>
  </si>
  <si>
    <t>P0113</t>
  </si>
  <si>
    <t>GLAUCO FIGUEIREDO</t>
  </si>
  <si>
    <t>21999565644</t>
  </si>
  <si>
    <t>R ERNANI DE FREITAS</t>
  </si>
  <si>
    <t>Vizinho e indicação do Rafael P0108. Casa em obra, mora com mulher e filha (3 pessoas) e quer aumentar o consumo. Disse que o consumo fica em torno de 400kWh chegando a 600 no verão e pediu um consumo de 1000 no verão. Não apresentou fatura</t>
  </si>
  <si>
    <t>P0114 - MARIANNA AFONSO COSTA</t>
  </si>
  <si>
    <t>P0114</t>
  </si>
  <si>
    <t>MARIANNA AFONSO COSTA</t>
  </si>
  <si>
    <t>24999114607</t>
  </si>
  <si>
    <t>R NS PENA 150A CA 27</t>
  </si>
  <si>
    <t>RESIDENCIAL</t>
  </si>
  <si>
    <t>Vizinha da P0095, se mudou em outubro, não tem histórico de consumo mas acredita que no ultimo mês (mar23) tenha estabilizado</t>
  </si>
  <si>
    <t>P0115 - CONDOMINIO HIGH</t>
  </si>
  <si>
    <t>P0115</t>
  </si>
  <si>
    <t>CONDOMINIO HIGH</t>
  </si>
  <si>
    <t>21998664401</t>
  </si>
  <si>
    <t>TRAVESSA TEODOMIRO PEREIRA</t>
  </si>
  <si>
    <t>Condominio na freguesia, indicação do Thomas p0045. Contato Ricardo. Vai assumir como sindico.</t>
  </si>
  <si>
    <t>P0116 - MAURO CID LOPES FLORIDO FERREIRA</t>
  </si>
  <si>
    <t>P0116</t>
  </si>
  <si>
    <t>MAURO CID LOPES FLORIDO FERREIRA</t>
  </si>
  <si>
    <t>21988437444</t>
  </si>
  <si>
    <t>RUA NERVAL GOLVEIA, 121</t>
  </si>
  <si>
    <t>RUA NERVAL GOLVEIA</t>
  </si>
  <si>
    <t>Indicação Antonio estágio. (Pai). Possui 27 unidades distribuídas em dois terrenos com inquilinos.</t>
  </si>
  <si>
    <t>P0117 - ANDRÉA MESQUITA RIBEIRO</t>
  </si>
  <si>
    <t>P0117</t>
  </si>
  <si>
    <t>ANDRÉA MESQUITA RIBEIRO</t>
  </si>
  <si>
    <t>21976663767</t>
  </si>
  <si>
    <t>Rua Luiz Orlando Cardoso 685 casa 2</t>
  </si>
  <si>
    <t>Pai do dinho</t>
  </si>
  <si>
    <t>P0118 - CLAUDIO LIMA</t>
  </si>
  <si>
    <t>P0118</t>
  </si>
  <si>
    <t>CLAUDIO LIMA</t>
  </si>
  <si>
    <t>21964772927</t>
  </si>
  <si>
    <t>Indicação de P0044 (Evanildo). Fechou com outra empresa por preço</t>
  </si>
  <si>
    <t>P0119 - EDUARDO C DE SOUZA</t>
  </si>
  <si>
    <t>P0119</t>
  </si>
  <si>
    <t>EDUARDO C DE SOUZA</t>
  </si>
  <si>
    <t>21997775371</t>
  </si>
  <si>
    <t>Rua N</t>
  </si>
  <si>
    <t>Indicação de P0044 (Evanildo). Consumo subiu de 412 abr22 para 433 abr23 5%. Pediu para consumo de 500kWh médio</t>
  </si>
  <si>
    <t>P0120 - EMMANUEL MURTINHO</t>
  </si>
  <si>
    <t>P0120</t>
  </si>
  <si>
    <t>EMMANUEL MURTINHO</t>
  </si>
  <si>
    <t>21999190909</t>
  </si>
  <si>
    <t>Travessa Ourives, 101</t>
  </si>
  <si>
    <t>Veio pelo Engelink. Disse ter interesse mas vai fazer para começo do 2024</t>
  </si>
  <si>
    <t>P0121 - FABIANO MENDONÇA</t>
  </si>
  <si>
    <t>P0121</t>
  </si>
  <si>
    <t>FABIANO MENDONÇA</t>
  </si>
  <si>
    <t>27998445859</t>
  </si>
  <si>
    <t>Rua Mario Soares Pereira, 50</t>
  </si>
  <si>
    <t>Cliente veio através do Instagram, enviou a conta de luz logo no início, mas parou de responder logo nas primeiras mensagens.</t>
  </si>
  <si>
    <t>P0122 - ROBERTO RAMOS MONTEIRO JUNIOR</t>
  </si>
  <si>
    <t>P0122</t>
  </si>
  <si>
    <t>ROBERTO RAMOS MONTEIRO JUNIOR</t>
  </si>
  <si>
    <t>21995409911</t>
  </si>
  <si>
    <t>Rua Erlon Chaves, 166</t>
  </si>
  <si>
    <t>Indicação do cliente Marcos Martins. Quer um equipamento para residência com gasto mensal de 500,00. Não está interessado em aquecimento banho e piscina (já possui painel para aquecimento de água e aquecedor a gás). Acha interessante um sistema maior para usar o ar condicionado. Possui 2 aparelhos de ar condicionado FUJTSU INVERTER de 12000 e 9000 BTUs; usa somente no verão e para dormir, cerca de 8h por dia. Trocaria o fogão a gás pelo fogão de indução. Disse que por questão financeira não irá conseguir realizar agora</t>
  </si>
  <si>
    <t>P0123 - CRISTINE OLIVEIRA</t>
  </si>
  <si>
    <t>P0123</t>
  </si>
  <si>
    <t>CRISTINE OLIVEIRA</t>
  </si>
  <si>
    <t>21993495472</t>
  </si>
  <si>
    <t>Rua ivatuva lote 6 qd 86</t>
  </si>
  <si>
    <t>Não respondeu nenhuma tentativa de contato.</t>
  </si>
  <si>
    <t>P0124 - JOAO LUIZ BARBOSA MACHADO</t>
  </si>
  <si>
    <t>P0124</t>
  </si>
  <si>
    <t>JOAO LUIZ BARBOSA MACHADO</t>
  </si>
  <si>
    <t>21995078738</t>
  </si>
  <si>
    <t>Estrada Henrique de Melo, 844, Casa 14</t>
  </si>
  <si>
    <t>Estrada Henrique de Melo</t>
  </si>
  <si>
    <t>P0125 - GREYCE OLIVEIRA</t>
  </si>
  <si>
    <t>P0125</t>
  </si>
  <si>
    <t>GREYCE OLIVEIRA</t>
  </si>
  <si>
    <t>21990628564</t>
  </si>
  <si>
    <t>P0126 - PEDRO RAMALHO</t>
  </si>
  <si>
    <t>P0126</t>
  </si>
  <si>
    <t>PEDRO RAMALHO</t>
  </si>
  <si>
    <t>21983841512</t>
  </si>
  <si>
    <t>P0127 - LINDIARA ARRUDA</t>
  </si>
  <si>
    <t>P0127</t>
  </si>
  <si>
    <t>LINDIARA ARRUDA</t>
  </si>
  <si>
    <t>21991035717</t>
  </si>
  <si>
    <t>P0128 - FERNANDA JESUS BARRETO</t>
  </si>
  <si>
    <t>P0128</t>
  </si>
  <si>
    <t>FERNANDA JESUS BARRETO</t>
  </si>
  <si>
    <t>75982627900</t>
  </si>
  <si>
    <t>P0129 - CRISTIANO DE MORAES</t>
  </si>
  <si>
    <t>P0129</t>
  </si>
  <si>
    <t>CRISTIANO DE MORAES</t>
  </si>
  <si>
    <t>21965909552</t>
  </si>
  <si>
    <t>Respondeu as primeiras mensagens, parou de retornar depois de perguntado sobre o consumo, se tinha ar-condicionados em casa e se já usava quando queria.</t>
  </si>
  <si>
    <t>P0130</t>
  </si>
  <si>
    <t>21986931514</t>
  </si>
  <si>
    <t>Cliente veio através de cotação no Engelink, mas não respondeu nenhuma tentativa de contato.</t>
  </si>
  <si>
    <t>P0131 - VERA FERREIRA</t>
  </si>
  <si>
    <t>P0131</t>
  </si>
  <si>
    <t>VERA FERREIRA</t>
  </si>
  <si>
    <t>21980409896</t>
  </si>
  <si>
    <t>Cliente chegou interessada no preço, veio atarvés do Facebook. Gostaria de utilizar seus 2 ar-condicionados de 12000 BTUs e freezer sem medo da conta de luz. Parou de responder e deu como motivo dinheiro</t>
  </si>
  <si>
    <t>P0132 - CÉLIA HONORATO</t>
  </si>
  <si>
    <t>P0132</t>
  </si>
  <si>
    <t>CÉLIA HONORATO</t>
  </si>
  <si>
    <t>21991157214</t>
  </si>
  <si>
    <t>P0133 - ADILSON PEREIRA DA SILVA</t>
  </si>
  <si>
    <t>P0133</t>
  </si>
  <si>
    <t>ADILSON PEREIRA DA SILVA</t>
  </si>
  <si>
    <t>21971316979</t>
  </si>
  <si>
    <t>Não respondeu as primeiras mensagens, só respondeu quando perguntado qual seria o motivo para não dar continuidade no atendimento, que segundo o cliente seria motivo financeiro.</t>
  </si>
  <si>
    <t>P0134 - VINICIUS BORGES</t>
  </si>
  <si>
    <t>P0134</t>
  </si>
  <si>
    <t>VINICIUS BORGES</t>
  </si>
  <si>
    <t>21998920443</t>
  </si>
  <si>
    <t>P0135 - ELAINE MARTINS</t>
  </si>
  <si>
    <t>P0135</t>
  </si>
  <si>
    <t>ELAINE MARTINS</t>
  </si>
  <si>
    <t>21965572905</t>
  </si>
  <si>
    <t>P0136 - ANA PAULA MARINHO</t>
  </si>
  <si>
    <t>P0136</t>
  </si>
  <si>
    <t>ANA PAULA MARINHO</t>
  </si>
  <si>
    <t>21966407842</t>
  </si>
  <si>
    <t>Respondeu as primeiras mensagens, mas após pedir a parte do histórico de consumo na conta de luz parou de responder.</t>
  </si>
  <si>
    <t>P0137 - CARLOS AUGUSTO V FERREIRA</t>
  </si>
  <si>
    <t>P0137</t>
  </si>
  <si>
    <t>CARLOS AUGUSTO V FERREIRA</t>
  </si>
  <si>
    <t>Primeiro contato realizado via mensagem do Facebook, pois o cliente digitou o número errado ou algo do tipo ao preencher o formulário.</t>
  </si>
  <si>
    <t>P0138 - ANA GRACY</t>
  </si>
  <si>
    <t>P0138</t>
  </si>
  <si>
    <t>ANA GRACY</t>
  </si>
  <si>
    <t>21981292811</t>
  </si>
  <si>
    <t>Falta de Interesse</t>
  </si>
  <si>
    <t>Lead veio através do Facebook, preencheu formulário com interesse em economizar na conta de luz, mas no primeiro contato disse que não tinha interesse em continuar com o orçamento.</t>
  </si>
  <si>
    <t>P0139 - RAUL PEREIRA</t>
  </si>
  <si>
    <t>P0139</t>
  </si>
  <si>
    <t>RAUL PEREIRA</t>
  </si>
  <si>
    <t>21999948800</t>
  </si>
  <si>
    <t>Não respondeu as primeiras mensagens e após dois follow ups falou que não queria dar continuidade ao atendimento no momento.</t>
  </si>
  <si>
    <t>P0140 - ANTONIO BASILE</t>
  </si>
  <si>
    <t>P0140</t>
  </si>
  <si>
    <t>ANTONIO BASILE</t>
  </si>
  <si>
    <t>21986370876</t>
  </si>
  <si>
    <t>Lead disse que queria fazer um orçamento "simples", mas parou de responder logo no início. Queria só saber preço, não deu continuidade</t>
  </si>
  <si>
    <t>P0141 - LUPERCIO</t>
  </si>
  <si>
    <t>P0141</t>
  </si>
  <si>
    <t>LUPERCIO</t>
  </si>
  <si>
    <t>21971615948</t>
  </si>
  <si>
    <t>Mismatch</t>
  </si>
  <si>
    <t>Queria offgrid</t>
  </si>
  <si>
    <t>P0142 - SÉRGIO PEDRO</t>
  </si>
  <si>
    <t>P0142</t>
  </si>
  <si>
    <t>SÉRGIO PEDRO</t>
  </si>
  <si>
    <t>21964117178</t>
  </si>
  <si>
    <t>Disse que estava interessado em energia solar sem a compra de equipamentos e após dizer que trabalhamos com a compra de equipamento disse que não queria continuar o atendimento.</t>
  </si>
  <si>
    <t>P0143 - EVERILDA MIRANDA</t>
  </si>
  <si>
    <t>P0143</t>
  </si>
  <si>
    <t>EVERILDA MIRANDA</t>
  </si>
  <si>
    <t>21968327276</t>
  </si>
  <si>
    <t>Cliente disse que estava de férias e após retornar ao trabalho iria entrar em contato. Pausou por estar com uma pessoa doente na familia</t>
  </si>
  <si>
    <t>P0144 - [FV01] ADRIANO VIAL</t>
  </si>
  <si>
    <t>P0144</t>
  </si>
  <si>
    <t>[FV01] ADRIANO VIAL</t>
  </si>
  <si>
    <t>perda</t>
  </si>
  <si>
    <t>21966273546</t>
  </si>
  <si>
    <t>Cliente veio através do anúncio no Instagram. Já usa o ar condicionado quando quer, acredita que o consumo atual já é o suficiente. Disse que seu consumo médio é de 450kW e paga em média 500 reais de conta de luz. Importante lembrar do custo de deslocamento para instalação e visita técnica devido a distância até Magé. Futuramente tem interesse em carregamento para carro elétrico, pois irá mudar para veículo híbrido no próximo ano.</t>
  </si>
  <si>
    <t>P0145 - PRISCILLA MARINHO</t>
  </si>
  <si>
    <t>P0145</t>
  </si>
  <si>
    <t>PRISCILLA MARINHO</t>
  </si>
  <si>
    <t>21994912686</t>
  </si>
  <si>
    <t>Rua Professor Santos Moreira 100 CA 13 LT 7</t>
  </si>
  <si>
    <t>P0146</t>
  </si>
  <si>
    <t>21985261004</t>
  </si>
  <si>
    <t>P0147 - FÁBIO GOULART</t>
  </si>
  <si>
    <t>P0147</t>
  </si>
  <si>
    <t>FÁBIO GOULART</t>
  </si>
  <si>
    <t>24988257791</t>
  </si>
  <si>
    <t>Lead disse que veio através de pesquisa no Google, mas não respondeu nenhuma tentativa de contato.</t>
  </si>
  <si>
    <t>P0148 - VANDA</t>
  </si>
  <si>
    <t>P0148</t>
  </si>
  <si>
    <t>VANDA</t>
  </si>
  <si>
    <t>21964347696</t>
  </si>
  <si>
    <t>não respondeu as mensagens</t>
  </si>
  <si>
    <t>P0149 - ELIEZER NEVES</t>
  </si>
  <si>
    <t>P0149</t>
  </si>
  <si>
    <t>ELIEZER NEVES</t>
  </si>
  <si>
    <t>21981721300</t>
  </si>
  <si>
    <t>Lead seguiu só com o fotovoltaico, possui 4 ar-condicionados sendo 2 de 12000 BTUs e 2 de 18000 BTUs e 2 geladeiras (sendo esses equipamentos o maior consumo dele). Disse que seria interessante pensar em um sistema um pouco maior para que pudesse usar mais o ar-condicionado no verão. Enviou as faturas e parou de responder ao tentar agendar reunião</t>
  </si>
  <si>
    <t>P0150 - LEANDRO</t>
  </si>
  <si>
    <t>P0150</t>
  </si>
  <si>
    <t>LEANDRO</t>
  </si>
  <si>
    <t>21970210554</t>
  </si>
  <si>
    <t>Cliente veio através de cotação no Engelink e parou de responder</t>
  </si>
  <si>
    <t>P0151 - DIANA CORREIA BANDEIRA DE MELO</t>
  </si>
  <si>
    <t>P0151</t>
  </si>
  <si>
    <t>DIANA CORREIA BANDEIRA DE MELO</t>
  </si>
  <si>
    <t>21990571576</t>
  </si>
  <si>
    <t>Lead é vizinha do Vinicius. Possui um consumo médio de 320 reais, quer aumentar o uso dos ar-condicionado (1 de 10000 BTUs e 2 de 18000 BTUs) no verão, disse que quer poder usar "tranquila" (atualmente ela disse que quase não usa). Ela acredita que seu consumo irá para 420/450 reais (interessante pensar em um sistema maior). FEchou com outra empresa por valor (13k x 14k meus)</t>
  </si>
  <si>
    <t>P0152 - ISAIAS DE OLIVEIRA TINOCO</t>
  </si>
  <si>
    <t>P0152</t>
  </si>
  <si>
    <t>ISAIAS DE OLIVEIRA TINOCO</t>
  </si>
  <si>
    <t>21964738363</t>
  </si>
  <si>
    <t>P0153 - VIEIRA</t>
  </si>
  <si>
    <t>P0153</t>
  </si>
  <si>
    <t>VIEIRA</t>
  </si>
  <si>
    <t>21989691000</t>
  </si>
  <si>
    <t>Veio pelo grupo do bosque dos esquilos.</t>
  </si>
  <si>
    <t>P0154 - [FV01] SANDRA MARIA</t>
  </si>
  <si>
    <t>P0154</t>
  </si>
  <si>
    <t>[FV01] SANDRA MARIA</t>
  </si>
  <si>
    <t>21964520757</t>
  </si>
  <si>
    <t>P0155 - ALEXANDRO PINHEIRO DE SOUZ</t>
  </si>
  <si>
    <t>P0155</t>
  </si>
  <si>
    <t>ALEXANDRO PINHEIRO DE SOUZ</t>
  </si>
  <si>
    <t>21992881529</t>
  </si>
  <si>
    <t>Rua natividade</t>
  </si>
  <si>
    <t>Nova Iguaçu</t>
  </si>
  <si>
    <t>Falou que já estava em contato com outra empresa. Veio pelo engelink</t>
  </si>
  <si>
    <t>P0156 - ALVIR NELSON ROSA JUNIOR</t>
  </si>
  <si>
    <t>P0156</t>
  </si>
  <si>
    <t>ALVIR NELSON ROSA JUNIOR</t>
  </si>
  <si>
    <t>21998892209</t>
  </si>
  <si>
    <t>EST OUTEIRO SANTO 1411 CA 2</t>
  </si>
  <si>
    <t>Lead veio através do grupo do condominio, uma csa proxima a transolimpica muito quente e ele gostaria de utilizar 2 aparelhos de ar-condicionado de 12 mil Btus por mais 6 horas no verão.</t>
  </si>
  <si>
    <t>P0157 - PORT FOOD IND COM DE ALIMENTOS LTDA</t>
  </si>
  <si>
    <t>P0157</t>
  </si>
  <si>
    <t>PORT FOOD IND COM DE ALIMENTOS LTDA</t>
  </si>
  <si>
    <t>AV AFONSO ARINOS DE MELLO FRANCO 222 BL 2A</t>
  </si>
  <si>
    <t>Indicação do Ronaldo, está vendendo ML e parte microgeração</t>
  </si>
  <si>
    <t>P0158</t>
  </si>
  <si>
    <t>21988864930</t>
  </si>
  <si>
    <t>Avenida Getúlio de Moura 452</t>
  </si>
  <si>
    <t>P0159 - [FV01] ANDRÉ - POUSADA ABRAAO</t>
  </si>
  <si>
    <t>P0159</t>
  </si>
  <si>
    <t>[FV01] ANDRÉ - POUSADA ABRAAO</t>
  </si>
  <si>
    <t>projeto</t>
  </si>
  <si>
    <t>21968767775</t>
  </si>
  <si>
    <t>0</t>
  </si>
  <si>
    <t>Cliente está construindo pousada, trabalhar com levantamento de carga. Foi sugerido usar chuveiro com aquecimento solar no lugar no elétrico. Serão 10 suites com: 1 frigobar, 1 microondas, 1 chuveiro elétrico, 1 ventilador de teto. Simular p01 com chuveiro (5400kWh) e p02 sem chuveiro (4.000kWh).</t>
  </si>
  <si>
    <t>P0160 - ANDRÉ - POUSADA ABRAAO</t>
  </si>
  <si>
    <t>P0160</t>
  </si>
  <si>
    <t>ANDRÉ - POUSADA ABRAAO</t>
  </si>
  <si>
    <t>21975806447</t>
  </si>
  <si>
    <t>RUA ANTONIO MOREIRA 00115</t>
  </si>
  <si>
    <t>ENEL</t>
  </si>
  <si>
    <t>P0161 - LESLEY ELAINE ROCHA</t>
  </si>
  <si>
    <t>P0161</t>
  </si>
  <si>
    <t>LESLEY ELAINE ROCHA</t>
  </si>
  <si>
    <t>R PRUDENTE DE MORAIS 1375 AP1406</t>
  </si>
  <si>
    <t>Cliente remunerato, Larissa/PedroMansur. São 3 apartamentos vizinhos na cobertura.</t>
  </si>
  <si>
    <t>P0162 - SIMONE FELIPPO RAMALHO LEITE</t>
  </si>
  <si>
    <t>P0162</t>
  </si>
  <si>
    <t>SIMONE FELIPPO RAMALHO LEITE</t>
  </si>
  <si>
    <t>21969585535</t>
  </si>
  <si>
    <t>ESTRAD GAVE PEQUENA, 952 BLOCO A</t>
  </si>
  <si>
    <t>ALTO DA BOA VISTA</t>
  </si>
  <si>
    <t>Indicação do Rafael Peixoto, possui um cliente que esta reformando e ampliando a casa e quer energia solar.</t>
  </si>
  <si>
    <t>P0163 - CACTUS CHALÉS (LUMIAR)</t>
  </si>
  <si>
    <t>P0163</t>
  </si>
  <si>
    <t>CACTUS CHALÉS (LUMIAR)</t>
  </si>
  <si>
    <t>21999581521</t>
  </si>
  <si>
    <t>RJ-142</t>
  </si>
  <si>
    <t>NOVA FRIBURGO</t>
  </si>
  <si>
    <t>Pousada Cactus em Lumiar. Está ampliando e pensa em por uma usina de solo. Pensa em sistema de backup pois lá falta muita luz. Verificar melhor cenário - gerador, hibrido, offgrid. Ofertar aquecimento banho no lugar do chuveiro elétrico. Disse que vai esperar a obra acabar para voltar a negociar, previsão em janeiro/24. Ajustado meses de outubro e novembro para uma realidade de ampliação anterior.</t>
  </si>
  <si>
    <t>P0164 - LOURDES SANCHES</t>
  </si>
  <si>
    <t>P0164</t>
  </si>
  <si>
    <t>LOURDES SANCHES</t>
  </si>
  <si>
    <t>21996016686</t>
  </si>
  <si>
    <t>Entrou em contato indicada pela p0002-mary, mas disse que marido é indeciso e não sabe se ficará na casa ou comprar outra casa que assim que decidir entrará em contato. Retornar em 6 meses</t>
  </si>
  <si>
    <t>P0165 - VIVIANE CLAUDIA ROSA MAIA</t>
  </si>
  <si>
    <t>P0165</t>
  </si>
  <si>
    <t>VIVIANE CLAUDIA ROSA MAIA</t>
  </si>
  <si>
    <t>21996881560</t>
  </si>
  <si>
    <t>R SALOMAO MALINA 747 CA 19</t>
  </si>
  <si>
    <t>Indicação do Helder, chegou com um orçamento da green e gostaria de parcelar em 12x sem juros. Explicado forma de pagamento e opções de parcela a depender do fornecedor.
Quer seguir só com o FV
Hoje seu consumo já atende suas necessidades. Não tem muita disponibilidade de horário durante a semana</t>
  </si>
  <si>
    <t>P0166 - JOÃO VIEIRA</t>
  </si>
  <si>
    <t>P0166</t>
  </si>
  <si>
    <t>JOÃO VIEIRA</t>
  </si>
  <si>
    <t>21996280000</t>
  </si>
  <si>
    <t>Rua Fala Amendoeira, 940, Condomínio Novo Leblon</t>
  </si>
  <si>
    <t>Sistema de aquecimento solar</t>
  </si>
  <si>
    <t>P0167 - FLAVIA LOPES</t>
  </si>
  <si>
    <t>P0167</t>
  </si>
  <si>
    <t>FLAVIA LOPES</t>
  </si>
  <si>
    <t>21996068793</t>
  </si>
  <si>
    <t>P0168 - DANILENE DA SILVA FERREIRA</t>
  </si>
  <si>
    <t>P0168</t>
  </si>
  <si>
    <t>DANILENE DA SILVA FERREIRA</t>
  </si>
  <si>
    <t>24992640778</t>
  </si>
  <si>
    <t>RUA ISALTINO SILVEIRA</t>
  </si>
  <si>
    <t>P0169 - ELISABETE PECANHA COSSICH PEREIRA</t>
  </si>
  <si>
    <t>P0169</t>
  </si>
  <si>
    <t>ELISABETE PECANHA COSSICH PEREIRA</t>
  </si>
  <si>
    <t>21991783474</t>
  </si>
  <si>
    <t>AV NILO PECANHA 25 CA 2</t>
  </si>
  <si>
    <t>Instalação monofásica, verificar AC que diz possuir. Veio através de indicação do carteiro André. Tem interesse em enviar energia para outro imóvel (casa no mesmo quintal). Usará um forno elétrico a mais e nova casa terá 1 AC, 2 geladeiras, 2 TV e 1 forno elétrico.</t>
  </si>
  <si>
    <t>P0170 - PAULO RICARDO</t>
  </si>
  <si>
    <t>P0170</t>
  </si>
  <si>
    <t>PAULO RICARDO</t>
  </si>
  <si>
    <t>21982665291</t>
  </si>
  <si>
    <t>Buscava carregamento veicular para o condomínio onde mora</t>
  </si>
  <si>
    <t>P0171 - BIA FERREIRA</t>
  </si>
  <si>
    <t>P0171</t>
  </si>
  <si>
    <t>BIA FERREIRA</t>
  </si>
  <si>
    <t>21984365271</t>
  </si>
  <si>
    <t>Entendeu errado o anuncio, não sabia que era para módulos d eenergia solar</t>
  </si>
  <si>
    <t>P0172 - BETH FRANCO</t>
  </si>
  <si>
    <t>P0172</t>
  </si>
  <si>
    <t>BETH FRANCO</t>
  </si>
  <si>
    <t>21983801904</t>
  </si>
  <si>
    <t>P0173 - GILMAR</t>
  </si>
  <si>
    <t>P0173</t>
  </si>
  <si>
    <t>GILMAR</t>
  </si>
  <si>
    <t>21976336005</t>
  </si>
  <si>
    <t>P0174 - ALBERTO</t>
  </si>
  <si>
    <t>P0174</t>
  </si>
  <si>
    <t>ALBERTO</t>
  </si>
  <si>
    <t>24992370901</t>
  </si>
  <si>
    <t>P0175 - VERA JAEGER</t>
  </si>
  <si>
    <t>P0175</t>
  </si>
  <si>
    <t>VERA JAEGER</t>
  </si>
  <si>
    <t>21988955438</t>
  </si>
  <si>
    <t>P0176 - GERLY VIEIRA ALVES DE ABREU</t>
  </si>
  <si>
    <t>P0176</t>
  </si>
  <si>
    <t>GERLY VIEIRA ALVES DE ABREU</t>
  </si>
  <si>
    <t>22998887159</t>
  </si>
  <si>
    <t>Difícil entender o que queria, falava tudo errado, mas queria pagar luz com cartão de crédito</t>
  </si>
  <si>
    <t>P0177 - LEANDRO CEARA</t>
  </si>
  <si>
    <t>P0177</t>
  </si>
  <si>
    <t>LEANDRO CEARA</t>
  </si>
  <si>
    <t>21986044169</t>
  </si>
  <si>
    <t>P0178 - HELENICE</t>
  </si>
  <si>
    <t>P0178</t>
  </si>
  <si>
    <t>HELENICE</t>
  </si>
  <si>
    <t>21968740806</t>
  </si>
  <si>
    <t>P0179 - SUZANA</t>
  </si>
  <si>
    <t>P0179</t>
  </si>
  <si>
    <t>SUZANA</t>
  </si>
  <si>
    <t>21992072717</t>
  </si>
  <si>
    <t>P0180 - CARLOS ALBERTO</t>
  </si>
  <si>
    <t>P0180</t>
  </si>
  <si>
    <t>CARLOS ALBERTO</t>
  </si>
  <si>
    <t>21964583488</t>
  </si>
  <si>
    <t>P0181 - RÚBIA BARBOSA</t>
  </si>
  <si>
    <t>P0181</t>
  </si>
  <si>
    <t>RÚBIA BARBOSA</t>
  </si>
  <si>
    <t>21981848814</t>
  </si>
  <si>
    <t>P0182 - SHIRLEI BARBOSA</t>
  </si>
  <si>
    <t>P0182</t>
  </si>
  <si>
    <t>SHIRLEI BARBOSA</t>
  </si>
  <si>
    <t>22998928873</t>
  </si>
  <si>
    <t>P0183 - JULIA DE MENEZES</t>
  </si>
  <si>
    <t>P0183</t>
  </si>
  <si>
    <t>JULIA DE MENEZES</t>
  </si>
  <si>
    <t>21964468857</t>
  </si>
  <si>
    <t>P0184 - GERALDO ANASTÁCIO DA SILVA</t>
  </si>
  <si>
    <t>P0184</t>
  </si>
  <si>
    <t>GERALDO ANASTÁCIO DA SILVA</t>
  </si>
  <si>
    <t>3299899715</t>
  </si>
  <si>
    <t>Mora em minas</t>
  </si>
  <si>
    <t>P0185 - PRISCILA</t>
  </si>
  <si>
    <t>P0185</t>
  </si>
  <si>
    <t>2127969046</t>
  </si>
  <si>
    <t>P0186 - CLÁUDIA MARCIA</t>
  </si>
  <si>
    <t>P0186</t>
  </si>
  <si>
    <t>CLÁUDIA MARCIA</t>
  </si>
  <si>
    <t>24999362208</t>
  </si>
  <si>
    <t>P0187 - Roberta Machado</t>
  </si>
  <si>
    <t>P0187</t>
  </si>
  <si>
    <t>Roberta Machado</t>
  </si>
  <si>
    <t>Alberto de Campos 180</t>
  </si>
  <si>
    <t>P0190 - José Alvarez Fernandez</t>
  </si>
  <si>
    <t>P0190</t>
  </si>
  <si>
    <t>José Alvarez Fernandez</t>
  </si>
  <si>
    <t>nova oportunidade</t>
  </si>
  <si>
    <t>P0191</t>
  </si>
  <si>
    <t>P0192 - Eduardo Camelo</t>
  </si>
  <si>
    <t>P0192</t>
  </si>
  <si>
    <t>Eduardo Camelo</t>
  </si>
  <si>
    <t>R. Riachuelo, 160a</t>
  </si>
  <si>
    <t>P0193 - SEBASTIÃO CARLOS DIAS</t>
  </si>
  <si>
    <t>P0193</t>
  </si>
  <si>
    <t>P0194 - VIEIRA</t>
  </si>
  <si>
    <t>P0194</t>
  </si>
  <si>
    <t>P0212 - MARCELO HERMANO</t>
  </si>
  <si>
    <t>P0212</t>
  </si>
  <si>
    <t>MARCELO HERMANO</t>
  </si>
  <si>
    <t>R. José Vicente, 46</t>
  </si>
  <si>
    <t>P0229 - [FV01] HELLEN FREITAS</t>
  </si>
  <si>
    <t>P0229</t>
  </si>
  <si>
    <t>[FV01] HELLEN FREITAS</t>
  </si>
  <si>
    <t>P0232</t>
  </si>
  <si>
    <t>pré-proposta</t>
  </si>
  <si>
    <t>R. Santo Arquinimio, 48</t>
  </si>
  <si>
    <t>Rio de Janeiro</t>
  </si>
  <si>
    <t>Barra da Tijuca</t>
  </si>
  <si>
    <t>P0234 - FATIMA</t>
  </si>
  <si>
    <t>P0234</t>
  </si>
  <si>
    <t>FATIMA</t>
  </si>
  <si>
    <t>P0237 - CADU GAMA</t>
  </si>
  <si>
    <t>P0237</t>
  </si>
  <si>
    <t>CADU GAMA</t>
  </si>
  <si>
    <t>(21) 98157-4767</t>
  </si>
  <si>
    <t>RUA ARATICUM SN LT 24 QD 2</t>
  </si>
  <si>
    <t>Veio através do grupo do condomínio do bosque dos esquilos. Esta finalizando a obra na rua araticum e irá se mudar.
Falou para não considerar o consumo da fatura e usar uma estimativa de 1.000kWh/mês (disse não ter ideia exata do consumo).
Pediu para passar lá algum dia pela manhã que fica trabalhando de home na casa. 
Agendado visita segunda feira dia 30/10/23</t>
  </si>
  <si>
    <t>P0240 - [FV01] ELITA</t>
  </si>
  <si>
    <t>P0240</t>
  </si>
  <si>
    <t>[FV01] ELITA</t>
  </si>
  <si>
    <t>P0242 - CARLOS HENRIQUE FIGUEIREDO ALVES</t>
  </si>
  <si>
    <t>P0242</t>
  </si>
  <si>
    <t>CARLOS HENRIQUE FIGUEIREDO ALVES</t>
  </si>
  <si>
    <t>(21) 98860-8080</t>
  </si>
  <si>
    <t>Vizinho do P0237 - CADU, estava realizando a VT nele e solicitou uma visita também</t>
  </si>
  <si>
    <t>P0263 - [FV01] GRACE RODOLFO</t>
  </si>
  <si>
    <t>P0263</t>
  </si>
  <si>
    <t>[FV01] GRACE RODOLFO</t>
  </si>
  <si>
    <t>P0268 - [FV01] Wellington da Rosa</t>
  </si>
  <si>
    <t>P0268</t>
  </si>
  <si>
    <t>[FV01] Wellington da Rosa</t>
  </si>
  <si>
    <t>fechamento</t>
  </si>
  <si>
    <t>Rua Pedro Martins D' Avila, 90</t>
  </si>
  <si>
    <t>Luz</t>
  </si>
  <si>
    <t>P0270 - [FV01] VINICIUS</t>
  </si>
  <si>
    <t>P0270</t>
  </si>
  <si>
    <t>[FV01] VINICIUS</t>
  </si>
  <si>
    <t>P0273 - [FV02] EVILYN CARDOSO</t>
  </si>
  <si>
    <t>P0273</t>
  </si>
  <si>
    <t>[FV02] EVILYN CARDOSO</t>
  </si>
  <si>
    <t>R. Escritor Rodrigo Melo Franco, 160</t>
  </si>
  <si>
    <t>P0274 - Wellington da Rosa</t>
  </si>
  <si>
    <t>P0274</t>
  </si>
  <si>
    <t>Wellington da Rosa</t>
  </si>
  <si>
    <t>21964607983</t>
  </si>
  <si>
    <t>P0277 - VANESSA TEIXEIRA LINS</t>
  </si>
  <si>
    <t>P0277</t>
  </si>
  <si>
    <t>VANESSA TEIXEIRA LINS</t>
  </si>
  <si>
    <t>Estr. dos Bandeirantes, 16243</t>
  </si>
  <si>
    <t>P0280 - [FV01] Rocky Garden Brew Cafe</t>
  </si>
  <si>
    <t>P0280</t>
  </si>
  <si>
    <t>[FV01] Rocky Garden Brew Cafe</t>
  </si>
  <si>
    <t>Estr. União e Indústria, 12708</t>
  </si>
  <si>
    <t>P0281 - [FV01] Marcelo Lopes Fuly</t>
  </si>
  <si>
    <t>P0281</t>
  </si>
  <si>
    <t>[FV01] Marcelo Lopes Fuly</t>
  </si>
  <si>
    <t>R. Dr. Bernardino, 559</t>
  </si>
  <si>
    <t>P0289 - PERNINHA BARBERSHOP</t>
  </si>
  <si>
    <t>P0289</t>
  </si>
  <si>
    <t>PERNINHA BARBERSHOP</t>
  </si>
  <si>
    <t>21988118821</t>
  </si>
  <si>
    <t>EST TRES RIOS 506</t>
  </si>
  <si>
    <t>P0295 - RAQUEL REGLY</t>
  </si>
  <si>
    <t>P0295</t>
  </si>
  <si>
    <t>RAQUEL REGLY</t>
  </si>
  <si>
    <t>R. Piauí, 409</t>
  </si>
  <si>
    <t>P0296 - RENATO FERNANDES</t>
  </si>
  <si>
    <t>P0296</t>
  </si>
  <si>
    <t>RENATO FERNANDES</t>
  </si>
  <si>
    <t>Av. Célia Ribeiro da Silva Mendes, 500</t>
  </si>
  <si>
    <t>P0297 - GABRIELE CUNHA</t>
  </si>
  <si>
    <t>P0297</t>
  </si>
  <si>
    <t>GABRIELE CUNHA</t>
  </si>
  <si>
    <t>R. Araticum, 1435</t>
  </si>
  <si>
    <t>P0298</t>
  </si>
  <si>
    <t>P0299 - [FV01] PEDRO CAVALCANTI</t>
  </si>
  <si>
    <t>P0299</t>
  </si>
  <si>
    <t>[FV01] PEDRO CAVALCANTI</t>
  </si>
  <si>
    <t>ganho</t>
  </si>
  <si>
    <t>Rua Geminiano Góis, 882</t>
  </si>
  <si>
    <t>1</t>
  </si>
  <si>
    <t>Briefing
O pg vai ser feito 16k no cartão em 12x e o resto 50% antes e 50% depois no pix
Indicação P0003 - Antônio Carlos, mora no mesmo condomínio (magic garden)
mora a pouco tempo no condomínio, apenas 3 faturas. Quer colocar o máximo que der e o que sobrar enviar para sua loja. não tem espaço físico na loja para por.
Pensa em colocar por financiamento.
Pelo mês de Janeiro do histórico e projeção, consideramos um consumo de 500kWh/mês
Informações da Light
Nome completo: Pedro Cavalcanti Vieira da silva Júnior
- CPF;130.141.867-67
- E-mail; pedro87.rj@hotmail.com
Endereço da instalação: rua geminiano Góis, 882 bloco 10 casa 101
Endereço da Light: R A 345 BL 10 AP 101 LT 3 FREGUESIA / RIO DE JANEIRO, RJ CEP 22743-670
CÓDIGO DA INSTALAÇÃO: 0421302698
VANESSA LIMA KAPPAUN
R A 345 BL 10 AP 101 LT 3 FREGUESIA / RIO DE JANEIRO, RJ CEP 22743-670
CPF 136.515.667-22
Conta Contrato: 10141380655
CÓDIGO DA INSTALAÇÃO: 0421302698
CÓDIGO DO CLIENTE: 31463148</t>
  </si>
  <si>
    <t>P0301 - JÉSSICA CAMPELLO</t>
  </si>
  <si>
    <t>P0301</t>
  </si>
  <si>
    <t>JÉSSICA CAMPELLO</t>
  </si>
  <si>
    <t>P0302 - MICHELLE EINERT</t>
  </si>
  <si>
    <t>P0302</t>
  </si>
  <si>
    <t>MICHELLE EINERT</t>
  </si>
  <si>
    <t>Rua Edgard Werneck, 629</t>
  </si>
  <si>
    <t>P0303</t>
  </si>
  <si>
    <t>P0304 - [FV01] Rodrigo Systello</t>
  </si>
  <si>
    <t>P0304</t>
  </si>
  <si>
    <t>[FV01] Rodrigo Systello</t>
  </si>
  <si>
    <t>R. Pedro Sérvolo de Araújo, 17</t>
  </si>
  <si>
    <t>Contato: https://app.clickup.com/t/86a2rgwrw
Infos importantes
Fatura está pendente!
Contrato: https://painel.autentique.com.br/documentos/4ca714f7a8339652b788b9019a9250b9c864b7f68e0ccce96
Briefing
Documentos necessários - Contrato:
- Nome completo; Rodrigo Systello Pinto Dias
- CPF; 10031683703
- Data de nascimento; 13/03/1983
- Endereço de residência/comércio; Rua Pedro de Araújo, lote 17, quadra 549 
- CEP;24933-250
- Nacionalidade.Brasileiro
Documentação necessária - Enel:
- Fatura de energia do local da instalação; enviado - Preciso da fatura detalhada c fornecimento e grupo
- CPF; 10031683703
- E-mail; systello_rodrigo@hotmail.com</t>
  </si>
  <si>
    <t>P0305 - [FV01] Rodrigo Systello</t>
  </si>
  <si>
    <t>P0305</t>
  </si>
  <si>
    <t>Seropédica</t>
  </si>
  <si>
    <t>Incra</t>
  </si>
  <si>
    <t>P0306</t>
  </si>
  <si>
    <t>21 97101-2732</t>
  </si>
  <si>
    <t>P0307</t>
  </si>
  <si>
    <t>P0308</t>
  </si>
  <si>
    <t>P0309 - P0309 - CARLA NOGUEIRA LEANDRO</t>
  </si>
  <si>
    <t>P0309</t>
  </si>
  <si>
    <t>P0309 - CARLA NOGUEIRA LEANDRO</t>
  </si>
  <si>
    <t>R. Dom Casmurro, 567</t>
  </si>
  <si>
    <t>P0310 - MARIA CRISTINA SANTOS FERNANDES ARAUJO</t>
  </si>
  <si>
    <t>P0310</t>
  </si>
  <si>
    <t>MARIA CRISTINA SANTOS FERNANDES ARAUJO</t>
  </si>
  <si>
    <t>P0311 - Rodrigo Gesualdi</t>
  </si>
  <si>
    <t>P0311</t>
  </si>
  <si>
    <t>Rodrigo Gesualdi</t>
  </si>
  <si>
    <t>21968111239</t>
  </si>
  <si>
    <t>R PIO BORGES DE CASTRO 25</t>
  </si>
  <si>
    <t>P0313 - Rodrigo Systello</t>
  </si>
  <si>
    <t>P0313</t>
  </si>
  <si>
    <t>Rodrigo Systello</t>
  </si>
  <si>
    <t>R. Oscar Niemeyer, 230</t>
  </si>
  <si>
    <t>P0314</t>
  </si>
  <si>
    <t>R. Lagoa Grande, 423</t>
  </si>
  <si>
    <t>P0315</t>
  </si>
  <si>
    <t>P0316 - [FV02] MARTA LIMA VALLE</t>
  </si>
  <si>
    <t>P0316</t>
  </si>
  <si>
    <t>[FV02] MARTA LIMA VALLE</t>
  </si>
  <si>
    <t>pausado</t>
  </si>
  <si>
    <t>21 97936-8668</t>
  </si>
  <si>
    <t>R. Marechal Deodoro, 256</t>
  </si>
  <si>
    <t>Irmã do P0077 Jonathas. 
Inicialmente era para um emuc, agora individual, relógio é monofásico.
Trafo incluso.</t>
  </si>
  <si>
    <t>P0317 - AURORA DE LOURDES COSTA MONTEIRO</t>
  </si>
  <si>
    <t>P0317</t>
  </si>
  <si>
    <t>P0318 - [FV01] Sebastião Carlos Dias</t>
  </si>
  <si>
    <t>P0318</t>
  </si>
  <si>
    <t>[FV01] Sebastião Carlos Dias</t>
  </si>
  <si>
    <t xml:space="preserve">
Contato: https://app.clickup.com/t/86a2fg4b3
Disse que posso falar pelo whatsapp
Ele disse que tem interesse em energia solar
Falou que não desistiu do projeto de energia solar e quer saber se temos coisas boas</t>
  </si>
  <si>
    <t>P0320 - [WB01] VIVIANE CLAUDIA ROSA MAIA</t>
  </si>
  <si>
    <t>P0320</t>
  </si>
  <si>
    <t>[WB01] VIVIANE CLAUDIA ROSA MAIA</t>
  </si>
  <si>
    <t>P0325 - [FV02] EDUARDO CAMELO</t>
  </si>
  <si>
    <t>P0325</t>
  </si>
  <si>
    <t>[FV02] EDUARDO CAMELO</t>
  </si>
  <si>
    <t>Centro</t>
  </si>
  <si>
    <t>Ele disse para falar pelo whatsapp e que pode mandar a fatura de energia
Disse que o lugar é alugado, mas após dizer que pode levar o equipamento quis continuar conversando até dizer que poderia mandar uma fatura de energia
Senha da fatura 6650
Dez22 252kWh - Dez23 310kWh</t>
  </si>
  <si>
    <t>P0326 - [FV02] CONDOMINIO RESIDENCIAL JARDINS DA COSTA</t>
  </si>
  <si>
    <t>P0326</t>
  </si>
  <si>
    <t>[FV02] CONDOMINIO RESIDENCIAL JARDINS DA COSTA</t>
  </si>
  <si>
    <t>Rod. Amaral Peixoto, 1550</t>
  </si>
  <si>
    <t>Itaipuaçu</t>
  </si>
  <si>
    <t>P0327 - [FV02] SEBASTIÃO CARLOS DIAS</t>
  </si>
  <si>
    <t>P0327</t>
  </si>
  <si>
    <t>[FV02] SEBASTIÃO CARLOS DIAS</t>
  </si>
  <si>
    <t>P0329 - [FV01] Fábia Madureira</t>
  </si>
  <si>
    <t>P0329</t>
  </si>
  <si>
    <t>[FV01] Fábia Madureira</t>
  </si>
  <si>
    <t>R. Luís Orlando Cardoso, 395</t>
  </si>
  <si>
    <t>P0331 - [FV02] AURORA DE LOURDES COSTA MONTEIRO</t>
  </si>
  <si>
    <t>P0331</t>
  </si>
  <si>
    <t>[FV02] AURORA DE LOURDES COSTA MONTEIRO</t>
  </si>
  <si>
    <t>Em contato com o filho Kleber
Antigo:
Viu a placa de atenção na casa do cliente Carlos P0062 - Informou que tem mais pessoas morando e com isso o consumo aumento, sendo mais fidedigno a partir de abril/22. Pelo comportamento da fatura, observamos um aumento a partir de jan/22. Mai/22 teve um aumento de 75,9% em relação Mai/21, se considerarmos um aumento de 75% para meses antes de janeiro, a média passa de 670kWh para 900kWh. Cliente pediu para considerar um consumo de 850kWh</t>
  </si>
  <si>
    <t>P0333 - [FV01] Alexandre Novello</t>
  </si>
  <si>
    <t>P0333</t>
  </si>
  <si>
    <t>[FV01] Alexandre Novello</t>
  </si>
  <si>
    <t xml:space="preserve">
Contato: https://app.clickup.com/t/86a37d4th
Infos importantes
Briefing
indicação do  
Está se mudando de uma cobertura para uma casa e considerou 40% a mais de consumo
Chegou pedindo um orçamento de 16*585W Sunova + 4 micros hoymiles 
Barra da tijuca
Quer uma geração média de 1.000kWh/mês</t>
  </si>
  <si>
    <t>P0334 - [FV01] Alexandre Novello</t>
  </si>
  <si>
    <t>P0334</t>
  </si>
  <si>
    <t>R. Einstein, 343</t>
  </si>
  <si>
    <t>Contato: https://app.clickup.com/t/86a37d4th
Fechou com outra empresa por motivo de preço
Infos importantes
Briefing
indicação do  
Está se mudando de uma cobertura para uma casa e considerou 40% a mais de consumo
Chegou pedindo um orçamento de 16*585W Sunova + 4 micros hoymiles 
Barra da tijuca
Quer uma geração média de 1.000kWh/mês</t>
  </si>
  <si>
    <t>P0335 - [MC01] Ricardo Soares</t>
  </si>
  <si>
    <t>P0335</t>
  </si>
  <si>
    <t>[MC01] Ricardo Soares</t>
  </si>
  <si>
    <t>Estr. Ver. Alceu de Carvalho, 2865</t>
  </si>
  <si>
    <t>Vargem Grande</t>
  </si>
  <si>
    <t>Manutenção de inversor com porta do MPPT2 queimada</t>
  </si>
  <si>
    <t>P0336 - [FV02] EVILYN CARDOSO</t>
  </si>
  <si>
    <t>P0336</t>
  </si>
  <si>
    <t>R. Comendador Siqueira, 1872</t>
  </si>
  <si>
    <t>Pechincha</t>
  </si>
  <si>
    <t>Mandou 2 faturas de energia
Deseja a proposta pelo whatsapp
Esse lead não quer reunião online
Lead não quis reunião, Proposta enviada junto com ´video pelo whatsapp</t>
  </si>
  <si>
    <t>P0337 - [FV02] PRISCILLA MARINHO</t>
  </si>
  <si>
    <t>P0337</t>
  </si>
  <si>
    <t>[FV02] PRISCILLA MARINHO</t>
  </si>
  <si>
    <t>R. Prof. Santos Moreira, 100</t>
  </si>
  <si>
    <t>Vargem Pequena</t>
  </si>
  <si>
    <t>P0338</t>
  </si>
  <si>
    <t>P0340 - [FV01] Ayrton</t>
  </si>
  <si>
    <t>P0340</t>
  </si>
  <si>
    <t>[FV01] Ayrton</t>
  </si>
  <si>
    <t>R. do Oriente, 172</t>
  </si>
  <si>
    <t>Santa Teresa</t>
  </si>
  <si>
    <t>P0341 - [FV01] Daniel Teste</t>
  </si>
  <si>
    <t>P0341</t>
  </si>
  <si>
    <t>[FV01] Daniel Teste</t>
  </si>
  <si>
    <t xml:space="preserve">
Contato: https://app.clickup.com/t/86a3ja33v
Infos importantes
Briefing</t>
  </si>
  <si>
    <t>P0342 - [FV02] EVILYN CARDOSO</t>
  </si>
  <si>
    <t>P0342</t>
  </si>
  <si>
    <t>P0352 - teste15</t>
  </si>
  <si>
    <t>P0352</t>
  </si>
  <si>
    <t>teste15</t>
  </si>
  <si>
    <t>P0353</t>
  </si>
  <si>
    <t>Selecione o LEAD</t>
  </si>
  <si>
    <t>Informações do Cliente</t>
  </si>
  <si>
    <t>Informações da fatura</t>
  </si>
  <si>
    <t>Tipo de Cliente</t>
  </si>
  <si>
    <t>Grupo/Sub-grupo</t>
  </si>
  <si>
    <t>Tipo de Fornecimento</t>
  </si>
  <si>
    <t>CDD (kWh)</t>
  </si>
  <si>
    <t>RG</t>
  </si>
  <si>
    <t>Tensão de Alimentação</t>
  </si>
  <si>
    <t>127/220V</t>
  </si>
  <si>
    <t>Modalidade Tarifária</t>
  </si>
  <si>
    <t>Convecional</t>
  </si>
  <si>
    <t>Órgão Emissor</t>
  </si>
  <si>
    <t>Nº do Cliente</t>
  </si>
  <si>
    <t>Nascimento</t>
  </si>
  <si>
    <t>Nº da Instalação</t>
  </si>
  <si>
    <t>Email</t>
  </si>
  <si>
    <t>Info. iniciais</t>
  </si>
  <si>
    <t>Celular</t>
  </si>
  <si>
    <t>Comentários:</t>
  </si>
  <si>
    <t>Confirmar telha reserva.</t>
  </si>
  <si>
    <t>End Fatura</t>
  </si>
  <si>
    <t>Número</t>
  </si>
  <si>
    <t>Núm. Fatura</t>
  </si>
  <si>
    <t>Mínimo</t>
  </si>
  <si>
    <t>Ir Para</t>
  </si>
  <si>
    <t>Total/ano</t>
  </si>
  <si>
    <t>Cronograma</t>
  </si>
  <si>
    <t>Consumo de equipamentos</t>
  </si>
  <si>
    <t>Incremendo de Geração/mês</t>
  </si>
  <si>
    <t>CREA (SITE)</t>
  </si>
  <si>
    <t>Latitude</t>
  </si>
  <si>
    <t>Incremendo de Consumo (%)/mês</t>
  </si>
  <si>
    <t>Incremendo de Consumo/mês</t>
  </si>
  <si>
    <t>Longitude</t>
  </si>
  <si>
    <t>Média Corrigida</t>
  </si>
  <si>
    <t>Solicitação de Acesso Light (SITE)</t>
  </si>
  <si>
    <t>Nacionalidade</t>
  </si>
  <si>
    <t>BRASILEIRA</t>
  </si>
  <si>
    <t>Dados Climatológicos</t>
  </si>
  <si>
    <t>Distância DC:</t>
  </si>
  <si>
    <t>Distância AC:</t>
  </si>
  <si>
    <t>Lista de Material</t>
  </si>
  <si>
    <t>HSP:</t>
  </si>
  <si>
    <t>Material</t>
  </si>
  <si>
    <t>tipo</t>
  </si>
  <si>
    <t>qnt</t>
  </si>
  <si>
    <t>Vem no kit</t>
  </si>
  <si>
    <t>Falta</t>
  </si>
  <si>
    <t>FV</t>
  </si>
  <si>
    <t>Cabo DC Preto (m)</t>
  </si>
  <si>
    <t>4mm²</t>
  </si>
  <si>
    <t>Luva condulete Br</t>
  </si>
  <si>
    <t>3/4</t>
  </si>
  <si>
    <t>ALIMENTAR COM TABELA</t>
  </si>
  <si>
    <t>Cabo DC Verm. (m)</t>
  </si>
  <si>
    <t>1"</t>
  </si>
  <si>
    <t>HSP (kWh/m2.dia)</t>
  </si>
  <si>
    <t>Temp. Máx. Mensal</t>
  </si>
  <si>
    <t>Telhado</t>
  </si>
  <si>
    <t>Cerâmica/Concreto</t>
  </si>
  <si>
    <t>Par MC4</t>
  </si>
  <si>
    <t>Abraçadeira cond. Br</t>
  </si>
  <si>
    <t>Meteonorm</t>
  </si>
  <si>
    <t>Grampo Final</t>
  </si>
  <si>
    <t>Nome da Estação</t>
  </si>
  <si>
    <t>Irradiância Anual</t>
  </si>
  <si>
    <t>Grampo Interm.</t>
  </si>
  <si>
    <t>Prensa cabos Br</t>
  </si>
  <si>
    <t>1/2</t>
  </si>
  <si>
    <t>Distância da UC</t>
  </si>
  <si>
    <t>Dif (add nas perdas)</t>
  </si>
  <si>
    <t>Junção/emenda</t>
  </si>
  <si>
    <t>Terminal Tubular</t>
  </si>
  <si>
    <t>Suporte</t>
  </si>
  <si>
    <t>Terminal Tubular Duplo</t>
  </si>
  <si>
    <t>Ângulo</t>
  </si>
  <si>
    <t>Plano Horizontal</t>
  </si>
  <si>
    <t>Sujidade por telhado</t>
  </si>
  <si>
    <t>Inclinação Referência</t>
  </si>
  <si>
    <t>Perfis 2,4m</t>
  </si>
  <si>
    <t>Terminal Olhal</t>
  </si>
  <si>
    <t>10-40°</t>
  </si>
  <si>
    <t>Conector genérico</t>
  </si>
  <si>
    <t>3-10°</t>
  </si>
  <si>
    <t>Cabo PP</t>
  </si>
  <si>
    <t>SplitBolt</t>
  </si>
  <si>
    <t>10mm²</t>
  </si>
  <si>
    <t>Metálico</t>
  </si>
  <si>
    <t>0-3°</t>
  </si>
  <si>
    <t>Cabo AC Preto</t>
  </si>
  <si>
    <t>2,5mm²</t>
  </si>
  <si>
    <t>Conector WAGO</t>
  </si>
  <si>
    <t>2x6mm²</t>
  </si>
  <si>
    <t>Extra</t>
  </si>
  <si>
    <t>Adicionar 5% para inv. Deye2k e 4% Deye2,25k</t>
  </si>
  <si>
    <t>Cabo AC Verde</t>
  </si>
  <si>
    <t>5x6mm²</t>
  </si>
  <si>
    <t>6mm²</t>
  </si>
  <si>
    <t>Disjuntor BIPOLAR</t>
  </si>
  <si>
    <t>2x20A</t>
  </si>
  <si>
    <t>DPS</t>
  </si>
  <si>
    <t>Espiraflex</t>
  </si>
  <si>
    <t>Quadro disj sobrepor</t>
  </si>
  <si>
    <t>4 disj</t>
  </si>
  <si>
    <t>Sealtube (m)</t>
  </si>
  <si>
    <t>Barramento Pente Tripolar</t>
  </si>
  <si>
    <t>Condulete (vara)</t>
  </si>
  <si>
    <t>Haste aterramento</t>
  </si>
  <si>
    <t>Lat; Lon</t>
  </si>
  <si>
    <t>Condulete (m)</t>
  </si>
  <si>
    <t>Grampo aterramento</t>
  </si>
  <si>
    <t>Caixa 4x2 condulete Br</t>
  </si>
  <si>
    <t>End cap 40mm</t>
  </si>
  <si>
    <t>Tampa cega cond. Br</t>
  </si>
  <si>
    <t>Disjuntor tripolar</t>
  </si>
  <si>
    <t>3x63A</t>
  </si>
  <si>
    <t>Conector de condulete</t>
  </si>
  <si>
    <t>Cabo 1kv</t>
  </si>
  <si>
    <t>16mm</t>
  </si>
  <si>
    <t>Delta</t>
  </si>
  <si>
    <t>Joelho/cotovelo condulete Br</t>
  </si>
  <si>
    <t>Máximo</t>
  </si>
  <si>
    <t>Simulação PV*Sol</t>
  </si>
  <si>
    <t>Mês</t>
  </si>
  <si>
    <t>Potência1</t>
  </si>
  <si>
    <t>Potência2</t>
  </si>
  <si>
    <t>Potência3</t>
  </si>
  <si>
    <t>Potência4</t>
  </si>
  <si>
    <t>Potência5</t>
  </si>
  <si>
    <t>Potência6</t>
  </si>
  <si>
    <t>Potência7</t>
  </si>
  <si>
    <t>Potência8</t>
  </si>
  <si>
    <t>Potência9</t>
  </si>
  <si>
    <t>Potência10</t>
  </si>
  <si>
    <t>Potência11</t>
  </si>
  <si>
    <t>Potência12</t>
  </si>
  <si>
    <t>Potência13</t>
  </si>
  <si>
    <t>Potência14</t>
  </si>
  <si>
    <t>Potência15</t>
  </si>
  <si>
    <t>Potência16</t>
  </si>
  <si>
    <t>Potência17</t>
  </si>
  <si>
    <t>Potência18</t>
  </si>
  <si>
    <t>Potência19</t>
  </si>
  <si>
    <t>Potência20</t>
  </si>
  <si>
    <t>CTRL+V</t>
  </si>
  <si>
    <t>QNT*FABR._POT</t>
  </si>
  <si>
    <t>POTÊNCIA</t>
  </si>
  <si>
    <t>V8</t>
  </si>
  <si>
    <t>v9</t>
  </si>
  <si>
    <t>V10</t>
  </si>
  <si>
    <t>Nível da Simulação</t>
  </si>
  <si>
    <t>Ano de Referência</t>
  </si>
  <si>
    <t>Orientação</t>
  </si>
  <si>
    <t>Desvio Azimutal</t>
  </si>
  <si>
    <t>Módulo</t>
  </si>
  <si>
    <t>Geração Necessária</t>
  </si>
  <si>
    <t>Resultado</t>
  </si>
  <si>
    <t>Tamanho do sistema s/ perdas</t>
  </si>
  <si>
    <t>Tamanho do sistema c/ perdas</t>
  </si>
  <si>
    <t>Geração Anual</t>
  </si>
  <si>
    <t>*faixa ideal: 100 - 138%</t>
  </si>
  <si>
    <t>Qnt. de módulos necessários</t>
  </si>
  <si>
    <t>Incremento de consumo</t>
  </si>
  <si>
    <t>Simulação Nivel 1</t>
  </si>
  <si>
    <t>Simulação Nivel 2</t>
  </si>
  <si>
    <t>Sistema Utilizado</t>
  </si>
  <si>
    <t>% total</t>
  </si>
  <si>
    <t>TD</t>
  </si>
  <si>
    <t>Geração do sistema</t>
  </si>
  <si>
    <t>Área utilizada</t>
  </si>
  <si>
    <t>kWh extra</t>
  </si>
  <si>
    <t>Local da Instalação</t>
  </si>
  <si>
    <t>Incremento mensal</t>
  </si>
  <si>
    <t>Novo consumo</t>
  </si>
  <si>
    <t>Sombreamento</t>
  </si>
  <si>
    <t>Linha do Horizonte</t>
  </si>
  <si>
    <t>Temperatura</t>
  </si>
  <si>
    <t>Sujidade</t>
  </si>
  <si>
    <t>Cabos CC</t>
  </si>
  <si>
    <t>Cabos CA</t>
  </si>
  <si>
    <t>Oversizing/Clipping</t>
  </si>
  <si>
    <t>ANO</t>
  </si>
  <si>
    <t>Versão:</t>
  </si>
  <si>
    <t>Dificuldade da Instalação:</t>
  </si>
  <si>
    <t>Potência:</t>
  </si>
  <si>
    <t>Fator de Simultaneidade</t>
  </si>
  <si>
    <t>Tempo de instalação (Previsto):</t>
  </si>
  <si>
    <t>Ajuste do FS</t>
  </si>
  <si>
    <t>Payback (anos)</t>
  </si>
  <si>
    <t>Fatura antes:</t>
  </si>
  <si>
    <t>Fatura depois:</t>
  </si>
  <si>
    <t>Economia 10 anos</t>
  </si>
  <si>
    <t>Economia 25 anos</t>
  </si>
  <si>
    <t>Gasto em 10 anos</t>
  </si>
  <si>
    <t>Distribuidor</t>
  </si>
  <si>
    <t>Kit</t>
  </si>
  <si>
    <t>Preço</t>
  </si>
  <si>
    <t>R$/Wp</t>
  </si>
  <si>
    <t>Frete</t>
  </si>
  <si>
    <t>Preço com frete</t>
  </si>
  <si>
    <t>R$/Wp c/frete</t>
  </si>
  <si>
    <t>Prazo</t>
  </si>
  <si>
    <t>Validade</t>
  </si>
  <si>
    <t>Descrição</t>
  </si>
  <si>
    <t>FIBROCIMENTO</t>
  </si>
  <si>
    <t>BelEnergy</t>
  </si>
  <si>
    <t>Amara</t>
  </si>
  <si>
    <t>SUNGROW</t>
  </si>
  <si>
    <t>SOLIS</t>
  </si>
  <si>
    <t>Comissão:</t>
  </si>
  <si>
    <t>Outros Gastos</t>
  </si>
  <si>
    <t>Tipo de Venda:</t>
  </si>
  <si>
    <t>Informações do cliente:</t>
  </si>
  <si>
    <t>VF Alterado</t>
  </si>
  <si>
    <t>Total c/ Desconto</t>
  </si>
  <si>
    <t>Estatísticas</t>
  </si>
  <si>
    <t>Tabela Greener</t>
  </si>
  <si>
    <t>Atual</t>
  </si>
  <si>
    <t>Greener (médio)</t>
  </si>
  <si>
    <t>Multiplicador do Kit</t>
  </si>
  <si>
    <t>Trabalhar valores entre</t>
  </si>
  <si>
    <t>Input manual</t>
  </si>
  <si>
    <t>Preço Médio para Cliente Final</t>
  </si>
  <si>
    <t>Informações aleatórioas</t>
  </si>
  <si>
    <t>Concecionária</t>
  </si>
  <si>
    <t>In de disjuntores</t>
  </si>
  <si>
    <t>A ALOCAR</t>
  </si>
  <si>
    <t>GREENER</t>
  </si>
  <si>
    <t>Solo</t>
  </si>
  <si>
    <t>Tabela da aba simulação para calcula de overzise de inversor</t>
  </si>
  <si>
    <t>Dispositivo</t>
  </si>
  <si>
    <t>Fabricante</t>
  </si>
  <si>
    <t>Modelo</t>
  </si>
  <si>
    <t>Descritivo1</t>
  </si>
  <si>
    <t>Descritivo2</t>
  </si>
  <si>
    <t>Cabos</t>
  </si>
  <si>
    <t>Payback regra antiga</t>
  </si>
  <si>
    <t>Economia Regra antiga</t>
  </si>
  <si>
    <t>Níveis de simulação</t>
  </si>
  <si>
    <t>Razão Social</t>
  </si>
  <si>
    <t>Canal da solicitação</t>
  </si>
  <si>
    <t>Site Solicitação de acesso</t>
  </si>
  <si>
    <t>In</t>
  </si>
  <si>
    <t>Steck</t>
  </si>
  <si>
    <t>Seção Cabo</t>
  </si>
  <si>
    <t>Seção Eletroduto</t>
  </si>
  <si>
    <t>Cabo</t>
  </si>
  <si>
    <t>Sil</t>
  </si>
  <si>
    <t>ATOXSIL SOLAR 1,8kV</t>
  </si>
  <si>
    <t>Isolação</t>
  </si>
  <si>
    <t>Benefícios e Despesas Indiretas</t>
  </si>
  <si>
    <t>Equipe de instalação</t>
  </si>
  <si>
    <t>Nikael</t>
  </si>
  <si>
    <t>Valor antes do fechamento</t>
  </si>
  <si>
    <t>Nível 1</t>
  </si>
  <si>
    <t>Light SESA</t>
  </si>
  <si>
    <t>atendimentotecnico@light.com.br</t>
  </si>
  <si>
    <t>https://agenciavirtual1.light.com.br/formularios/EnergiaAlternativa/Index</t>
  </si>
  <si>
    <t>750v</t>
  </si>
  <si>
    <t>Desvio azimutal</t>
  </si>
  <si>
    <t>FLEXSIL PVC 750V</t>
  </si>
  <si>
    <t>Valor do kit</t>
  </si>
  <si>
    <t>Emissão de nota?</t>
  </si>
  <si>
    <t>Sim</t>
  </si>
  <si>
    <t>Economia</t>
  </si>
  <si>
    <t>Economia %</t>
  </si>
  <si>
    <t>Nível 2</t>
  </si>
  <si>
    <t>Enel Distribuição Rio</t>
  </si>
  <si>
    <t>Plataforma</t>
  </si>
  <si>
    <t>gdprojetosbtrj@enel.com</t>
  </si>
  <si>
    <t>https://www.eneldistribuicao.com.br/PortalGD/ENELRJ/Acessante/</t>
  </si>
  <si>
    <t>Oversize</t>
  </si>
  <si>
    <t>Solar Group</t>
  </si>
  <si>
    <t>Linha Thunder Telhado Cerâmico com Gancho</t>
  </si>
  <si>
    <t>Alíquota de imposto</t>
  </si>
  <si>
    <t>Ceral</t>
  </si>
  <si>
    <t>Cooperativa de Eletrificação Rural de Araruama Ltda</t>
  </si>
  <si>
    <t>atendimento@ceralararuama.com.br</t>
  </si>
  <si>
    <t>Cabo CC (Solar)</t>
  </si>
  <si>
    <t>Disjuntor</t>
  </si>
  <si>
    <t>Bipolar - SDD62C16</t>
  </si>
  <si>
    <t>Imposto real</t>
  </si>
  <si>
    <t>Lista de Beneficiários</t>
  </si>
  <si>
    <t>Fabricante:</t>
  </si>
  <si>
    <t>SIL</t>
  </si>
  <si>
    <t>Clamper</t>
  </si>
  <si>
    <t xml:space="preserve">VCL 175V 20kA Slim - Classe II </t>
  </si>
  <si>
    <t>Custos Previsíveis</t>
  </si>
  <si>
    <t xml:space="preserve">Valor de compra do kit </t>
  </si>
  <si>
    <t>UG</t>
  </si>
  <si>
    <t>Modelo:</t>
  </si>
  <si>
    <t>Estruturas de fixação</t>
  </si>
  <si>
    <t>Material AC</t>
  </si>
  <si>
    <t>*aualizar tabela AC</t>
  </si>
  <si>
    <t>UB_1</t>
  </si>
  <si>
    <t>Isolação:</t>
  </si>
  <si>
    <t>Lucro do kit</t>
  </si>
  <si>
    <t>Despesas Fixas</t>
  </si>
  <si>
    <t>Custos Mensais</t>
  </si>
  <si>
    <t>Custos Anuais</t>
  </si>
  <si>
    <t>UB_2</t>
  </si>
  <si>
    <t>1 1/4</t>
  </si>
  <si>
    <t>Seção nominal:</t>
  </si>
  <si>
    <t>não usado, custo interno</t>
  </si>
  <si>
    <t>Lucro projeto</t>
  </si>
  <si>
    <t>Holerites</t>
  </si>
  <si>
    <t>UB_3</t>
  </si>
  <si>
    <t>1 1/2</t>
  </si>
  <si>
    <t>1kv</t>
  </si>
  <si>
    <t>Eletroduto (tamanho):</t>
  </si>
  <si>
    <t>&lt; Input manual</t>
  </si>
  <si>
    <t>Lucro Instalação</t>
  </si>
  <si>
    <t>Estágiário</t>
  </si>
  <si>
    <t>Impostos</t>
  </si>
  <si>
    <t>Lucro Materia CA</t>
  </si>
  <si>
    <t>Total Atual</t>
  </si>
  <si>
    <t>2</t>
  </si>
  <si>
    <t>Linhas do item barra suspensa módulo e inversor plan simulação</t>
  </si>
  <si>
    <t>Imposto sobre o serviço</t>
  </si>
  <si>
    <t>Margem de Lucro</t>
  </si>
  <si>
    <t>Tripolar - SDJS125</t>
  </si>
  <si>
    <t>Linha do módulo (plan simulação)</t>
  </si>
  <si>
    <t>Imposto sobre o kit</t>
  </si>
  <si>
    <t>*Caso necessite usar verificar a fórmula</t>
  </si>
  <si>
    <t>Lucro de imposto</t>
  </si>
  <si>
    <t>Tripolar - SDJS140</t>
  </si>
  <si>
    <t>Linha do Inv. (plan simulação)</t>
  </si>
  <si>
    <t>Considerado apenas para fóruma, não usar esse nível de oversize</t>
  </si>
  <si>
    <t>Despesas Sobre Valor Final</t>
  </si>
  <si>
    <t>*confirmar percentual</t>
  </si>
  <si>
    <t>Lucro total</t>
  </si>
  <si>
    <t>Tripolar - SDJS150</t>
  </si>
  <si>
    <t>2 1/2</t>
  </si>
  <si>
    <t>Risco de Engenharia (Seguro)</t>
  </si>
  <si>
    <t>Desconto Excepcional</t>
  </si>
  <si>
    <t>Telefonia</t>
  </si>
  <si>
    <t>Tripolar - SDJS160</t>
  </si>
  <si>
    <t>Tabela do Fator de Simultaneidade</t>
  </si>
  <si>
    <t>Motivos perda</t>
  </si>
  <si>
    <t>Riscos Diversos (Seguro)</t>
  </si>
  <si>
    <t>Comissão</t>
  </si>
  <si>
    <t>Energia Elétrica</t>
  </si>
  <si>
    <t>Preço dos kits</t>
  </si>
  <si>
    <t>Tripolar - SDJS175</t>
  </si>
  <si>
    <t>Tensão</t>
  </si>
  <si>
    <t>Ik</t>
  </si>
  <si>
    <t>Água</t>
  </si>
  <si>
    <t>Tripolar - SDJS180</t>
  </si>
  <si>
    <t>Data da assinatura da proposta</t>
  </si>
  <si>
    <t>Custos Operacionais</t>
  </si>
  <si>
    <t>Aluguel</t>
  </si>
  <si>
    <t>Antigo</t>
  </si>
  <si>
    <t>gdprojetos@enel.com</t>
  </si>
  <si>
    <t>Tripolar - SDJS200</t>
  </si>
  <si>
    <t>Número do Medidor para ENEL</t>
  </si>
  <si>
    <t>INDUSTRIAL</t>
  </si>
  <si>
    <t>Custos totais</t>
  </si>
  <si>
    <t>Condomíno</t>
  </si>
  <si>
    <t>Valor de Entrada</t>
  </si>
  <si>
    <t>MISTO</t>
  </si>
  <si>
    <t>Margem de lucro Desejada</t>
  </si>
  <si>
    <t>Contabilidade</t>
  </si>
  <si>
    <t>OUTRO</t>
  </si>
  <si>
    <t>Valor por m²</t>
  </si>
  <si>
    <t>CRM</t>
  </si>
  <si>
    <t>NÃO PREENCHIDO</t>
  </si>
  <si>
    <t>Facebook</t>
  </si>
  <si>
    <t>Preço de Venda</t>
  </si>
  <si>
    <t>*ajuste manual para deixar o mais próximo da realidade. Estava dando erro pela diferença de não ter imposto no kit. Ao lado está a diferença dos somátorios que deveria ser 0.</t>
  </si>
  <si>
    <t>Valor por kW</t>
  </si>
  <si>
    <t>Carro</t>
  </si>
  <si>
    <t>Desconto</t>
  </si>
  <si>
    <t>Valor por W</t>
  </si>
  <si>
    <t>Treinamentos/Mentorias/Acessorias</t>
  </si>
  <si>
    <t>Preço de Venda Alterado</t>
  </si>
  <si>
    <t>VF pelo BDI</t>
  </si>
  <si>
    <t>Solar Force</t>
  </si>
  <si>
    <t>Google Meu Negócio</t>
  </si>
  <si>
    <t>Preço Final Considerado</t>
  </si>
  <si>
    <t>R$/W - Cactos (médio)</t>
  </si>
  <si>
    <t>VF Greener % acima proporcional</t>
  </si>
  <si>
    <t>Club GI</t>
  </si>
  <si>
    <t>Lucro Real</t>
  </si>
  <si>
    <t>R$/W - Greener</t>
  </si>
  <si>
    <t>Treinamentos em vendas</t>
  </si>
  <si>
    <t>R$/W - Greener (proporcional)</t>
  </si>
  <si>
    <t>Gestor</t>
  </si>
  <si>
    <t>BDI Custos</t>
  </si>
  <si>
    <t>VF Greener</t>
  </si>
  <si>
    <t>BDI Kit</t>
  </si>
  <si>
    <t>VF Greener (Proporcional)</t>
  </si>
  <si>
    <t>Preço de integração</t>
  </si>
  <si>
    <t>Estruturas</t>
  </si>
  <si>
    <t>Greener k*kit</t>
  </si>
  <si>
    <t>Espectativa de faturamento</t>
  </si>
  <si>
    <t>Greener k*kit(proporcional)</t>
  </si>
  <si>
    <t>Percentual da despesas fixas</t>
  </si>
  <si>
    <t>Cerâmica/Romana</t>
  </si>
  <si>
    <t>Linha Telhado Cerâmico com Gancho</t>
  </si>
  <si>
    <t>Valor c/ imposto sobre o kit também</t>
  </si>
  <si>
    <t>Linha Telhado Fibrocimento com Prisioneiro</t>
  </si>
  <si>
    <t>Email solicitação de vistoria:</t>
  </si>
  <si>
    <t>Prazo de entrega</t>
  </si>
  <si>
    <t>Pagamento</t>
  </si>
  <si>
    <t>Linha Telhado Metálico</t>
  </si>
  <si>
    <t>Laje</t>
  </si>
  <si>
    <t>Linha Estrutura de Laje</t>
  </si>
  <si>
    <t>Combinado</t>
  </si>
  <si>
    <t>Venho por meio deste, solicitar vistoria do Sistema Fotovoltaico Conectado à Rede e posterior troca de medidor (bidirecional).</t>
  </si>
  <si>
    <t>Fabricantes</t>
  </si>
  <si>
    <t>Romagnole</t>
  </si>
  <si>
    <t>2P</t>
  </si>
  <si>
    <t>V12.5 - Ajuste endereço fatura, ajuste formulário preenchimento Enel. Link direto para solicitação Enel/Light. Ajuste macro informações pendências e comentários. Ajuste formulario preenchimento site. CRESESB às pendências.</t>
  </si>
  <si>
    <t>Relação PreçoFinal/PreçoKit</t>
  </si>
  <si>
    <t>V12.5.2 - Ajuste nas cortesias (proposta comercial), limpeza cor de fundo células acervo solicitação de acesso, adequação do preenchimento das estruturas na simulação, formulário automático para microgeração &gt;10kWp e preenchimento de trifásico automático. Ajuste para novo memorial descritivo.</t>
  </si>
  <si>
    <t>V12.5.3 - ICMS 18%, link para site crea, google earths e maps.</t>
  </si>
  <si>
    <t>Kit Fotovoltaico</t>
  </si>
  <si>
    <t>Calculo de estruturas</t>
  </si>
  <si>
    <t>V12.5.4 - Adicionado resumo de informações iniciais e editado lista material CA. Adicionado comparativo CRESESB com Meteonorm</t>
  </si>
  <si>
    <t>Largura (mm)</t>
  </si>
  <si>
    <t>Quantidade de módulos</t>
  </si>
  <si>
    <t>Tamanho de perfil (mm)</t>
  </si>
  <si>
    <t>C/folga</t>
  </si>
  <si>
    <t>Sobra</t>
  </si>
  <si>
    <t>V12.5.5 - Ajuste percentuais financiamento. Botão solicitação de acesso light</t>
  </si>
  <si>
    <t>Grampo Terminal</t>
  </si>
  <si>
    <t>Juntos (por linha)</t>
  </si>
  <si>
    <t>1/2 fila</t>
  </si>
  <si>
    <t>Terminal</t>
  </si>
  <si>
    <t>V12.5.6 - Ajuste VBA OBS VT, e valor riscado da simulação 3D na proposta.</t>
  </si>
  <si>
    <t xml:space="preserve">     Sistema de Monitoramento Remoto</t>
  </si>
  <si>
    <t>Grampo intermediário</t>
  </si>
  <si>
    <t>Linhas</t>
  </si>
  <si>
    <t>1 fila</t>
  </si>
  <si>
    <t>Intermediário</t>
  </si>
  <si>
    <t>V12.5.7 - Ajuste tabela comparativa automática e valor da simulação 3d cortado</t>
  </si>
  <si>
    <t xml:space="preserve">     StringBox (caso seja necessário)</t>
  </si>
  <si>
    <t>Largura do módulo</t>
  </si>
  <si>
    <t>total de perfil</t>
  </si>
  <si>
    <t>Fixação</t>
  </si>
  <si>
    <t>V12.5.8 - Adição de equipe própria aos diferenciais da proposta, comissão inserido em orçamento. Ajuste na tabela de in disjuntores e seções eletrodutos, orçamentos de CA com atualização de valores.</t>
  </si>
  <si>
    <t xml:space="preserve">     Cabos CC - Solar 4,0mm²  - Preto</t>
  </si>
  <si>
    <t>Distância máx. entre fixações</t>
  </si>
  <si>
    <t>V12.5.9 - Atualização de layout simples, correção email light e assunto da solicitação de acesso. Adição na aba resumo das informações para NFs.</t>
  </si>
  <si>
    <t xml:space="preserve">     Cabos CC - Solar 4,0mm²  - Vermelho</t>
  </si>
  <si>
    <t>Distância de borda</t>
  </si>
  <si>
    <t>V12.5.10 - Correção Latitude/longitude migração autocad.</t>
  </si>
  <si>
    <t xml:space="preserve">     Kit de Perfis, emendas, ganchos e parafuso estrutural</t>
  </si>
  <si>
    <t>v14</t>
  </si>
  <si>
    <t>Fusão das plans dimensionamento e prospecto</t>
  </si>
  <si>
    <t xml:space="preserve">     Kit de Conectores</t>
  </si>
  <si>
    <t>Perfil de (m)</t>
  </si>
  <si>
    <t>V15</t>
  </si>
  <si>
    <t>Ajustes para vendendor. Layout macros etc. Repaginação completa do arquivo</t>
  </si>
  <si>
    <t>Kit Componentes AC</t>
  </si>
  <si>
    <t>Quantidade de varas (simples)</t>
  </si>
  <si>
    <t>V15.3</t>
  </si>
  <si>
    <t>Criação do novo modelo de proposta</t>
  </si>
  <si>
    <t xml:space="preserve">    Protetor surto DPS CA</t>
  </si>
  <si>
    <t>Quantidade de kits (varas duplas)</t>
  </si>
  <si>
    <t>V15.4</t>
  </si>
  <si>
    <t>Ajuste de macros para categoria de login (admin, projetista, vendedor)</t>
  </si>
  <si>
    <t>Emendas (pares)</t>
  </si>
  <si>
    <t>V15.5</t>
  </si>
  <si>
    <t>Ajuste fórmulas BDI, tabelas de preços por equipe de instalação e orçamento</t>
  </si>
  <si>
    <t>Percentual de folga</t>
  </si>
  <si>
    <t>V15.6</t>
  </si>
  <si>
    <t>Alimentação da Tabela prospectos por Query e alimentação automática do clickup (miro)</t>
  </si>
  <si>
    <t xml:space="preserve">    Kit acessórios AC (eletrodutos, terminais, caixas, etc)</t>
  </si>
  <si>
    <t>Ajuste Proposta (iniciar pelo porquê), acertar ajuste target orçamento vendedor</t>
  </si>
  <si>
    <t>Kit Aterramento</t>
  </si>
  <si>
    <t>Solar Group Linha Smart - Distância máxima dos fixadores</t>
  </si>
  <si>
    <t>Custo material AC e outros</t>
  </si>
  <si>
    <t>Tamanho dos módulos em posição retrato</t>
  </si>
  <si>
    <t>Qnt</t>
  </si>
  <si>
    <t>Valor Distribuidor</t>
  </si>
  <si>
    <t>Valor Unitário</t>
  </si>
  <si>
    <t>Valor Total</t>
  </si>
  <si>
    <t>VT Distribuidor</t>
  </si>
  <si>
    <t>&lt;= 1,00x2,00m</t>
  </si>
  <si>
    <t>&lt;= 1,10x2,20m</t>
  </si>
  <si>
    <t>&lt;= 1,20x2,30m</t>
  </si>
  <si>
    <t>Região II (RJ)</t>
  </si>
  <si>
    <t>Cabo 4mm² - PVC 750V</t>
  </si>
  <si>
    <t>Cabo 6mm² - PVC 750V</t>
  </si>
  <si>
    <t>Distância de borda do telhado recomendada 0,50m</t>
  </si>
  <si>
    <t>Prospectos v3=dimensionamento v10.1</t>
  </si>
  <si>
    <t>Cabo 10mm² - PVC 750V</t>
  </si>
  <si>
    <t>Distância entre o suporte e a extremidade do perfil recomendada 0,50m</t>
  </si>
  <si>
    <t>Prospectos v4=calculo isento de ICMS (enel) (financeiro)</t>
  </si>
  <si>
    <t>Cabo 16mm² - 1kV</t>
  </si>
  <si>
    <t>Prospectos v5=geração de pré-proposta automatica (cópia excel e pdf)</t>
  </si>
  <si>
    <t>Cabo 25mm² - 1kV</t>
  </si>
  <si>
    <t>Qnt mód</t>
  </si>
  <si>
    <t>Prospectos v6=Coluna de clientes convertidos, e orçamento comparativo com 1,67*kit (Solarthron)</t>
  </si>
  <si>
    <t>Cabo 35mm² - 1kV</t>
  </si>
  <si>
    <t>Larg. Mód</t>
  </si>
  <si>
    <t>Tamanho do perfil</t>
  </si>
  <si>
    <t>Prospectos v7= Criação de base por bairro; calculo automatico do disjuntor e quantidade de cabos/seção; valor automático do projeto</t>
  </si>
  <si>
    <t>Cabo 50mm² - 1kV</t>
  </si>
  <si>
    <t>Prospectos v8= Criação da tabela de preço por potência e outros ajustes;</t>
  </si>
  <si>
    <t>Cabo 70mm² - 1kV</t>
  </si>
  <si>
    <t>Prospectos v9b= Ajuste combrança nova Lei 14.300 sem duplicidade de CDD</t>
  </si>
  <si>
    <t>Cabo &gt;70mm²</t>
  </si>
  <si>
    <t>Prospectos v10= Criação de autocnsumo remoto para envio de energia para outras Ucs. Ajustes e padronização da aba orçamento com mesmo visual do excel de proposta final. Ajuste dos diferenciais com equipe p´ropria. Tabela de in disjuntores e calculo material CA. Ajuste da corrente de projeto na aba resumo.</t>
  </si>
  <si>
    <t>Disjuntor CA 2p 16A até 2p 40A</t>
  </si>
  <si>
    <t>Prospectos v11= Ajuste para lei 14.300 e outros...</t>
  </si>
  <si>
    <t>Disjuntor CA 3p 50A</t>
  </si>
  <si>
    <t>Prospectos v11.1= Novo ajuste alteração ANEEL (menor valor entre fio b de CDD)</t>
  </si>
  <si>
    <t>Disjuntor CA 3p 63A</t>
  </si>
  <si>
    <t>Disjuntor CA 3p 70A</t>
  </si>
  <si>
    <t>Disjuntor CA 3p 80A</t>
  </si>
  <si>
    <t>Disjuntor CA 3p 100A</t>
  </si>
  <si>
    <t>Disjuntor CA 3p 150A</t>
  </si>
  <si>
    <t>Disjuntor CA 3p &gt;=200A</t>
  </si>
  <si>
    <t>Condulete 3/4</t>
  </si>
  <si>
    <t>Condulete 1"</t>
  </si>
  <si>
    <t>Acessórios condulete</t>
  </si>
  <si>
    <t>Sealtube s/ alma 3/4</t>
  </si>
  <si>
    <t>Sealtube s/ alma 1"</t>
  </si>
  <si>
    <t>Sealtube s/ alma 1 1/2"</t>
  </si>
  <si>
    <t>Eletroduto 2"</t>
  </si>
  <si>
    <t>Eletroduto 3"</t>
  </si>
  <si>
    <t>Terminal Olhal 4-6mm</t>
  </si>
  <si>
    <t>Quadro CA 12disj</t>
  </si>
  <si>
    <t>Kit Aterramento/haste (ramal 16mm²)</t>
  </si>
  <si>
    <t>Kit Aterramento/haste (ramal 25mm²)</t>
  </si>
  <si>
    <t>Placa de sinalização Solar</t>
  </si>
  <si>
    <t>Tabela Instalação</t>
  </si>
  <si>
    <t>Equipe</t>
  </si>
  <si>
    <t>Preço final</t>
  </si>
  <si>
    <t>Ramos</t>
  </si>
  <si>
    <t>Vicente</t>
  </si>
  <si>
    <t>Até</t>
  </si>
  <si>
    <t>Valor considerado</t>
  </si>
  <si>
    <t>Tabela Nikael - R$/módulo</t>
  </si>
  <si>
    <t>Preço por módulo</t>
  </si>
  <si>
    <t>Bônus</t>
  </si>
  <si>
    <t>Válido ao completar o Checklist</t>
  </si>
  <si>
    <t>Tabela Ramos - R$/kWp</t>
  </si>
  <si>
    <t>Preço por kWp</t>
  </si>
  <si>
    <t>Tabela Vicente - R$/kWp</t>
  </si>
  <si>
    <t>Quem?</t>
  </si>
  <si>
    <t>Referência</t>
  </si>
  <si>
    <t>Silvio Liberti - KWE Solar</t>
  </si>
  <si>
    <t>Complexidade pequena/sistema pequeno</t>
  </si>
  <si>
    <t>Complexidade maior/mais recursor (drone, termografia etc)</t>
  </si>
  <si>
    <t>(R$/kWp)</t>
  </si>
  <si>
    <t>Margem de lucro</t>
  </si>
  <si>
    <t>Percentual somando todos os custos (equipamento+instalação+Projeto+etc) Sistemas menores</t>
  </si>
  <si>
    <t>Sistemas maiores</t>
  </si>
  <si>
    <t>Sistema</t>
  </si>
  <si>
    <t>Renato - ART Solar</t>
  </si>
  <si>
    <t>Sistema pequeno completo (R$/Wp)</t>
  </si>
  <si>
    <t>Sistema maior completo (R$/Wp)</t>
  </si>
  <si>
    <t>A partir de 10 módulos (R$/módulo)</t>
  </si>
  <si>
    <t>Até 10 módulos (R$/módulo)</t>
  </si>
  <si>
    <t>Contrata Sol</t>
  </si>
  <si>
    <t>Até 4kWp (R$/Wp)</t>
  </si>
  <si>
    <t>Até 8kWp (R$/Wp)</t>
  </si>
  <si>
    <t>A partir de 8kWp (R$/Wp)</t>
  </si>
  <si>
    <t>Academia do Sol (Grupo)</t>
  </si>
  <si>
    <t>Moderadores: R$/módulo</t>
  </si>
  <si>
    <t>Pessoa 2: Sistemas pequenos (R$/kWp)</t>
  </si>
  <si>
    <t>Pessoa 2: Sistemas maiores (R$/kWp)</t>
  </si>
  <si>
    <t>CA (R$/kWp)</t>
  </si>
  <si>
    <t>Pessoa 1: Até 10kWp</t>
  </si>
  <si>
    <t>Pessoa 2: Até 5kWp</t>
  </si>
  <si>
    <t>Pessoa 2: Até 10kWp</t>
  </si>
  <si>
    <t>Pessoa 2: Até 75kWp</t>
  </si>
  <si>
    <t>Vicente (BlueSol - Nilton)</t>
  </si>
  <si>
    <t>Até 3kWp (R$/kWp)</t>
  </si>
  <si>
    <t>Até 5kWp (R$/kWp)</t>
  </si>
  <si>
    <t>Até 7kWp (R$/kWp)</t>
  </si>
  <si>
    <t>Até 10kWp (R$/kWp)</t>
  </si>
  <si>
    <t>Até 13kWp (R$/kWp)</t>
  </si>
  <si>
    <t>A partir de 13kWp (R$/kWp)</t>
  </si>
  <si>
    <t>Engehall</t>
  </si>
  <si>
    <t>Pieta.tech</t>
  </si>
  <si>
    <t>Até 20kWp (R$/kWp)</t>
  </si>
  <si>
    <t>Até 30kWp (R$/kWp)</t>
  </si>
  <si>
    <t>Até 40kWp (R$/kWp)</t>
  </si>
  <si>
    <t>Até 50kWp (R$/kWp)</t>
  </si>
  <si>
    <t>Até 60kWp (R$/kWp)</t>
  </si>
  <si>
    <t xml:space="preserve">Custo por km: </t>
  </si>
  <si>
    <t>Gasolina:</t>
  </si>
  <si>
    <t>Gastos fixos:</t>
  </si>
  <si>
    <t>Informações:</t>
  </si>
  <si>
    <t>Consumo(km/l)</t>
  </si>
  <si>
    <t>Litro da gasolina</t>
  </si>
  <si>
    <t>Média de km rodado:</t>
  </si>
  <si>
    <t>Gasto fixos/ano:</t>
  </si>
  <si>
    <t>Seguro:</t>
  </si>
  <si>
    <t>Depreciação:</t>
  </si>
  <si>
    <t>IPVA:</t>
  </si>
  <si>
    <t>Manutenção:</t>
  </si>
  <si>
    <t>Limpeza/ano (1/mês - 12 limpezas):</t>
  </si>
  <si>
    <t>Distâncias:</t>
  </si>
  <si>
    <t>Recreio, meier, tijuca</t>
  </si>
  <si>
    <t>15-20km</t>
  </si>
  <si>
    <t>Barra, freguesia, taquara</t>
  </si>
  <si>
    <t>0-15km</t>
  </si>
  <si>
    <t>São João de Meriti, Nova Iguaçú, Belford Roxo</t>
  </si>
  <si>
    <t>50km</t>
  </si>
  <si>
    <t>Realengo, bangu, guadalupe, Iraja, pavuna, achieta</t>
  </si>
  <si>
    <t>30km</t>
  </si>
  <si>
    <t>Responsabilidade Técnica</t>
  </si>
  <si>
    <t>Resposável:</t>
  </si>
  <si>
    <t>Vinícius Carlos de Lima Teixeira</t>
  </si>
  <si>
    <t>Atualizar essas informações</t>
  </si>
  <si>
    <t>CREA:</t>
  </si>
  <si>
    <t>Distância CA</t>
  </si>
  <si>
    <t>Telefone:</t>
  </si>
  <si>
    <t>Distância CC</t>
  </si>
  <si>
    <t>Email:</t>
  </si>
  <si>
    <t>contato@cactossolucoesemenergia.com.br</t>
  </si>
  <si>
    <t>ART:</t>
  </si>
  <si>
    <t>Tipo de Ramal:</t>
  </si>
  <si>
    <t>Localização:</t>
  </si>
  <si>
    <t>n° de fases:</t>
  </si>
  <si>
    <t>In do disjuntor:</t>
  </si>
  <si>
    <t>Seção do alimentador:</t>
  </si>
  <si>
    <t>Itens para solicitação de Acesso Light &lt;10kWp</t>
  </si>
  <si>
    <t>00a - Documento Cliente</t>
  </si>
  <si>
    <t>Solicitar</t>
  </si>
  <si>
    <t>00b - CNH responsável técnico</t>
  </si>
  <si>
    <t>00c - Procuração Pessoa Física Light</t>
  </si>
  <si>
    <t>01 - Formulario_Microgeracao_Distribuida_ate10kw</t>
  </si>
  <si>
    <t>Preencher</t>
  </si>
  <si>
    <t>02 - 1via contratado art</t>
  </si>
  <si>
    <t>03 - Diagrama Unifilar</t>
  </si>
  <si>
    <t>04 - Memorial Descritivo - Cactos - Preenchido</t>
  </si>
  <si>
    <t>05 - Formulario_MicroMinigeracao_RGC</t>
  </si>
  <si>
    <t>06 - Certificado de conformidade Inmetro</t>
  </si>
  <si>
    <t>Site do Inmetro</t>
  </si>
  <si>
    <t>Livre de ICMS</t>
  </si>
  <si>
    <t>Não</t>
  </si>
  <si>
    <t>Gráfico Geração x Consumo (Aba simulação)</t>
  </si>
  <si>
    <t>Soma de FDG sem temp.</t>
  </si>
  <si>
    <t>Calculo de perdas para pré simulação da geração</t>
  </si>
  <si>
    <t>Ano de Referência:</t>
  </si>
  <si>
    <t>FDG/mês</t>
  </si>
  <si>
    <t>Dias no mês</t>
  </si>
  <si>
    <t>Geração N1</t>
  </si>
  <si>
    <t>Geração N2</t>
  </si>
  <si>
    <t>Consumo Previsto</t>
  </si>
  <si>
    <t>Geração total</t>
  </si>
  <si>
    <t>Geração</t>
  </si>
  <si>
    <t>Crédito consumido</t>
  </si>
  <si>
    <t>Crédito gerado</t>
  </si>
  <si>
    <t>Crédito Gerado</t>
  </si>
  <si>
    <t>Créditos totais</t>
  </si>
  <si>
    <t>Delta mensal</t>
  </si>
  <si>
    <t>Custo do sistema</t>
  </si>
  <si>
    <t>=SE(W5&gt;0;W5;0)+U5</t>
  </si>
  <si>
    <t>Custo de Disponibilidade (kWh)</t>
  </si>
  <si>
    <t>Inflação anual considerada</t>
  </si>
  <si>
    <t>Taxa de Desconto</t>
  </si>
  <si>
    <t>Depreciação do sistema FV/ano</t>
  </si>
  <si>
    <t>Custo de O&amp;M/ano</t>
  </si>
  <si>
    <t>% sugerido</t>
  </si>
  <si>
    <t>Incremento de consumo (%)</t>
  </si>
  <si>
    <t>Formula antiga guardada =($H$35*0,99)/$C$35-1</t>
  </si>
  <si>
    <t>Incremento de consumo (kWh)</t>
  </si>
  <si>
    <t>Novo</t>
  </si>
  <si>
    <t>Histórico de Faturamento Atual</t>
  </si>
  <si>
    <t>Ajuste autoconsumo para menor entre FS consumo e geração</t>
  </si>
  <si>
    <t>Ajuste créditos liminado ao cdd</t>
  </si>
  <si>
    <t>Ajuste: Injeção passa a ficar limitada ao CDD</t>
  </si>
  <si>
    <t>kWh</t>
  </si>
  <si>
    <t>C/ imp + CIP</t>
  </si>
  <si>
    <t>Valor atual</t>
  </si>
  <si>
    <t>Histórico de Faturamento</t>
  </si>
  <si>
    <t>Tarifa S/ imp.</t>
  </si>
  <si>
    <t>c/ imp</t>
  </si>
  <si>
    <t>COSIP</t>
  </si>
  <si>
    <t>Geração kWh</t>
  </si>
  <si>
    <t>AutoConsumo</t>
  </si>
  <si>
    <t>Consumido da rede</t>
  </si>
  <si>
    <t>Injetado na rede</t>
  </si>
  <si>
    <t>Créditos</t>
  </si>
  <si>
    <t>Inj.+Crédito</t>
  </si>
  <si>
    <t>Tarifa FV s/ imp.</t>
  </si>
  <si>
    <t>Tarifa FV Final</t>
  </si>
  <si>
    <t>Ano 2</t>
  </si>
  <si>
    <t>Média mensal</t>
  </si>
  <si>
    <t>Consumo Anual</t>
  </si>
  <si>
    <t>Obs</t>
  </si>
  <si>
    <t>Necessita terminar os ajustes. Copiado daqui para baixo da planilha prospectos v11</t>
  </si>
  <si>
    <t>Ano</t>
  </si>
  <si>
    <t>Tarifa Final</t>
  </si>
  <si>
    <t>Energia Fornecida</t>
  </si>
  <si>
    <t>Tarifa c/ D.A.</t>
  </si>
  <si>
    <t>Crédito 14.300</t>
  </si>
  <si>
    <t>Energia Fornecida 14.300</t>
  </si>
  <si>
    <t>Custo FioB</t>
  </si>
  <si>
    <t>Tarifa 14.300</t>
  </si>
  <si>
    <t>Tarifa c/ FV</t>
  </si>
  <si>
    <t>Fluxo de Caixa</t>
  </si>
  <si>
    <t>Valores para o ano 2!</t>
  </si>
  <si>
    <t>COMPARATIVO COM DIREITO ADQUIRIDO (REGRA ANTIGA)</t>
  </si>
  <si>
    <t>Consumo (kWh/Ano)</t>
  </si>
  <si>
    <t>Tarifa sem FV¹/Ano</t>
  </si>
  <si>
    <t>Geração FV¹ (kWh/Ano)</t>
  </si>
  <si>
    <t>AutoConsumo (kWh/Ano)</t>
  </si>
  <si>
    <t>Consumo da Rede (kWh/Ano)</t>
  </si>
  <si>
    <t xml:space="preserve">Injeção na Rede (kWh/Ano) </t>
  </si>
  <si>
    <t>Tarifa com FV/Ano</t>
  </si>
  <si>
    <t>Economia Acumulada</t>
  </si>
  <si>
    <t>VP Fluxo de Caixa</t>
  </si>
  <si>
    <t>VP Acumulado</t>
  </si>
  <si>
    <t>Economia Negativa</t>
  </si>
  <si>
    <t>Economia com o Sistema</t>
  </si>
  <si>
    <t>CDI</t>
  </si>
  <si>
    <t>Poupança</t>
  </si>
  <si>
    <t>Taxa de Juros</t>
  </si>
  <si>
    <t>Fatura anual sem o sistema</t>
  </si>
  <si>
    <t>Geração (kWh/Ano)</t>
  </si>
  <si>
    <t>Fatura anual com o sistema</t>
  </si>
  <si>
    <r>
      <t xml:space="preserve">Fatura Média Mensal </t>
    </r>
    <r>
      <rPr>
        <b/>
        <sz val="11"/>
        <color theme="1"/>
        <rFont val="Calibri"/>
        <family val="2"/>
        <scheme val="minor"/>
      </rPr>
      <t>sem</t>
    </r>
    <r>
      <rPr>
        <sz val="11"/>
        <color theme="1"/>
        <rFont val="Calibri"/>
        <family val="2"/>
        <scheme val="minor"/>
      </rPr>
      <t xml:space="preserve"> geração</t>
    </r>
  </si>
  <si>
    <r>
      <t xml:space="preserve">Fatura Média Mensal </t>
    </r>
    <r>
      <rPr>
        <b/>
        <sz val="11"/>
        <color theme="1"/>
        <rFont val="Calibri"/>
        <family val="2"/>
        <scheme val="minor"/>
      </rPr>
      <t>com</t>
    </r>
    <r>
      <rPr>
        <sz val="11"/>
        <color theme="1"/>
        <rFont val="Calibri"/>
        <family val="2"/>
        <scheme val="minor"/>
      </rPr>
      <t xml:space="preserve"> geração</t>
    </r>
  </si>
  <si>
    <t>Economia média mensal</t>
  </si>
  <si>
    <t>Economia Percentual</t>
  </si>
  <si>
    <t>VPL</t>
  </si>
  <si>
    <t xml:space="preserve"> </t>
  </si>
  <si>
    <t>TIR</t>
  </si>
  <si>
    <t>*Valores para o segundo ano, economia aumenta para os outros anos, pela proteção inflacionária que o sistema gera.</t>
  </si>
  <si>
    <t>Taxa de Lucratividade</t>
  </si>
  <si>
    <t>Anos</t>
  </si>
  <si>
    <t>Meses</t>
  </si>
  <si>
    <t>Dias</t>
  </si>
  <si>
    <t>Payback</t>
  </si>
  <si>
    <t>Payback Descontado</t>
  </si>
  <si>
    <t>Comparativo</t>
  </si>
  <si>
    <t xml:space="preserve">Aumento médio da Tarifa com FV ao ano, de 8% até ano 10, contanto 7% de inflação mais 1% que depreciação do sistema </t>
  </si>
  <si>
    <t>Aumento médio de 1% de  da Tarifa com FV ao ano, de depreciação do sistema</t>
  </si>
  <si>
    <t>Fluxo de caixa é a entrada e saída de caixa, ou seja, o balanço financeiro</t>
  </si>
  <si>
    <t>Projetar o FC futuro de acordo com a geração do sistema e gastos de fatura, O&amp;M etc</t>
  </si>
  <si>
    <t>Descontar o valor de FC futuro, da taxa de juros ou taxa de desconto ou TMA (Taxa Mínima de Atratividade)</t>
  </si>
  <si>
    <t>VPL: Trazer todo o fluxo de caixa de uma vez só ao valor presente</t>
  </si>
  <si>
    <t>Se o VPL for positivo, o projeto é lucrativo, se for 0 (nulo) é neutro, indiferente e se for negativo não é viável</t>
  </si>
  <si>
    <t>Taxa Interna de Retorno (TIR): calcula a taxa do fluxo de caixa. É interna pq não depende de nenhuma informa a mais (externa) para se obter o valor</t>
  </si>
  <si>
    <t>Se a tir for maior que a taxa (de juros, de desconto ou TMA), o projeto é lucrativo. Coparar com outros investimentos como poupança, CDI, ou a taxa mínima desejada</t>
  </si>
  <si>
    <t>Geração em 25 anos</t>
  </si>
  <si>
    <t>Troca de inversor em VPL</t>
  </si>
  <si>
    <t>30% do CAPEX</t>
  </si>
  <si>
    <t>Valores estimados</t>
  </si>
  <si>
    <t>Operação e manutenção em VPL</t>
  </si>
  <si>
    <t>25% do CAPEX</t>
  </si>
  <si>
    <t>LCOE</t>
  </si>
  <si>
    <t>Descontado o imposto</t>
  </si>
  <si>
    <t>Adicional BV</t>
  </si>
  <si>
    <t>Valor a vista</t>
  </si>
  <si>
    <t>Lista de Financeiras</t>
  </si>
  <si>
    <t>Valor da parcela</t>
  </si>
  <si>
    <t>BV</t>
  </si>
  <si>
    <t>Valor Parcelado</t>
  </si>
  <si>
    <t>SolFácil</t>
  </si>
  <si>
    <t>n° de meses</t>
  </si>
  <si>
    <t>Carência</t>
  </si>
  <si>
    <t>Taxa de juros</t>
  </si>
  <si>
    <t>Financeira</t>
  </si>
  <si>
    <t>*atualizado em 24/05/2024</t>
  </si>
  <si>
    <t>Vazio</t>
  </si>
  <si>
    <t>Tarifa base B1</t>
  </si>
  <si>
    <t>TUSD</t>
  </si>
  <si>
    <t>TE</t>
  </si>
  <si>
    <t>FioB</t>
  </si>
  <si>
    <t>%FioB</t>
  </si>
  <si>
    <t>PIS</t>
  </si>
  <si>
    <t>COFINS</t>
  </si>
  <si>
    <t>Concessionária selecionada</t>
  </si>
  <si>
    <t>N° da linha</t>
  </si>
  <si>
    <t>ICMS (estadual RJ)</t>
  </si>
  <si>
    <t>até 50kWh</t>
  </si>
  <si>
    <t>até 299kWh</t>
  </si>
  <si>
    <t>até 450kWh</t>
  </si>
  <si>
    <t>&gt; 450kWh</t>
  </si>
  <si>
    <t>até 80kWh</t>
  </si>
  <si>
    <t>até 100kWh</t>
  </si>
  <si>
    <t>até 140kWh</t>
  </si>
  <si>
    <t>até 200kWh</t>
  </si>
  <si>
    <t>até 300kWh</t>
  </si>
  <si>
    <t>até 400kWh</t>
  </si>
  <si>
    <t>até 500kWh</t>
  </si>
  <si>
    <t>até 600kWh</t>
  </si>
  <si>
    <t>até 700kWh</t>
  </si>
  <si>
    <t>até 800kWh</t>
  </si>
  <si>
    <t>até 900kWh</t>
  </si>
  <si>
    <t>até 1000kWh</t>
  </si>
  <si>
    <t>até 2000kWh</t>
  </si>
  <si>
    <t>até 3000kWh</t>
  </si>
  <si>
    <t>até 4000kWh</t>
  </si>
  <si>
    <t>até 5000kWh</t>
  </si>
  <si>
    <t>até 6000kWh</t>
  </si>
  <si>
    <t>até 7000kWh</t>
  </si>
  <si>
    <t>até 8000kWh</t>
  </si>
  <si>
    <t>até 9000kWh</t>
  </si>
  <si>
    <t>até 10000kWh</t>
  </si>
  <si>
    <t>até 15000kWh</t>
  </si>
  <si>
    <t>até 20000kWh</t>
  </si>
  <si>
    <t>até 25000kWh</t>
  </si>
  <si>
    <t>até 30000kWh</t>
  </si>
  <si>
    <t>até 35000kWh</t>
  </si>
  <si>
    <t>até 40000kWh</t>
  </si>
  <si>
    <t>até 45000kWh</t>
  </si>
  <si>
    <t>até 50000kWh</t>
  </si>
  <si>
    <t>até 75000kWh</t>
  </si>
  <si>
    <t>até 100000kWh</t>
  </si>
  <si>
    <t>até 200000kWh</t>
  </si>
  <si>
    <t>&gt; 200000kWh</t>
  </si>
  <si>
    <t>LIGHT</t>
  </si>
  <si>
    <t>Link para composição tarifária das concessionárias</t>
  </si>
  <si>
    <t>https://www2.aneel.gov.br/aplicacoes_liferay/tarifa/</t>
  </si>
  <si>
    <t>Regra de Transição</t>
  </si>
  <si>
    <t>Ano referência</t>
  </si>
  <si>
    <t>Percentual</t>
  </si>
  <si>
    <t>Visita Técnica</t>
  </si>
  <si>
    <t>Cliente:</t>
  </si>
  <si>
    <t>Endereço:</t>
  </si>
  <si>
    <t>Data/hora:</t>
  </si>
  <si>
    <t>Telhado:</t>
  </si>
  <si>
    <t>Foto do telhado, pontos de sombrea/infiltração e SunSurveyor</t>
  </si>
  <si>
    <t>Qnts Andares:</t>
  </si>
  <si>
    <t>Altura:</t>
  </si>
  <si>
    <t>Tipo de Telha</t>
  </si>
  <si>
    <t>Foto do local de acesso ao telhado</t>
  </si>
  <si>
    <t>Orientação:</t>
  </si>
  <si>
    <t>Inclinação:</t>
  </si>
  <si>
    <t>Possui Sombreamento/obstáculo?</t>
  </si>
  <si>
    <t>Estado do telhado</t>
  </si>
  <si>
    <t>Idade do telhado</t>
  </si>
  <si>
    <t>Qnt telha reserva?</t>
  </si>
  <si>
    <t>Informações Extras do telhado:</t>
  </si>
  <si>
    <t>Madeiramento:</t>
  </si>
  <si>
    <t>Tipo de mateiral:</t>
  </si>
  <si>
    <t>Estado da estrutura:</t>
  </si>
  <si>
    <t>Distância entre:</t>
  </si>
  <si>
    <t>Ripas:</t>
  </si>
  <si>
    <t>Caibros:</t>
  </si>
  <si>
    <t>Terças:</t>
  </si>
  <si>
    <t>Tesoura:</t>
  </si>
  <si>
    <t>Informações Extras do madeiramento:</t>
  </si>
  <si>
    <t>*Foto do Local!</t>
  </si>
  <si>
    <t>Tipologia:</t>
  </si>
  <si>
    <t>Detalhes do local:</t>
  </si>
  <si>
    <t>Elétrica:</t>
  </si>
  <si>
    <t>Fotos dos QDCs existentes, pontos de conexão, fiação</t>
  </si>
  <si>
    <t>Eletroduto pode ser aparente?</t>
  </si>
  <si>
    <t>Diagonal</t>
  </si>
  <si>
    <t>Estado da fiação:</t>
  </si>
  <si>
    <t>Altura</t>
  </si>
  <si>
    <t>Qnt Slots Livres:</t>
  </si>
  <si>
    <t>Comp.</t>
  </si>
  <si>
    <t>Seção Cabo alimentador(Seção/DE):</t>
  </si>
  <si>
    <t>Possui DR? (foto)</t>
  </si>
  <si>
    <t>Possui DPS em todas as fases?</t>
  </si>
  <si>
    <t>Informações extras da elétrica/inversor:</t>
  </si>
  <si>
    <t>DC (arranjo&gt;StringBox&gt;Inversor)</t>
  </si>
  <si>
    <t>AC (Invesor&gt;QDca&gt;QDC/Rede)</t>
  </si>
  <si>
    <t>Disjuntores Light</t>
  </si>
  <si>
    <t>Conversão Diametro externo x Seção</t>
  </si>
  <si>
    <t>Seção (mm²)</t>
  </si>
  <si>
    <t>Diâmetro externo (mm)</t>
  </si>
  <si>
    <t>Ramal de entrada:</t>
  </si>
  <si>
    <t>Foto do ramal, medidor, disjuntor e fiação</t>
  </si>
  <si>
    <t>Possui aterramento?</t>
  </si>
  <si>
    <t>Está dentro do padrão?</t>
  </si>
  <si>
    <t>Informações extras do ramal/aterramento:</t>
  </si>
  <si>
    <t>Outras informações:</t>
  </si>
  <si>
    <t>Possui local para estacionar o carro e descarregar material?</t>
  </si>
  <si>
    <t>Caminhão consegue chegar, estacionar e descarregar os itens?</t>
  </si>
  <si>
    <t>Possui espaço para montar escada?</t>
  </si>
  <si>
    <t>Possui wifi p/ monitoramento?</t>
  </si>
  <si>
    <t>Pretende aumentar o consumo?</t>
  </si>
  <si>
    <t>Prentende enviar energia para outra UC?</t>
  </si>
  <si>
    <t>Informar motivos de possíveis adequações</t>
  </si>
  <si>
    <t>Verificar se possui alguma dúvida</t>
  </si>
  <si>
    <t>Informar próximos passos</t>
  </si>
  <si>
    <t>Observações Gerais:</t>
  </si>
  <si>
    <t>Comisisonamento:</t>
  </si>
  <si>
    <t>Data:</t>
  </si>
  <si>
    <t>Hora:</t>
  </si>
  <si>
    <t>Temperatura do ambiente:</t>
  </si>
  <si>
    <t>Temperatura do módulo:</t>
  </si>
  <si>
    <t>Módulo:</t>
  </si>
  <si>
    <t>Vmp:</t>
  </si>
  <si>
    <t>Voc:</t>
  </si>
  <si>
    <t>Vmp_ajust:</t>
  </si>
  <si>
    <t>Voc_ajust:</t>
  </si>
  <si>
    <t>Teste de polaridade</t>
  </si>
  <si>
    <t>Registro fotográfico</t>
  </si>
  <si>
    <t>Voc Min</t>
  </si>
  <si>
    <t>Voc</t>
  </si>
  <si>
    <t>Voc %</t>
  </si>
  <si>
    <t>Vmp min</t>
  </si>
  <si>
    <t>Vmp</t>
  </si>
  <si>
    <t>Vmp %</t>
  </si>
  <si>
    <t>Arranjo 1:</t>
  </si>
  <si>
    <t>Arranjo 2:</t>
  </si>
  <si>
    <t>Não Excluir/Adicionar linhas! #Erro_na_macro</t>
  </si>
  <si>
    <t>N° do cliente</t>
  </si>
  <si>
    <t>Dados do Cliente</t>
  </si>
  <si>
    <t>NOMEDOCLIENTE</t>
  </si>
  <si>
    <t>C:\Users\vinic\OneDrive\Documentos\01 - Documentos\01 - Projetos</t>
  </si>
  <si>
    <t>PRIMEIRONOME</t>
  </si>
  <si>
    <t>Primeiro Nome</t>
  </si>
  <si>
    <t>CPFDOCLIENTE</t>
  </si>
  <si>
    <t>Enviar Solicitação de Acesso:</t>
  </si>
  <si>
    <t>DATADENASCIMENTO</t>
  </si>
  <si>
    <t>Informações para Emissão de NF</t>
  </si>
  <si>
    <t>EMAILDOCLIENTE</t>
  </si>
  <si>
    <t>CELULARDOCLIENTE</t>
  </si>
  <si>
    <t>Cliente</t>
  </si>
  <si>
    <t>CPF/CNPJ</t>
  </si>
  <si>
    <t>ESTADODOCLIENTE</t>
  </si>
  <si>
    <t>MUNICIPIODOCLIENTE</t>
  </si>
  <si>
    <t>ENDEREÇODOCLIENTE</t>
  </si>
  <si>
    <t>Endereço Real</t>
  </si>
  <si>
    <t>ENDEREÇODAUC</t>
  </si>
  <si>
    <t>Endereço Fatura</t>
  </si>
  <si>
    <t>BAIRRODOCLIENTE</t>
  </si>
  <si>
    <t>CEPDOCLIENTE</t>
  </si>
  <si>
    <t>Valor numérico</t>
  </si>
  <si>
    <t>Graus</t>
  </si>
  <si>
    <t>Minutos</t>
  </si>
  <si>
    <t>Segundos</t>
  </si>
  <si>
    <t>LATITUDEDAUC</t>
  </si>
  <si>
    <t>LONGITUDEDAUC</t>
  </si>
  <si>
    <t>LATITUDEGMS</t>
  </si>
  <si>
    <t>Latitude (graus.minutos.segundos)</t>
  </si>
  <si>
    <t>LONGITUDEGMS</t>
  </si>
  <si>
    <t>Longitude (graus.minutos.segundos)</t>
  </si>
  <si>
    <t>Se CNPJ</t>
  </si>
  <si>
    <t>REPRESENTANTELEGAL</t>
  </si>
  <si>
    <t>Representante Legal</t>
  </si>
  <si>
    <t>CPFDOREPRESENTANTE</t>
  </si>
  <si>
    <t>CPF</t>
  </si>
  <si>
    <t>NUMERODOENDERECO</t>
  </si>
  <si>
    <t>NUMERO DO CLIENTE</t>
  </si>
  <si>
    <t>RUADOCLIENTE</t>
  </si>
  <si>
    <t>Rua do cliente</t>
  </si>
  <si>
    <t>Site solicitação</t>
  </si>
  <si>
    <t>Dados da concessionária</t>
  </si>
  <si>
    <t>CONCESSIONARIADOPROJETO</t>
  </si>
  <si>
    <t>GRUPODAUC</t>
  </si>
  <si>
    <t>TIPODEFORNECIMENTO</t>
  </si>
  <si>
    <t>EBIFASICO</t>
  </si>
  <si>
    <t>É Bifásico?</t>
  </si>
  <si>
    <t>ETRIFASICO</t>
  </si>
  <si>
    <t>É Trifásico?</t>
  </si>
  <si>
    <t>QNTDEFASES</t>
  </si>
  <si>
    <t>Quantidade de Fases</t>
  </si>
  <si>
    <t>TENSAODEFORNECIMENTO</t>
  </si>
  <si>
    <t>NUMERODOCLIENTE</t>
  </si>
  <si>
    <t>NUMERODAUC</t>
  </si>
  <si>
    <t>Benef.1</t>
  </si>
  <si>
    <t>Benef.2</t>
  </si>
  <si>
    <t>Benef.3</t>
  </si>
  <si>
    <t>Total atual</t>
  </si>
  <si>
    <t>Dados de consumo (fatura)</t>
  </si>
  <si>
    <t>CONSUMOMEDIOMENSAL</t>
  </si>
  <si>
    <t>CONSUMOANUAL</t>
  </si>
  <si>
    <t>Participação total</t>
  </si>
  <si>
    <t>LOCAL DA INSTALAÇÃO</t>
  </si>
  <si>
    <t>Incremento de consumo real</t>
  </si>
  <si>
    <t>HSP (CRESESB)</t>
  </si>
  <si>
    <t>HSPJAN</t>
  </si>
  <si>
    <t>HSPFEV</t>
  </si>
  <si>
    <t>HSPMAR</t>
  </si>
  <si>
    <t>HSPABR</t>
  </si>
  <si>
    <t>HSPMAI</t>
  </si>
  <si>
    <t>HSPJUN</t>
  </si>
  <si>
    <t>HSPJUL</t>
  </si>
  <si>
    <t>HSPAGO</t>
  </si>
  <si>
    <t>HSPSET</t>
  </si>
  <si>
    <t>HSPOUT</t>
  </si>
  <si>
    <t>HSPNOV</t>
  </si>
  <si>
    <t>HSPDEZ</t>
  </si>
  <si>
    <t>HSPMED</t>
  </si>
  <si>
    <t>Dados de Temperatura (INMET)</t>
  </si>
  <si>
    <t>TEMPJAN</t>
  </si>
  <si>
    <t>TEMPFEV</t>
  </si>
  <si>
    <t>TEMPMAR</t>
  </si>
  <si>
    <t>TEMPABR</t>
  </si>
  <si>
    <t>TEMPMAI</t>
  </si>
  <si>
    <t>TEMPJUN</t>
  </si>
  <si>
    <t>TEMPJUL</t>
  </si>
  <si>
    <t>TEMPAGO</t>
  </si>
  <si>
    <t>TEMPSET</t>
  </si>
  <si>
    <t>TEMPOUT</t>
  </si>
  <si>
    <t>TEMPNOV</t>
  </si>
  <si>
    <t>TEMPDEZ</t>
  </si>
  <si>
    <t>TEMPMED</t>
  </si>
  <si>
    <t>TEMPMIN</t>
  </si>
  <si>
    <t>Posição</t>
  </si>
  <si>
    <t>ORIENTACAOARRANJO</t>
  </si>
  <si>
    <t>DESVIOAZIMUTAL</t>
  </si>
  <si>
    <t>INCLINACAOARRANJO</t>
  </si>
  <si>
    <t>Perdas sistêmicas</t>
  </si>
  <si>
    <t>FDG</t>
  </si>
  <si>
    <t>Geração considerada</t>
  </si>
  <si>
    <t>GERACAOMEDIA</t>
  </si>
  <si>
    <t>Média Mensal</t>
  </si>
  <si>
    <t>GERACAOMEDIAANUAL</t>
  </si>
  <si>
    <t>Geração Anual para ano 2</t>
  </si>
  <si>
    <t>Tamanho do sistema</t>
  </si>
  <si>
    <t>Valor médio de geração</t>
  </si>
  <si>
    <t>AREADEMODULOS</t>
  </si>
  <si>
    <t>Número da Proposta</t>
  </si>
  <si>
    <t>Arranjo por inversor</t>
  </si>
  <si>
    <t>Módulos Série</t>
  </si>
  <si>
    <t>Excluido da aba simulação</t>
  </si>
  <si>
    <t>Módulos Paralelo</t>
  </si>
  <si>
    <t>MPPTs</t>
  </si>
  <si>
    <t>Por Módulo</t>
  </si>
  <si>
    <t>Tensão máxima</t>
  </si>
  <si>
    <t>Corrente máxima</t>
  </si>
  <si>
    <t>Por Arranjo</t>
  </si>
  <si>
    <t>TEMPMINCONSIDERADA</t>
  </si>
  <si>
    <t>Temperatura mínima considerada</t>
  </si>
  <si>
    <t>Tamanho do Sistema:</t>
  </si>
  <si>
    <t>Resumo do sistema</t>
  </si>
  <si>
    <t>NOMEDOSISTEMA</t>
  </si>
  <si>
    <t xml:space="preserve">Nome do sistema: </t>
  </si>
  <si>
    <t>Kit Escolhido</t>
  </si>
  <si>
    <t>QNTDEMODULOS</t>
  </si>
  <si>
    <t>Quantidade de Módulos:</t>
  </si>
  <si>
    <t>QNTDEINVERSORES</t>
  </si>
  <si>
    <t>Quantidade de Inversores:</t>
  </si>
  <si>
    <t>POTPICOMODULOSKWP</t>
  </si>
  <si>
    <t>Potência-pico de módulo (kWp):</t>
  </si>
  <si>
    <t>POTPICOMODULOS</t>
  </si>
  <si>
    <t>Potência-pico de módulo (Wp):</t>
  </si>
  <si>
    <t>POTPICOINVERSORKWP</t>
  </si>
  <si>
    <t>Potência-pico de inversor (kWp):</t>
  </si>
  <si>
    <t>POTPICOINVERSOR</t>
  </si>
  <si>
    <t>Potência-pico de Inversor (Wp):</t>
  </si>
  <si>
    <t>POTENCIAPICODOSIST</t>
  </si>
  <si>
    <t>Potência-pico do sistema:</t>
  </si>
  <si>
    <t>FC</t>
  </si>
  <si>
    <t>Fator de Capacidade (FC):</t>
  </si>
  <si>
    <t>PR</t>
  </si>
  <si>
    <t>Performance Ratio (PR):</t>
  </si>
  <si>
    <t xml:space="preserve">Oversize do Inversor: </t>
  </si>
  <si>
    <t>Tensão do Inversor:</t>
  </si>
  <si>
    <t>Corrente do projeto:</t>
  </si>
  <si>
    <t>FABRICANTEDOINVERSOR</t>
  </si>
  <si>
    <t>Dimensões:</t>
  </si>
  <si>
    <t>MODELODOINVERSOR</t>
  </si>
  <si>
    <t>TIPODOINVERSOR</t>
  </si>
  <si>
    <t>Tipo do inversor:</t>
  </si>
  <si>
    <t>Potência máx AC:</t>
  </si>
  <si>
    <t>PNOMINVCA</t>
  </si>
  <si>
    <t>Potência Nominal AC:</t>
  </si>
  <si>
    <t>VINVAC</t>
  </si>
  <si>
    <t>Tensão AC:</t>
  </si>
  <si>
    <t>IMAXINVAC</t>
  </si>
  <si>
    <t>Corrente máxima AC:</t>
  </si>
  <si>
    <t>INOMINVAC</t>
  </si>
  <si>
    <t>Corrênte Nominal AC:</t>
  </si>
  <si>
    <t>EFICIENCIADOINVERSOR</t>
  </si>
  <si>
    <t>Eficiência:</t>
  </si>
  <si>
    <t>THD</t>
  </si>
  <si>
    <t>THD:</t>
  </si>
  <si>
    <t>PMAXINVDC</t>
  </si>
  <si>
    <t>Potência máx DC:</t>
  </si>
  <si>
    <t>VMAXINVDC</t>
  </si>
  <si>
    <t>Tensão máx DC:</t>
  </si>
  <si>
    <t>VMININVDC</t>
  </si>
  <si>
    <t>Tensão mín DC:</t>
  </si>
  <si>
    <t>VMAXMPPTDC</t>
  </si>
  <si>
    <t>Vmax MPPT:</t>
  </si>
  <si>
    <t>VMINMPPTDC</t>
  </si>
  <si>
    <t>Vmin MPPT:</t>
  </si>
  <si>
    <t>NMPPTS</t>
  </si>
  <si>
    <t>Nº de MPPTs:</t>
  </si>
  <si>
    <t>IMAXINVDC</t>
  </si>
  <si>
    <t>Corrente máxima DC:</t>
  </si>
  <si>
    <t>COMPINV</t>
  </si>
  <si>
    <t>C:</t>
  </si>
  <si>
    <t>LARGINV</t>
  </si>
  <si>
    <t>L:</t>
  </si>
  <si>
    <t>PROFINV</t>
  </si>
  <si>
    <t>P:</t>
  </si>
  <si>
    <t>PESOINV</t>
  </si>
  <si>
    <t>Peso:</t>
  </si>
  <si>
    <t>FABRICANTEDOMODULO</t>
  </si>
  <si>
    <t>MODELODOMODULO</t>
  </si>
  <si>
    <t>TECNOLOGIADOMODULO</t>
  </si>
  <si>
    <t>Tecnologia:</t>
  </si>
  <si>
    <t>POTENCIADOMODULO</t>
  </si>
  <si>
    <t>Potência Máx STC:</t>
  </si>
  <si>
    <t>EFICIENCIADOMODULO</t>
  </si>
  <si>
    <t>Eficiência</t>
  </si>
  <si>
    <t>NUMERODECELULAS</t>
  </si>
  <si>
    <t>Número de céludas:</t>
  </si>
  <si>
    <t>PESODEMODULOS</t>
  </si>
  <si>
    <t>Peso total dos módulos:</t>
  </si>
  <si>
    <t>PESOPORAREA</t>
  </si>
  <si>
    <t>Peso por área:</t>
  </si>
  <si>
    <t>VMP</t>
  </si>
  <si>
    <t>IMP</t>
  </si>
  <si>
    <t>Imp:</t>
  </si>
  <si>
    <t>VOC</t>
  </si>
  <si>
    <t>ISC</t>
  </si>
  <si>
    <t>Isc:</t>
  </si>
  <si>
    <t>TOLERANCIAPOTENCIA</t>
  </si>
  <si>
    <t>Tolerância de Potência:</t>
  </si>
  <si>
    <t>TEMPDEOPERACAO</t>
  </si>
  <si>
    <t>Temperatura de Operação:</t>
  </si>
  <si>
    <t>COEFICIENTEPOTENCIA</t>
  </si>
  <si>
    <t>Coeficiente de Temp. da Potência:</t>
  </si>
  <si>
    <t>COEFICIENTETENSAO</t>
  </si>
  <si>
    <t>Coeficiente de Temp. da Tensão:</t>
  </si>
  <si>
    <t>COEFICIENTECORRENTE</t>
  </si>
  <si>
    <t>Coeficiente de Temp. da Corrente:</t>
  </si>
  <si>
    <t>COMPRIMENTOMODULO</t>
  </si>
  <si>
    <t>Altura do módulo:</t>
  </si>
  <si>
    <t>LARGURAMODULO</t>
  </si>
  <si>
    <t>Largura:</t>
  </si>
  <si>
    <t>PROFUNDIDADEMODULO</t>
  </si>
  <si>
    <t>Profundidade:</t>
  </si>
  <si>
    <t>PESOMODULO</t>
  </si>
  <si>
    <t>CONECTOR</t>
  </si>
  <si>
    <t>Conector:</t>
  </si>
  <si>
    <t>Cabo CC  (Solar)</t>
  </si>
  <si>
    <t>MARCACABOCC</t>
  </si>
  <si>
    <t>MODELOCABOCC</t>
  </si>
  <si>
    <t>ISOLACAO</t>
  </si>
  <si>
    <t>SECAOCABOCC</t>
  </si>
  <si>
    <t>Eletroduto (tamanho)</t>
  </si>
  <si>
    <t>Cabo CA</t>
  </si>
  <si>
    <t>MARCACABOCA</t>
  </si>
  <si>
    <t>MODELOCABOCA</t>
  </si>
  <si>
    <t>SECAOCABOCA</t>
  </si>
  <si>
    <t>ELETRODUTOCA</t>
  </si>
  <si>
    <t>SECAOCABOPE</t>
  </si>
  <si>
    <t>Terra</t>
  </si>
  <si>
    <t>Estrutura de fixação</t>
  </si>
  <si>
    <t>FABRICANTEESTFIX</t>
  </si>
  <si>
    <t>MODELOESTFIX</t>
  </si>
  <si>
    <t>Proteção</t>
  </si>
  <si>
    <t>Fabricante Disjuntor CA</t>
  </si>
  <si>
    <t>WEG</t>
  </si>
  <si>
    <t>Modelo Disjuntor CA</t>
  </si>
  <si>
    <t>DISJUNTORSOLAR</t>
  </si>
  <si>
    <t>In do disjuntor</t>
  </si>
  <si>
    <t>MARCADPS</t>
  </si>
  <si>
    <t>Fabricante DPS CA</t>
  </si>
  <si>
    <t>MODELODPS</t>
  </si>
  <si>
    <t>Modelo DPS CA</t>
  </si>
  <si>
    <t xml:space="preserve">Front 20kA - 175V - Classe II </t>
  </si>
  <si>
    <t>TENSAODPS</t>
  </si>
  <si>
    <t>Tensão DPS CA</t>
  </si>
  <si>
    <t>IKDPS</t>
  </si>
  <si>
    <t>Ik DPS CA</t>
  </si>
  <si>
    <t>Disjuntor/Fusível CC</t>
  </si>
  <si>
    <t>DPS CC</t>
  </si>
  <si>
    <t>Garantias</t>
  </si>
  <si>
    <t>Garantia do Inversor</t>
  </si>
  <si>
    <t>Garantia Espansível (inversores)</t>
  </si>
  <si>
    <t>Garantia dos módulos</t>
  </si>
  <si>
    <t>Garantia de performance</t>
  </si>
  <si>
    <t>Comprimento</t>
  </si>
  <si>
    <t>Largura</t>
  </si>
  <si>
    <t>Área (CxL)</t>
  </si>
  <si>
    <t>Altura do Telhado</t>
  </si>
  <si>
    <t>Tipo de Telhado</t>
  </si>
  <si>
    <t>DISJUNTORENTRADA</t>
  </si>
  <si>
    <t>CARGAINSTALADA</t>
  </si>
  <si>
    <t>Carga Instalada</t>
  </si>
  <si>
    <t>Seção do Condutor Entrada:</t>
  </si>
  <si>
    <t>SECAODOCABO</t>
  </si>
  <si>
    <t>Seção do Condutor Saída:</t>
  </si>
  <si>
    <t>Tipo de Conexão (FNT)</t>
  </si>
  <si>
    <t>Possui aterramento Funcional?</t>
  </si>
  <si>
    <t>Possui aterramento de Proteção?</t>
  </si>
  <si>
    <t>Esquema de Aterramento</t>
  </si>
  <si>
    <t>Possui DPS?Classe?</t>
  </si>
  <si>
    <t>Distância DC (String-StringBox-Inversor)</t>
  </si>
  <si>
    <t>Distância AC (Inversor - QDC)</t>
  </si>
  <si>
    <t>DISJUNTORDOQDC</t>
  </si>
  <si>
    <t>Disjuntor do QDC</t>
  </si>
  <si>
    <t>Tipo de Ramal</t>
  </si>
  <si>
    <t>EAEREO</t>
  </si>
  <si>
    <t>É aéreo?</t>
  </si>
  <si>
    <t>ESUBTERRANEO</t>
  </si>
  <si>
    <t>É subterraneo?</t>
  </si>
  <si>
    <t>Valor do Kit Fotovoltaico</t>
  </si>
  <si>
    <t>Orçamento</t>
  </si>
  <si>
    <t>Valor do Kit CA</t>
  </si>
  <si>
    <t>Projeto, regularização e ART</t>
  </si>
  <si>
    <t>Margem de Lucro / Comissão (%)</t>
  </si>
  <si>
    <t>Margem de Lucro / Comissão (R$)</t>
  </si>
  <si>
    <t>Desconto (%)</t>
  </si>
  <si>
    <t>Desconto (R$)</t>
  </si>
  <si>
    <t>Impostos (%)</t>
  </si>
  <si>
    <t>Impostos (R$)</t>
  </si>
  <si>
    <t>Valor por kW sem desconto</t>
  </si>
  <si>
    <t>Valor por W sem desconto</t>
  </si>
  <si>
    <t>VF ajustado</t>
  </si>
  <si>
    <t>parcela (12x)</t>
  </si>
  <si>
    <t>parcela (18x)</t>
  </si>
  <si>
    <t>VALORTOTAL</t>
  </si>
  <si>
    <t>VALORENTRADA</t>
  </si>
  <si>
    <t>VALORMICRO</t>
  </si>
  <si>
    <t>Valor do micro deye</t>
  </si>
  <si>
    <t>VALORENPHASE</t>
  </si>
  <si>
    <t>Valor do enphase</t>
  </si>
  <si>
    <t>Financeiro</t>
  </si>
  <si>
    <t>Inflação da fatura de energia/ano</t>
  </si>
  <si>
    <t>Depreciação do sistema/ano</t>
  </si>
  <si>
    <t>Economia Bruta</t>
  </si>
  <si>
    <t>Rentabilidade Mensal:</t>
  </si>
  <si>
    <t>Payback Simples</t>
  </si>
  <si>
    <t>Anos (Payback)</t>
  </si>
  <si>
    <t>Meses (Payback)</t>
  </si>
  <si>
    <t>Dias (Payback)</t>
  </si>
  <si>
    <t>Financimaneto em</t>
  </si>
  <si>
    <t>Carência do Financiamento</t>
  </si>
  <si>
    <t>Parcela do Financiamento</t>
  </si>
  <si>
    <t>Soma das parcelas do financiamento</t>
  </si>
  <si>
    <t>Taxa de Juros (financiamento)</t>
  </si>
  <si>
    <t>Payback Simples (Financiamento)</t>
  </si>
  <si>
    <t>Fatura Média Mensal sem geração (ano 2)</t>
  </si>
  <si>
    <t>Fatura Média Mensal com geração</t>
  </si>
  <si>
    <t>Fatura média atual (ano 1)</t>
  </si>
  <si>
    <t>Previsão de aumento no consumo:</t>
  </si>
  <si>
    <t>Consumo médio previsto</t>
  </si>
  <si>
    <t>Valor da tarifa (R$/kWp)</t>
  </si>
  <si>
    <t>Dificuldade de instalação</t>
  </si>
  <si>
    <t>DATAINSTALACAO</t>
  </si>
  <si>
    <t>Data da instalação (Previsto):</t>
  </si>
  <si>
    <t>TEMPODEINSTACAO</t>
  </si>
  <si>
    <t>DATACOMISSIONAMENTO</t>
  </si>
  <si>
    <t>Data de Comissionamento (Previsto):</t>
  </si>
  <si>
    <t>Projeto:</t>
  </si>
  <si>
    <t>ARTDOPROJETO</t>
  </si>
  <si>
    <t>*Obs, se não estiver presente na instalação, exigir fotos e checkist de comprovação da instalação. Verificando se foi tudo feito de maneira correta e se precavendo de danos futuros.</t>
  </si>
  <si>
    <t>Instalação:</t>
  </si>
  <si>
    <t>ARTDEINSTALAÇÃO</t>
  </si>
  <si>
    <t>Sustentabilidade</t>
  </si>
  <si>
    <r>
      <t>Taxa de kg_CO</t>
    </r>
    <r>
      <rPr>
        <vertAlign val="subscript"/>
        <sz val="11"/>
        <color theme="1"/>
        <rFont val="Calibri"/>
        <family val="2"/>
        <scheme val="minor"/>
      </rPr>
      <t>2</t>
    </r>
    <r>
      <rPr>
        <sz val="11"/>
        <color theme="1"/>
        <rFont val="Calibri"/>
        <family val="2"/>
        <scheme val="minor"/>
      </rPr>
      <t>/kWh</t>
    </r>
  </si>
  <si>
    <t>Segundo o Ministério da Ciência, Tecnologia e Inovações, estima-se que para cada kWh gerado, há uma redução de 0,0750kg de CO2 por mês (referência 2019 - http://www.mctic.gov.br/mctic/opencms/ciencia/SEPED/clima/textogeral/emissao_corporativos.html).</t>
  </si>
  <si>
    <t>KGCO2MES</t>
  </si>
  <si>
    <r>
      <t>kg de CO</t>
    </r>
    <r>
      <rPr>
        <vertAlign val="subscript"/>
        <sz val="11"/>
        <color theme="1"/>
        <rFont val="Calibri"/>
        <family val="2"/>
        <scheme val="minor"/>
      </rPr>
      <t>2</t>
    </r>
    <r>
      <rPr>
        <sz val="11"/>
        <color theme="1"/>
        <rFont val="Calibri"/>
        <family val="2"/>
        <scheme val="minor"/>
      </rPr>
      <t>/mês</t>
    </r>
  </si>
  <si>
    <t>KGCO2ANO</t>
  </si>
  <si>
    <r>
      <t>kg de CO</t>
    </r>
    <r>
      <rPr>
        <vertAlign val="subscript"/>
        <sz val="11"/>
        <color theme="1"/>
        <rFont val="Calibri"/>
        <family val="2"/>
        <scheme val="minor"/>
      </rPr>
      <t>2</t>
    </r>
    <r>
      <rPr>
        <sz val="11"/>
        <color theme="1"/>
        <rFont val="Calibri"/>
        <family val="2"/>
        <scheme val="minor"/>
      </rPr>
      <t>/ano</t>
    </r>
  </si>
  <si>
    <t>KGC0225ANOS</t>
  </si>
  <si>
    <r>
      <t>kg de CO</t>
    </r>
    <r>
      <rPr>
        <vertAlign val="subscript"/>
        <sz val="11"/>
        <color theme="1"/>
        <rFont val="Calibri"/>
        <family val="2"/>
        <scheme val="minor"/>
      </rPr>
      <t>2</t>
    </r>
    <r>
      <rPr>
        <sz val="11"/>
        <color theme="1"/>
        <rFont val="Calibri"/>
        <family val="2"/>
        <scheme val="minor"/>
      </rPr>
      <t>/25anos</t>
    </r>
  </si>
  <si>
    <r>
      <t>Absorção de kg_CO</t>
    </r>
    <r>
      <rPr>
        <vertAlign val="subscript"/>
        <sz val="11"/>
        <color theme="1"/>
        <rFont val="Calibri"/>
        <family val="2"/>
        <scheme val="minor"/>
      </rPr>
      <t>2</t>
    </r>
    <r>
      <rPr>
        <sz val="11"/>
        <color theme="1"/>
        <rFont val="Calibri"/>
        <family val="2"/>
        <scheme val="minor"/>
      </rPr>
      <t>/árvore</t>
    </r>
  </si>
  <si>
    <r>
      <t>Absorção de kg_CO</t>
    </r>
    <r>
      <rPr>
        <vertAlign val="subscript"/>
        <sz val="11"/>
        <color theme="1"/>
        <rFont val="Calibri"/>
        <family val="2"/>
        <scheme val="minor"/>
      </rPr>
      <t>2</t>
    </r>
    <r>
      <rPr>
        <sz val="11"/>
        <color theme="1"/>
        <rFont val="Calibri"/>
        <family val="2"/>
        <scheme val="minor"/>
      </rPr>
      <t>/árvore - 20 anos</t>
    </r>
  </si>
  <si>
    <t>ARVORESANO</t>
  </si>
  <si>
    <t>Equivalencia de arvores/ano</t>
  </si>
  <si>
    <t>TEMPOARVORE20ANOS</t>
  </si>
  <si>
    <t>Tempo equivalente 1 arvore em 20 anos</t>
  </si>
  <si>
    <t>Proposta anexa</t>
  </si>
  <si>
    <t>DATAASSPROPOSTA</t>
  </si>
  <si>
    <t>Data assinatura proposta comercial</t>
  </si>
  <si>
    <t>PROTECAOPLANILHA</t>
  </si>
  <si>
    <t>Status da Proteção</t>
  </si>
  <si>
    <t>USUARIOEXCEL</t>
  </si>
  <si>
    <t>Tipo de usuário</t>
  </si>
  <si>
    <t>Validade da planilha</t>
  </si>
  <si>
    <t>Número da pré-proposta</t>
  </si>
  <si>
    <t>PRÉ PROPOSTA COMERCIAL
SISTEMA FOTOVOLTAICO CONECTADO A REDE</t>
  </si>
  <si>
    <t>RESPONSÁVEL: Engº VINÍCIUS TEIXEIRA</t>
  </si>
  <si>
    <t>CREA: 2018125837</t>
  </si>
  <si>
    <t>VALIDADE DA PROPOSTA: 5 DIAS CORRIDOS</t>
  </si>
  <si>
    <t>Por que ter Energia Solar?</t>
  </si>
  <si>
    <t>Como Funciona?</t>
  </si>
  <si>
    <t>Sobre a Cactos</t>
  </si>
  <si>
    <t>Nossos Diferenciais</t>
  </si>
  <si>
    <t>Análise de Consumo</t>
  </si>
  <si>
    <t>O Sistema</t>
  </si>
  <si>
    <t xml:space="preserve">Área Utilizada: </t>
  </si>
  <si>
    <t>Etapas do Projeto</t>
  </si>
  <si>
    <t>Etapa atual</t>
  </si>
  <si>
    <t>Cactos</t>
  </si>
  <si>
    <t>* Prazos estimados podendo sofrer alteração por motivos externos</t>
  </si>
  <si>
    <t>ITENS INCLUSOS</t>
  </si>
  <si>
    <t>1x</t>
  </si>
  <si>
    <t>Kit Fotovoltaico (Módulos, inversor/microinversor, Stringbox)¹</t>
  </si>
  <si>
    <t xml:space="preserve">     Cabos CC - Solar  - Vermelho e Preto ²</t>
  </si>
  <si>
    <t>2x</t>
  </si>
  <si>
    <t xml:space="preserve">    Cabo de Cobre - Preto e Verde</t>
  </si>
  <si>
    <t>INCLUSO</t>
  </si>
  <si>
    <t>ART</t>
  </si>
  <si>
    <t>Homologação</t>
  </si>
  <si>
    <t>Monitoramento</t>
  </si>
  <si>
    <t>OPCIONAIS</t>
  </si>
  <si>
    <t>Descrito na 
próxima página</t>
  </si>
  <si>
    <t>1 ano</t>
  </si>
  <si>
    <t>SIMULAÇÃO EM 3D</t>
  </si>
  <si>
    <t>Investimento</t>
  </si>
  <si>
    <t>VALOR FINANCIADO*:</t>
  </si>
  <si>
    <t>até</t>
  </si>
  <si>
    <t>Análise Econômica</t>
  </si>
  <si>
    <r>
      <t xml:space="preserve">Fatura Média Mensal </t>
    </r>
    <r>
      <rPr>
        <b/>
        <sz val="11"/>
        <color theme="1"/>
        <rFont val="Times New Roman"/>
        <family val="1"/>
      </rPr>
      <t>sem</t>
    </r>
    <r>
      <rPr>
        <sz val="11"/>
        <color theme="1"/>
        <rFont val="Times New Roman"/>
        <family val="1"/>
      </rPr>
      <t xml:space="preserve"> Geração</t>
    </r>
  </si>
  <si>
    <r>
      <t xml:space="preserve">Fatura Média Mensal </t>
    </r>
    <r>
      <rPr>
        <b/>
        <sz val="11"/>
        <color theme="1"/>
        <rFont val="Times New Roman"/>
        <family val="1"/>
      </rPr>
      <t>com</t>
    </r>
    <r>
      <rPr>
        <sz val="11"/>
        <color theme="1"/>
        <rFont val="Times New Roman"/>
        <family val="1"/>
      </rPr>
      <t xml:space="preserve"> Geração</t>
    </r>
  </si>
  <si>
    <t>Economia Média Mensal</t>
  </si>
  <si>
    <t>*valores para o segundo ano (já considerando os créditos acumulados), economia aumenta para os outros anos, pela proteção inflacionária que o sistema gera.</t>
  </si>
  <si>
    <t>** a fatura média com geração é uma estimativa mensal e pode variar de acordo com o consumo.</t>
  </si>
  <si>
    <t>PROPOSTA COMERCIAL
SISTEMA FOTOVOLTAICO CONECTADO A REDE</t>
  </si>
  <si>
    <t>Análise 3D</t>
  </si>
  <si>
    <t>Aceite</t>
  </si>
  <si>
    <t>___________________________________________________</t>
  </si>
  <si>
    <t>Sócio Proprietário e Representante Legal da Cactos - Soluções em Energia</t>
  </si>
  <si>
    <t>CPF: 130.194.797-03</t>
  </si>
  <si>
    <t>Tecnologia</t>
  </si>
  <si>
    <t>Pmax</t>
  </si>
  <si>
    <t>N° de Célualas</t>
  </si>
  <si>
    <t>Half-cell?</t>
  </si>
  <si>
    <t>Imp</t>
  </si>
  <si>
    <t>Isc</t>
  </si>
  <si>
    <t>Power Tolerance</t>
  </si>
  <si>
    <t>Temp. Coef. Pmax</t>
  </si>
  <si>
    <t>Temp. Coef. Voc</t>
  </si>
  <si>
    <t>Temp. Coef. Isc</t>
  </si>
  <si>
    <t>Imax Series Fuse</t>
  </si>
  <si>
    <t>Mín Operating Temp</t>
  </si>
  <si>
    <t>Máx Operating Temp</t>
  </si>
  <si>
    <t>Peso</t>
  </si>
  <si>
    <t>Profundidade</t>
  </si>
  <si>
    <t>Conector</t>
  </si>
  <si>
    <t>ByPass Diodes</t>
  </si>
  <si>
    <t>Qnt BusBar</t>
  </si>
  <si>
    <t>Garantia</t>
  </si>
  <si>
    <t>Performance</t>
  </si>
  <si>
    <t>Coef. Drepreciação do módulo</t>
  </si>
  <si>
    <t>Datasheet</t>
  </si>
  <si>
    <t>POLICRISTALINO</t>
  </si>
  <si>
    <t>0/+5%</t>
  </si>
  <si>
    <t>MC4</t>
  </si>
  <si>
    <t>CANADIAN</t>
  </si>
  <si>
    <t>DAH SOLAR</t>
  </si>
  <si>
    <t>MONOCRISTALINO</t>
  </si>
  <si>
    <t>LONGI</t>
  </si>
  <si>
    <t>LONGI 440W MONO 144HC - LR4-72HPH-440M</t>
  </si>
  <si>
    <t>98% de eficiência no primeiro ano e uma queda de 0,55% até o ano 25, resultando em 84,8% no ano 25.</t>
  </si>
  <si>
    <t>BELENERGY</t>
  </si>
  <si>
    <t>LEAPTON</t>
  </si>
  <si>
    <t>0/+3%</t>
  </si>
  <si>
    <t>ASTRONERGY</t>
  </si>
  <si>
    <t>ASTRONERGY - CHSM72N(DG)/F-HC - NTYPE - 570W</t>
  </si>
  <si>
    <t>99% de eficiência no primeiro ano e 87,40% no ano 30.</t>
  </si>
  <si>
    <t>ASTRONERGY - CHSM72N(DG)/F-HC - NTYPE - 575W</t>
  </si>
  <si>
    <t>LEAPTON 590W - LP182*182-M-78-MH</t>
  </si>
  <si>
    <t>97% de eficiência no primeiro ano.</t>
  </si>
  <si>
    <t>ASTRONERGY - CHSM78N(DG)/F-BH - NTYPE - 620W</t>
  </si>
  <si>
    <t>DATASHEET_MFVAS_MO_156_620W.pdf (belenus.com.br)</t>
  </si>
  <si>
    <t>ASTRONERGY - CHSM78N(DG)/F-BH - NTYPE - 625W</t>
  </si>
  <si>
    <t>CANADIAN 655W - CS7N-655 Bifacial</t>
  </si>
  <si>
    <t>0/+10 W</t>
  </si>
  <si>
    <t>98% de eficiência no primeiro ano. Depois 0,45%/ano</t>
  </si>
  <si>
    <t>LEAPTON 665W - LP210*210-M-66-MH Bifacial</t>
  </si>
  <si>
    <t>LEAPTON 665W - LP210*210-M-66-MH</t>
  </si>
  <si>
    <t>PERLIGHT</t>
  </si>
  <si>
    <t>PLM-325P-72</t>
  </si>
  <si>
    <t>0/+5 W</t>
  </si>
  <si>
    <t>Catálogo de Inversores</t>
  </si>
  <si>
    <t>INPUT</t>
  </si>
  <si>
    <t>OUTPUT</t>
  </si>
  <si>
    <t>Proteções</t>
  </si>
  <si>
    <t>Tipo</t>
  </si>
  <si>
    <t>Pmax_DC</t>
  </si>
  <si>
    <t>Vmax_DC</t>
  </si>
  <si>
    <t>VStart-up</t>
  </si>
  <si>
    <t>Vmin_MPPT</t>
  </si>
  <si>
    <t>Vmax_MPPT</t>
  </si>
  <si>
    <t>Imax_DC</t>
  </si>
  <si>
    <t>Imax_sc</t>
  </si>
  <si>
    <t>Nº de MPPTs</t>
  </si>
  <si>
    <t>Pn</t>
  </si>
  <si>
    <t>Vgrid</t>
  </si>
  <si>
    <t>Imax_AC</t>
  </si>
  <si>
    <t>Fases</t>
  </si>
  <si>
    <t>Conexão FN-FF?</t>
  </si>
  <si>
    <t>FP</t>
  </si>
  <si>
    <t>THDi</t>
  </si>
  <si>
    <t>Eficiência Max.</t>
  </si>
  <si>
    <t>Eficiência EU</t>
  </si>
  <si>
    <t>Eficiência MPPT</t>
  </si>
  <si>
    <t>Polaridade Reversa?</t>
  </si>
  <si>
    <t>Curto circuito?</t>
  </si>
  <si>
    <t>Sobrecorrente</t>
  </si>
  <si>
    <t>Sobretensão</t>
  </si>
  <si>
    <t>Ventilação Forçada?</t>
  </si>
  <si>
    <t>Display?</t>
  </si>
  <si>
    <t>Emissão de Ruído</t>
  </si>
  <si>
    <t>Vida útil</t>
  </si>
  <si>
    <t>Expansivel?</t>
  </si>
  <si>
    <t>Dist. Lateral</t>
  </si>
  <si>
    <t>Dist. Lateral Entre Inv.</t>
  </si>
  <si>
    <t>Dist. Vertical</t>
  </si>
  <si>
    <t>Disj. Recomendado</t>
  </si>
  <si>
    <t>ENPHASE</t>
  </si>
  <si>
    <t>Microinversor</t>
  </si>
  <si>
    <t>MONOFÁSICO</t>
  </si>
  <si>
    <t>+-0,8</t>
  </si>
  <si>
    <t>TIPO-III CA</t>
  </si>
  <si>
    <t>Convecção Natural</t>
  </si>
  <si>
    <t>N/A</t>
  </si>
  <si>
    <t>ENPHASE IQ8P-72-2-BR-475W</t>
  </si>
  <si>
    <t>DATASHEET_MINVEN_220V_475W.pdf (belenus.com.br)</t>
  </si>
  <si>
    <t>HOYMILES</t>
  </si>
  <si>
    <t>&gt;0,99</t>
  </si>
  <si>
    <t>DEYE</t>
  </si>
  <si>
    <t>DEYE SUN2000G3-US-220</t>
  </si>
  <si>
    <t>HOYMILES HMS-2000-4T</t>
  </si>
  <si>
    <t>SUN-M225G4-EU-Q0</t>
  </si>
  <si>
    <t>CC Tipo II/CA Tipo II</t>
  </si>
  <si>
    <t>https://belenus.com.br/api/arquivo/download/DATASHEET_MINVDE_MO_220V_2.25KW.pdf</t>
  </si>
  <si>
    <t>GROWATT</t>
  </si>
  <si>
    <t>String</t>
  </si>
  <si>
    <t>Solis-mini-3000-4G</t>
  </si>
  <si>
    <t>https://www.dropbox.com/s/n4mhmc0zgcsc23q/SOLIS%20MINI%20-%201P%203kW.pdf?dl=0</t>
  </si>
  <si>
    <t>BELENERGY BEL-4K-G</t>
  </si>
  <si>
    <t>BELENERGY BEL-5K-G</t>
  </si>
  <si>
    <t>CANADIAN CSI-5K-S22002-ED</t>
  </si>
  <si>
    <t>TIPO-II-CA+III-CC</t>
  </si>
  <si>
    <t>OLED</t>
  </si>
  <si>
    <t>LIVOLTEK</t>
  </si>
  <si>
    <t>Livoltek GT1-5K-D</t>
  </si>
  <si>
    <t>CC Tipo II/CA Tipo III</t>
  </si>
  <si>
    <t>Solis-1P5K-4G</t>
  </si>
  <si>
    <t>LCD</t>
  </si>
  <si>
    <t>Growatt MIN 6000 TL-X</t>
  </si>
  <si>
    <t>TIPO-II</t>
  </si>
  <si>
    <t>Livoltek GT1-6K-D</t>
  </si>
  <si>
    <t>Solis-1P7K-5G</t>
  </si>
  <si>
    <t>https://belenergy.com.br/wp-content/uploads/2022/02/1-DATASHEET-SOLIS-1P7K-5G.pdf</t>
  </si>
  <si>
    <t>SUN-7.5K-G</t>
  </si>
  <si>
    <t>Solis-1P7.7K-5G</t>
  </si>
  <si>
    <t>DEYE - SUN-8K-SG01LP1-US - HIBRIDO</t>
  </si>
  <si>
    <t>Smart cooling</t>
  </si>
  <si>
    <t>Solis-S5-GC15K-LV</t>
  </si>
  <si>
    <t>TRIFÁSICO</t>
  </si>
  <si>
    <t>NA</t>
  </si>
  <si>
    <t>Ventilação forçada</t>
  </si>
  <si>
    <t>Growatt MID 20KTL3-XL</t>
  </si>
  <si>
    <t>TIPO-II (CA+CC)</t>
  </si>
  <si>
    <t>Solis</t>
  </si>
  <si>
    <t>Solis-25K-LV</t>
  </si>
  <si>
    <t>Growatt MAC 30KTL3-XL</t>
  </si>
  <si>
    <t>https://s3.amazonaws.com/uploads.painel.prd.skysolar.com.br/produtos/datasheet/617fdb313c5e0Datasheet%20-%20GROWATT%20-%20MAC%2025-36KTL3-XL%20Trif%C3%A1sico%20220V.pdf?AWSAccessKeyId=AKIAWCU22NZUG7J44VWF&amp;Expires=1649878817&amp;Signature=IhQ3GwHVa%2FpE8iRNzhWgPf1hvZM%3D</t>
  </si>
  <si>
    <t>100A</t>
  </si>
  <si>
    <t>Growatt MAC 36KTL3-XL</t>
  </si>
  <si>
    <t>Solis-50K-LV-5G</t>
  </si>
  <si>
    <t>https://belenus.com.br/api/arquivo/download/DATASHEET_INVSO_TR_220V_60KW.pdf</t>
  </si>
  <si>
    <t>Solis-60K-LV-5G</t>
  </si>
  <si>
    <t>Fonte: http://www.inmet.gov.br/portal/index.php?r=clima/normaisClimatologicas (Tabela de Temperatura Máxima Mensal e Anual (°C))</t>
  </si>
  <si>
    <t>Normal Climatológica do Brasil 1981-2010</t>
  </si>
  <si>
    <t>Temperatura Máxima (ºC)</t>
  </si>
  <si>
    <t xml:space="preserve">Código </t>
  </si>
  <si>
    <t>UF</t>
  </si>
  <si>
    <t>Janeiro</t>
  </si>
  <si>
    <t>Fevereiro</t>
  </si>
  <si>
    <t>Março</t>
  </si>
  <si>
    <t>Abril</t>
  </si>
  <si>
    <t>Maio</t>
  </si>
  <si>
    <t>Junho</t>
  </si>
  <si>
    <t>Julho</t>
  </si>
  <si>
    <t>Agosto</t>
  </si>
  <si>
    <t>Setembro</t>
  </si>
  <si>
    <t>Outubro</t>
  </si>
  <si>
    <t>Novembro</t>
  </si>
  <si>
    <t>Dezembro</t>
  </si>
  <si>
    <t>CRUZEIRO DO SUL</t>
  </si>
  <si>
    <t>AL</t>
  </si>
  <si>
    <t>RIO BRANCO</t>
  </si>
  <si>
    <t>AM</t>
  </si>
  <si>
    <t>TARAUACA</t>
  </si>
  <si>
    <t>AP</t>
  </si>
  <si>
    <t>AGUA BRANCA</t>
  </si>
  <si>
    <t>BA</t>
  </si>
  <si>
    <t>MACEIO</t>
  </si>
  <si>
    <t>CE</t>
  </si>
  <si>
    <t>PALMEIRA DOS INDIOS</t>
  </si>
  <si>
    <t>DF</t>
  </si>
  <si>
    <t>PAO DE ACUCAR</t>
  </si>
  <si>
    <t>ES</t>
  </si>
  <si>
    <t>PORTO DE PEDRAS</t>
  </si>
  <si>
    <t>GO</t>
  </si>
  <si>
    <t>BARCELOS</t>
  </si>
  <si>
    <t>MA</t>
  </si>
  <si>
    <t>BENJAMIN CONSTANT</t>
  </si>
  <si>
    <t>MG</t>
  </si>
  <si>
    <t>COARI</t>
  </si>
  <si>
    <t>MS</t>
  </si>
  <si>
    <t>CODAJAS</t>
  </si>
  <si>
    <t>MT</t>
  </si>
  <si>
    <t>EIRUNEPE</t>
  </si>
  <si>
    <t>PA</t>
  </si>
  <si>
    <t>FONTE BOA</t>
  </si>
  <si>
    <t>IAUARETE</t>
  </si>
  <si>
    <t>PE</t>
  </si>
  <si>
    <t>PI</t>
  </si>
  <si>
    <t>LABREA</t>
  </si>
  <si>
    <t>MANAUS</t>
  </si>
  <si>
    <t>MANICORE</t>
  </si>
  <si>
    <t>RN</t>
  </si>
  <si>
    <t>PARINTINS</t>
  </si>
  <si>
    <t>RO</t>
  </si>
  <si>
    <t>SAO GABRIEL DA CACHOEIRA(UAUPES)</t>
  </si>
  <si>
    <t>RR</t>
  </si>
  <si>
    <t>TEFE</t>
  </si>
  <si>
    <t>RS</t>
  </si>
  <si>
    <t>MACAPA</t>
  </si>
  <si>
    <t>SC</t>
  </si>
  <si>
    <t>SERRA DO NAVIO</t>
  </si>
  <si>
    <t>SE</t>
  </si>
  <si>
    <t>ALAGOINHAS</t>
  </si>
  <si>
    <t>SP</t>
  </si>
  <si>
    <t>BARRA</t>
  </si>
  <si>
    <t>TO</t>
  </si>
  <si>
    <t>BARREIRAS</t>
  </si>
  <si>
    <t>BOM JESUS DA LAPA</t>
  </si>
  <si>
    <t>CAETITE</t>
  </si>
  <si>
    <t>CAMACARI</t>
  </si>
  <si>
    <t>CANAVIEIRAS</t>
  </si>
  <si>
    <t>CARAVELAS</t>
  </si>
  <si>
    <t>CARINHANHA</t>
  </si>
  <si>
    <t>CIPO</t>
  </si>
  <si>
    <t>CORRENTINA</t>
  </si>
  <si>
    <t>CRUZ DAS ALMAS</t>
  </si>
  <si>
    <t>FEIRA DE SANTANA</t>
  </si>
  <si>
    <t>GUARATINGA</t>
  </si>
  <si>
    <t>IRECE</t>
  </si>
  <si>
    <t>ITABERABA</t>
  </si>
  <si>
    <t>ITIRUCU (JAGUAQUARA)</t>
  </si>
  <si>
    <t>ITUACU</t>
  </si>
  <si>
    <t>JACOBINA</t>
  </si>
  <si>
    <t>LENCOIS</t>
  </si>
  <si>
    <t>MONTE SANTO</t>
  </si>
  <si>
    <t>MORRO DO CHAPEU</t>
  </si>
  <si>
    <t>PAULO AFONSO</t>
  </si>
  <si>
    <t>REMANSO</t>
  </si>
  <si>
    <t>SALVADOR (ONDINA)</t>
  </si>
  <si>
    <t>SENHOR DO BONFIM</t>
  </si>
  <si>
    <t>SERRINHA</t>
  </si>
  <si>
    <t>STa. R. DE CASSIA (IBIPETUBA)</t>
  </si>
  <si>
    <t>VITORIA DA CONQUISTA</t>
  </si>
  <si>
    <t>ACARAU</t>
  </si>
  <si>
    <t>BARBALHA</t>
  </si>
  <si>
    <t>CAMPOS SALES</t>
  </si>
  <si>
    <t>CRATEUS</t>
  </si>
  <si>
    <t>FORTALEZA</t>
  </si>
  <si>
    <t>GUARAMIRANGA</t>
  </si>
  <si>
    <t>IGUATU</t>
  </si>
  <si>
    <t>JAGUARUANA</t>
  </si>
  <si>
    <t>MORADA NOVA</t>
  </si>
  <si>
    <t>QUIXERAMOBIM</t>
  </si>
  <si>
    <t>SOBRAL</t>
  </si>
  <si>
    <t>TAUA</t>
  </si>
  <si>
    <t>BRASILIA</t>
  </si>
  <si>
    <t>RONCADOR</t>
  </si>
  <si>
    <t>ALFREDO CHAVES</t>
  </si>
  <si>
    <t>BOA ESPERANCA</t>
  </si>
  <si>
    <t>ECOPORANGA</t>
  </si>
  <si>
    <t>ITARANA</t>
  </si>
  <si>
    <t>LINHARES</t>
  </si>
  <si>
    <t>MARILANDIA (COLATINA)</t>
  </si>
  <si>
    <t>MUNIZ FREIRE</t>
  </si>
  <si>
    <t>SANTA TERESA</t>
  </si>
  <si>
    <t>SAO MATEUS</t>
  </si>
  <si>
    <t>VENDA NOVA</t>
  </si>
  <si>
    <t>VITORIA</t>
  </si>
  <si>
    <t>ARAGARCAS</t>
  </si>
  <si>
    <t>CATALAO</t>
  </si>
  <si>
    <t>FORMOSA</t>
  </si>
  <si>
    <t>GOIANESIA</t>
  </si>
  <si>
    <t>GOIANIA</t>
  </si>
  <si>
    <t>GOIAS</t>
  </si>
  <si>
    <t>IPAMERI</t>
  </si>
  <si>
    <t>ITUMBIARA</t>
  </si>
  <si>
    <t>JATAI</t>
  </si>
  <si>
    <t>PIRENOPOLIS</t>
  </si>
  <si>
    <t>POSSE</t>
  </si>
  <si>
    <t>RIO VERDE</t>
  </si>
  <si>
    <t>ALTO PARNAIBA</t>
  </si>
  <si>
    <t>BACABAL</t>
  </si>
  <si>
    <t>BALSAS</t>
  </si>
  <si>
    <t>BARRA DO CORDA</t>
  </si>
  <si>
    <t>CAROLINA</t>
  </si>
  <si>
    <t>CAXIAS</t>
  </si>
  <si>
    <t>CHAPADINHA</t>
  </si>
  <si>
    <t>COLINAS</t>
  </si>
  <si>
    <t>GRAJAU</t>
  </si>
  <si>
    <t>IMPERATRIZ</t>
  </si>
  <si>
    <t>SAO LUIS</t>
  </si>
  <si>
    <t>TURIACU</t>
  </si>
  <si>
    <t>ZE DOCA</t>
  </si>
  <si>
    <t>AIMORES</t>
  </si>
  <si>
    <t>ARACUAI</t>
  </si>
  <si>
    <t>ARAXA</t>
  </si>
  <si>
    <t>ARINOS</t>
  </si>
  <si>
    <t>BAMBUI</t>
  </si>
  <si>
    <t>BARBACENA</t>
  </si>
  <si>
    <t>BELO HORIZONTE</t>
  </si>
  <si>
    <t>BOM DESPACHO</t>
  </si>
  <si>
    <t>BURITIS</t>
  </si>
  <si>
    <t>C. DO MATO DENTRO</t>
  </si>
  <si>
    <t>CALDAS(P. DE CALDAS)</t>
  </si>
  <si>
    <t>CAPARAO</t>
  </si>
  <si>
    <t>CAPINOPOLIS</t>
  </si>
  <si>
    <t>CARATINGA</t>
  </si>
  <si>
    <t>CARBONITA</t>
  </si>
  <si>
    <t>CAXAMBU</t>
  </si>
  <si>
    <t>CORONEL FABRICIANO</t>
  </si>
  <si>
    <t>CORONEL PACHECO</t>
  </si>
  <si>
    <t>CURVELO</t>
  </si>
  <si>
    <t>DIAMANTINA</t>
  </si>
  <si>
    <t>DIVINOPOLIS</t>
  </si>
  <si>
    <t>ENG. DOLABELA (BOCAIUVA)</t>
  </si>
  <si>
    <t>ESPINOSA</t>
  </si>
  <si>
    <t>FAZENDA MONTE ALEGRE</t>
  </si>
  <si>
    <t>FLORESTAL</t>
  </si>
  <si>
    <t>FORMOSO</t>
  </si>
  <si>
    <t>FRUTAL</t>
  </si>
  <si>
    <t>GOVERNADOR VALADARES</t>
  </si>
  <si>
    <t>IBIRITE</t>
  </si>
  <si>
    <t>ITAMARANDIBA</t>
  </si>
  <si>
    <t>ITUIUTABA</t>
  </si>
  <si>
    <t>JANAUBA</t>
  </si>
  <si>
    <t>JANUARIA</t>
  </si>
  <si>
    <t>JOAO MONLEVADE</t>
  </si>
  <si>
    <t>JOAO PINHEIRO</t>
  </si>
  <si>
    <t>JUIZ DE FORA</t>
  </si>
  <si>
    <t>JURAMENTO</t>
  </si>
  <si>
    <t>LAMBARI</t>
  </si>
  <si>
    <t>LAVRAS</t>
  </si>
  <si>
    <t>MACHADO</t>
  </si>
  <si>
    <t>MARIA DA FE</t>
  </si>
  <si>
    <t>MOCAMBINHO</t>
  </si>
  <si>
    <t>MONTE AZUL</t>
  </si>
  <si>
    <t>MONTES CLAROS</t>
  </si>
  <si>
    <t>MURIAE</t>
  </si>
  <si>
    <t>OLIVEIRA</t>
  </si>
  <si>
    <t>PARACATU</t>
  </si>
  <si>
    <t>PASSA QUATRO</t>
  </si>
  <si>
    <t>PATOS DE MINAS</t>
  </si>
  <si>
    <t>PEDRA AZUL</t>
  </si>
  <si>
    <t>PIRAPORA</t>
  </si>
  <si>
    <t>POMPEU</t>
  </si>
  <si>
    <t>PONTE ALTA</t>
  </si>
  <si>
    <t>SALINAS</t>
  </si>
  <si>
    <t>SAO JOAO DEL REI</t>
  </si>
  <si>
    <t>SAO LOURENCO</t>
  </si>
  <si>
    <t>SAO S.DO PARAISO</t>
  </si>
  <si>
    <t>SERRA DOS AIMORES</t>
  </si>
  <si>
    <t>SETE LAGOAS</t>
  </si>
  <si>
    <t>TEOFILO OTONI</t>
  </si>
  <si>
    <t>UBERABA</t>
  </si>
  <si>
    <t>UBERLANDIA</t>
  </si>
  <si>
    <t>UNAI</t>
  </si>
  <si>
    <t>USIMINAS</t>
  </si>
  <si>
    <t>VICOSA</t>
  </si>
  <si>
    <t>CORUMBA</t>
  </si>
  <si>
    <t>DOURADOS</t>
  </si>
  <si>
    <t>IVINHEMA</t>
  </si>
  <si>
    <t>NHUMIRIM (NHECOLANDIA)</t>
  </si>
  <si>
    <t>PARANAIBA</t>
  </si>
  <si>
    <t>PONTA PORA</t>
  </si>
  <si>
    <t>TRES LAGOAS</t>
  </si>
  <si>
    <t>CACERES</t>
  </si>
  <si>
    <t>CANARANA</t>
  </si>
  <si>
    <t>CUIABA</t>
  </si>
  <si>
    <t>DIAMANTINO</t>
  </si>
  <si>
    <t>GLEBA CELESTE</t>
  </si>
  <si>
    <t>MATUPA</t>
  </si>
  <si>
    <t>MERURI</t>
  </si>
  <si>
    <t>NOVA XAV.(XAVANTINA)</t>
  </si>
  <si>
    <t>PADRE RICARDO REMETTER</t>
  </si>
  <si>
    <t>POXOREO</t>
  </si>
  <si>
    <t>SAO JOSE DO RIO CLARO</t>
  </si>
  <si>
    <t>SAO VICENTE</t>
  </si>
  <si>
    <t>ALTAMIRA</t>
  </si>
  <si>
    <t>BELEM</t>
  </si>
  <si>
    <t>BELTERRA</t>
  </si>
  <si>
    <t>BREVES</t>
  </si>
  <si>
    <t>CAMETA</t>
  </si>
  <si>
    <t>CONCEICAO DO ARAGUAIA</t>
  </si>
  <si>
    <t>ITAITUBA</t>
  </si>
  <si>
    <t>MARABA</t>
  </si>
  <si>
    <t>MONTE ALEGRE</t>
  </si>
  <si>
    <t>OBIDOS</t>
  </si>
  <si>
    <t>PORTO DE MOZ</t>
  </si>
  <si>
    <t>SAO FELIX DO XINGU</t>
  </si>
  <si>
    <t>SOURE</t>
  </si>
  <si>
    <t>TRACUATEUA</t>
  </si>
  <si>
    <t>TUCURUI</t>
  </si>
  <si>
    <t>AREIA</t>
  </si>
  <si>
    <t>CAMPINA GRANDE</t>
  </si>
  <si>
    <t>JOAO PESSOA</t>
  </si>
  <si>
    <t>MONTEIRO</t>
  </si>
  <si>
    <t>PATOS</t>
  </si>
  <si>
    <t>SAO GONCALO</t>
  </si>
  <si>
    <t>ARCOVERDE</t>
  </si>
  <si>
    <t>CABROBO</t>
  </si>
  <si>
    <t>GARANHUNS</t>
  </si>
  <si>
    <t>OURICURI</t>
  </si>
  <si>
    <t>PESQUEIRA</t>
  </si>
  <si>
    <t>PETROLINA</t>
  </si>
  <si>
    <t>RECIFE (CURADO)</t>
  </si>
  <si>
    <t>SURUBIM</t>
  </si>
  <si>
    <t>TRIUNFO</t>
  </si>
  <si>
    <t>BOM JESUS DO PIAUI</t>
  </si>
  <si>
    <t>CALDEIRAO</t>
  </si>
  <si>
    <t>CARACOL</t>
  </si>
  <si>
    <t>ESPERANTINA</t>
  </si>
  <si>
    <t>FLORIANO</t>
  </si>
  <si>
    <t>LUZILANDIA(LAG.DO PIAUI)</t>
  </si>
  <si>
    <t>MORRO DOS CAVALOS</t>
  </si>
  <si>
    <t>PARNAIBA</t>
  </si>
  <si>
    <t>PAULISTANA</t>
  </si>
  <si>
    <t>PICOS</t>
  </si>
  <si>
    <t>PIRIPIRI</t>
  </si>
  <si>
    <t>SAO JOAO DO PIAUI</t>
  </si>
  <si>
    <t>TERESINA</t>
  </si>
  <si>
    <t>VALE DO GURGUEIA (CRISTIANO CASTRO)</t>
  </si>
  <si>
    <t>CAMPO MOURAO</t>
  </si>
  <si>
    <t>CASTRO</t>
  </si>
  <si>
    <t>CURITIBA</t>
  </si>
  <si>
    <t>GUAIRA</t>
  </si>
  <si>
    <t>IRATI</t>
  </si>
  <si>
    <t>IVAI</t>
  </si>
  <si>
    <t>JACAREZINHO</t>
  </si>
  <si>
    <t>LONDRINA</t>
  </si>
  <si>
    <t>MARINGA</t>
  </si>
  <si>
    <t>PARANAGUA</t>
  </si>
  <si>
    <t>AVELAR (P.DO ALFERES)</t>
  </si>
  <si>
    <t>BANGU</t>
  </si>
  <si>
    <t>CAMPOS</t>
  </si>
  <si>
    <t>CARMO</t>
  </si>
  <si>
    <t>CORDEIRO</t>
  </si>
  <si>
    <t>ECOLOGIA AGRICOLA</t>
  </si>
  <si>
    <t>GRA. JURITI (PETROPOL.</t>
  </si>
  <si>
    <t>IGUABA GRANDE</t>
  </si>
  <si>
    <t>ITAPERUNA</t>
  </si>
  <si>
    <t>MACAE-PESAGRO</t>
  </si>
  <si>
    <t>MARAMBAIA</t>
  </si>
  <si>
    <t>MARICA</t>
  </si>
  <si>
    <t>PIRAI</t>
  </si>
  <si>
    <t>REALENGO</t>
  </si>
  <si>
    <t>RESENDE</t>
  </si>
  <si>
    <t>RIO BONITO</t>
  </si>
  <si>
    <t>SANTA MARIA MADALENA</t>
  </si>
  <si>
    <t>SANTA MONICA (VALENCA)</t>
  </si>
  <si>
    <t>SANTO ANTONIO DE PADUA</t>
  </si>
  <si>
    <t>SAO FIDELIS</t>
  </si>
  <si>
    <t>TERESOPOLIS</t>
  </si>
  <si>
    <t>APODI</t>
  </si>
  <si>
    <t>CEARA MIRIM</t>
  </si>
  <si>
    <t>CRUZETA</t>
  </si>
  <si>
    <t>FLORANIA</t>
  </si>
  <si>
    <t>MACAU</t>
  </si>
  <si>
    <t>MOSSORO</t>
  </si>
  <si>
    <t>NATAL</t>
  </si>
  <si>
    <t>SERIDO (CAICO)</t>
  </si>
  <si>
    <t>PORTO VELHO</t>
  </si>
  <si>
    <t>BOA VISTA</t>
  </si>
  <si>
    <t>CARACARAI</t>
  </si>
  <si>
    <t>BAGE</t>
  </si>
  <si>
    <t>BENTO GONCALVES</t>
  </si>
  <si>
    <t>BOM JESUS</t>
  </si>
  <si>
    <t>CAMBARA DO SUL</t>
  </si>
  <si>
    <t>CAMPO BOM</t>
  </si>
  <si>
    <t>CAXIAS DO SUL</t>
  </si>
  <si>
    <t>CRUZ ALTA</t>
  </si>
  <si>
    <t>ENCRUZILHADA DO SUL</t>
  </si>
  <si>
    <t>IBIRUBA</t>
  </si>
  <si>
    <t>IRAI</t>
  </si>
  <si>
    <t>LAGOA VERMELHA</t>
  </si>
  <si>
    <t>PASSO FUNDO</t>
  </si>
  <si>
    <t>PELOTAS</t>
  </si>
  <si>
    <t>PORTO ALEGRE</t>
  </si>
  <si>
    <t>RIO GRANDE</t>
  </si>
  <si>
    <t>SANTA MARIA</t>
  </si>
  <si>
    <t>SANTA VITORIA DO PALMAR</t>
  </si>
  <si>
    <t>SANTANA DO LIVRAMENTO</t>
  </si>
  <si>
    <t>SAO LUIZ GONZAGA</t>
  </si>
  <si>
    <t>TORRES</t>
  </si>
  <si>
    <t>URUGUAIANA</t>
  </si>
  <si>
    <t>CAMPOS NOVOS</t>
  </si>
  <si>
    <t>CHAPECO</t>
  </si>
  <si>
    <t>FLORIANOPOLIS</t>
  </si>
  <si>
    <t>INDAIAL</t>
  </si>
  <si>
    <t>LAGES</t>
  </si>
  <si>
    <t>SAO JOAQUIM</t>
  </si>
  <si>
    <t>URUSSANGA</t>
  </si>
  <si>
    <t>ARACAJU</t>
  </si>
  <si>
    <t>ITABAIANINHA</t>
  </si>
  <si>
    <t>PROPRIA</t>
  </si>
  <si>
    <t>ANDRADINA</t>
  </si>
  <si>
    <t>AVARE</t>
  </si>
  <si>
    <t>CAMPOS DO JORDAO</t>
  </si>
  <si>
    <t>CATANDUVA</t>
  </si>
  <si>
    <t>FRANCA</t>
  </si>
  <si>
    <t>GUARULHOS</t>
  </si>
  <si>
    <t>IGUAPE</t>
  </si>
  <si>
    <t>JABOTICABAL</t>
  </si>
  <si>
    <t>PRESIDENTE PRUDENTE</t>
  </si>
  <si>
    <t>SANTOS</t>
  </si>
  <si>
    <t>SAO CARLOS</t>
  </si>
  <si>
    <t>SAO PAULO(MIR.de SANTANA)</t>
  </si>
  <si>
    <t>SAO SIMAO</t>
  </si>
  <si>
    <t>SOROCABA</t>
  </si>
  <si>
    <t>TAUBATE</t>
  </si>
  <si>
    <t>UBATUBA</t>
  </si>
  <si>
    <t>VOTUPORANGA</t>
  </si>
  <si>
    <t>ARAGUAINA</t>
  </si>
  <si>
    <t>PALMAS</t>
  </si>
  <si>
    <t>PEDRO AFONSO</t>
  </si>
  <si>
    <t>PEIXE</t>
  </si>
  <si>
    <t>PORTO NACIONAL</t>
  </si>
  <si>
    <t>TAGUATINGA</t>
  </si>
  <si>
    <t>Normal Climatológica do Brasil 1981-2010 (INMET)</t>
  </si>
  <si>
    <t>Temperatura Mínima Absoluta (°C)</t>
  </si>
  <si>
    <t xml:space="preserve"> - </t>
  </si>
  <si>
    <t xml:space="preserve"> -  </t>
  </si>
  <si>
    <t xml:space="preserve"> -</t>
  </si>
  <si>
    <t>PORTO PLATON</t>
  </si>
  <si>
    <t xml:space="preserve">  -</t>
  </si>
  <si>
    <t>RONDONOPOLIS</t>
  </si>
  <si>
    <t>Formulário de Solicitação de Acesso para Microgeração Distribuída com Potência Igual ou Inferior a 10kW</t>
  </si>
  <si>
    <t>Formulário de Solicitação de Acesso para Microgeração Distribuída com Potência Superior a 10kW</t>
  </si>
  <si>
    <t>Dados para Registro da Central Geradora</t>
  </si>
  <si>
    <t>Registro da Central Cogeradora</t>
  </si>
  <si>
    <t>1 - Identificação da Unidade Consumidora - UC</t>
  </si>
  <si>
    <t>Dados solicitados</t>
  </si>
  <si>
    <t>Para preenchimento</t>
  </si>
  <si>
    <t>Glossário</t>
  </si>
  <si>
    <t>Código do Cliente - solicitante *</t>
  </si>
  <si>
    <t>linforme o código de cliente do solicitante</t>
  </si>
  <si>
    <t>Identificação da Unidade Consumidora - UC</t>
  </si>
  <si>
    <t>Código da Instalação *</t>
  </si>
  <si>
    <t>Informe o código da Instalação para a Unidade Geradora</t>
  </si>
  <si>
    <t>Data da Solicitação *</t>
  </si>
  <si>
    <t>Informe a data de entrada do pedido junto à Light</t>
  </si>
  <si>
    <t>2 - Dados da Unidade Consumidora</t>
  </si>
  <si>
    <t>Tipo de Unidade Geradora *</t>
  </si>
  <si>
    <t>|X| Nova | | Ampliação</t>
  </si>
  <si>
    <t>Informe se é o primeiro registro da Unidade Consumidora na ANEEL (Nova) ou se é ampliação de uma unidade já registrada (Ampliação)</t>
  </si>
  <si>
    <t>Tipo de conexão:</t>
  </si>
  <si>
    <t>monofásica</t>
  </si>
  <si>
    <t>bifásica</t>
  </si>
  <si>
    <t>trifásica</t>
  </si>
  <si>
    <t>Unidades 
Geradoras - UFV
(Preencher apenas
para solicitação de
unidade geradora
Fotovoltaica)</t>
  </si>
  <si>
    <t>Qtde Módulos</t>
  </si>
  <si>
    <t>Quantidade total de módulos</t>
  </si>
  <si>
    <t>3 - Dados da Geração</t>
  </si>
  <si>
    <t>Fabricante dos Módulos</t>
  </si>
  <si>
    <t>Fabricante da maioria dos módulos</t>
  </si>
  <si>
    <t>Tipo de ramal:</t>
  </si>
  <si>
    <t>aéreo</t>
  </si>
  <si>
    <t>subterrâneo</t>
  </si>
  <si>
    <t>Área dos Arranjos (m2)</t>
  </si>
  <si>
    <t>Área total ocupada pelo sistema</t>
  </si>
  <si>
    <t>Tipo da Fonte de Geração:</t>
  </si>
  <si>
    <t>Geração Fotovoltaica</t>
  </si>
  <si>
    <t>Qtde Inversores</t>
  </si>
  <si>
    <t>Quantidade total de inversores</t>
  </si>
  <si>
    <t>Hidráulica</t>
  </si>
  <si>
    <t>Solar</t>
  </si>
  <si>
    <t>Eólica</t>
  </si>
  <si>
    <t>Biomassa</t>
  </si>
  <si>
    <t>Cogeração Qualificada</t>
  </si>
  <si>
    <t>Fabricante do Inversor</t>
  </si>
  <si>
    <t>Fabricante da maioria dos inversores</t>
  </si>
  <si>
    <t>Outra (especificar):</t>
  </si>
  <si>
    <t>Potência dos Módulos (kWp)</t>
  </si>
  <si>
    <t>Soma das potências dos módulos</t>
  </si>
  <si>
    <t>4 - Documentação a Ser Anexada</t>
  </si>
  <si>
    <t>Potência dos Inversores (kWp)</t>
  </si>
  <si>
    <t>Soma das potências dos inversores</t>
  </si>
  <si>
    <t>1.</t>
  </si>
  <si>
    <t>ART do Responsável Técnico pelo projeto elétrico e instalação do sistema de microgeração</t>
  </si>
  <si>
    <t>Data da conexão</t>
  </si>
  <si>
    <t>Data de conexão da unidade geradora à rede de distribuição</t>
  </si>
  <si>
    <t>2.</t>
  </si>
  <si>
    <t>Diagrama unifilar contemplando Geração/Proteção(inversor, se for o caso)/Medição e memorial</t>
  </si>
  <si>
    <t>descritivo da instalação.</t>
  </si>
  <si>
    <t>Unidades
Geradoras - EOL
(Preencher apenas
para solicitação de
unidade geradora
Eólica)</t>
  </si>
  <si>
    <t>Fabricante do aerogerador</t>
  </si>
  <si>
    <t>Projeto elétrico das instalações de conexão, memorial descritivo</t>
  </si>
  <si>
    <t>3.</t>
  </si>
  <si>
    <t>Certificado de conformidade do(s) inversor(es) ou número de registro da concessão do Inmetro do(s)</t>
  </si>
  <si>
    <t>Geração Eólica</t>
  </si>
  <si>
    <t>Modelo do aerogerador</t>
  </si>
  <si>
    <t>Diagrama unifilar e de blocos do sistema de geração, carga e proteção</t>
  </si>
  <si>
    <t>inversor(es) para a tensão nominal de conexão com a rede.</t>
  </si>
  <si>
    <t>Fabricante: ___________________________________________ Modelo: _______________________________</t>
  </si>
  <si>
    <t>Eixo rotor</t>
  </si>
  <si>
    <t>Horizontal ou vertical</t>
  </si>
  <si>
    <t>4.</t>
  </si>
  <si>
    <t>Dados necessários para registro da central geradora conforme disponível no site da ANEEL:</t>
  </si>
  <si>
    <t>Eixo do Rotor: ________________________________________ Altura da Pá (m): ________________________</t>
  </si>
  <si>
    <t>Altura pá (m)</t>
  </si>
  <si>
    <t>Altura máxima da pá em metros ou altura máxima atingida pela estrutura</t>
  </si>
  <si>
    <t>www.aneel.gov.br/scg</t>
  </si>
  <si>
    <t>Potência do Inversor (kW): _____________________________ Potência do Aerogerador (kW): _____________</t>
  </si>
  <si>
    <t>5.</t>
  </si>
  <si>
    <t>Lista de unidades consumidoras participantes do sistema de compensação (se houver) indicando a</t>
  </si>
  <si>
    <t>Potência do Inversor (kW)</t>
  </si>
  <si>
    <t>porcentagem de rateio dos créditos e o enquadramento conforme incisos VI a VIII do art. 2º da</t>
  </si>
  <si>
    <t>Potência do aerogerador (kW)</t>
  </si>
  <si>
    <t>Soma das potências dos aerogeradores</t>
  </si>
  <si>
    <t>6.</t>
  </si>
  <si>
    <t>Resolução Normativa nº 482/2012</t>
  </si>
  <si>
    <t>Geração Hidráulica</t>
  </si>
  <si>
    <t>Cópia de instrumento jurídico que comprove o compromisso de solidariedade entre os integrantes (se</t>
  </si>
  <si>
    <t>Rio: ____________________________ Bacia: ____________________________ SubBacia: _______________</t>
  </si>
  <si>
    <t>houver)</t>
  </si>
  <si>
    <t>Tipo de Turbina: _________ Potência da Turbina (kVA): _________ Potência Aparente do Gerador (kVA): ____</t>
  </si>
  <si>
    <t>Unidades Geradoras -
Hidráulicas
(Preencher apenas
para solicitação de
unidade geradora
hidrelétrica)</t>
  </si>
  <si>
    <t>Rio</t>
  </si>
  <si>
    <t>Rio onde se localiza a unidade geradora</t>
  </si>
  <si>
    <t>7.</t>
  </si>
  <si>
    <t>Documento que comprove o reconhecimento, pela ANEEL, da cogeração qualificada (se houver)</t>
  </si>
  <si>
    <t>Fator de Potência do Gerador: _______________________ Potência Ativa do Gerador (kW): _______________</t>
  </si>
  <si>
    <t>Bacia</t>
  </si>
  <si>
    <t>Bacia onde se localiza o rio</t>
  </si>
  <si>
    <t>5 - Contato na Distribuidora (preenchido pela Distribuidora)</t>
  </si>
  <si>
    <t>SubBacia</t>
  </si>
  <si>
    <t>SubBacia onde se localiza o rio</t>
  </si>
  <si>
    <t>8.</t>
  </si>
  <si>
    <t>Responsável/Área:</t>
  </si>
  <si>
    <t>Tipo Turbina</t>
  </si>
  <si>
    <t>Tipo de turbina</t>
  </si>
  <si>
    <t>Geração Com Biomassa, Solar Térmica ou Cogeração</t>
  </si>
  <si>
    <t>Potência da Turbina (kVA)</t>
  </si>
  <si>
    <t>Soma das potências nominais das turbinas em kVA</t>
  </si>
  <si>
    <t>Potência Aparente do Gerador (kVA): ____________________ Fator de Potência do Gerador: ______________</t>
  </si>
  <si>
    <t>(Outorgante)</t>
  </si>
  <si>
    <t>E-mail:</t>
  </si>
  <si>
    <t>Potência Ativa do Gerador (kW): _________________________________ Fonte: _________________________</t>
  </si>
  <si>
    <t>Potência do Gerador (kVA)</t>
  </si>
  <si>
    <t>Soma das potências nominais dos geradores em kVA</t>
  </si>
  <si>
    <t>6 - Solicitante</t>
  </si>
  <si>
    <t>Fator Potência do Gerador</t>
  </si>
  <si>
    <t>Fator de potência do gerador - valor entre 0 e 1</t>
  </si>
  <si>
    <t>Solicitante</t>
  </si>
  <si>
    <t>Potência do Gerador (kW)</t>
  </si>
  <si>
    <t>Resultado da multiplicação da potência nominal em kVA pelo Fator de Potência.</t>
  </si>
  <si>
    <t>Unidades Geradoras -
Biomassa/Solar Térmica/
Cogeração
(Preencher apenas para
solicitação de unidade
geradora Biomassa/Solar
Térmica/Cogeração</t>
  </si>
  <si>
    <t xml:space="preserve">____________________________________ </t>
  </si>
  <si>
    <t>Local</t>
  </si>
  <si>
    <t>Assinatura do Responsável</t>
  </si>
  <si>
    <t>Resultado da multiplicação da potência nominal em kVA pelo fator de potência.</t>
  </si>
  <si>
    <t>___________________________</t>
  </si>
  <si>
    <t>Fonte</t>
  </si>
  <si>
    <t>Informar a fonte alternativa de energia que
será utilizada</t>
  </si>
  <si>
    <t>PREENCHIMENTO DA SOLICITAÇÃO DE ACESSO LIGHT</t>
  </si>
  <si>
    <t>PREENCHIMENTO DA SOLICITAÇÃO DE ACESSO ENEL</t>
  </si>
  <si>
    <t>OBRA OU SERVIÇO &gt; NOVO CONTRATO &gt; INICIAL &gt; INDIVIDUAL</t>
  </si>
  <si>
    <t>(PRIMEIRA OPÇÃO EM TODOS OS CAMPOS)</t>
  </si>
  <si>
    <t>Nome do Cliente</t>
  </si>
  <si>
    <t>Identificação da Unidade Consumidora</t>
  </si>
  <si>
    <t>Responsável Técnico:</t>
  </si>
  <si>
    <t>Código do Cliente</t>
  </si>
  <si>
    <t>Código da UC:</t>
  </si>
  <si>
    <t xml:space="preserve">Alterar somente: </t>
  </si>
  <si>
    <t>Tipo de Pessoa</t>
  </si>
  <si>
    <t>Classe:</t>
  </si>
  <si>
    <t>6- Relação entidade: NENHUMA</t>
  </si>
  <si>
    <t>Data de Nascimento</t>
  </si>
  <si>
    <t>Titular:</t>
  </si>
  <si>
    <t>Contratante:</t>
  </si>
  <si>
    <t>Orgão Emissor</t>
  </si>
  <si>
    <t>CEP:</t>
  </si>
  <si>
    <t>7- CPF/CNPJ:</t>
  </si>
  <si>
    <t>Logradouro:</t>
  </si>
  <si>
    <t>9- NOME DO CLIENTE:</t>
  </si>
  <si>
    <t>Número:</t>
  </si>
  <si>
    <t>8- TIPO DE CONTRATANTE:</t>
  </si>
  <si>
    <t>PF ou PJ</t>
  </si>
  <si>
    <t>Bairro:</t>
  </si>
  <si>
    <t>10- CEP:</t>
  </si>
  <si>
    <t>Conferir o endereço!</t>
  </si>
  <si>
    <t>Município:</t>
  </si>
  <si>
    <t>End/n°/comp:</t>
  </si>
  <si>
    <t>Dados do solicitante</t>
  </si>
  <si>
    <t>Complemento:</t>
  </si>
  <si>
    <t>Estado/munic./Bairro:</t>
  </si>
  <si>
    <t>VINÍCIUS CARLOS DE LIMA TEIXEIRA</t>
  </si>
  <si>
    <t>Latitude X Longitude:</t>
  </si>
  <si>
    <t>Telefone Celular</t>
  </si>
  <si>
    <t>Dados do Contrato e da Obra/Serviço:</t>
  </si>
  <si>
    <t>Dados da Geração</t>
  </si>
  <si>
    <t>Dados da Unidade Consumidora</t>
  </si>
  <si>
    <t>Tipo de Fonte G.:</t>
  </si>
  <si>
    <t>16- N° Ramo:</t>
  </si>
  <si>
    <t>2101 - ENGA ELETRICISTA</t>
  </si>
  <si>
    <t>n° da instalação</t>
  </si>
  <si>
    <t>15- N° DO CONTRATO:</t>
  </si>
  <si>
    <t>Ano + Sequêncial</t>
  </si>
  <si>
    <t>17- ATIVID. TÉCNICAS:</t>
  </si>
  <si>
    <t>27 - Execução de Instalação</t>
  </si>
  <si>
    <t>29 - Execução de Obra</t>
  </si>
  <si>
    <t>49 - Projeto</t>
  </si>
  <si>
    <t>Área (m²):</t>
  </si>
  <si>
    <t>18- ESPECIF. DA ATIVIDADE:</t>
  </si>
  <si>
    <t>20 - Dimensionamento</t>
  </si>
  <si>
    <t>67 - Teste</t>
  </si>
  <si>
    <t>19- COMPLEMENTO:</t>
  </si>
  <si>
    <t>79 - Gerador</t>
  </si>
  <si>
    <t>CELEBRADO EM:</t>
  </si>
  <si>
    <t>Fabricante do Inversor:</t>
  </si>
  <si>
    <t>QUANTIFICAÇÃO:</t>
  </si>
  <si>
    <t>Modelo do Inversor:</t>
  </si>
  <si>
    <t>UNIDADE:</t>
  </si>
  <si>
    <t>KWP - QUILO WATT PICO</t>
  </si>
  <si>
    <t>Dados da Solicitação</t>
  </si>
  <si>
    <t>Potência instalada:</t>
  </si>
  <si>
    <t>21- N° PAVIMENTOS:</t>
  </si>
  <si>
    <t>Tipo de Geração:</t>
  </si>
  <si>
    <t>22- DATA INÍCIO:</t>
  </si>
  <si>
    <t>Dados complementares do tipo de Geração</t>
  </si>
  <si>
    <t>Quantidade de Ucs que Recebem Créditos:</t>
  </si>
  <si>
    <t>23- PRAZO DO CONTRATO:</t>
  </si>
  <si>
    <t>MESES</t>
  </si>
  <si>
    <t>DIAS</t>
  </si>
  <si>
    <t>Data de Implantação:</t>
  </si>
  <si>
    <t>25- VALOR DO CONTRATO:</t>
  </si>
  <si>
    <t>Dados da UC</t>
  </si>
  <si>
    <t>FINALIDADE:</t>
  </si>
  <si>
    <t>Potência Instalada</t>
  </si>
  <si>
    <t>Potência Instalada:</t>
  </si>
  <si>
    <t>CPF/CNPJ:</t>
  </si>
  <si>
    <t>BUSCAR</t>
  </si>
  <si>
    <t>Tensão de atendimento</t>
  </si>
  <si>
    <t>Nível de Tensão:</t>
  </si>
  <si>
    <t>Baixa Tensão</t>
  </si>
  <si>
    <t>PROPRIETÁRIO:</t>
  </si>
  <si>
    <t>Tipo de Conexão</t>
  </si>
  <si>
    <t>Tipo de Conexão:</t>
  </si>
  <si>
    <t>Potência Instalada de Geração</t>
  </si>
  <si>
    <t>Tensão de Atendimento:</t>
  </si>
  <si>
    <t>27- DESCRIÇÃO:</t>
  </si>
  <si>
    <t>Corrente do Disjuntor (A):</t>
  </si>
  <si>
    <t>Subgrupo Tarifário:</t>
  </si>
  <si>
    <t>Documentos</t>
  </si>
  <si>
    <t>Modalidade:</t>
  </si>
  <si>
    <t>Escolher</t>
  </si>
  <si>
    <t>PF:</t>
  </si>
  <si>
    <t>Documento de identificação oficial com foto.</t>
  </si>
  <si>
    <t>Comprovante de inscrição do CPF (se este não constar no documento de identificação com foto).</t>
  </si>
  <si>
    <t>Latitude:</t>
  </si>
  <si>
    <t>PJ:</t>
  </si>
  <si>
    <t>Comprovante do cadastro nacional de pessoa jurídica (CNPJ).</t>
  </si>
  <si>
    <t>Longitude:</t>
  </si>
  <si>
    <t>Documento relativo à constituição da pessoa jurídica e a última alteração contratual, se houver.</t>
  </si>
  <si>
    <t>Documento de identificação oficial com foto e comprovante de inscrição do CPF (se este não constar no documento de identificação com foto), dos representantes legais da pessoa Jurídica.</t>
  </si>
  <si>
    <t>Solicitante:</t>
  </si>
  <si>
    <t>Nome:</t>
  </si>
  <si>
    <t>Telefone Celular:</t>
  </si>
  <si>
    <t>RUA PINHO, 100</t>
  </si>
  <si>
    <t>P0025 - [FV02] MARCIO MARTINS</t>
  </si>
  <si>
    <t>[FV02] MARCIO MARTINS</t>
  </si>
  <si>
    <t>SUN-45K-G-LV</t>
  </si>
  <si>
    <t>P0343 - [FV01] Henrique</t>
  </si>
  <si>
    <t>P0343</t>
  </si>
  <si>
    <t>[FV01] Henrique</t>
  </si>
  <si>
    <t xml:space="preserve">
Contato: https://app.clickup.com/t/86a3p17a8
Infos importantes
Briefing</t>
  </si>
  <si>
    <t>P0344 - [FV01] Emerson Chaves</t>
  </si>
  <si>
    <t>P0344</t>
  </si>
  <si>
    <t>[FV01] Emerson Chaves</t>
  </si>
  <si>
    <t xml:space="preserve">
Contato: https://app.clickup.com/t/86a3p813j
Infos importantes
Briefing</t>
  </si>
  <si>
    <t>P0345 - [FV01] Luiz Milagres</t>
  </si>
  <si>
    <t>P0345</t>
  </si>
  <si>
    <t>[FV01] Luiz Milagres</t>
  </si>
  <si>
    <t>reunião</t>
  </si>
  <si>
    <t>P0346</t>
  </si>
  <si>
    <t>fup</t>
  </si>
  <si>
    <t>R. Crundiúba, 370</t>
  </si>
  <si>
    <t>R. Alberto de Campos, 180</t>
  </si>
  <si>
    <t>RJ 118</t>
  </si>
  <si>
    <t>Rua Jaborandi</t>
  </si>
  <si>
    <t>DUQUE DE CAXIAS</t>
  </si>
  <si>
    <t>R CEDRO</t>
  </si>
  <si>
    <t>R. Amendoeiras</t>
  </si>
  <si>
    <t>AV DOS PESCADORES</t>
  </si>
  <si>
    <t>R RAUL SEIXAS</t>
  </si>
  <si>
    <t>R TROVADOR</t>
  </si>
  <si>
    <t>EST DO TINDIBA</t>
  </si>
  <si>
    <t>AP 1402</t>
  </si>
  <si>
    <t>RUA DAS MARGARIDAS</t>
  </si>
  <si>
    <t>EST RIO GRANDE</t>
  </si>
  <si>
    <t>ROD AMARAL PEIXOTO 15500</t>
  </si>
  <si>
    <t>Jardim Carioca</t>
  </si>
  <si>
    <t>Condomínio Ubá Recanto</t>
  </si>
  <si>
    <t>Av. Cėsar Morani Comendador</t>
  </si>
  <si>
    <t>Travessa Ourives</t>
  </si>
  <si>
    <t>Rua Mario Soares Pereira</t>
  </si>
  <si>
    <t>Rua Erlon Chaves</t>
  </si>
  <si>
    <t>Rua Imbuia</t>
  </si>
  <si>
    <t>ESTRAD GAVE PEQUENA</t>
  </si>
  <si>
    <t xml:space="preserve"> APTO 107</t>
  </si>
  <si>
    <t>Rua Fala Amendoeira</t>
  </si>
  <si>
    <t>R. Riachuelo</t>
  </si>
  <si>
    <t>25</t>
  </si>
  <si>
    <t>R. José Vicente</t>
  </si>
  <si>
    <t>R. Escritor Rodrigo Melo Franco</t>
  </si>
  <si>
    <t>4 1403</t>
  </si>
  <si>
    <t>Estr. dos Bandeirantes</t>
  </si>
  <si>
    <t>Estr. União e Indústria</t>
  </si>
  <si>
    <t>R. Dr. Bernardino</t>
  </si>
  <si>
    <t>R. Piauí</t>
  </si>
  <si>
    <t>Av. Célia Ribeiro da Silva Mendes</t>
  </si>
  <si>
    <t>9 301</t>
  </si>
  <si>
    <t>R. Araticum</t>
  </si>
  <si>
    <t>Freguesia (Jacarepaguá)</t>
  </si>
  <si>
    <t>Rua Edgard Werneck</t>
  </si>
  <si>
    <t>Maricá</t>
  </si>
  <si>
    <t>Jaconé</t>
  </si>
  <si>
    <t>R. Dom Casmurro</t>
  </si>
  <si>
    <t>01</t>
  </si>
  <si>
    <t>R. Oscar Niemeyer</t>
  </si>
  <si>
    <t>Ipanema</t>
  </si>
  <si>
    <t>Niterói</t>
  </si>
  <si>
    <t>P0350 - [FV01] Antonio Rodrigo</t>
  </si>
  <si>
    <t>P0350</t>
  </si>
  <si>
    <t>[FV01] Antonio Rodrigo</t>
  </si>
  <si>
    <t>R. Antônio Cerazio, 90</t>
  </si>
  <si>
    <t>Bangu</t>
  </si>
  <si>
    <t>Target</t>
  </si>
  <si>
    <t>Valor Final</t>
  </si>
  <si>
    <t>Se Microinversor:</t>
  </si>
  <si>
    <t>Margem sobre Target</t>
  </si>
  <si>
    <t>FULL</t>
  </si>
  <si>
    <t>C:\Users\ADM\OneDrive\Documentos\Cactos\000 - Prospectos - Pré-Propostas</t>
  </si>
  <si>
    <t>Link Pasta de Salvamento</t>
  </si>
  <si>
    <t>P0355</t>
  </si>
  <si>
    <t>P0087 - [FV02] LUCIA HELENA DOS REIS MAZONI ANDRADE</t>
  </si>
  <si>
    <t>[FV02] LUCIA HELENA DOS REIS MAZONI ANDRADE</t>
  </si>
  <si>
    <t>Tem adequação do padrão e quer fazer seguro
Vontade do cliente, distribuir nas 3 fases + 3 dps
Antigo
Indicação do cliente Mônica P0062. Tem vontate de aumentar o consumo com AC, 20% em 2 de 12mil btus e um novo de 9mil btus além de usar mais o forno elétrico.
LUCIA HELENA DOS REIS MAZONI ANDRADE 
CPF 021.777.937-93 
ENDERECO INSTALAÇÃO: RUA CRUNDIUBA 370 - JARDIM CARIOCA - CEP 21931-500 - RIO DE JANEIRO - RJ
E-MAIL: mazoni.lucia@gmail.com 
Nascimento: 18/09/1969
Nacionalidade: brasileira
Infos da fatura
LUCIA HELENA DOS REIS MAZONI ANDRADE
R CRUNDIUBA 370
JARDIM CARIOCA / RIO DE JANEIRO, RJ
CEP 21931-500
CPF 021.777.937-93
Conta Contrato: 10110175748
Código da Instalação: 0411505582
Código do cliente: 32267458</t>
  </si>
  <si>
    <t>Estamos falando com Alair (síndico) - 4 faturas (3 bi e 1 tri). Querem financiar o sistema. Levar uma simulação da SolPlace. Já tem 2 propostas na mesa, precisam de 3 para decidir.
Retomando a ideia de colocar energia solar.
Confirmar se estão de acordo com o layout do projeto.
Condomínio Jardisn da Costa Inoã, idicação miguel.Consumo aumentou de 2762 mar/21 para 2866 mar/22. Aprox 4%
______
Novo
Disse que não quer ser fiador do condomínio (Disse que já recebeu propostas de alguns bancos, e alguns querem que seja fiador)
Ele disse que vai mandar a proposta que ele recebeu das outras empresas pelo whatsapp
Disse que vai mandar a fatura de energia
Fez cotação com 2 empresas e disse que precisa fazer com 3 para passar para os conselheiros (já fizeram a assembleia de condomínio)
Disse que a forma de pagamento é parcelado e que quer que seja com a empresa que toma conta do condomínio
A ideia é que pague somente a taxa mínima de energia, e gasta em torno de 5500,00
Quer pagar na parcela 4mil e pouco (o quanto gasta de energia mensal)
Disse que lá são 3 trifásicos e 1 bifásico</t>
  </si>
  <si>
    <t>P0353 - [FV01] Lead teste</t>
  </si>
  <si>
    <t>[FV01] Lead teste</t>
  </si>
  <si>
    <t>Av. Salvador Allende, 4720</t>
  </si>
  <si>
    <t>Curicica</t>
  </si>
  <si>
    <t>efaeufoaeiewopnefnwefnWFBIAWEFNWEFNçs</t>
  </si>
  <si>
    <t>P0356 - [FV01] Luciane Teste</t>
  </si>
  <si>
    <t>P0356</t>
  </si>
  <si>
    <t>[FV01] Luciane Teste</t>
  </si>
  <si>
    <t>R. Vila Cinco Ac R Edgard Werneck 11</t>
  </si>
  <si>
    <t>Infos importantes
Briefing</t>
  </si>
  <si>
    <t>V15.7</t>
  </si>
  <si>
    <t>V15.8</t>
  </si>
  <si>
    <t>Ajustes de macros e layout, correção do valor do target que apresentava divergência</t>
  </si>
  <si>
    <t>Link de salvamento</t>
  </si>
  <si>
    <t>R. Borboletas, 266</t>
  </si>
  <si>
    <t>Queimados</t>
  </si>
  <si>
    <t>São Cristovao</t>
  </si>
  <si>
    <t>R. Cento e Quarenta e Sete, 129</t>
  </si>
  <si>
    <t>P0354 - [FV01] Karla Paloma Pinto de Queiroz David</t>
  </si>
  <si>
    <t>P0354</t>
  </si>
  <si>
    <t>[FV01] Karla Paloma Pinto de Queiroz David</t>
  </si>
  <si>
    <t>Estr. da Gávea Pequena, 952</t>
  </si>
  <si>
    <t>Alto da Boa Vista</t>
  </si>
  <si>
    <t>P0146 - [FV01] CÉLIA</t>
  </si>
  <si>
    <t>[FV01] CÉLIA</t>
  </si>
  <si>
    <t>Havíamos gerado uma proposta e depois tivemos que refazer pois o consumo tinha diminuído.
Rodamos uma proposta menor. Ficou de dar uma posição e não deu. Fazer FUP. Havia pensado de destinar também créditos excedentes para o filho. Verificar qual a expectativa.
Indicação Jonatas P0077. Aumento de Mar21 368 para Mar22 483kWh (31%). Pediu para um ocnsumo de 400 a 450kWh
Novo
Disse que posso falar pelo whatsapp
Ele disse que tem interesse em energia solar
Está pagando 370,00 de luz
Falou que não desistiu do projeto de energia solar e quer saber se temos coisas boas
Teve redução de fatura pois reduziu a quantidade de pessoas na casa
21/06/2024 -falei c</t>
  </si>
  <si>
    <t>Novo
Enviamos a proposta. Realizar Follow up
Lead atendeu a chamada e disse que pode mandar a fatura de energia elétrica
Parece interessada na solução de energia solar
Quer proposta apenas. Disse que tem um bebê pequeno, e que a proposta seria melhor do que uma reunião para ela.
Já mandou a fatura de energia
Quer aumentar o consumo de 1000w para 1500w
Estou com o lead pelo whatsapp (mandou a fatura)
Quer 2 propostas comerciais (uma de 1000w de consumo e outra de 1500w de consumo de energia elétrica)
Antigo
Cliente veio através do Solutudo. Pediu dois orçamentos, os dois pensando em um sistema maior, pois irá aumentar o uso do ar-condicionado. Nos dois orçamentos ela tem interesse no aquecimento banho, mas quer um orçamento com aquecimento piscina e o outro sem aquecimento piscina. Sobre os ar-condicionados: são 3 aparelhos, não sabe os BTUs, mas falou para considerar como se fosse 12000, vai usar só no verão, com um pouco mais de horas (falou para considerar 10h por dia). Não tem interesse em outros equipamentos que também poderiam aumentar o consumo.</t>
  </si>
  <si>
    <t>VINICIUS TEIXEIRA</t>
  </si>
  <si>
    <t>Contato: https://app.clickup.com/t/86a3pkt56
Infos importantes
Briefing
Indicação do Nivaldo, já estamos fazendo instalação na casa de outra indicação do Nivaldo. Rodrigo já está instalando.. 
Light
LUIZ PAULO MILAGRES JUNIOR
R TRES SN LP LT 20 QD QSC
VILA PACAEMBU / QUEIMADOS, RJ
CEP 26323-521
CPF 047.068.317-17
código da instalação 0430379390
código do cliente 20910375</t>
  </si>
  <si>
    <t>P0346 - [FV01] Roberto Medeiros da Silva</t>
  </si>
  <si>
    <t>[FV01] Roberto Medeiros da Silva</t>
  </si>
  <si>
    <t>DEYE - SUN-5K-SG01LP1-US - HIBRIDO</t>
  </si>
  <si>
    <t>https://belenus.com.br/api/arquivo/download/DATASHEET_INVDE_H_MO_127V_5KW.pdf</t>
  </si>
  <si>
    <t>Jacarepaguá</t>
  </si>
  <si>
    <t>8.940-000</t>
  </si>
  <si>
    <t>8 AP 107)</t>
  </si>
  <si>
    <t>882, bloco 8 casa 107 (R A 345 LT 3 BL 8 AP 107)</t>
  </si>
  <si>
    <t>25 CA 106</t>
  </si>
  <si>
    <t>OBO, 419A</t>
  </si>
  <si>
    <t>IRICA 574</t>
  </si>
  <si>
    <t xml:space="preserve"> 5 AP 103</t>
  </si>
  <si>
    <t>52 ap 101</t>
  </si>
  <si>
    <t>Gois, 882</t>
  </si>
  <si>
    <t>DE CAXIAS</t>
  </si>
  <si>
    <t>GOA SANTA</t>
  </si>
  <si>
    <t>ZA 122 C8</t>
  </si>
  <si>
    <t>NSECA 175</t>
  </si>
  <si>
    <t>EDRO, 137</t>
  </si>
  <si>
    <t>14 AP 401</t>
  </si>
  <si>
    <t>eiras, 12</t>
  </si>
  <si>
    <t>66, LJ 10</t>
  </si>
  <si>
    <t>666, LJ 10</t>
  </si>
  <si>
    <t>EIXAS,268</t>
  </si>
  <si>
    <t>ORTO REAL</t>
  </si>
  <si>
    <t xml:space="preserve"> QD 40 FD</t>
  </si>
  <si>
    <t>MBUIA, 89</t>
  </si>
  <si>
    <t>ANDA, 215</t>
  </si>
  <si>
    <t>796, LJ D</t>
  </si>
  <si>
    <t>1796, LJ D</t>
  </si>
  <si>
    <t xml:space="preserve"> 436 LJ F</t>
  </si>
  <si>
    <t>eiro, 400</t>
  </si>
  <si>
    <t xml:space="preserve"> 35 AP906</t>
  </si>
  <si>
    <t xml:space="preserve"> SN LT 77</t>
  </si>
  <si>
    <t>petiba, 5</t>
  </si>
  <si>
    <t>OIUNA 727</t>
  </si>
  <si>
    <t>RIANA, 12</t>
  </si>
  <si>
    <t>- AP 1402</t>
  </si>
  <si>
    <t xml:space="preserve"> HAENY 9A</t>
  </si>
  <si>
    <t>BAIA 80C1</t>
  </si>
  <si>
    <t xml:space="preserve"> SV SERV.</t>
  </si>
  <si>
    <t xml:space="preserve"> PA 11253</t>
  </si>
  <si>
    <t>ITZER 276</t>
  </si>
  <si>
    <t>LJ LT 240</t>
  </si>
  <si>
    <t>XEIRA 546</t>
  </si>
  <si>
    <t xml:space="preserve"> 310 CA 1</t>
  </si>
  <si>
    <t>urivio 91</t>
  </si>
  <si>
    <t>IDAS, 182</t>
  </si>
  <si>
    <t>ABIROBA 7</t>
  </si>
  <si>
    <t xml:space="preserve"> 7 AP 106</t>
  </si>
  <si>
    <t>305 GR
18</t>
  </si>
  <si>
    <t>URI 1506B</t>
  </si>
  <si>
    <t>52SN CA20</t>
  </si>
  <si>
    <t>ADE 70 SV</t>
  </si>
  <si>
    <t>1 CA 1 FD</t>
  </si>
  <si>
    <t>RI 229 FD</t>
  </si>
  <si>
    <t>APIARA 78</t>
  </si>
  <si>
    <t>07 AP 804</t>
  </si>
  <si>
    <t>RIPOS 201</t>
  </si>
  <si>
    <t>75 SV BL2</t>
  </si>
  <si>
    <t>500, ED 0</t>
  </si>
  <si>
    <t>8 casa 01</t>
  </si>
  <si>
    <t>300 CA 82</t>
  </si>
  <si>
    <t>094 CS 03</t>
  </si>
  <si>
    <t>LT 41 QD3</t>
  </si>
  <si>
    <t xml:space="preserve"> LT1 QD 1</t>
  </si>
  <si>
    <t>RIVIO 105</t>
  </si>
  <si>
    <t>9 CA 2 FD</t>
  </si>
  <si>
    <t>, CASA 25</t>
  </si>
  <si>
    <t>T 26 QD B</t>
  </si>
  <si>
    <t>AIANA 204</t>
  </si>
  <si>
    <t>LT 5 QD C</t>
  </si>
  <si>
    <t>á Recanto</t>
  </si>
  <si>
    <t>30 BL1 SV</t>
  </si>
  <si>
    <t>VALHO 106</t>
  </si>
  <si>
    <t>UACU 275B</t>
  </si>
  <si>
    <t>sco Neiva</t>
  </si>
  <si>
    <t>ador, 500</t>
  </si>
  <si>
    <t>07 CA 38H</t>
  </si>
  <si>
    <t xml:space="preserve"> LT 19 QD</t>
  </si>
  <si>
    <t>IARIO 219</t>
  </si>
  <si>
    <t>1 AP 2203</t>
  </si>
  <si>
    <t>O MAR 220</t>
  </si>
  <si>
    <t>85 AP 402</t>
  </si>
  <si>
    <t xml:space="preserve"> 209 CA 1</t>
  </si>
  <si>
    <t xml:space="preserve"> 233 CA 2</t>
  </si>
  <si>
    <t xml:space="preserve"> 209 CA 2</t>
  </si>
  <si>
    <t>EIXOTO 72</t>
  </si>
  <si>
    <t>gaio, 205</t>
  </si>
  <si>
    <t>6A301 256</t>
  </si>
  <si>
    <t>E FREITAS</t>
  </si>
  <si>
    <t>50A CA 27</t>
  </si>
  <si>
    <t>O PEREIRA</t>
  </si>
  <si>
    <t>VEIA, 121</t>
  </si>
  <si>
    <t>85 casa 2</t>
  </si>
  <si>
    <t>ives, 101</t>
  </si>
  <si>
    <t>reira, 50</t>
  </si>
  <si>
    <t>aves, 166</t>
  </si>
  <si>
    <t>e 6 qd 86</t>
  </si>
  <si>
    <t>o Ribeiro</t>
  </si>
  <si>
    <t>844, Casa 14</t>
  </si>
  <si>
    <t>A 13 LT 7</t>
  </si>
  <si>
    <t>atividade</t>
  </si>
  <si>
    <t>1411 CA 2</t>
  </si>
  <si>
    <t>222 BL 2A</t>
  </si>
  <si>
    <t>Moura 452</t>
  </si>
  <si>
    <t>IRA 00115</t>
  </si>
  <si>
    <t>75 AP1406</t>
  </si>
  <si>
    <t>747 CA 19</t>
  </si>
  <si>
    <t>vo Leblon</t>
  </si>
  <si>
    <t>940, Condomínio Novo Leblon</t>
  </si>
  <si>
    <t>ONA CLARA</t>
  </si>
  <si>
    <t xml:space="preserve"> SILVEIRA</t>
  </si>
  <si>
    <t>A 25 CA 2</t>
  </si>
  <si>
    <t>ampos 180</t>
  </si>
  <si>
    <t>160a - 25</t>
  </si>
  <si>
    <t>cente, 46</t>
  </si>
  <si>
    <t>T 24 QD 2</t>
  </si>
  <si>
    <t xml:space="preserve"> - 4 1403</t>
  </si>
  <si>
    <t>es, 16243</t>
  </si>
  <si>
    <t>ia, 12708</t>
  </si>
  <si>
    <t xml:space="preserve"> RIOS 506</t>
  </si>
  <si>
    <t>iauí, 409</t>
  </si>
  <si>
    <t>0 - 9 301</t>
  </si>
  <si>
    <t>cum, 1435</t>
  </si>
  <si>
    <t>22743-670</t>
  </si>
  <si>
    <t>neck, 629</t>
  </si>
  <si>
    <t>22755-340</t>
  </si>
  <si>
    <t xml:space="preserve"> 567 - 01</t>
  </si>
  <si>
    <t>CASTRO 25</t>
  </si>
  <si>
    <t>eyer, 230</t>
  </si>
  <si>
    <t>24942-395</t>
  </si>
  <si>
    <t>21815-350</t>
  </si>
  <si>
    <t>21931-500</t>
  </si>
  <si>
    <t>22630-210</t>
  </si>
  <si>
    <t>26256-130</t>
  </si>
  <si>
    <t>23890-000</t>
  </si>
  <si>
    <t>24924-500</t>
  </si>
  <si>
    <t>22411-030</t>
  </si>
  <si>
    <t>24030-060</t>
  </si>
  <si>
    <t>20230-014</t>
  </si>
  <si>
    <t>22793-323</t>
  </si>
  <si>
    <t>22611-270</t>
  </si>
  <si>
    <t>22785-620</t>
  </si>
  <si>
    <t>22743-032</t>
  </si>
  <si>
    <t>22783-415</t>
  </si>
  <si>
    <t>20240-130</t>
  </si>
  <si>
    <t>26323-521</t>
  </si>
  <si>
    <t>22780-160</t>
  </si>
  <si>
    <t>20531-420</t>
  </si>
  <si>
    <t>eiro - RJ</t>
  </si>
  <si>
    <t>fe.kelly.torres@gmail.com</t>
  </si>
  <si>
    <t>V15.9</t>
  </si>
  <si>
    <t>Ajuste para trazer mais informações direto do clickup</t>
  </si>
  <si>
    <t>P0315 - [FV01] Roberta Magalhaes da Cruz Machado</t>
  </si>
  <si>
    <t>[FV01] Roberta Magalhaes da Cruz Machado</t>
  </si>
  <si>
    <t>roberta.machado@record.com.br</t>
  </si>
  <si>
    <t>Contato: https://app.clickup.com/t/86a2z5pbm
Parceira Remunerada - Emissão de rt
Infos importantes
Briefing
Cliente está se mudando para um apartamento maior, onde terão mais aparelhos de AC, e de potência superior. Um deles será na cozinha de 18mil BTUs que era um cômodo que não possuía.
Terá adição de uma bomba na piscina também.
Documentos:
- Nome completo: Roberta Magalhaes da Cruz Machado
- CPF: 044.521.877-06
- Data de nascimento: 07/10/1976
- Endereço de residência/comércio: Rua Alberto de Campos, 180/501. 
- Endereço da instalação para entrega do material (caso seja diferente);
- CEP: 22411-030
- Nacionalidade. Brasileira
- E-mail; roberta.machado@record.com.br
Informações da fatura:
ROBERTA MAGALHAES DA CRUZ MACHADO
R ALBERTO DE CAMPOS 180 AP 501 IPANEMA / RIO DE JANEIRO, RJ CEP 22411-030
CPF 044.521.877-06
Conta Contrato: 10142168402
Código da Instalação: 0413054790
Código do Cliente: 31272473</t>
  </si>
  <si>
    <t>Fabiabomfim@hotmail.com</t>
  </si>
  <si>
    <t>Contato: https://app.clickup.com/t/86a368vct
Infos importantes
Cliente informou que se mudou e a casa atual possui aproximadamente 30m² de telhado
Saiu de um apartamento e foi para uma casa, pretende usar mais o AC mas disse para não levar em consideração o consumo antigo.
Pediu para considerar um consumo médio de 1.000kWh
Briefing
Pablo Tadeu Vianna Madureira
05497847722
Rua Luis Orlando cardoso 395 casa 2
22793323
ptvm10@gmail.com
15/10/1980
Brasileiro
Light
Fabia Miranda Bomfim Madureira
086 503 237 82
Código da instalação: 0413806267
Código do cliente: 0031140025
R LUIS ORLANDO CARDOSO 395 CA 2, BARRA DA TIJUCA, 22793-323 RIO DE JANEIRO, RJ
Financiamento
Fabia Miranda Bomfim Madureira
086 503 237 82
25 09 1979
Fabiabomfim@hotmail.com 
20.000,00
Casada
22640908</t>
  </si>
  <si>
    <t>P0357 - COLEGIO MARECHAL LOTT</t>
  </si>
  <si>
    <t>P0357</t>
  </si>
  <si>
    <t>COLEGIO MARECHAL LOTT</t>
  </si>
  <si>
    <t>adrianameira4@gmail.com</t>
  </si>
  <si>
    <t>Rua Clodoaldo de Freitas, 65</t>
  </si>
  <si>
    <t>21660-300</t>
  </si>
  <si>
    <t>Guadalupe</t>
  </si>
  <si>
    <t>Nome Fantasia: COLEGIO MARECHAL LOTT
Razão Social: COLEGIO MARECHAL LOTT DE GUADALUPE LTDA
CNPJ: 28.709.357/0001-62
/ Ensino fundamental/ Sociedade Empresária Limitada/ MATRIZ/ EPP/ DE R$ 500 MIL ATÉ R$ 1 MM/ DE 10 A 49 FUNCIONARIOS
Data da Criação: 21/09/2017
Endereço: R CLODOALDO DE FREITAS, 65  - GUADALUPE - RIO DE JANEIRO/RJ - 21660300
Telefones: 2131066064/ 2133905680/ / 21979931139/ /
Email: adrianameira4@gmail.com/ elainem@gmail.com/ moreira2000@oi.com.br
Sócio: ADRIANA MEIRA DE OLIVEIRA - 026.239.157-09
Telefones: 21979931139/ 21979514931/ 21971419572/ 2136470156/ 2141074185/
Email: adrianameira4@gmail.com/ taniageo@gmail.com</t>
  </si>
  <si>
    <t>Copacabana</t>
  </si>
  <si>
    <t>10573355762</t>
  </si>
  <si>
    <t>04452187706</t>
  </si>
  <si>
    <t>8650323782</t>
  </si>
  <si>
    <t>28709357000162</t>
  </si>
  <si>
    <t>P0358 - LA BAGUETTE INDUSTRIA E COMERCIO DE ALIMENTOS LTDA</t>
  </si>
  <si>
    <t>P0358</t>
  </si>
  <si>
    <t>LA BAGUETTE INDUSTRIA E COMERCIO DE ALIMENTOS LTDA</t>
  </si>
  <si>
    <t>R. Antunes Maciel, 100</t>
  </si>
  <si>
    <t>20940-010</t>
  </si>
  <si>
    <t>São Cristóvão</t>
  </si>
  <si>
    <t>Briefing
Falei com o Sócio Felipe
Informou que está em processo de implementação com a empresa Genial
Busca um orçamento melhor e início mais rápido 
Não quis passar a fatura mas disse que o consumo é entre 9-13k
Entender:
é o único decisor?
o que busca de diferencial? o que é importante para ele nessa tomada de decisão?
Quão avançado está a proposta atual e o que tem na mesa?
Nome Fantasia:
Razão Social: LA BAGUETTE INDUSTRIA E COMERCIO DE ALIMENTOS LTDA
CNPJ: 10.749.271/0001-06
/ Fabricação de produtos de padaria e confeitaria com predominância de produção própria/ Sociedade Empresária Limitada/ MATRIZ/ ME/ DE R$ 2 MM ATÉ R$ 5 MM/ DE 10 A 49 FUNCIONARIOS
Data da Criação: 08/04/2009
Endereço: RUA ANTUNES MACIEL, 100, SAO CRISTOVAO, RIO DE JANEIRO, 20940010
Telefones: 2125020200/ / / 21984968854/ 21984968853/ 21967030345
Email: lisalobao@lospaderos.com.br/ eduardo@lospaderos.com.br/ lospaderos@lospaderos.com.br
Sócio: MARCELO BARBOSA FERRAZ - 026.845.557-02
Telefones: 21999231132/ 21999739305/ 21996055289/ 2125020200/ 2127045207/
Email: mbferraz@gmail.com/ marcelobferraz@uol.com.br
Sócio: FELIPE GONCALVES DE PAULA - 126.242.737-19
Telefones: 21976161975/ 21976266510/ 21975801706/ 2126200571/ /
Email: felipefgdp@gmail.com/ fgp.felipe@hotmail.com</t>
  </si>
  <si>
    <t>10749271000106</t>
  </si>
  <si>
    <t>medeirix58@hotmail.com</t>
  </si>
  <si>
    <t>37534181704</t>
  </si>
  <si>
    <t>Contato: https://app.clickup.com/t/86a3razc3
Infos importantes
Cabo do quadro limitado a 4mm², verificar capacidade do sistema.
Cliente escolheu o micro inversor, mostrar diferença entre deye e enphase 
Quer orçamento de bateria para as cameras e alarme
Ofertar junto manutenção do aquecimento
Briefing
Endereço: Rua Gloria B Dick, antiga rua 147, quadra 550, lote 7. Loteamento Jardim Atlântico, itaipuacu, Município de Maricá
Informações dA LIGHT :
ROBERTO MEDEIROS DA SILVA
375.341.817-04
RUA GLORIA B DICK 00000 LT7 QD550
JARDIM ATLANTICO MARICA RJ
24900-001
NASCIMENTO 12/07/1958
CÓDIGO DE INSTALAÇÃO
797282
CÓDIGO DO CLIENTE
797282</t>
  </si>
  <si>
    <t>P0360</t>
  </si>
  <si>
    <t>08665459723</t>
  </si>
  <si>
    <t>22790-711</t>
  </si>
  <si>
    <t>Recreio dos Bandeirantes</t>
  </si>
  <si>
    <t>P0308 - [FV02] EDUARDO CANDIDO DE SOUZA</t>
  </si>
  <si>
    <t>[FV02] EDUARDO CANDIDO DE SOUZA</t>
  </si>
  <si>
    <t>96105658753</t>
  </si>
  <si>
    <t>Sistema de ampliação 
ART: 2020240215225
Informações da Ceral
EDUARDO CANDIDO DE SOUZA
RUA N, S/N CONDOMINIO VILAGIO DEL SOLE I - Lt 27 Qd E
JACONE / Saquarema-RJ
CEP: 24 924-495
Rota: 23, Sequência: 14550
UNIDADE CONSUMIDORA
1047901-5
CÓDIGO DO CLIENTE
1047901</t>
  </si>
  <si>
    <t>P0359 - CENTRO EDUCACIONAL METAMORFOSE LTDA</t>
  </si>
  <si>
    <t>P0359</t>
  </si>
  <si>
    <t>CENTRO EDUCACIONAL METAMORFOSE LTDA</t>
  </si>
  <si>
    <t>rosanerj@gmail.com</t>
  </si>
  <si>
    <t>R. Coração de Maria, 139</t>
  </si>
  <si>
    <t>20775-050</t>
  </si>
  <si>
    <t>Méier</t>
  </si>
  <si>
    <t>Infos importantes
Consumo aumento de 1.360 em jun/23 para 2.240 em jun/24
180m² no telhado principal e 290m² em todos os telhados
Razão Social: CENTRO EDUCACIONAL METAMORFOSE LTDA
Nome Fantasia: CENTRO EDUCACIONAL METAMORFOSE LTDA
Sócios: Leonor De Araujo Nascimento Rodrigues|Alessandra De Araujo Cardim
Endereço: Rua Coracao De Maria, 139
Bairro: Meier
CEP: 20775050
Telefone 1: 21 22288810 / 21 22817488
Telefone 2: 21 988880822
Outros Telefones: 21 22288810,21 988880822
Email: rosanerj@gmail.com
Outros Emails: 
CNPJ: 00873922000103
Data de abertura: 09/10/1995
Capital Social: R$
Porte: ME
Faturamento: 
Qnt de Funcionários: 3-9</t>
  </si>
  <si>
    <t>P0362 - [FV01] Mario Luiz Nunziato</t>
  </si>
  <si>
    <t>P0362</t>
  </si>
  <si>
    <t>[FV01] Mario Luiz Nunziato</t>
  </si>
  <si>
    <t>R. Getúlio Vargas, 249</t>
  </si>
  <si>
    <t>23968-000</t>
  </si>
  <si>
    <t>Angra dos Reis</t>
  </si>
  <si>
    <t>Vila do Abraão</t>
  </si>
  <si>
    <t>Informações Importantes
Conta da pousada em ilha grande</t>
  </si>
  <si>
    <t>P0361 - JAQUELINE DE JESUS PACHECO MONTEIRO 12152208714</t>
  </si>
  <si>
    <t>P0361</t>
  </si>
  <si>
    <t>JAQUELINE DE JESUS PACHECO MONTEIRO 12152208714</t>
  </si>
  <si>
    <t>jaquemonteirodocerias@gmail.com</t>
  </si>
  <si>
    <t>29436858000185</t>
  </si>
  <si>
    <t>R. Viêira de Araújo, 44</t>
  </si>
  <si>
    <t>21765-100</t>
  </si>
  <si>
    <t>Realengo</t>
  </si>
  <si>
    <t>Nome Fantasia:
Razão Social: JAQUELINE DE JESUS PACHECO MONTEIRO 12152208714
CNPJ: 29.436.858/0001-85
/ Fabricação de produtos de padaria e confeitaria com predominância de produção própria/ Empresário (Individual)/ MATRIZ/ ME/ DE R$ 50 MIL ATÉ R$ 100 MIL/ ATE 9 FUNCIONARIOS
Data da Criação: 15/01/2018
Endereço: RUA VIEIRA DE ARAUJO, 44, CASA 4, REALENGO, RIO DE JANEIRO, 21765100
Telefones: 2134217393/ / / 21969694464/ /
Email: deliciasdejack@gmail.com/ /
Sócio: JAQUELINE DE JESUS PACHECO MONTEIRO - 121.522.087-14
Telefones: 21969694464/ 21986428361/ 21959420260/ / /
Email: deliciasdejack@gmail.com/</t>
  </si>
  <si>
    <t>P0298 - [WB01] CONDOMINIO BOSQUE II</t>
  </si>
  <si>
    <t>[WB01] CONDOMINIO BOSQUE II</t>
  </si>
  <si>
    <t>Av. Ten-Cel. Muniz de Aragão, 892</t>
  </si>
  <si>
    <t>22765-005</t>
  </si>
  <si>
    <t>P0363 - K. M. P. SOCIAL PADARIA E CONFEITARIA LTDA</t>
  </si>
  <si>
    <t>P0363</t>
  </si>
  <si>
    <t>K. M. P. SOCIAL PADARIA E CONFEITARIA LTDA</t>
  </si>
  <si>
    <t>R. Caracaraí, 110</t>
  </si>
  <si>
    <t>23063-170</t>
  </si>
  <si>
    <t>Cosmos</t>
  </si>
  <si>
    <t>P0366</t>
  </si>
  <si>
    <t>15405153000196</t>
  </si>
  <si>
    <t>P0366 - [FV01] José Ricardo Pimentel da Silva</t>
  </si>
  <si>
    <t>[FV01] José Ricardo Pimentel da Silva</t>
  </si>
  <si>
    <t>Realengo, Rio de Janeiro</t>
  </si>
  <si>
    <t>Indicado pelo "felipe"? perto da limit
Quer colocar sistema de para R$1000 e R$1500 reais (2 orçamentos)
telhado de telhado galvanizada com 125m²
Mora em realengo</t>
  </si>
  <si>
    <t>Informações importantes
Contato Karine
Marido (fábio) é o responsável e já estava fazendo orçamento de energia solar
Foi bem solicita, deu a entender que a empresa que tinha contactado não tinha dado retorno ainda
Verificar como está o andamento em que etapa se encontra 
Nome Fantasia:
Razão Social: K. M. P. SOCIAL PADARIA E CONFEITARIA LTDA
CNPJ: 05.596.209/0001-83
/ Padaria e confeitaria com predominância de revenda/ Sociedade Empresária Limitada/ MATRIZ/ ME/ DE R$ 500 MIL ATÉ R$ 1 MM/ ATE 9 FUNCIONARIOS
Data da Criação: 03/04/2003
Endereço: RUA CARACARAI, 110, LOJA, COSMOS, RIO DE JANEIRO, 23063170
Telefones: 2133139835/ / / 21994897762/ 21987909774/
Email: fabio@coifatec.com.br/ henri@coifatec.com.br/ rogerio@coifatec.com.br
Sócio: PAULO ROBERTO DA SILVA SANTA ANNA - 178.939.177-68
Telefones: 21994897762/ / / 2124124544/ 2124154544/
Email: contato@coifatec.com.br/ malenafsanna@gmail.com
Sócio: KARINE FARIAS SANTA ANNA FIRMINO - 079.520.377-22
Telefones: 21987909774/ 21974965848/ 21988372793/ 2124154544/ 2124124544/
Email: karinefarias10@yahoo.com/ polaede@bol.com.br</t>
  </si>
  <si>
    <t>P0368</t>
  </si>
  <si>
    <t>P0369 - PADARIA E CONFEITARIA DA PRACA</t>
  </si>
  <si>
    <t>P0369</t>
  </si>
  <si>
    <t>PADARIA E CONFEITARIA DA PRACA</t>
  </si>
  <si>
    <t>46333900000151</t>
  </si>
  <si>
    <t>R. Uruque, 190</t>
  </si>
  <si>
    <t>21725-110</t>
  </si>
  <si>
    <t>Infos importantes
Proprietária Lay [LAI], muito calma, fala pouco. Solicita e simpática
Disse que gasta em média 5-6 mil reais com energia
Nunca fez orçamento anterior
Ficou de enviar as faturas pelo whatsapp mas não enviou
Nome Fantasia: PADARIA E CONFEITARIA DA PRACA
Razão Social: PADARIA E CONFEITARIA LAYZE DA PRACA LTDA
CNPJ: 46.333.900/0001-51
/ Padaria e confeitaria com predominância de revenda/ Sociedade Empresária Limitada/ MATRIZ/ ME/ DE R$ 50 MIL ATÉ R$ 100 MIL/ 0
Data da Criação: 10/05/2022
Endereço: RUA URUQUE, 190, REALENGO, RIO DE JANEIRO, 21725110
Telefones: 2127640685/21973028241
Email: layzeferreira73@gmail.com/ /
Sócio: LAYZE FERREIRA ANTONIO DA SILVA - 168.502.427-09
Telefones: 21973028241/  21976996602/ 21974994219*
Email: layzeferreira73@gmail.com/</t>
  </si>
  <si>
    <t>P0330 - [FV02] MAURO CID LOPES FLORIDO FERREIRA</t>
  </si>
  <si>
    <t>P0330</t>
  </si>
  <si>
    <t>[FV02] MAURO CID LOPES FLORIDO FERREIRA</t>
  </si>
  <si>
    <t>Novas Informações:
Montar usina de investimento para "venda" de energia
Possui 4 possíveis endereços
Rua Nerval de Gouveia, 119 e 121 de um lado ~500m²
Rua Nerval de Gouveia, 131, 133 e135 de outro lado ~250m²
Rua Joaquim Palhares 513 ~150m²
Rua Joaquim Palhares, 527
Antigo:
Indicação Antonio estágio. (Pai). Possui 27 unidades distribuídas em dois terrenos com inquilinos.
Motivo perda: iria "vender" energia para os inquilinos porém viu que a fatura deles era pequena</t>
  </si>
  <si>
    <t>P0375 - B&amp;J CAKES</t>
  </si>
  <si>
    <t>P0375</t>
  </si>
  <si>
    <t>B&amp;J CAKES</t>
  </si>
  <si>
    <t>bejcakes@gmail.com</t>
  </si>
  <si>
    <t>23886303000159</t>
  </si>
  <si>
    <t>Estr. Mapuá, 179</t>
  </si>
  <si>
    <t>22713-321</t>
  </si>
  <si>
    <t>Taquara</t>
  </si>
  <si>
    <r>
      <rPr>
        <b/>
        <sz val="11"/>
        <color theme="1"/>
        <rFont val="Calibri"/>
        <family val="2"/>
        <scheme val="minor"/>
      </rPr>
      <t>2-</t>
    </r>
    <r>
      <rPr>
        <sz val="11"/>
        <color theme="1"/>
        <rFont val="Calibri"/>
        <family val="2"/>
        <scheme val="minor"/>
      </rPr>
      <t xml:space="preserve"> Acompanhamento remoto semanal por equipe especializada + Relatórios - </t>
    </r>
    <r>
      <rPr>
        <b/>
        <sz val="11"/>
        <color theme="1"/>
        <rFont val="Calibri"/>
        <family val="2"/>
        <scheme val="minor"/>
      </rPr>
      <t>R$30</t>
    </r>
    <r>
      <rPr>
        <sz val="11"/>
        <color theme="1"/>
        <rFont val="Calibri"/>
        <family val="2"/>
        <scheme val="minor"/>
      </rPr>
      <t>/mês</t>
    </r>
  </si>
  <si>
    <r>
      <rPr>
        <b/>
        <sz val="11"/>
        <color theme="1"/>
        <rFont val="Calibri"/>
        <family val="2"/>
        <scheme val="minor"/>
      </rPr>
      <t xml:space="preserve">3- </t>
    </r>
    <r>
      <rPr>
        <sz val="11"/>
        <color theme="1"/>
        <rFont val="Calibri"/>
        <family val="2"/>
        <scheme val="minor"/>
      </rPr>
      <t xml:space="preserve">Seguro Anual⁴ contra riscos diversos - </t>
    </r>
    <r>
      <rPr>
        <b/>
        <sz val="11"/>
        <color theme="1"/>
        <rFont val="Calibri"/>
        <family val="2"/>
        <scheme val="minor"/>
      </rPr>
      <t>0,99%</t>
    </r>
    <r>
      <rPr>
        <sz val="11"/>
        <color theme="1"/>
        <rFont val="Calibri"/>
        <family val="2"/>
        <scheme val="minor"/>
      </rPr>
      <t>/ano</t>
    </r>
  </si>
  <si>
    <t>P0368 - KI PAO</t>
  </si>
  <si>
    <t>KI PAO</t>
  </si>
  <si>
    <t>02307091000138</t>
  </si>
  <si>
    <t>R. Cap. Rubens, 27</t>
  </si>
  <si>
    <t>21610-290</t>
  </si>
  <si>
    <t>Mal. Hermes</t>
  </si>
  <si>
    <t>Informações: importantes 
 Cláudio ( Engenheiro)  disse ter consumo de 5.000 kWh de energia.
é o decisor?
Teve contatos com outras empresas, que não apresentaram conhecimento técnico. 
Não aceitou envio de fatura. Ele gosta de falar e contar história. 
Nome Fantasia: KI PAO
Razão Social: ARTESANATO DA MASSA PANIFICACAO E CONFEITARIA LTDA
CNPJ: 02.307.091/0001-38
/ Padaria e confeitaria com predominância de revenda/ Sociedade Empresária Limitada/ MATRIZ/ ME/ DE R$ 250 MIL ATÉ R$ 500 MIL/ ATE 9 FUNCIONARIOS
Data da Criação: 04/12/1997
Endereço: R RUBENS, 27, MAL HERMES, RIO DE JANEIRO, 21610290
Telefones: 2124502057/ / / 21999986553/ /
Email: marechalsuper@gmail.com/ /
Sócio: RITA ROSEMANY DA SILVA - 336.712.657-87
Telefones: / / / 2124502057/ 2138301193/
Email: rita120@hotmail.com/
Sócio: VERA LUCIA COSTA MOREIRA BATISTA - 270.155.487-04
Telefones: 21999986553/ 21983435414/ 21981544866/ 2124827686/ /
Email: verab12007@gmail.com/ vlcmb@ig.com.br</t>
  </si>
  <si>
    <t>P0376 - CONFEITARIA SANTO AMARO</t>
  </si>
  <si>
    <t>P0376</t>
  </si>
  <si>
    <t>CONFEITARIA SANTO AMARO</t>
  </si>
  <si>
    <t>drrosanyribeiro@hotmail.com</t>
  </si>
  <si>
    <t>33465147000106</t>
  </si>
  <si>
    <t>R. do Catete, 22</t>
  </si>
  <si>
    <t>22220-000</t>
  </si>
  <si>
    <t>Glória</t>
  </si>
  <si>
    <t>Infos importantes
Rosany é a sócia e responsável (decisora)
CONSUMO DE 26 MIL REAIS.
CONVERSAMOS APENAS POR WHATS, PEDIU VISITA NO LOCAL.
FATURA EM ANEXO.
TELS PARA CONTATO: 2122247321 (whats da confeitaria) e Rosany (sócia) 21999888086
Nome Fantasia: CONFEITARIA SANTO AMARO
Razão Social: CONFEITARIA RAINHA DA GLORIA LTDA
CNPJ: 33.465.147/0001-06
/ Padaria e confeitaria com predominância de revenda/ Sociedade Empresária Limitada/ MATRIZ/ ME/ DE R$ 100 MIL ATÉ R$ 250 MIL/ ATE 9 FUNCIONARIOS
Data da Criação: 28/09/1966
Endereço: RUA BENJAMIN CONSTANT, 47A, GLORIA, RIO DE JANEIRO, 23060730
Telefones: 2122245328/ / / 21999888086/ 21999517385/
Email: mjr_rocha@hotmail.com/ loja0098@siciliano.com.br/
Sócio: MARCOS JOSE RIBEIRO DA ROCHA - 784.987.087-53
Telefones: 21999517385/ 21999881643/ 21984829037
Email: mjr_rocha@hotmail.com/ marcosjrrocha@br.inter.net
Sócio: ROSANY RIBEIRO DA ROCHA - 923.452.477-20
Telefones: 21999888086/ 21999517385/ 21999881643/ 
Email: drrosanyribeiro@hotmail.com/ loja0098@siciliano.com.br</t>
  </si>
  <si>
    <t>DEYE - SUN-6.6K-G05 P1-EU-AM2</t>
  </si>
  <si>
    <t>P0374 - 34.180.353 CLEIDE SILVA SANTOS BOLQUETT</t>
  </si>
  <si>
    <t>P0374</t>
  </si>
  <si>
    <t>34.180.353 CLEIDE SILVA SANTOS BOLQUETT</t>
  </si>
  <si>
    <t>ubiratan_castro@yahoo.com.br</t>
  </si>
  <si>
    <t>34180353000132</t>
  </si>
  <si>
    <t>Estr. Cel. Vieira, 413</t>
  </si>
  <si>
    <t>21220-310</t>
  </si>
  <si>
    <t>Irajá</t>
  </si>
  <si>
    <t>Informações importantes
Padaria fica em comunidade. Disse que é aluguel e que talvez saiam de lá.
Gostaram ( Cleide e Bira ), gostaram de poder utilizar os créditos em outro local ( COLOCAR EM CASA E USAR CRÉTIDOS NA PADARIA) 
Bira ficou interessado na economia a ser gerada.
Cleide disse ter duas padarias e que cada um do casal fica a frente de uma. 
Nome Fantasia: não possui
Razão Social: 34.180.353 CLEIDE SILVA SANTOS BOLQUETT
CNPJ: 34.180.353/0001-32
/ Padaria e confeitaria com predominância de revenda/ Empresário (Individual)/ MATRIZ/ ME/ DE R$ 50 MIL ATÉ R$ 100 MIL/ ATE 9 FUNCIONARIOS
Data da Criação: 11/07/2019
Endereço: ESTRADA CORONEL VIEIRA, 413, LOJA B, IRAJA, RIO DE JANEIRO, 21220310
Telefones: 2122522836/ / / 21974000277/ /
Email: edsonj_oliveira@yahoo.com.br/ admeduardolimarj@gmail.com/ cleidebira@yahoo.com
Sócio: CLEIDE SILVA SANTOS BOLQUETT - 057.175.307-81
Telefones: 21974000277/ / / / /
Email: cleidebira@yahoo.com/ edsonj_oliveira@yahoo.com.br</t>
  </si>
  <si>
    <t>P0377 - 40.981.798 THAYNA DA SILVA TEIXEIRA</t>
  </si>
  <si>
    <t>P0377</t>
  </si>
  <si>
    <t>40.981.798 THAYNA DA SILVA TEIXEIRA</t>
  </si>
  <si>
    <t>Trindade-08@hotmail.com</t>
  </si>
  <si>
    <t>Rua Mangueiral, 7</t>
  </si>
  <si>
    <t>23042-330</t>
  </si>
  <si>
    <t>Campo Grande</t>
  </si>
  <si>
    <t>Nome Fantasia:
Razão Social: 40.981.798 THAYNA DA SILVA TEIXEIRA
CNPJ: 40.981.798/0001-14
/ Fabricação de produtos de padaria e confeitaria com predominância de produção própria/ Empresário (Individual)/ MATRIZ/ ME/ DE R$ 50 MIL ATÉ R$ 100 MIL/ 0
Data da Criação: 24/02/2021
Endereço: RUA ESPERANCA MANGUEIRAL, 7, CAMPO GRANDE, RIO DE JANEIRO, 23042202
Telefones: 2133167506/ / / 21981494442/ /
Email: thayna_s.t@hotmail.com/ usegaiia@hotmail.com/
Sócio: THAYNA DA SILVA TEIXEIRA - 128.016.437-93
Telefones: 21981494442/ 21979505725/ / 2131357213/ /
Email: usegaiia@hotmail.com/</t>
  </si>
  <si>
    <t>P0379 - COLEGIO E CURSO INTELLECTUS</t>
  </si>
  <si>
    <t>P0379</t>
  </si>
  <si>
    <t>COLEGIO E CURSO INTELLECTUS</t>
  </si>
  <si>
    <t>Nome Fantasia: COLEGIO E CURSO INTELLECTUS
Razão Social: SUNDIN TIJUCA COLEGIO E CURSO LTDA
CNPJ: 05.748.920/0001-06
/ Ensino fundamental/ Sociedade Empresária Limitada/ MATRIZ/ EPP/ ATÉ R$ 50 MIL/ DE 10 A 49 FUNCIONARIOS
Data da Criação: 19/03/2003
Endereço: RUA RIBEIRO GUIMARAES, 454  - VILA ISABEL - RIO DE JANEIRO/RJ - 20541038
Telefones: 2126672846/ / / 21996369191/ /
Email: contato@agilassessoria.com/ monty@cursointellectus.com.br/ duarte@cursointellectus.com.br
Sócio: ROMULO DE SENA DELDUCK PINTO FILHO - 123.836.037-83
Telefones: 21964914303/ 21990550209/ / 2125701249/ /
Email: romulo.sena@gmail.com/ zferreira@ig.com.br
Sócio: FABIO ROBERTO BENITES TEIXEIRA - 051.839.277-58
Telefones: 21996369191/ / / 2127043752/ 2125601349/ 2125701249
Email: fabiobenites@cursointellectus.com.br/ suporte@irium.com.br</t>
  </si>
  <si>
    <t>P0384 - Victor Hugo</t>
  </si>
  <si>
    <t>P0384</t>
  </si>
  <si>
    <t>Victor Hugo</t>
  </si>
  <si>
    <t>Infos importantes 
Indicação dos moradores do condomínio Magic Garden
Está cotando para um sistema de 400kWh, hoje o consumo atual é na média de 250/ano
Pensa em "um inversor que aceite aumentar a capacidade no futuro", foi sugerido micro inversor que inclusive auxiliaria nesse processo</t>
  </si>
  <si>
    <t>P0383 - LAME PADARIA E RESTAURANTE LTDA</t>
  </si>
  <si>
    <t>P0383</t>
  </si>
  <si>
    <t>LAME PADARIA E RESTAURANTE LTDA</t>
  </si>
  <si>
    <t>R. Arquias Cordeiro, 346</t>
  </si>
  <si>
    <t>20770-000</t>
  </si>
  <si>
    <t>Nome Fantasia:
Razão Social: LAME PADARIA E RESTAURANTE LTDA
CNPJ: 11.181.621/0001-35
/ Padaria e confeitaria com predominância de revenda/ Sociedade Empresária Limitada/ MATRIZ/ EPP/ DE R$ 1 MM ATÉ R$ 2 MM/ ATE 9 FUNCIONARIOS
Data da Criação: 23/09/2009
Endereço: RUA ARQUIAS CORDEIRO, 346, MEIER, RIO DE JANEIRO, 20770000
Telefones: 2125010555/ / / 21989570815/ 21991352731/ 21999657813
Email: humbalves@globo.com/ tininha.supply@hotmail.com/ aldo.rio@ig.com.br
Sócio: GERALDO PEDRO BATISTA - 023.830.614-33
Telefones: 21989570815/ 21979770815/ 21991185158/ 2132170703/ /
Email: aldo.rio@ig.com.br/ sulacontabil@hotmail.com
Sócio: HUMBERTO ALVES DE OLIVEIRA - 601.302.027-20
Telefones: 21988914230/ 21988693031/ 21987377592/ 2125683031/ /
Email: humbalves@globo.com/ humbalves@yahoo.com.br</t>
  </si>
  <si>
    <t>P0380 - GISELE DE SOUZA PEREIRA 10906849756</t>
  </si>
  <si>
    <t>P0380</t>
  </si>
  <si>
    <t>GISELE DE SOUZA PEREIRA 10906849756</t>
  </si>
  <si>
    <t>dellysouza@hotmail.com</t>
  </si>
  <si>
    <t>R. Minho, 250</t>
  </si>
  <si>
    <t>21921-290</t>
  </si>
  <si>
    <t>Tauá</t>
  </si>
  <si>
    <t>Informações importantes:  
Trabalha em casa ( consumo será conjunto)
 a decisão de pagamento será conjunta com a mãe 
Tem uma prima em  Maricá que já possui sistema e ela ia perguntar a respeito 
Nome Fantasia:
Razão Social: GISELE DE SOUZA PEREIRA 10906849756
CNPJ: 26.497.157/0001-68
/ Fabricação de produtos de padaria e confeitaria com predominância de produção própria/ Empresário (Individual)/ MATRIZ/ ME/ DE R$ 50 MIL ATÉ R$ 100 MIL/ ATE 9 FUNCIONARIOS
Data da Criação: 07/11/2016
Endereço: RUA MINHO, 250, CASA, TAUA, RIO DE JANEIRO, 21921290
Telefones: 2133937964/ / / 21968281635/ /
Email: dellysouza@hotmail.com/ dellysolove@gmail.com/
Sócio: GISELE DE SOUZA PEREIRA - 109.068.497-56
Telefones: 21968281635/ 21966153211/ / 2133937964/ /
Email: danielespereira@gmail.com/ dellysolove@gmail.com</t>
  </si>
  <si>
    <t>proposta apresentada</t>
  </si>
  <si>
    <t>P0385 - PADARIA E CONF CENTRAL DE MARECHAL HERMES LTDA</t>
  </si>
  <si>
    <t>P0385</t>
  </si>
  <si>
    <t>PADARIA E CONF CENTRAL DE MARECHAL HERMES LTDA</t>
  </si>
  <si>
    <t>R. Carolina Machado, 1974</t>
  </si>
  <si>
    <t>21557-150</t>
  </si>
  <si>
    <t>DECISOR: CLAUDIO SANMARTIN PEREZ 21 98601-2342.
CONSUMO DE 15-20MIL
PESSOA ATUANTE NO PODER JUDICIÁRIO, ESTÁ ATUANDO NA PADARIA DO PAI A POUCO TEMPO, AINDA NÃO CONHECE BEM O NICHO. 
POSSUI TELHADO.
LOCALIDADE DA PADARIA É PERIGOSO. É PRECISO AVALIAR (LEAD PREOCUPADO COM ISSO)
OBS: AINDA NO AGUARDO DA FATURA POR WHATS.
Nome Fantasia:
Razão Social: PADARIA E CONF CENTRAL DE MARECHAL HERMES LTDA
CNPJ: 33.092.214/0001-94
/ Padaria e confeitaria com predominância de revenda/ Sociedade Empresária Limitada/ MATRIZ/ EPP/ DE R$ 2 MM ATÉ R$ 5 MM/ ATE 9 FUNCIONARIOS
Data da Criação: 14/08/1966
Endereço: RUA CAROLINA MACHADO, 1974, MARECHAL HERMES, RIO DE JANEIRO, 21555290
Telefones: 2133503148/ / / 21986199186/ 21986554243/
Email: centralmarechal@hotmail.com/ /
Sócio: CLAUDIO SANMARTIN PEREZ - 011.100.387-39
Telefones: 21986199186/ 21986012342/ 21986512343/ 2125473815/ 2125482342/ 2131335533
Email: gastardo.rafael@bol.com.br/ csanprez@uol.com.br
Sócio: VERA LUCIA SANMARTIN PEREZ CASTIGLIA - 939.683.027-53
Telefones: 21986554243/ 21981779836/ 21994539539/ 2126351223/ 2125482342/ 2125473815
Email: vlperez@colegiocesp.com.br/
Sócio: RAMON FERNANDEZ PEREZ - 056.732.677-20
Telefones: / / / 2125473815/ /
Email: adm@avicolapb.com.br/</t>
  </si>
  <si>
    <t>&lt; nome ajustado</t>
  </si>
  <si>
    <t>P0386 - PETROTUB EQUIPAMENTOS E MONTAGENS LTDA</t>
  </si>
  <si>
    <t>P0386</t>
  </si>
  <si>
    <t>PETROTUB EQUIPAMENTOS E MONTAGENS LTDA</t>
  </si>
  <si>
    <t>R. Sá Ferreira, 72</t>
  </si>
  <si>
    <t>22071-100</t>
  </si>
  <si>
    <t>CNPJ 04775617000130 
PETROTUB EQUIPAMENTOS E MONTAGENS LTDA
Sócio: RICARDO BENZECRY  Sócio adm QSA
21981343355
(21) 2247-9355
RICARDO BENZECRY  Sócio adm QSA 
diretor2@petrotub.com.br
ricardobenzecry@petrotub.com.br</t>
  </si>
  <si>
    <t>P0307 - [FV01] Fernanda Kelly Costa Torres</t>
  </si>
  <si>
    <t>[FV01] Fernanda Kelly Costa Torres</t>
  </si>
  <si>
    <t>Contato: https://app.clickup.com/t/86a2rpdtr
Infos importantes
Briefing
Cenários:
1- Ajustar o sistema atual sem ampliação
2- Ampliar o sistema só com módulos
3- Ampliar o sistema para atender a demanda atual (módulos + micro)
4- Ampliar o telhado no máximo que o telhado comportar
5- Laudo técnico de sistema atual
6- Assumir controla e planta do sistema + Análise remoto
Light
FERNANDA KELLY COSTA TORRES
R LAGOA GRANDE SN CA 1 LT 11
ANIL / RIO DE JANEIRO, RJ
CEP 22755-340
CPF 105.733.557-62
Conta Contrato: 10140256346
Fernanda Kelly Costa Torres
10573355762
25/04/1984
União estável 
rua lagoa grande 423, casa 1 anil
22755340
fe.kelly.torres@gmail.com
10.000 mensais (renda declarada)</t>
  </si>
  <si>
    <t>P0387 - ANDRÉ LUIZ PAIVA DA SILVA</t>
  </si>
  <si>
    <t>P0387</t>
  </si>
  <si>
    <t>ANDRÉ LUIZ PAIVA DA SILVA</t>
  </si>
  <si>
    <t>Rua Oswaldo Lussac, 165</t>
  </si>
  <si>
    <t>22770-640</t>
  </si>
  <si>
    <t>Infos importantes
Gerar uma proposta de 400 a 500 reais</t>
  </si>
  <si>
    <t>P0388 - CDM</t>
  </si>
  <si>
    <t>P0388</t>
  </si>
  <si>
    <t>CDM</t>
  </si>
  <si>
    <t>creditoecobranca@cdm-rj.com.br</t>
  </si>
  <si>
    <t>Estr. de Jacarepaguá, 3501</t>
  </si>
  <si>
    <t>22753-212</t>
  </si>
  <si>
    <t>P0355 - [FV01] Lívia Cortes</t>
  </si>
  <si>
    <t>[FV01] Lívia Cortes</t>
  </si>
  <si>
    <t>R. Santo Inácio, 7</t>
  </si>
  <si>
    <t>24360-580</t>
  </si>
  <si>
    <t>São Francisco</t>
  </si>
  <si>
    <t>Contato: https://app.clickup.com/t/86a3uk9v2
Infos importantes
Foi indicação de kelly e Jonatas 
Briefing</t>
  </si>
  <si>
    <t>P0389 - Academia Ramper Fitness</t>
  </si>
  <si>
    <t>P0389</t>
  </si>
  <si>
    <t>Academia Ramper Fitness</t>
  </si>
  <si>
    <t>R. Araújo Viana, 20</t>
  </si>
  <si>
    <t>20220-110</t>
  </si>
  <si>
    <t>Santo Cristo</t>
  </si>
  <si>
    <t>Informações importantes
Consumo médio de 3k mil 
Ficou de me passar a fatura
Quer investir e nunca fez estudo antes
Disse ter espaço bom para colocar
RAMPER FITNESS ACADEMIA LTDA
18.833.981/0001-13
MICHEL LUIZ MAIA RAMALHO  sócio adm 
21996689811
21992665361  Fabiana</t>
  </si>
  <si>
    <t>P0390 - PATRÍCIA LORENA</t>
  </si>
  <si>
    <t>P0390</t>
  </si>
  <si>
    <t>PATRÍCIA LORENA</t>
  </si>
  <si>
    <t>R. Ivo Borges, 724</t>
  </si>
  <si>
    <t>22790-440</t>
  </si>
  <si>
    <t>3</t>
  </si>
  <si>
    <t>INFORMAÇÕES IMPORTANTES  
Hoje o consumo é maior a noite por que deixa de usar durante  o dia 
Trabalha home office e presencial 
Mandou fatura do escritório tbm para poder colocar crédito para lá, 
Quer CONFORTO PODER USAR TUDO
Está fazendo estudo com outra empresa 
Não disse como deve pagar pois ainda não sabe valor</t>
  </si>
  <si>
    <t>P0391 - GABRIEL GÓES</t>
  </si>
  <si>
    <t>P0391</t>
  </si>
  <si>
    <t>GABRIEL GÓES</t>
  </si>
  <si>
    <t>Rua Pompeu Loureiro, 38</t>
  </si>
  <si>
    <t>22061-000</t>
  </si>
  <si>
    <t>INFORMAÇÕES IMPORTANTES 
Foi indicação de um amigo que mora num condomínio em Jacarepaguá ( Diego Torres) 
Vai aumentar o consumo com mais dois aparelhos de ar condicionado 
Também terá uma bicicleta elétrica, mas não será carregada todos os dias 2/3 x por semana aproximadamente</t>
  </si>
  <si>
    <t>P0392 - [FV02] MARIA CRISTINA SANTOS FERNANDES ARAUJO</t>
  </si>
  <si>
    <t>P0392</t>
  </si>
  <si>
    <t>[FV02] MARIA CRISTINA SANTOS FERNANDES ARAUJO</t>
  </si>
  <si>
    <t>prospecção</t>
  </si>
  <si>
    <t>Infos importantes
PP1 10*575 ➝ R$19.750
Briefing
Cliente veio de indicação da Tia do  
Não quis apresentação de proposta inicialmente
Informações de Fatura</t>
  </si>
  <si>
    <t>P0393 - Alvaro Augusto</t>
  </si>
  <si>
    <t>P0393</t>
  </si>
  <si>
    <t>Alvaro Augusto</t>
  </si>
  <si>
    <t>INFORMAÇÕES IMPORTANTES
Não passou conta somente estimativa
Disse que está pesquisando 
E enfatizou que é sem compromisso
REUNIÃO AGENDADA &gt;&gt;&gt;&gt; FAZER UMA ÓTIMA SONDAGEM</t>
  </si>
  <si>
    <t>P0394 - Wellington coiffeur</t>
  </si>
  <si>
    <t>P0394</t>
  </si>
  <si>
    <t>Wellington coiffeur</t>
  </si>
  <si>
    <t>Rua Paulo Roberto Matheus, 26</t>
  </si>
  <si>
    <t>Estrada do Galeão, 2700</t>
  </si>
  <si>
    <t>21931-582</t>
  </si>
  <si>
    <t>Portuguesa</t>
  </si>
  <si>
    <t>INFORMAÇÕES IMPORTANTES 
Vai colocar dois aparelho de ar condicionado de 12mil btus
+ um Chuveiro
Ver se ele quer mandar crédito para o trabalho??? 
Finalizar a sondagem</t>
  </si>
  <si>
    <t>P0395 - Ernani</t>
  </si>
  <si>
    <t>P0395</t>
  </si>
  <si>
    <t>Ernani</t>
  </si>
  <si>
    <t>INFORMAÇÕES IMPORTANTES   
Quer um sistema igual a proposta enviada: Consumo de 1.527kWh com potência de 13,8kWp
Apartamento antigo tinha consumo médio de R$750
Telhado está pronto 
Quer colocar chuveiro com aquecimento solar 4 chuveiros 
Terá forno elétrico
Cook top de indução 
lava e seca 2x na semana</t>
  </si>
  <si>
    <t>P0396</t>
  </si>
  <si>
    <t>INFORMAÇÕES IMPORTANTES
CONSUMO MÉDIO DE 900W
Será para consumo dele e da casa de seus 2 filhos
tem lage de 7*17m2
Ficou de me mandar a conta a fatura hoje pelo whats</t>
  </si>
  <si>
    <t>P0397</t>
  </si>
  <si>
    <t>R. Itaúnas, 301</t>
  </si>
  <si>
    <t>23068-155</t>
  </si>
  <si>
    <t>REUNIÃO AGENDADA 
Os 3 de 12 sendo usados ​​8 h, no verão
Primeira vez que está fazendo estudo 
Telhado colonial, é casa</t>
  </si>
  <si>
    <t>P0314 - [FV01] Ricardo Felipe Machado Soares</t>
  </si>
  <si>
    <t>[FV01] Ricardo Felipe Machado Soares</t>
  </si>
  <si>
    <t>P0398 - CRECHE ESCOLA SABER KIDS</t>
  </si>
  <si>
    <t>P0398</t>
  </si>
  <si>
    <t>CRECHE ESCOLA SABER KIDS</t>
  </si>
  <si>
    <t>Estr. de Jacarepaguá, 5380</t>
  </si>
  <si>
    <t>22753-030</t>
  </si>
  <si>
    <t>Informações importantes: 
Ver telhado com Vinícius no mapa 3G ( não consegui 
Fazer a proposta 
Mandar whats com link 
Fazer sondagem 
Gestor de Ti Leonardo 
Evanildo da manutenção
Nome Fantasia: CDM
Razão Social: COLEGIO DANIELLE MATTOS LTDA
CNPJ: 05.970.051/0001-60
/ Ensino fundamental/ Sociedade Simples Limitada/ MATRIZ/ EPP/ DE R$ 2 MM ATÉ R$ 5 MM/ DE 10 A 49 FUNCIONARIOS
Data da Criação: 22/07/2003
Endereço: ESTRADA DE JACAREPAGUA, 3501 RUA VELHA 99 - JACAREPAGUA - RIO DE JANEIRO/RJ - 22753211
Telefones: 2130900625/ / 2134153933/ 21981227437/ 21981624541/
Email: paulo.mattos@cdm-rj.com.br/ cantinhoinfantil@uol.com.br/
Sócio: PAULO DE MATTOS DA CRUZ - 898.506.107-00
Telefones: 21984422516/ 21981227437/ 21999073343/ 2132731624/ 2124962516/ 2134154870
Email: pcruz68@gmail.com/ paulo.mattos@cdm-rj.com</t>
  </si>
  <si>
    <t>P0399</t>
  </si>
  <si>
    <t>Vai morar sozinho KITINET
Disse que pretende terminar a obra em 30 dias 
Falei sobre o telhado está para norte para ter mais geração 
Vai usar ar condicionado 8h/ dia e tinha consumo médio de entre R$200 e R$300 reais. 
Fazer por estimativa</t>
  </si>
  <si>
    <t>P0400 - Lina Giglio</t>
  </si>
  <si>
    <t>P0400</t>
  </si>
  <si>
    <t>Lina Giglio</t>
  </si>
  <si>
    <t>R. Leopoldo, 215</t>
  </si>
  <si>
    <t>20541-170</t>
  </si>
  <si>
    <t>Andaraí</t>
  </si>
  <si>
    <t>Telhado de telha cimenticio ondulado
Está analisando outros estudos 
e o consumo em média de 900 kw
Fazer por média ****
Somos um condomínio de 16 unidades
Vai aumentar o consumo 
Média de 2 ar condicionado por casa ( não consegue projetar potência)</t>
  </si>
  <si>
    <t>P0401 - Elaine Pinho</t>
  </si>
  <si>
    <t>P0401</t>
  </si>
  <si>
    <t>Elaine Pinho</t>
  </si>
  <si>
    <t>R. 18, 25</t>
  </si>
  <si>
    <t>24900-000</t>
  </si>
  <si>
    <t>VAI COLOCAR 2 AR DE 7500BTUS
ESTÁ VENDO OUTROS ESTUDOS 
FILHO 24 ANOS  TRABALHA E GOSTA DE CONFORTO</t>
  </si>
  <si>
    <t>P0402 - DANIELLE MATTOS DA CRUZ EDUCACAO INFANTIL LTDA</t>
  </si>
  <si>
    <t>P0402</t>
  </si>
  <si>
    <t>DANIELLE MATTOS DA CRUZ EDUCACAO INFANTIL LTDA</t>
  </si>
  <si>
    <t>paulo.mattos@cdm-rj.com.br</t>
  </si>
  <si>
    <t>R. Velha, 110</t>
  </si>
  <si>
    <t>22753-737</t>
  </si>
  <si>
    <t>CNPJ 22.416.216/0001-75
Nome fantasia 
ESPACO INFANTIL CDM
QSA Claudia Rejane da Cruz Matos esposa</t>
  </si>
  <si>
    <t>P0403 - Gabriel Azevedo</t>
  </si>
  <si>
    <t>P0403</t>
  </si>
  <si>
    <t>Gabriel Azevedo</t>
  </si>
  <si>
    <t>P0404 - Joelson Costa</t>
  </si>
  <si>
    <t>P0404</t>
  </si>
  <si>
    <t>Joelson Costa</t>
  </si>
  <si>
    <t>R. Carlos Fonseca, 16</t>
  </si>
  <si>
    <t>24736-080</t>
  </si>
  <si>
    <t>São Gonçalo</t>
  </si>
  <si>
    <t>Pacheco</t>
  </si>
  <si>
    <t>Infos importantes
Bianca é a decisora e disse que fatura vem em média R$2.500
Fez um orçamento a 3 meses porém acabou não concluindo, mas que possui interesse em colocar
  Passou de 943kWh em Jul/23 para 1.788kWh em jul/24 89,6% de aumento com 2 picos de aumento de consumo (nov/23 e mai/24)
Fatura
PAULO ROBERTO BARBOSA SANTOS JUNIOR EST MAPUA 179 AP 102 TAQUARA / RIO DE JANEIRO, RJ CEP 22713-320 CPF 083.907.484-01 
Conta Contrato: 10107733924
Código da Instalação: 0410040612
Código do Cliente: 31420939
Financiamento
Dados para financiamento: 
• ⁠Nome Paulo Roberto Barbosa Santos Junior 
•⁠ ⁠CPF 083.907.484-01 •⁠ ⁠Data de nascimento 15011991 
•⁠ ⁠email Junior.pharry@gmail.com 
•⁠ ⁠Renda declarada 
•⁠ ⁠Estado civil casado 
•⁠ ⁠Endereço Estrada Mapua, 179 casa 102 
•⁠ ⁠CEP 22713-321
Nome Fantasia: B&amp;J CAKES
Razão Social: B&amp;J CAKES COMERCIO DE PRODUTOS ALIMENTICIOS LTDA
CNPJ: 23.886.303/0001-59
/ Fabricação de produtos de padaria e confeitaria com predominância de produção própria/ Sociedade Empresária Limitada/ MATRIZ/ ME/ DE R$ 250 MIL ATÉ R$ 500 MIL/ ATE 9 FUNCIONARIOS
Data da Criação: 27/12/2015
Endereço: ESTRADA MAPUA TAQUARA, 179, CASA 102, JACAREPAGUA, RIO DE JANEIRO, 22713321
Telefones: 2134135375/ / / 21969300984/ /
Email: bejcakes@gmail.com/ /
Sócio: BIANCA FERREIRA CAVALCANTE SANTOS - 153.560.977-00
Telefones: 21969300984/ 21964248727/ / 2134135375/ /
Email: bejcakes@gmail.com/</t>
  </si>
  <si>
    <t>P0405</t>
  </si>
  <si>
    <t>conexão</t>
  </si>
  <si>
    <t>Recanto de Itaipuaçu, Maricá</t>
  </si>
  <si>
    <t>ricá - RJ</t>
  </si>
  <si>
    <t>Recanto de Itaipuaçu</t>
  </si>
  <si>
    <t>INFORMAÇÕES IMPORTANTES 
Vai colocar ar de 12.000 inverter em casa 
Média casa R$380
Média lojas R$420
Disse que primeiro precisa ver em nome de quem aprova</t>
  </si>
  <si>
    <t>R. Conde de Azambuja, 1109</t>
  </si>
  <si>
    <t>20785-341</t>
  </si>
  <si>
    <t>Maria da Graça</t>
  </si>
  <si>
    <t>Disse que consome 650 kWh aproximadamente / FILHO PASSOU A INFORMAÇÃO ERRADA. 
fica com o ar ligado entre 4/5h, mas usaria mais se a conta não viesse alta
Tem laje e telha grande
Disse que provavelmente fará o investimento em dezembro ( entender melhor na vídeo) 
Não vão comprar mais nada elétrico. 
 temos 3 ar condicionado de 9000btus</t>
  </si>
  <si>
    <t>INFORMAÇÕES IMPORTANTES 
Tem 1 ar de 12mil btus e vai colocar mais 1 com a mesma potência 
Disse que já fez alguns estudos e que não está aprovando financiamento por conta do score baixo. Disse que se puder parcelar no cartão ( falou tb de valores altos) 
Usa ar de 00h até às 4h da manhã para economizar e pretende usar em média mais 5h nos dias mais quentes. 
DADOS PARA FINANCIAMENTO
Joelson Vieira da Costa
CPF 01284644707
Nasc. 25/08/1970
joelson45vieira@gmail.com
Renda 3.500,00
Está.civil :casado
End: Rua Carlos da Fonseca l3 Q 16 bairro Pacheco São Gonçalo
Cep: 24736-080
Residência própria
Lilian o imóvel ainda está com nome do meu avô mais pago IPTU e moro lá a 54 anos11:25
IPTU em dia tudo pago</t>
  </si>
  <si>
    <t>P0405 - Karini Peixoto</t>
  </si>
  <si>
    <t>Karini Peixoto</t>
  </si>
  <si>
    <t>P0406 - Fernando Arruda Ribeiro</t>
  </si>
  <si>
    <t>P0406</t>
  </si>
  <si>
    <t>Fernando Arruda Ribeiro</t>
  </si>
  <si>
    <t>Estr. Rodrigues Caldas, 257</t>
  </si>
  <si>
    <t>22713-372</t>
  </si>
  <si>
    <t>INFORMAÇÕES IMPORTANTES
Ele é  taxista amigo do Nil da Mamore na Freguesia. 
Possui média de conta de R$500 reais e no verão média R$800
Tem 3 ar condicionados são 3 split 1 de 12.000 Btus/ 1 de 10.000 Btus e 1 de 7.500 Btus
Não vai comprar nada elétrico novo</t>
  </si>
  <si>
    <t>Considerando uma airfryer de 1,2kWh</t>
  </si>
  <si>
    <t>AirFryer</t>
  </si>
  <si>
    <t>P0407 - Paulo Cesar Carvalho</t>
  </si>
  <si>
    <t>P0407</t>
  </si>
  <si>
    <t>Paulo Cesar Carvalho</t>
  </si>
  <si>
    <t>Maria Joaquina, Cabo Frio</t>
  </si>
  <si>
    <t>Frio - RJ</t>
  </si>
  <si>
    <t>Maria Joaquina</t>
  </si>
  <si>
    <t>INFORMAÇÕES IMPORTANTES 
Está saindo de um apartamento na Tijuca e indo para Cabo Frio
Ele viaja muito e chega a ficar fora 20 dias do mês
A conta veio R$40 reais 
Está indo para uma casa de dois andares, na de cima vai ficar o  filho, 2 Apa 1 de 12 e outro de 10 na minha casa igual, sendo o mais usado os de 12 e 1 de 10. Os de 12, 8 horas de uso e o de 10 6 horas.
O do meu filho de 12 BTUs, todos os dias o meu nos mais quente, uso muito ventilador de teto.
2 chuveiros elétricos e Apas de cozinha normais, fritadeira sem óleo muito usada.
IRÁ SE MUDAR PARA REGIÃO EM OUTUBRO *******</t>
  </si>
  <si>
    <t>P0408 - Jones Rocha</t>
  </si>
  <si>
    <t>P0408</t>
  </si>
  <si>
    <t>Jones Rocha</t>
  </si>
  <si>
    <t>Av. Cristina Domingues, 41</t>
  </si>
  <si>
    <t>26317-360</t>
  </si>
  <si>
    <t>Granja Rosalina</t>
  </si>
  <si>
    <t>INFORMAÇÕES IMPORTANTES 
Networking ex vivo
Não haverá aumento de consumo 
Utiliza o ar mais nos meses mais quentes e já está no consumo médio da conta 
Tem um studio de fotografia no mesmo quintal ( hoje ele utiliza o mesmo relógio), pensa em alugar outro local, mas ainda não é efetivo.</t>
  </si>
  <si>
    <t>P0409 - Luciano</t>
  </si>
  <si>
    <t>P0409</t>
  </si>
  <si>
    <t>Luciano</t>
  </si>
  <si>
    <t>INFORMAÇÕES IMPORTANTES
Gasto médio entre R$700 e R$600  sem ar
Deseja colocar um ar de 18.000 btus para usar de 20h às 01h da manhã. Disse que lá na madrugada refresca 
Está fazendo outros estudos 
Ficou de me passar a conta na segunda pois estava na rua e não tinha como me passar no momento</t>
  </si>
  <si>
    <t>R. Palmeirandia, 90</t>
  </si>
  <si>
    <t>22723-050</t>
  </si>
  <si>
    <t>P0410 - Sonia Farias</t>
  </si>
  <si>
    <t>P0410</t>
  </si>
  <si>
    <t>Sonia Farias</t>
  </si>
  <si>
    <t>R. Leontina Meziot</t>
  </si>
  <si>
    <t>25237-010</t>
  </si>
  <si>
    <t>Duque de Caxias</t>
  </si>
  <si>
    <t>Campos Eliseos</t>
  </si>
  <si>
    <t>INFORMAÇÕES IMPORTANTES 
Tem um ar de 8.000 btus 
Vai colocar mais 1 de ar 10.000 btus
Cook  top de indução 
Vai aumentar potência do chuveiro 
horas 20h as 5h mais 5h meses quentes</t>
  </si>
  <si>
    <t>P0411 - CARLOS EDUARDO AMANCIO DA SILVA</t>
  </si>
  <si>
    <t>P0411</t>
  </si>
  <si>
    <t>CARLOS EDUARDO AMANCIO DA SILVA</t>
  </si>
  <si>
    <t>abordagem</t>
  </si>
  <si>
    <t>R. Getúlio Vargas, 416</t>
  </si>
  <si>
    <t>23954-095</t>
  </si>
  <si>
    <t>Infos importantes
Indicação do  
Mora na ilha, na conta vem como b3 comercial, mas é para uma residência.
Falou que não tem pretensão de aumentar o consumo mas é bom colocar uma margem 
IMPORTANTE: proposta não está considerando logística marítima</t>
  </si>
  <si>
    <t>NEP</t>
  </si>
  <si>
    <t>https://belenus.com.br/api/arquivo/download/DATASHEET_MINVNEP_220V_2.25KW.pdf</t>
  </si>
  <si>
    <t>P0412</t>
  </si>
  <si>
    <t>R. Florentina, 12</t>
  </si>
  <si>
    <t>21350-010</t>
  </si>
  <si>
    <t>Cascadura</t>
  </si>
  <si>
    <t>INFORMAÇÕES IMPORTANTES 
Tem uma ar de 18.000 na sala que usa muito pouco 
E uma de 9000 que fica ligado de 22h até às 5h da manhã 
Ele não atendeu ligação somente no whats, DISSE QUE NÃO HAVERÁ AUMENTO DE CONSUMO e a conta tem vários meses com 30w, ou seja, sem consumo real</t>
  </si>
  <si>
    <t>NEP-BDM-2250</t>
  </si>
  <si>
    <t>P0413</t>
  </si>
  <si>
    <t>P0414</t>
  </si>
  <si>
    <t>vt</t>
  </si>
  <si>
    <t>Rua Conde de Itaguaí, 83</t>
  </si>
  <si>
    <t>20511-200</t>
  </si>
  <si>
    <t>Tijuca</t>
  </si>
  <si>
    <t>Infos importantes
Indicação do Nivaldo
Quer colocar o máximo que o telhado comporta pois o filho vai começar a minerar cripto
Pediu VT antes da pré proposta pois a conta não faz sentido ser usada como referência
Rua Conde de Itaguai 83 casa Tijuca
Fica na esquina com a Rua Antônio Basílio
Fica entre as estações de metrô  da Saens Pena e Uruguai</t>
  </si>
  <si>
    <t>P0415 - Marinete Santos</t>
  </si>
  <si>
    <t>P0415</t>
  </si>
  <si>
    <t>Marinete Santos</t>
  </si>
  <si>
    <t>R. Cel. Moreira César, 490</t>
  </si>
  <si>
    <t>21655-180</t>
  </si>
  <si>
    <t>Pavuna</t>
  </si>
  <si>
    <t>INFORMAÇÕES IMPORTANTES  
FALAR DA ADEQUAÇÃO DE PADRÃO 
Tem 2 ar de 9.000 e vai colocar mais 1 de 9.000 na sala</t>
  </si>
  <si>
    <t>P0397 - Priscila dos Santos Barroso Soares</t>
  </si>
  <si>
    <t>Priscila dos Santos Barroso Soares</t>
  </si>
  <si>
    <t>P0416 - Léo Cardoso</t>
  </si>
  <si>
    <t>P0416</t>
  </si>
  <si>
    <t>Léo Cardoso</t>
  </si>
  <si>
    <t>Rua sargento Luís da Silva, 208</t>
  </si>
  <si>
    <t>22710-205</t>
  </si>
  <si>
    <t>INFORMAÇÕES IMPORTANTES  
Tem dois ar  condicionado, sendo um de 12.000 btus e outro de 9.000, usados somente a noite. 
Irá colocar mais 1 de 12.000 btus inverter 8h/dia 
Possui dois chuveiros que está no consumo atual 
Telhado deve ter de 35 a 40 mts quadrados</t>
  </si>
  <si>
    <t>P0417 - Evelyn dos Santos</t>
  </si>
  <si>
    <t>P0417</t>
  </si>
  <si>
    <t>Evelyn dos Santos</t>
  </si>
  <si>
    <t>Cachoeiras de Macacu, RJ, 28680-000</t>
  </si>
  <si>
    <t>28680-000</t>
  </si>
  <si>
    <t>Cachoeiras de Macacu</t>
  </si>
  <si>
    <t>RJ, 28680-000</t>
  </si>
  <si>
    <t>INFORMAÇÕES IMPORTANTES
Disse que tem telha de cerâmica e de fibrocimento
Não haverá aumento de consumo 
Não pode ter meet. Quer somente orçamento ( disse que tinha diferenças enfim, ela disse que não pode)</t>
  </si>
  <si>
    <t>P0418 - Aluisio</t>
  </si>
  <si>
    <t>P0418</t>
  </si>
  <si>
    <t>Aluisio</t>
  </si>
  <si>
    <t>Maricá, RJ</t>
  </si>
  <si>
    <t>aricá, RJ</t>
  </si>
  <si>
    <t>INFORMAÇÕES IMPORTANTES  
Tem dois freezer 
Tem duas geladeiras 
4 ar condicionado 
Acredita que 1200 a 1500 Kwh no máximo vá atender o consumo dele</t>
  </si>
  <si>
    <t>P0232 - [FV02] Humberto Loureiro Junior</t>
  </si>
  <si>
    <t>[FV02] Humberto Loureiro Junior</t>
  </si>
  <si>
    <t>hloureirojr@gmail.com</t>
  </si>
  <si>
    <t>Informações Importantes
Necessário adequação do disjuntor do padrão (eliminar emenda e conectar direto no disjuntor o cabo vermelho)
POSSUI GERADOR, conexão tem que ser feita antes da comutadora
VERIFICAR passagem do cabo até o quadro externo
Veio pelo o Engelink
Lead não quis apresentação completa, foi informando que já sabia como funciona.
Informações de contato
Documentos necessários
•⁠  ⁠Nome completo: Humberto Loureiro Junior
•⁠  ⁠CPF: 696.612.607-10
•⁠  ⁠Endereço de onde será instalação: Rua Santo Arquiminio nr 48
•⁠  ⁠CEP: 22.630-210
•⁠  ⁠E-mail: hloureirojr@gmail.com
•⁠  ⁠Data de nascimento: 25/11/1956
•⁠  ⁠Nacionalidade: Brasileira
Light
HUMBERTO LOUREIRO JUNIOR
R STO ARQUIMINIO 48 BARRA DA TIJUCA / RIO DE JANEIRO, RJ
CEP 22630-210
CPF 696.612.607-10
Conta Contrato: 10055068027
Cód da instalação: 0412365273
Cód do cliente: 30363952
Instalação
Telhado concreto plano (fibromadeira)
possui gerador (deve ser ligado antes do QTA)
Levar cabo PP pelo muro. Analisar bitola no projeto</t>
  </si>
  <si>
    <t>P0303 - [FV01] Rocky Garden Brew Cafe</t>
  </si>
  <si>
    <t>25730-775</t>
  </si>
  <si>
    <t>Petrópolis</t>
  </si>
  <si>
    <t>Itaipava</t>
  </si>
  <si>
    <t>Contato: https://app.clickup.com/t/86a2r8dgz
Infos importantes
Enviou a fatura pelo whatsapp e consumo de energia
Consumo entre 1500 a 2000 kW
Disseram que já fizeram orçamento antes de energia solar, mas não tinham um espaço muito bom, mas hoje já têm um espaço melhor.
Pretendem colocar um sistema de ar condicionados daqui a pouco (aumento considerável de energia)
Briefing</t>
  </si>
  <si>
    <t>P0419 - Cristina Rother</t>
  </si>
  <si>
    <t>P0419</t>
  </si>
  <si>
    <t>Cristina Rother</t>
  </si>
  <si>
    <t>Estr. Ver. Alceu de Carvalho</t>
  </si>
  <si>
    <t>INFORMAÇÕES IMPORTANTES
A piscina tem 330×370×12010:23
14.652 m cúbicos
Disse que só não quer que ela fique tão gelada como fica ( não precisa de temperatura específica) 
Pretende colocar ar no quarto de 12 , e na sala ,ainda não sei qual a potência mas deve ser potência alta , talvez até 2 aparelhos
CITOU QUE QUERIA MARGEM PARA MANDAR PARA AS FILHAS QUE MORAM EM APARTAMENTO, MAS A PRIORIDADE SERIA A CASA DELA E A PISCINA
Já fez outros orçamentos, mas disse que um vizinho já colocou conosco. ( Perguntei nome, mas não disse, Perguntar novamente</t>
  </si>
  <si>
    <t>P0396 - Walter Nogueira Ramos</t>
  </si>
  <si>
    <t>Walter Nogueira Ramos</t>
  </si>
  <si>
    <t>sqzramos@gmail.com</t>
  </si>
  <si>
    <t>P0420 - Telma</t>
  </si>
  <si>
    <t>P0420</t>
  </si>
  <si>
    <t>Telma</t>
  </si>
  <si>
    <t>Olaria, Rio de Janeiro</t>
  </si>
  <si>
    <t>Olaria</t>
  </si>
  <si>
    <t>INFORMAÇÕES IMPORTANTES
Disse que não passa a fatura para ninguém 
Quer um sistema para 1000W disse que se vai dar e sobrar
Casa está reformando. Vai colocar telhas novas de amianto 
Teve origem humilde e não gosta de gastar em excesso mesmo sendo solar
É autônoma, trabalha em casa com costura 
Está orçando com outras empresas, disse que cobraram 18k em 18 placas 
Lá é monofásico</t>
  </si>
  <si>
    <t>P0421 - Izaias Grachet</t>
  </si>
  <si>
    <t>P0421</t>
  </si>
  <si>
    <t>Izaias Grachet</t>
  </si>
  <si>
    <t>Bangu, Rio de Janeiro</t>
  </si>
  <si>
    <t>INFORMAÇÕES IMPORTANTES 
Quer compartilhar crédito com outra casa 
Hoje não tem relógio ( usa gato ) 
são dois chuveiros padrão não soube projetar potência (padrão acredito) 
2 geladeiras 
micro ondas 
forno elétrico 
2 ar de 12 consumo de 12h nos meses mais quentes</t>
  </si>
  <si>
    <t>P0422 - Francisco Antonio</t>
  </si>
  <si>
    <t>P0422</t>
  </si>
  <si>
    <t>Francisco Antonio</t>
  </si>
  <si>
    <t>R. Bagé</t>
  </si>
  <si>
    <t>21510-410</t>
  </si>
  <si>
    <t>Coelho Neto</t>
  </si>
  <si>
    <t>INFORMAÇÕES IMPORTANTES  
Disse que quer colocar o quanto antes 
Está orçando em outros lugares 
Média de consumo de 373 KWh
Disse que teve um mês que veio muito acima do que ele realmente usa Março ( acha que veio errado) ficou de mandar a conta</t>
  </si>
  <si>
    <t>P0423 - Vitor Neves</t>
  </si>
  <si>
    <t>P0423</t>
  </si>
  <si>
    <t>Vitor Neves</t>
  </si>
  <si>
    <t>Praça Seca, Rio de Janeiro</t>
  </si>
  <si>
    <t>Praça Seca</t>
  </si>
  <si>
    <t>INFORMAÇÕES IMPORTANTES  
Foi indicação do Dudu de Jaconé 
Disse que 700Kwh vai atender suas necessidades e ainda terá sobra 
Disse que quer essa quantidade de microinversores</t>
  </si>
  <si>
    <t>P0424 - Robson Santos</t>
  </si>
  <si>
    <t>P0424</t>
  </si>
  <si>
    <t>Robson Santos</t>
  </si>
  <si>
    <t>Av. São Josemaria Escrivá, 560</t>
  </si>
  <si>
    <t>22753-200</t>
  </si>
  <si>
    <t>Itanhangá</t>
  </si>
  <si>
    <t>Indicação do  
Tinha um sistema, fizemos a ampliação e agora ele busca a ampliação
Av São josemaria escriva 560 bl1 apt1812</t>
  </si>
  <si>
    <t>Contato: https://app.clickup.com/t/86a2vc33a
Infos importantes
Indicação da Larissa (arquiteta) - TEM REPASSE DE RT
Busca por qualidade e preço (custo benefício)
Consumo colocado por estimativa
Pretendem fazer por financiamento, gostaram mais das opções de micro/enphase
Briefing
Pediu para geração de 1.000kWh
já possui aquecimento solar com 3 placas
Está pensando em construir piscina talvez em 2025 (Disse que a mulher tem pavor de água fria) e carro elétrico não está nos planos
Planejamento de colocar o sistema até inicio de 2025
Se mudou dia 20/01/24</t>
  </si>
  <si>
    <t>P0425 - ANDERSON LADEIRA</t>
  </si>
  <si>
    <t>P0425</t>
  </si>
  <si>
    <t>ANDERSON LADEIRA</t>
  </si>
  <si>
    <t>R. Nova Catanduva, 80</t>
  </si>
  <si>
    <t>23047-255</t>
  </si>
  <si>
    <t>INFORMAÇÕES IMPORTANTES 
Fez um orçamento estudo, achou caro. Pediram muita documentação para fazer financiamento e ele desistiu. 
R$550 média de fatura  1 ar 7500 
 12 mil ESCRITÓRIO 
9 mil  FILHO QUE FICA EM CASA SÓ ESTUDA
Segurança, qualidade e material 
indicação do vizinho que já possui. 
abril/ retorno em agosto ESTAVA EM VIAGEM</t>
  </si>
  <si>
    <t>P0426</t>
  </si>
  <si>
    <t>P0426 - Jorge Roberto</t>
  </si>
  <si>
    <t>Jorge Roberto</t>
  </si>
  <si>
    <t>qualificação</t>
  </si>
  <si>
    <t>R. Sericita, 163</t>
  </si>
  <si>
    <t>22763-260</t>
  </si>
  <si>
    <t>P0427 - Rui Jose</t>
  </si>
  <si>
    <t>P0427</t>
  </si>
  <si>
    <t>Rui Jose</t>
  </si>
  <si>
    <t>Rua Silvestre Filippi, 938</t>
  </si>
  <si>
    <t>21635-430</t>
  </si>
  <si>
    <t>Anchieta</t>
  </si>
  <si>
    <t>INFORMAÇÕES IMPORTANTES 
Disse que não haverá aumento de consumo 
É a primeira vez que faz orçamento 
Quer fazer o investimento o quanto antes. Disse que depende do preço e da forma de pagamento ( disse ele )</t>
  </si>
  <si>
    <t>P0428</t>
  </si>
  <si>
    <t>R. Sodré da Gama, 7</t>
  </si>
  <si>
    <t>21371-520</t>
  </si>
  <si>
    <t>Colégio</t>
  </si>
  <si>
    <t>INFORMAÇÕES IMPORTANTES 
Tem média de conta de R$500 reais. Não vai colocar nada a mais
Quer um aumento de 30% para já ficar com margem
Usa mais durante o dia ainda mais quando os netos estão na casa dele.</t>
  </si>
  <si>
    <t>P0429 - Lilian Daniele Teixeira dos Santos</t>
  </si>
  <si>
    <t>P0429</t>
  </si>
  <si>
    <t>Lilian Daniele Teixeira dos Santos</t>
  </si>
  <si>
    <t>R. 32, 27</t>
  </si>
  <si>
    <t>Itaupuaçu</t>
  </si>
  <si>
    <t>P0430 - ART FRUIT</t>
  </si>
  <si>
    <t>P0430</t>
  </si>
  <si>
    <t>ART FRUIT</t>
  </si>
  <si>
    <t>P0431 - Rodrigo Nunes</t>
  </si>
  <si>
    <t>P0431</t>
  </si>
  <si>
    <t>Rodrigo Nunes</t>
  </si>
  <si>
    <t>Av. Di Cavalcanti, 111</t>
  </si>
  <si>
    <t>22793-320</t>
  </si>
  <si>
    <t>INFORMAÇÕES IMPORTANTES  
Está saindo de um apartamento de 70m2 para uma cobertura de 160m2
Vizinhos já possuem placas solar disse ele 
Sauna 
Piscina 
Casa inteligente 
Acredita  que entre R$700 a R$1000 reais de conta atenderia 
Pediu para fazer o orçamento para 1000Kwh*** 
Queria ficar mais tempo em casa, mas não fica 
É uma implementação</t>
  </si>
  <si>
    <t>P0432 - Renata Ribeiro</t>
  </si>
  <si>
    <t>P0432</t>
  </si>
  <si>
    <t>Renata Ribeiro</t>
  </si>
  <si>
    <t>infos importantes
AC dos quartos todos os dias 8 a 9h, antes não tinha 
Sala todos os dias do verão</t>
  </si>
  <si>
    <t>P0433 - Diego Peçanha</t>
  </si>
  <si>
    <t>P0433</t>
  </si>
  <si>
    <t>Diego Peçanha</t>
  </si>
  <si>
    <t>R. Primeiro de Outubro</t>
  </si>
  <si>
    <t>24436-540</t>
  </si>
  <si>
    <t>Neves</t>
  </si>
  <si>
    <t>INFORMAÇÕES IMPORTANTES 
Disse que no verão irá consumir 100Kwh a mais ( coloquei somente valores da conta) 
Quer transferir crédito não tinha posse da outra conta, mas disse ter valor de R$130</t>
  </si>
  <si>
    <t>P0434 - Cantinho da Ale e Chicão</t>
  </si>
  <si>
    <t>P0434</t>
  </si>
  <si>
    <t>Cantinho da Ale e Chicão</t>
  </si>
  <si>
    <t>Av. Jardel Filho, 56</t>
  </si>
  <si>
    <t>INFORMAÇÕES IMPORTANTES
Tem bifásico mas quer alterar para trifásico porque precisa colocar um elevador automotivo (4kWh)
No local funciona uma oficina e restaurante 
Consumo conta máxima chegou a R$1500 reais 
Mora de locação ( está em processo de compra da casa) Disse que vai pagar certa 3k de prestação</t>
  </si>
  <si>
    <t>Valor com 10% de desconto</t>
  </si>
  <si>
    <t>Percentual de aumento do kit</t>
  </si>
  <si>
    <t>P0435 - Eduardo Fortunato da Silva</t>
  </si>
  <si>
    <t>P0435</t>
  </si>
  <si>
    <t>Eduardo Fortunato da Silva</t>
  </si>
  <si>
    <t>R. Columeia, 65</t>
  </si>
  <si>
    <t>22750-220</t>
  </si>
  <si>
    <t>INFORMAÇÕES IMPORTANTES 
Tem dois meses que está na casa sua conta tem vindo R$800 reais
Vai instalar 4 aparelhos de ar condicionado, sendo um de 24, um de 12 e dois de 9.
Antigo morador gastava média de R$1200. Ele disse que deve ficar nessa média depois que colocar os aparelhos. 
Fomos indicados por 2 vizinhos do Condomínio Capim Melado.</t>
  </si>
  <si>
    <t>P0436 - Sabor do Grão</t>
  </si>
  <si>
    <t>P0436</t>
  </si>
  <si>
    <t>Sabor do Grão</t>
  </si>
  <si>
    <t>Rua Cardoso de Morais, 158</t>
  </si>
  <si>
    <t>21032-000</t>
  </si>
  <si>
    <t>Bonsucesso</t>
  </si>
  <si>
    <t>Padaria do Geraldo mesmo dono da Lame
Já possui 3 fornos elétrico e muitos equipamentos com alto consumo
Rua cordoso de moraes 158 sabor do grão. 10h 24 mil</t>
  </si>
  <si>
    <t>P0437 - Carlos Henrique Kuchenbecker da Silva</t>
  </si>
  <si>
    <t>P0437</t>
  </si>
  <si>
    <t>Carlos Henrique Kuchenbecker da Silva</t>
  </si>
  <si>
    <t>Cantinho do Mar, Rio das Ostras</t>
  </si>
  <si>
    <t>tras - RJ</t>
  </si>
  <si>
    <t>Cantinho do Mar</t>
  </si>
  <si>
    <t>INFORMAÇÕES IMPORTANTES
Fica em Rio das Ostras *****
Possui consumo hoje na faixa de R$700 reais com um ar de 9
Vai instalar mais 3 de 12 usar 8h por dia todos meses
Vai usar a fritadeira elétrica 40 min 1h por dia 
Acredita que 900kwh vai atender 
Que fazer a implementação nos próximos 30 dias 
Já solicitou alteração de padrão para trifásico 
QUER FAZER UM ESTUDO TAMBÉM PARA UM TERRENO DE 1000m2, plano. Vai ficar destinado 100% a usina.</t>
  </si>
  <si>
    <t>P0439 - Carlos Henrique  Kuchenbecker da Silva Terreno</t>
  </si>
  <si>
    <t>P0439</t>
  </si>
  <si>
    <t>Carlos Henrique  Kuchenbecker da Silva Terreno</t>
  </si>
  <si>
    <t>INFOMRAÇÕES IMPORTANTES
QUER FAZER UM ESTUDO TAMBÉM PARA UM TERRENO DE 1000m2, plano. Vai ficar destinado 100% a usina.
Rio das Ostras</t>
  </si>
  <si>
    <t>P0438</t>
  </si>
  <si>
    <t>priscimarcal@hotmail.com</t>
  </si>
  <si>
    <t>INFORMAÇÕES IMPORTANTES 
LEANDRO DE SOUZA BASTOS dono ***
Gasto médio no auto center de R$1300 a R$1500
Hamburgueria ao lado tem consumo acima de 5k já fechou com outra empresa( Michael disse que vai precisar de parte do telhado do Leandro) Essa empresa disse que a conta da casa de Leandro precisava de 3 meses para ter média. 
Esposa Priscila gasto em casa de R$900 a R$1000 (Saquarema) Bifásico 
Falei sobre carência para começar a pagar ano que vem. 
Quer colocar na loja e transferir para saquarema</t>
  </si>
  <si>
    <t>P0440 - CONFEITARIA MARCIA</t>
  </si>
  <si>
    <t>P0440</t>
  </si>
  <si>
    <t>CONFEITARIA MARCIA</t>
  </si>
  <si>
    <t>confetariamarcia@hotmail.com</t>
  </si>
  <si>
    <t>R. Costa Ferreira, 34</t>
  </si>
  <si>
    <t>20221-240</t>
  </si>
  <si>
    <t>Nome Fantasia: CONFEITARIA MARCIA
Razão Social: MARIA DO CARMO CONFEITARIA &amp; CAFETERIA LTDA
CNPJ: 12.648.605/0001-72
/ Padaria e confeitaria com predominância de revenda/ Sociedade Empresária Limitada/ MATRIZ/ ME/ DE R$ 500 MIL ATÉ R$ 1 MM/ ATE 9 FUNCIONARIOS
Data da Criação: 07/10/2010
Endereço: RUA COSTA FERREIRA, 34, CENTRO, RIO DE JANEIRO, 20221240
Telefones: 2137987004/ 2130917015/ 2122532455/ / /
Email: confeitariamarcia@hotmail.com/ /
Sócio: FABIO SANTOS DE MOURA - 094.040.697-79
Telefones:  21976873346/ / 2122532455
Email: /
Sócio: FABIANA SANTOS DE MOURA - 112.541.847-83
Telefones: 21979616152/ 21982915314/ 21964686022/ 2122532455
Email: confeitariamarcia@hotmail.com/ fabby_vida2@hotmail.com</t>
  </si>
  <si>
    <t>P0442 - Josué Vale</t>
  </si>
  <si>
    <t>P0442</t>
  </si>
  <si>
    <t>Josué Vale</t>
  </si>
  <si>
    <t>josue.vale01@hotmail.com</t>
  </si>
  <si>
    <t>R. Pajuçara, 600</t>
  </si>
  <si>
    <t>21910-300</t>
  </si>
  <si>
    <t>Cocotá</t>
  </si>
  <si>
    <t>INFORMAÇÕES IMPORTANTES 
Ele tem um sistema em Teresópolis 
Mapear outras coisas na residência transformador de corrente*
TIRAR DÚVIDA COM VINICUS SOBRE A HOMOLOGAÇÃO DAS BATERIAS DO ENPHASE
Disse que é interessante a tecnologia para colocar  offgrid o (enphase) 
Ele quer um sistema para 600Kw mês. "Meu consumo varia muito porque tenho um carro elétrico e varia de acordo com o uso. Se tiver algum valor em torno dessa produção, me atende."
Não comprou o enphase porque não estava homologado. ( na época) 
Pensa em ter sistema misto</t>
  </si>
  <si>
    <t>P0443 - Igor RC</t>
  </si>
  <si>
    <t>P0443</t>
  </si>
  <si>
    <t>Igor RC</t>
  </si>
  <si>
    <t>Jardim Atlântico Oeste, Maricá</t>
  </si>
  <si>
    <t>Jardim Atlântico Oeste</t>
  </si>
  <si>
    <t>INFORMAÇÕES IMPORTANTES 
Conta de R$395 no verão chega a R$650 na antiga casa. 
Se mudou em abril e ainda não pegou verão de conta aqui em Maricá 
Tem um de 12 e dois de 9 ( 3 aparelhos um casa quarto) usar período da noite somente nos meses mais quente</t>
  </si>
  <si>
    <t>P0444 - Marcos Magalhães</t>
  </si>
  <si>
    <t>P0444</t>
  </si>
  <si>
    <t>Marcos Magalhães</t>
  </si>
  <si>
    <t>22783-116</t>
  </si>
  <si>
    <t>INFORMAÇÕES IMPORTANTES 
É vizinho do Hebert e da Bruna ( esposa dele malha com a Bruna) 
vizinho de porta 
Quer aproveitar o máximo de telhado 
Telefone dele tem block spam  não recebe ligação de discador
Disse que fez 2 outros orçamentos, mas não quer dor de cabeça e espera qualidade não somente preço
Será parcelado. Ou cartão ou financiado. Vai fechar em 10 dias 
Vai compartilhar crédito com sogro</t>
  </si>
  <si>
    <t>P0445 - Victor Israel</t>
  </si>
  <si>
    <t>P0445</t>
  </si>
  <si>
    <t>Victor Israel</t>
  </si>
  <si>
    <t>R. Tiúba, 546</t>
  </si>
  <si>
    <t>21371-170</t>
  </si>
  <si>
    <t>Vicente de Carvalho</t>
  </si>
  <si>
    <t>Indicação do Vinícius da SolPlanet
Quer uma geração média de 1.000kWh
Verificar possibilidade de diminuir a geração e por junto um AQB
Fazer adequação de padrão, valor separado (somente até o QD principal)
5 pessoas tomando 2 banhos de 20min por dia</t>
  </si>
  <si>
    <t>riopinho215@gmail.com</t>
  </si>
  <si>
    <t>Tabela Cactos - R$/kWp</t>
  </si>
  <si>
    <t>Própria - R$/kWp</t>
  </si>
  <si>
    <t>Pessoas</t>
  </si>
  <si>
    <t>Diária</t>
  </si>
  <si>
    <t>Própria</t>
  </si>
  <si>
    <t>INFORMAÇÕES IMPORTANTES 
Pai de Vinicius que indicou. (ele pegou o nº da empresa) 
Queria orçamento pelo whats 
Está de mudança, a única coisa que vai mudar será o chuveiro que ele não consegue  projetar potência. Era à gás 
Falou que o aumento de consumo não será muito pois quase não ficam em casa
Acredita que uma geração entre 500 e 600kWh deva suprir 
Não perguntei o bairro que ele vai e quando é a mudança***</t>
  </si>
  <si>
    <t>P0446 - Heros Navarro</t>
  </si>
  <si>
    <t>P0446</t>
  </si>
  <si>
    <t>Heros Navarro</t>
  </si>
  <si>
    <t>heros.farias.navarro@gmail.com</t>
  </si>
  <si>
    <t>10/18/2024 11:01-AD01 - Criativo Registro-Conj 22-65 [aberto] Bairros-Leads [cadastro] CBO 1609 V0
Quando Pretende Instalar: imediato
Valor Médio da Conta: 1000
Telefone: 21978404994
+5521973485140
Cidade: Rio de Janeiro
A mãe do Heros tem um trailer na região dos Lagos, utilizam muito a chapa, no verão a conta chega até R$ 1.300
Moram em apartamento com a conta em torno de R$ 500, ambas as contas são da Light.</t>
  </si>
  <si>
    <t>P0448 - ART FRUT 2</t>
  </si>
  <si>
    <t>P0448</t>
  </si>
  <si>
    <t>ART FRUT 2</t>
  </si>
  <si>
    <t>Av. Marechal Fontenele, 5021</t>
  </si>
  <si>
    <t>21750-121</t>
  </si>
  <si>
    <t>P0447 - Claudià Motta (Perfil Pessoal)</t>
  </si>
  <si>
    <t>P0447</t>
  </si>
  <si>
    <t>Claudià Motta (Perfil Pessoal)</t>
  </si>
  <si>
    <t>13/10/2024 13:18 - Claudià Motta (Perfil Pessoal) - 5521999000012
Paga entre 500 e 600 reais
Já está incluso o ar-condicionado e piscina</t>
  </si>
  <si>
    <t>P0449 - Flavio Rodrigues Ribeiro</t>
  </si>
  <si>
    <t>P0449</t>
  </si>
  <si>
    <t>Flavio Rodrigues Ribeiro</t>
  </si>
  <si>
    <t>Estr. Ver. Alceu de Carvalho, 555</t>
  </si>
  <si>
    <t>Indicação do  
Gostou da ideia de trocar o gás por aquecimento banho
Ficou de enviar fatura e planta hidraulica 
FLAVIO RODRIGUES RIBEIRO
EST VER ALCEU OE CARVALHO 555
CA 2 QD G LT 4
VARGEM GRANDE /RIO JANEIRO.
CEP 22785-620
CPF 018.473.787-73</t>
  </si>
  <si>
    <t>P0450 - Fátima Spala</t>
  </si>
  <si>
    <t>P0450</t>
  </si>
  <si>
    <t>Fátima Spala</t>
  </si>
  <si>
    <t>R. Peçanha Povoas, 55</t>
  </si>
  <si>
    <t>21060-110</t>
  </si>
  <si>
    <t>13/10/2024 20:05 - Fátima Spala - 5521988408957
Fátima informa que este mês pagou em R$ 555 de energia sem usar o ar-condicionado.
Tem previsão de aumento e deseja poder usar o ar-condicionado de forma tranquila, sem preocupar com a conta.
Fatura em anexo.</t>
  </si>
  <si>
    <t>Claudio Barbosa dos Santos</t>
  </si>
  <si>
    <t>claudiobarbosaconsultoria@gmail.com</t>
  </si>
  <si>
    <t>Claudio Barbosa dos Santos 21987464412
Paga hoje em média 600 reais de energia
Haverá aumento de consumo, deseja instalar ar-condicionado.
Ficou de me enviar uma foto da conta pelo Wzp.
Reunião para quarta às 16h.</t>
  </si>
  <si>
    <t>P0452</t>
  </si>
  <si>
    <t>P0452 - Claudio Barbosa dos Santos</t>
  </si>
  <si>
    <t>P0451</t>
  </si>
  <si>
    <t>camilaalvespuc@hotmail.com</t>
  </si>
  <si>
    <t>INFORMAÇÕES IMPORTANTES 
Está colocando placa de telha sanduíche termo acústica e deve finalizar essa semana ( até 23/10) 
Mora no condomínio Barra Village House e  foi indicada por uma vizinha ( Hebert e Bruna ) 
Tem conta entre R$500 e R$700 
Tem 3 ares condicionados de 24 e vai usar 3h  a mais no meses mais quentes 
Tem 1 ar de  18 e vai usar a mais 8h todos os dias, o ano inteiro. 
Tem 1 ar de 9 e vai passar a usar a mais  6h ano inteiro.
Tem 1 de 7 quase não usado quanto de hóspede.    
Disse que pretende marcar a VT na quinta da semana que vem 31/10 ( confirmar na vídeo chamada)</t>
  </si>
  <si>
    <t>P0451 - CAMILA DA ROCHA PEREIRA ALVES</t>
  </si>
  <si>
    <t>CAMILA DA ROCHA PEREIRA ALVES</t>
  </si>
  <si>
    <t>P0454 - Aluisio Pereira da Silva</t>
  </si>
  <si>
    <t>P0454</t>
  </si>
  <si>
    <t>Aluisio Pereira da Silva</t>
  </si>
  <si>
    <t>INFORMAÇÕES IMPORTANTES  
Tem dois freezer 
Tem duas geladeiras 
4 ar condicionado 
Acredita que 1200 a 1500 Kwh no máximo vá atender o consumo dele 
Tinha dito que era Maricá, mas me mandou uma conta de Santa Rosa entender isso***
Pediu para fazer boa parcela</t>
  </si>
  <si>
    <t>cinthiaramos@gmail.com</t>
  </si>
  <si>
    <t>Indicação da Bruna Villar do  
4,15x2,70
4,90x2,30
edubarbosa@gmail.com
Eduardo
Teve aumento de 463 em jul/23 para 675 em jul/24, 45,8%
Não pretende aumentar o consumo com novos equipamentos
Pretender colocar o sistema por agora e quer saber sobre a viabilidade
Pediu para ser no dia seguinte pro marido participar 
Infos do cliente
•⁠  ⁠Nome completo: Cinthia Medeiros Ramos Barbosa 
•⁠  ⁠CPF: 086.654.597-23
•⁠  ⁠Endereço de onde será instalação: Av Celia Ribeiro da Silva Mendes, 500, bloco 4, apartamento 312.
•⁠  ⁠CEP: 22.790-711
•⁠  ⁠E-mail: cinthiaramos@gmail.com
•⁠  ⁠Data de nascimento: 17/10/81
•⁠  ⁠Nacionalidade: Brasileira
Infos da light
CINTHIA MEDEIROS RAMOS
AV CELIA RIBEIRO DA SILVA MENDES
500 BL 4 AP 312 GR 7
RECREIO DOS BANDEIRANTES / RIO
DE JANEIRO, RJ
CEP 22790-711
CPF 086.654.597-23</t>
  </si>
  <si>
    <t>P0453 - Padaria pão e mar</t>
  </si>
  <si>
    <t>P0453</t>
  </si>
  <si>
    <t>Padaria pão e mar</t>
  </si>
  <si>
    <t>R. Vinte A Lto Jd Atlantico, 21</t>
  </si>
  <si>
    <t>24935-440</t>
  </si>
  <si>
    <t>Jardim Atlantico</t>
  </si>
  <si>
    <t>INFORMAÇÕES IMPORTANTES 
Média de 3/4 mil de conta padaria 
conta de casa 300/400 ( mora de aluguel) 
Está esperando sair habite-se 
A outra casa própria que ele possui fica em SG ( área de risco) 
Padaria + residência.</t>
  </si>
  <si>
    <t>DHN-72X16/DG - 570W</t>
  </si>
  <si>
    <t>PT-DHN-72X16-DG-570~595W</t>
  </si>
  <si>
    <t>TRINA SOLAR</t>
  </si>
  <si>
    <t>TSM-NEG21C.20 - 695W</t>
  </si>
  <si>
    <t>DT-M-0042 A Datasheet_Vertex_NEG21C.20_EN_2022_A_web</t>
  </si>
  <si>
    <t>P0455 - Diego José Alves Lima</t>
  </si>
  <si>
    <t>P0455</t>
  </si>
  <si>
    <t>Diego José Alves Lima</t>
  </si>
  <si>
    <t>21750-000</t>
  </si>
  <si>
    <t>10/23/2024 20:48-AD01 - Criativo Registro-Conj 22-65 [aberto] Bairros-Leads [cadastro] CBO 1609 V0
Quando Pretende Instalar: em_até_60_dias
Valor Médio da Conta: 400 reais
Telefone: 21 983125189
+5521983125189
Cidade: Rio de janeiro
INFORMAÇÕES IMPORTANTES
Mandou conta que só tem um mês com consumo real ( parece que mora a pouco tempo lá) 
Disse que 500kwh vai atender ele 
Estou colocando um SPA no terraço e mais iluminação
Rua nove, 256 ap 201</t>
  </si>
  <si>
    <t>Contato: https://app.clickup.com/t/86a2z4nan
Infos importantes
Briefing
Light
RICARDO FELIPE MACHADO SOARES
EST VER ALCEU DE CARVALHO 2865 CA 64
RECREIO DOS BANDEIRANTES / RIO DE JANEIRO, RJ
CEP 22790-879
CPF 118.752.487-57
Código da Instalação: 0421294509
Código do Cliente: 32248400
Senha de acesso Bella1806@
rfm.soares@gmail.com
Infos do cliente
•⁠  ⁠Nome completo: RICARDO FELIPE MACHADO SOARES 
•⁠  ⁠CPF:11875248757
•⁠  ⁠Endereço de onde será instalação: ESTRADA VEREADOR ALCEU DE CARVALHO 2865 casa 64 recreio 
•⁠  ⁠CEP: 22790879 
•⁠  ⁠E-mail: rfm.soares@gmail.com
•⁠  ⁠Data de nascimento: 20/09/1989
•⁠  ⁠Nacionalidade: BRASILEIRO</t>
  </si>
  <si>
    <t>P0458</t>
  </si>
  <si>
    <t>Av. da Praia, 14</t>
  </si>
  <si>
    <t>24934-105</t>
  </si>
  <si>
    <t>Itai</t>
  </si>
  <si>
    <t>Jardim Atlântico Central</t>
  </si>
  <si>
    <t>INFORMAÇÕES IMPORTANTES
Mudaram o local do bar recentemente 
Não vão aumentar o consumo com mais geladeiras ou freezer 
Em casa vem R$300. A prioridade é o bar
Bira e Patrícia são os decisores.</t>
  </si>
  <si>
    <t>P0460 - Victor Castro</t>
  </si>
  <si>
    <t>P0460</t>
  </si>
  <si>
    <t>Victor Castro</t>
  </si>
  <si>
    <t>Magalhães Bastos</t>
  </si>
  <si>
    <t>10/28/2024 20:39-AD01 - Criativo Registro-Conj 22-65 [aberto] Bairros-Leads [cadastro] CBO 1609 V0
Quando Pretende Instalar: em_até_60_dias
Valor Médio da Conta: 400,00
Telefone: 21964236867
+5521964236867
Cidade: Rio de Janeiro
INFORMAÇÕES IMPORTANTES 
Mora no bairro Magalhães Bastos 
Tem uma ar de 9 
Tem um ar de 12 
Hoje geralmente usa ou um ou outro de 20h às 8h intercalando no meses mais quentes. 
Deseja usar  ambos no mesmo período de horário, nos meses mais quentes. 
Não tem outro equipamento que deseje acrescentar</t>
  </si>
  <si>
    <t>P0461 - Rauene da Silva</t>
  </si>
  <si>
    <t>P0461</t>
  </si>
  <si>
    <t>Rauene da Silva</t>
  </si>
  <si>
    <t>rauene_@hotmail.com</t>
  </si>
  <si>
    <t>P0463 - Paulo Edison de Ataides</t>
  </si>
  <si>
    <t>P0463</t>
  </si>
  <si>
    <t>Paulo Edison de Ataides</t>
  </si>
  <si>
    <t>10/29/2024 00:03-AD01 - Criativo Registro-Conj 22-65 [aberto] Bairros-Leads [cadastro] CBO 1609 V0
Quando Pretende Instalar: apenas_curiosidade
Valor Médio da Conta: 500
Telefone: 21972043533
+5521972043533
Cidade: Rio de Janeiro
Bairro: Santa Cruz
Estão finalizando uma construção no terraço onde irão instalar um novo medidor de energia e também deve consumir uns R$ 500 mensais. Ficaria R$ 1.000 para as duas residências.</t>
  </si>
  <si>
    <t>P0462 - July Horowitz</t>
  </si>
  <si>
    <t>P0462</t>
  </si>
  <si>
    <t>July Horowitz</t>
  </si>
  <si>
    <t>julyhorowitz@hotmail.com</t>
  </si>
  <si>
    <t>R. Manuel da Cunha, 66</t>
  </si>
  <si>
    <t>21750-090</t>
  </si>
  <si>
    <t>P0459 - Michel Medeiros</t>
  </si>
  <si>
    <t>P0459</t>
  </si>
  <si>
    <t>Michel Medeiros</t>
  </si>
  <si>
    <t>comercial@oreidosreparos.com.br</t>
  </si>
  <si>
    <t>R. Dr Cesar Cartel Villela, 241</t>
  </si>
  <si>
    <t>22780-085</t>
  </si>
  <si>
    <t>10/20/2024 18:01-AD01 - Criativo Registro-Conj 22-65 [aberto] Bairros-Leads [cadastro] CBO 1609 V0
Quando Pretende Instalar: imediato
Valor Médio da Conta: 1.300
Telefone: 2196938 4907 / 2136499192
+5521997544798
Cidade: Rio de janeiro - Recreio dos bandeirantes
INFORMAÇÕES IMPORTANTES 
Tem boiler está funcionando normalmente 
Tem um ar de 30 no sóton 
Tem um de 24 somente a noite 
Tem 3 de 12 Esse vai passar a usar 8h a mais nos meses mais quentes 
Tem 1 de 10 
Tem 1 de 8 da empregada não soube dizer direito 
Tem duas salas comerciais e se conseguir quer transferir crédito para elas
Está ficou com dúvida na questão do imposto referente ao crédito. 
O RELÓGIO DELE ESTAVA COM DEFEITO E COBRAVA R$400/R$500. FOI FEITA UMA TROCA E O VALOR QUE ELE CONSIDERA NORMAL É DE R$2000.</t>
  </si>
  <si>
    <t>P0306 - [FV02] EDIF BRISTOL</t>
  </si>
  <si>
    <t>[FV02] EDIF BRISTOL</t>
  </si>
  <si>
    <t>R. Paulo César de Andrade, 70</t>
  </si>
  <si>
    <t>22221-090</t>
  </si>
  <si>
    <t>Laranjeiras</t>
  </si>
  <si>
    <t>Marcos Almeida é o sindico. Foi indicado pelo Luiz P0015. Amigo de infância, conhece desde os 10 anos. Ideia abater o consumo do condomínio e o excedente compartilhar entre os apartamentos. EMUC
Emuc, para energia para os APs.
Nova proposta feita com base na ultima, vale atualizar as informações com ele.
Considerar uma proposta para o espaço máximo de telhado no modelo EMUC.
Considerar só o uso comum do condomínio e deixar um shaft de passagem para eletrodutos individuais para cada morador.
Necessário adequação do padrão (não incluso na proposta)
Verificar valores de içamento.
Simulações:
1: Geração máxima no telhado
2- Uso comum do condomínio
3- Verificar energia restante e dividir para 20 unidades (sobra 419kWh para cada unidade, com uma distancia aprox de 70m)
Obs, deixar infra em esperar para receber os equipamentos
Altura do prédio 40m
Serviço: será necessário adequação do padrão</t>
  </si>
  <si>
    <t>P0464 - Erika Oliveira</t>
  </si>
  <si>
    <t>P0464</t>
  </si>
  <si>
    <t>Erika Oliveira</t>
  </si>
  <si>
    <t>ferika1972@gmail.com</t>
  </si>
  <si>
    <t>10/24/2024 19:33-AD01 - Criativo Registro-Conj 22-65 [aberto] Bairros-Leads [cadastro] CBO 1609 V0
Quando Pretende Instalar: apenas_curiosidade
Valor Médio da Conta: 600,00
Telefone: 21 999745178
+5521999745178
Cidade: Rio de Janeiro 
Erika informa que pretende usar mais o ar-condicionado depois que instalar o sistema, hoje quando usa o Ar, a conta sobe para até R$ 1.000, por isso está buscando um sistema que garante uma economia de até R$ 1.200 para poder ficar tranquila.</t>
  </si>
  <si>
    <t>ubiracilopes@gmail.com</t>
  </si>
  <si>
    <t>INFORMAÇÕES IMPORTANTES 
São dois relógios, sendo um GRUPO B e outro grupo A, que excede a demanda todos os meses ( em torno de 30k e 45k)
Teve uma oscilação de conta devido a uma manutenção 
Possuem mais de 3000m2 de disponibilidade de espaço ( achávamos que era menos, fiz a apresentação para um tamanho menor)
Fez um estudo a muito tempo atrás (acredito que quase 2 anos) quando não tinha ainda posse do terreno ao lado que era uma veterinária.
Na época era uma conta de 20 mil e ficou uns 800 mil reais de orçamento.
Acha importante a maquete com estudo de sombreamento 
Acha importante o seguro e inclusive perguntou qual trabalhamos
Nome Fantasia: ART FRUIT
Razão Social: CASCA E BOLA INDUSTRIA DE SORVETES LTDA
CNPJ: 05.354.054/0001-79
/ Fabricação de sorvetes e outros gelados comestíveis/ Sociedade Empresária Limitada/ MATRIZ/ EPP/ DE R$ 5 MM ATÉ R$ 10 MM/ DE 10 A 49 FUNCIONARIOS
Data da Criação: 18/10/2002
Endereço: AVENIDA MARECHAL FONTENELLE, 5021, MAGALHAES BASTOS, RIO DE JANEIRO, 21750000
Telefones: 2135182810/ 2133318505/ 2124017215/ 21982360537Y/ 21976746270Y/ 21999865931Y
Email: artfruitcascaebola@gmail.com/ /
Sócio: LUCIENE FERREIRA DA SILVA - 014.448.217-76
Telefones: 21973039557Y/ N/ N/ 2124010053/ 2124017215/
Email: luene-art_fruit@hotmail.com/ art_fruit@uol.com.br
Sócio: JOAO CARLOS DA SILVA NOGUEIRA - 630.179.547-49
Telefones: 21999865931Y/ 21997982414Y/ 21995563416Y/ 2133328096/ 2124010053/ 2124017215
Email: atr_fruit@uol.com.br/ art_sr1it@uol.com.br</t>
  </si>
  <si>
    <t>Av. Marechal Fontenele, 5039</t>
  </si>
  <si>
    <t>INFORMAÇÕES IMPORTANTES 
São dois relógios, sendo um GRUPO B e outro grupo A, que excede a demanda todos os meses ( em torno de 30k e 45k)
Teve uma oscilação de conta devido a uma manutenção 
Possuem mais de 3000m2 de disponibilidade de espaço ( achávamos que era menos, fiz a apresentação para um tamanho menor)
Fez um estudo a muito tempo atrás (acredito que quase 2 anos) quando não tinha ainda posse do terreno ao lado que era uma veterinária.
Na época era uma conta de 20 mil e ficou uns 800 mil reais de orçamento.
Acha importante a maquete com estudo de sombreamento 
Acha importante o seguro e inclusive perguntou qual trabalhamos
Nome Fantasia: ART FRUIT
Razão Social: CASCA E BOLA INDUSTRIA DE SORVETES LTDA
CNPJ: 05.354.054/0001-79
/ Fabricação de sorvetes e outros gelados comestíveis/ Sociedade Empresária Limitada/ MATRIZ/ EPP/ DE R$ 5 MM ATÉ R$ 10 MM/ DE 10 A 49 FUNCIONARIOS
Data da Criação: 18/10/2002
Endereço: AVENIDA MARECHAL FONTENELLE, 5021, MAGALHAES BASTOS, RIO DE JANEIRO, 21750000
Telefones: 2135182810/ 2133318505/ 2124017215/ 21982360537Y/ 21976746270Y/ 21999865931Y
Email: artfruitcascaebola@gmail.com/ /
Sócio: LUCIENE FERREIRA DA SILVA - 014.448.217-76
Telefones: 21973039557Y/ N/ N/ 2124010053/ 2124017215/
Email: luene-art_fruit@hotmail.com/ art_fruit@uol.com.br
Sócio: JOAO CARLOS DA SILVA NOGUEIRA - 630.179.547-49
Telefones: 21999865931Y/ 21997982414Y/ 21995563416Y/ 2133328096/ 2124010053/ 2124017215
Email: atr_fruit@uol.com.br/ art_sr1it@uol.com.br</t>
  </si>
  <si>
    <t>P0465 - JOSÉ RICARDO BRIZZI CHIANI</t>
  </si>
  <si>
    <t>P0465</t>
  </si>
  <si>
    <t>JOSÉ RICARDO BRIZZI CHIANI</t>
  </si>
  <si>
    <t>Infos importantes:
Vizinho do Fernando Ribeiro
Médico</t>
  </si>
  <si>
    <t>Enphase</t>
  </si>
  <si>
    <t>P0466</t>
  </si>
  <si>
    <t>R. Van Lerbergue</t>
  </si>
  <si>
    <t>INFORMAÇÕES IMPORTANTES 
Itaipuaçu Maricá
Fizeram um estudo 
Pela conversa que tivemos tem conta entre 1 a 2000 mil
CNPJ  40927858000110
Esposa Fabiane quem resolve tudo. 
11181441714  Cpf Fábio Pereira Rodrigues da Silva
Disse que fez um orçamento para uma conta de R$1.500 pois quer ter uma margem para aumento de consumo com o ar e piscina.</t>
  </si>
  <si>
    <t>P0467 - Marcio Ferreira</t>
  </si>
  <si>
    <t>P0467</t>
  </si>
  <si>
    <t>Marcio Ferreira</t>
  </si>
  <si>
    <t>Andrade Araujo, Belford Roxo</t>
  </si>
  <si>
    <t>Roxo - RJ</t>
  </si>
  <si>
    <t>Andrade Araujo</t>
  </si>
  <si>
    <t>INFORMAÇÕES IMPORTANTES 
Não pretende ter aumento de consumo porque fica muito tempo fora de casa
Será pela média que possui
Disse que está orçando. Pediu em outra empresa, mas ainda não deram retorno a ele 
Mora em Belford Roxo
10/26/2024 14:59-AD01 - Criativo Registro-Conj 22-65 [aberto] Bairros-Leads [cadastro] CBO 1609 V0
Quando Pretende Instalar: apenas_curiosidade
Valor Médio da Conta: 500,00
Telefone: 21981840329
+5521981840329
Cidade: Rio de Janeiro</t>
  </si>
  <si>
    <t>P0468 - Marcia Valeria Santos</t>
  </si>
  <si>
    <t>P0468</t>
  </si>
  <si>
    <t>Marcia Valeria Santos</t>
  </si>
  <si>
    <t>INFORMAÇÕES IMPORTANTES
Haverá aumento de consumo, mas não soube projetar ( Vou tentar sondar melhor na reunião) 
Disse que principalmente e noite ( ver que horas ela liga normalmente) 
10/23/2024 16:43-AD01 - Criativo Registro-Conj 22-65 [aberto] Bairros-Leads [cadastro] CBO 1609 V0
Quando Pretende Instalar: em_até_30_dias
Valor Médio da Conta: 400,00
Telefone: 21 99279-6302
+5521992796302
Cidade: duque de Caxias
Pretende aumentar o consumo, usar mais o ar a noite durante o verão, estão buscando maior conforto.</t>
  </si>
  <si>
    <t>P0469 - Vivianneh Monteiro Oliveira</t>
  </si>
  <si>
    <t>P0469</t>
  </si>
  <si>
    <t>Vivianneh Monteiro Oliveira</t>
  </si>
  <si>
    <t>vivimonp7172@gmail.com</t>
  </si>
  <si>
    <t>São Gonçalo, RJ</t>
  </si>
  <si>
    <t>nçalo, RJ</t>
  </si>
  <si>
    <t>INFORMAÇÕES IMPORTANTES
São Gonçalo
Disse que não viu outros estudos
Pretende acrescentar um forno elétrico cerca de 1h por dia
Já usa tudo de acordo com o que precisa, não pretende aumentar consumo com ar por exemplo. 
10/23/2024 22:26-AD01 - Criativo Registro-Conj 22-65 [aberto] Bairros-Leads [cadastro] CBO 1609 V0
Quando Pretende Instalar: em_até_30_dias
Valor Médio da Conta: 1200
Telefone: 21976070372
+5521976070372
Cidade: São Gonçalo</t>
  </si>
  <si>
    <t>P0470 - Renata Carolino</t>
  </si>
  <si>
    <t>P0470</t>
  </si>
  <si>
    <t>Renata Carolino</t>
  </si>
  <si>
    <t>Campo Grande, Rio de Janeiro</t>
  </si>
  <si>
    <t>INFORMAÇÕES IMPORTANTES 
Tem uma ar de 12 e um de 9 que liga apenas 1 em dias alternados
Deseja ligar 8h por noite nos meses mais quentes 
Vai comprar tb uma lava e seca usar 3 ou 3x por semana
Bairro Campo Grande 
Não pode atender ligação no trabalho, interagiu pelo whats 
10/20/2024 20:06-AD01 - Criativo Registro-Conj 22-65 [aberto] Bairros-Leads [cadastro] CBO 1609 V0
Quando Pretende Instalar: em_até_30_dias
Valor Médio da Conta: R$460
Telefone: 21 985 373241
+5521985373241
Cidade: Rio de Janeiro</t>
  </si>
  <si>
    <t>Est. Bougainville, 425</t>
  </si>
  <si>
    <t>22753-210</t>
  </si>
  <si>
    <t>Desconto aplicado</t>
  </si>
  <si>
    <t>Lucro real mínimo</t>
  </si>
  <si>
    <t>Padrão</t>
  </si>
  <si>
    <t>Valor cheio</t>
  </si>
  <si>
    <t>R. Gen. Almério de Moura, 308</t>
  </si>
  <si>
    <t>20921-060</t>
  </si>
  <si>
    <t>SDR 1</t>
  </si>
  <si>
    <t>SDR 2</t>
  </si>
  <si>
    <t>Vendedor</t>
  </si>
  <si>
    <t>=SEERRO(SE(D4="CNPJ";E2;E3&amp;" "&amp;DIREITA(E2;NÚM.CARACT(E2)-LOCALIZAR("#";SUBSTITUIR(E2;" ";"#";NÚM.CARACT(E2)-NÚM.CARACT(SUBSTITUIR(E2;" ";))))));E2)</t>
  </si>
  <si>
    <t>P0458 - Parceria's Bar</t>
  </si>
  <si>
    <t>Parceria's Bar</t>
  </si>
  <si>
    <t>P0471 - CONDOMINIO DO EDIFICIO MIRANTE JOIA II</t>
  </si>
  <si>
    <t>P0471</t>
  </si>
  <si>
    <t>CONDOMINIO DO EDIFICIO MIRANTE JOIA II</t>
  </si>
  <si>
    <t>INFORMAÇÕES IMPORTANTES 
Josué pediu para orçar para o condomínio 
mandou a conta da piscina e área comum 
Perguntou para sindica se não poderia colocar tudo em um relógio só. 
Somei a área comum + piscina</t>
  </si>
  <si>
    <t>INFORMAÇÕES IMPORTANTES 
Disse que já fomos lá. Também disse que o menino foi ótimo ( Vinícius) 
Recebeu um orçamento de 13k 10 placas ( ficou de me mandar, mas deve ser o string) 
Quer fazer à vista  
Não vai mais fazer sistemas para as salas. Somente o consumo da casa 
Refazer para oferta black 
10/25/2024 14:40-AD01 - Criativo Registro-Conj 22-65 [aberto] Bairros-Leads [cadastro] CBO 1609 V0
Quando Pretende Instalar: apenas_curiosidade
Valor Médio da Conta: 500,00
Telefone: 21993167316
+5521998565725
Cidade: Rio de Janeiro
Está buscando o sistema solar para melhorar o conforto. 
Mora no Jacarepaguá
Ainda não recebeu a primeira conta, por isso não soube precisar se vai ter aumento de consumo.</t>
  </si>
  <si>
    <t>INFORMAÇÕES IMPORTANTES 
Disse que fez estudo a um tempo atrás com o ex marido 
O espaço que possui é grande 
Hoje possui um ar de 9
Um ar de 12
Consumo entre 700 a 800 reais
Pretende aumentar o consumo com 8h a mais nos meses mais quentes com os ares condicionados 
E pretende colocar forno elétrico e cooktop de indução. Disse para incluir no projeto por favor, mesmo sendo algo futuro. Ficou de mandar a conta. Esqueci de perguntar o bairro. 
10/29/2024 14:41-AD01 - Criativo Registro-Conj 22-65 [aberto] Bairros-Leads [cadastro] CBO 1609 V0
Quando Pretende Instalar: imediato
Valor Médio da Conta: 700
Telefone: 21994751902
+5521994751902
Cidade: Rio de Janeiro
Dados para financiamento:
•⁠ ⁠Nome: Maria Rauene Diogo da Silva
•⁠ ⁠CPF: 08230324778
⁠Data de nascimento:02/07/1980
⁠e-mail:⁠rauene_@hotmail.com
⁠Renda declarada:5k
•⁠ ⁠Estado civil: Casada 
•⁠ ⁠Endereço:R Gal Almérico de Moura 308 cs 6 
•⁠ ⁠CEP:20921-060
•⁠ ⁠Local de instalação é próprio ? Próprio
•⁠ Parcelamento em quantos meses ex:12,60 ou + ( parcela abaixo da economia gerada) 
e qual carência ex:60,90,120? 90 ou 120</t>
  </si>
  <si>
    <t>P0472 - Jayson Garrido</t>
  </si>
  <si>
    <t>P0472</t>
  </si>
  <si>
    <t>Jayson Garrido</t>
  </si>
  <si>
    <t>jaysonrj@gmail.com</t>
  </si>
  <si>
    <t>Moneró, Rio de Janeiro</t>
  </si>
  <si>
    <t>Moneró</t>
  </si>
  <si>
    <t>P0457 - Mario Deschamps</t>
  </si>
  <si>
    <t>P0457</t>
  </si>
  <si>
    <t>Mario Deschamps</t>
  </si>
  <si>
    <t>Tv. Brás e Barros, 20</t>
  </si>
  <si>
    <t>20251-240</t>
  </si>
  <si>
    <t>Catumbi</t>
  </si>
  <si>
    <t>10/27/2024 19:44-AD02 - Criativo instale-Conj 22-65 [aberto] Bairros-Leads [cadastro] CBO 1609 V0
Quando Pretende Instalar: imediato
Valor Médio da Conta: 2.000
Telefone: 021 981486007
+5521981486007
Cidade: Rio de janeiro
INFORMAÇÕES IMPORTANTES
Acho melhor , pelo menos 2.000Kw
Pois vou passar a carregar dois veículos elétricos
Tem um total de 100m2
Dividido em duas seções de 50m2 com forme mostrado na foto</t>
  </si>
  <si>
    <t>P0095 - [FV02] REGINA CELIA MELO SANTANNA</t>
  </si>
  <si>
    <t>[FV02] REGINA CELIA MELO SANTANNA</t>
  </si>
  <si>
    <t>R. Nossa Sra. da Penna, 150A</t>
  </si>
  <si>
    <t>22760-156</t>
  </si>
  <si>
    <t>Informações importantes
Projeto para ampliação
Em análise, 2023 ficou com déficit médio de -330kWh/mês e 2024 com -589kWh/mês
Irmã da Patrícia da Arena Limit. Deseja aumentar o consumo com 2 aparelhos de AC de 10k e 2 de 24k no verão</t>
  </si>
  <si>
    <t>P0473 - [FV02] REGINA CELIA MELO SANTANNA</t>
  </si>
  <si>
    <t>P0473</t>
  </si>
  <si>
    <t>INFORMAÇÕES IMPORTANTES 
Hoje não tem ar condicionado
Ilha do Governador moneró
Nesse ano o pico sem ar foi de 800kwh
Pretende colocar dois aparelhos de acredita que de 10.000 btus
Pensa na em colocar um cooktop de indução
Fez outra cotação e disseram de 1200kwh atenderia a demanda dele
Pretende usar o ar todos os meses do ano 
Disse que vai ter o dinheiro para o investimento dia 20/11/24 
11/01/2024 09:16-AD01 - Criativo Registro-Conj 22-65 [aberto] Bairros-Leads [cadastro] CBO 1609 V0
Quando Pretende Instalar: em_até_60_dias
Valor Médio da Conta: 1000 reais
Telefone: 21969335957
+5521980663031
Cidade: Rio de Janeiro
Passou esse ctt 21991953185 pois seu neto estava jogando no cel dele</t>
  </si>
  <si>
    <t>P0474 - Ana Cristina Cardozo Cardozo</t>
  </si>
  <si>
    <t>P0474</t>
  </si>
  <si>
    <t>Ana Cristina Cardozo Cardozo</t>
  </si>
  <si>
    <t>crysdeny@hotmail.com</t>
  </si>
  <si>
    <t>INFORMAÇÕES IMPORTANTES 
Bairro campo grande RJ
Tem dois ares de 18.000 btus que não tem ligado. Deseja usar de 23h às 6h
Quando usou tudo que possui conta veio R$1000 reais. 
Confirmou que pretende instalar imediato
Primeira vez que faz estudo 
11/18/2024 08:09-AD02 - Se a conta de luz não fosse uma problema?-Conj Bairros Grande Rio RJ-20241102 - Leads [cadastro] CBO - VCLT
Quando Pretende Instalar: imediato
Valor Médio da Conta: r$500
Telefone: 
+5521965228303
Cidade: rj</t>
  </si>
  <si>
    <t>P0328 - [FV02] VIEIRA</t>
  </si>
  <si>
    <t>P0328</t>
  </si>
  <si>
    <t>[FV02] VIEIRA</t>
  </si>
  <si>
    <t>sse FUP
Veio pelo grupo do bosque dos esquilos.
Falei com o lead e foi um pouco "grosseiro" em relação ao assunto de energia solar
Disse para mandarmos proposta, e após isso em outra ligação questionou o porquê de não termos enviado ainda a proposta comercial</t>
  </si>
  <si>
    <t>P0475 - [FV02] VIEIRA</t>
  </si>
  <si>
    <t>P0475</t>
  </si>
  <si>
    <t>P0476 - CONFEITARIA PRINCEZINHA DA ILHA LTDA</t>
  </si>
  <si>
    <t>P0476</t>
  </si>
  <si>
    <t>CONFEITARIA PRINCEZINHA DA ILHA LTDA</t>
  </si>
  <si>
    <t>Nome Fantasia:
Luis 21996211948, tem um imóvel de 3 andares, onde mora e fica um bar, deseja saber quanto vai pagar pelo financiamento porque a esposa precisa concordar, está inseguro para não gerar dívida. 
Falei que estão perdendo dinheiro, que íamos fazer uma prosta e mostrar que com o valor que paga hoje, vai economizar muito.
Paga em média R$ 4.000 mil de conta de energia.
Razão Social: CONFEITARIA PRINCEZINHA DA ILHA LTDA
CNPJ: 42.208.264/0001-85
/ Padaria e confeitaria com predominância de revenda/ Sociedade Empresária Limitada/ MATRIZ/ ME/ DE R$ 500 MIL ATÉ R$ 1 MM/ ATE 9 FUNCIONARIOS
Data da Criação: 25/06/1973
Endereço: R JOAO LOPES, 560, LJ A, JARDIM CARIOCA, RIO DE JANEIRO, 21931420
Telefones: 2124670079/ / / / /
Email: juliana_fernandes93@hotmail.com/ /
Sócio: LUIS MANUEL SOBRAL RAMOS - 587.267.807-04
Telefones: 21999521993/ 21996211948/ 21999523162/ 2133931944/ 2124670079/
Email: juliana_fernandes93@hotmail.com/
Sócio: ANA LUCIA FERNANDES RAMOS - 008.495.797-24
Telefones: / / / / /
Email: analucia_fernandes67@hotmail.com/</t>
  </si>
  <si>
    <t>P0477 - Patricia Fernandes</t>
  </si>
  <si>
    <t>P0477</t>
  </si>
  <si>
    <t>Patricia Fernandes</t>
  </si>
  <si>
    <t>Copacabana, Rio de Janeiro</t>
  </si>
  <si>
    <t>INFORMAÇÕES IMPORTANTES 
Mora em um duplex em Copacabana
Não depende de autorização para usar seu espaço no telhado 
Decide sozinha 
Confirmou que pretende colocar em 30 dias 
Conta gira em média R$1000 a R$1400.
Não pretende consumir mais e não precisar instalar mais nada. Comentou sobre fritadeira elétrica, mas coisa pouca. 
11/21/2024 16:09-AD01 - Rasgando Dinheiro - Carrossel-Conj Bairros Grande Rio RJ-20241102 - Leads [cadastro] CBO - VCLT
Quando Pretende Instalar: em_até_30_dias
Valor Médio da Conta: acima_de_r$1.000
Telefone: 
+5521996010674
Cidade: Rio de Janeiro</t>
  </si>
  <si>
    <t>P0478 - Victória Franco</t>
  </si>
  <si>
    <t>P0478</t>
  </si>
  <si>
    <t>Victória Franco</t>
  </si>
  <si>
    <t>franco.vicck5@gmail.com</t>
  </si>
  <si>
    <t>11/19/2024 08:41-AD02 - Se a conta de luz não fosse uma problema?-Conj Bairros Grande Rio RJ-20241102 - Leads [cadastro] CBO - VCLT
Quando Pretende Instalar: imediato
Valor Médio da Conta: r$800
Telefone: 
+5521996026050
Cidade: Laranjeiras
Valor Médio da conta a ser considerado: R$ 1000
Victória informa que mora no bairro Laranjeiras, que está buscando energia solar para ter economia e melhorar o conforto, no verão a conta chega a R$ 1000, no verão o sol bater forte na parte da tarde e fica insuportável, então quer usar o ar-condicionado durante o dia. Mora em prédio, falou que o telhado é pequeno, mas já pesquisou e sabe que pode colocar em outros locais. 
Verificar sobre o espaço que ela quer colocar e se tem outros locais já que mora em Ap.</t>
  </si>
  <si>
    <t>P0479 - Tatiana Mieczniskoski</t>
  </si>
  <si>
    <t>P0479</t>
  </si>
  <si>
    <t>Tatiana Mieczniskoski</t>
  </si>
  <si>
    <t>tatianalilian.adv@gmail.com</t>
  </si>
  <si>
    <t>Belford Roxo, RJ</t>
  </si>
  <si>
    <t xml:space="preserve"> Roxo, RJ</t>
  </si>
  <si>
    <t>Belford Roxo</t>
  </si>
  <si>
    <t>INFORMAÇÕES IMPORTANTES 
Consumo gira em média R$700 e R$1000 nos meses mais quentes
Não pretende instalar nada novo
Na residência ela deseja colocar imediato
Pegou alguns orçamentos, mas não andou ( PERGUNTAR OLHANDO NOS OLHOS O QUE FALTOU PARA NÃO  PROSSEGUIR) 
Tem comércio no local com relógios diferentes, disse que precisa de outros sócios para decidir
Conta do comércio gira em torno de 2k 
Imediato 
700 reais 1000 reais meses mais quentes 
bairro Belford Roxo 
Telhado Comércio 2000k 
tatianalilian.adv@gmail.com</t>
  </si>
  <si>
    <t>P0480 - Fabio Evangelho</t>
  </si>
  <si>
    <t>P0480</t>
  </si>
  <si>
    <t>Fabio Evangelho</t>
  </si>
  <si>
    <t>fabio.evangelho@gmail.com</t>
  </si>
  <si>
    <t>R. Ipiranga</t>
  </si>
  <si>
    <t>22231-120</t>
  </si>
  <si>
    <t>INFORMAÇÕES IMPORTANTES 
Mora em uma vila de casa 
Pode ser que compartilhe crédito com outra residência 
Acredita que o dobro do consumo atual vá atender ,R$1400 para ambas as casas. 
Primeiro contato com solar 
Vila em laranjeiras 
Compartilhar 
dobro desse consumo 
Primeiro contato 
e-mail fabio.evangelho@gmail.com 
22231-120 cep 
11/22/2024 17:24-AD01 - Rasgando Dinheiro - Carrossel-Conj Bairros Grande Rio RJ-20241102 - Leads [cadastro] CBO - VCLT
Quando Pretende Instalar: em_até_60_dias
Valor Médio da Conta: r$700
Telefone: 
21987446999
Cidade: Rio de Janeiro</t>
  </si>
  <si>
    <t>P0481 - Silvia Mangaravite</t>
  </si>
  <si>
    <t>P0481</t>
  </si>
  <si>
    <t>Silvia Mangaravite</t>
  </si>
  <si>
    <t>P0482 - Roberta Torres</t>
  </si>
  <si>
    <t>P0482</t>
  </si>
  <si>
    <t>Roberta Torres</t>
  </si>
  <si>
    <t>Meta Adds
Mora em Ipanema
21964847838
21999135970 - Artur Santos (Marido da Roberta)</t>
  </si>
  <si>
    <t>Solis-75K-5G</t>
  </si>
  <si>
    <t>Datasheet_Solis-_75-80_K-5G_1_.pdf</t>
  </si>
  <si>
    <t>P0483 - Rodrigo Mandarini</t>
  </si>
  <si>
    <t>P0483</t>
  </si>
  <si>
    <t>Rodrigo Mandarini</t>
  </si>
  <si>
    <t>manda@geralpode.com.br</t>
  </si>
  <si>
    <t>Jacarepaguá, Rio de Janeiro</t>
  </si>
  <si>
    <t>INFORMAÇÕES IMPORTANTES
Disse que a palavra final é dele 
Tem um estúdio de podcast
Já viu a muito tempo atrás e achou valores um absurdo na época 
Disse que sua conta gira em torno de R$700 reais nos meses de inverno e nos meses mais quentes chega a R$1200
Tem filhos e nas férias o ar fica ligado, acredita que não haverá aumento de consumo. Pode que ocorra, mas não ultrapasse 20%
11/24/2024 09:10-AD01 - Rasgando Dinheiro - Carrossel-Conj Bairros Grande Rio RJ-20241102 - Leads [cadastro] CBO - VCLT
Quando Pretende Instalar: imediato
Valor Médio da Conta: r$700
Telefone: 
+5521987060398
Cidade: Rio de Janeiro
estúdio de po</t>
  </si>
  <si>
    <t>vinicius@energiacactos.com.br</t>
  </si>
  <si>
    <t>P0484 - MERCADO DAS CARNES SAO THOMAS</t>
  </si>
  <si>
    <t>P0484</t>
  </si>
  <si>
    <t>MERCADO DAS CARNES SAO THOMAS</t>
  </si>
  <si>
    <t>Paulo pretende colocar na casa da Mãe que tem um telhado que cabe em torno de 30 placas 
Quer dividir a energia com a Mãe e o Ap onde mora.
Quer um orçamento para em média R$ 1.300 - Hoje ele paga em média 500 e a mãe 300, mas no verão sobe, querem usar o ar-condicionado a noite tranquilo.
Paulo Já teve o sistema em outra residência e deseja pagar à vista, assim como fez na outra residência.
Informei que estamos em Black e que os equipamentos estão para aumentas, ele já tem ciência dessa nóticia.
As lojas abaixo não tem telhado, fica em local alugado.
Nome Fantasia: MERCADO DAS CARNES SAO THOMAS
Razão Social: COMERCIO DE CARNES REGASSI LTDA
CNPJ: 00.899.943/0001-06
/ Comércio varejista de carnes - açougues/ Sociedade Empresária Limitada/ MATRIZ/ ME/ DE R$ 1 MM ATÉ R$ 2 MM/ ATE 9 FUNCIONARIOS
Data da Criação: 03/08/1995
Endereço: RUA FLORAI, 10, LOJA A, JACAREPAGUA, RIO DE JANEIRO, 22710210
Telefones: 2126716838/ 2137434721/ / 21981232217Y/ 21970477244Y/ N
Email: lhpcabral@hotmail.com/ /
Sócio: LEILA CARDOSO PEREIRA BITTENCOURT - 072.766.767-06
Telefones: 21964261271Y/ 21964260072Y/ 21970119604Y/ 2124540731/ /
Email: leila.bittencourt@hotmail.com/ luanbittencourt10@hotmail.com
Sócio: TAINA CARDOSO BITTENCOURT - 173.587.687-95
Telefones: 21970477244Y/ N/ N/ / /
Email: bittencourtata@hotmail.com/</t>
  </si>
  <si>
    <t>P0485</t>
  </si>
  <si>
    <t>alessandravinicius@yahoo.com.br</t>
  </si>
  <si>
    <t>INFORMAÇÕES IMPORTANTES
Atendeu apressada 
Disse que pretende consumir mais 6h de ar nos meses mais quentes.
São 3 aparelhos de ar condicionado de 12.000
mora no bairro Jacarepaguá
11/21/2024 00:15-AD02 - Se a conta de luz não fosse uma problema?-Conj Bairros Grande Rio RJ-20241102 - Leads [cadastro] CBO - VCLT
Quando Pretende Instalar: apenas_curiosidade
Valor Médio da Conta: r$500
Telefone: 
+5521975701109
Cidade: Rio de Janeiro</t>
  </si>
  <si>
    <t>R. Guararapes, 496</t>
  </si>
  <si>
    <t>24360-150</t>
  </si>
  <si>
    <t>P0486 - Caio Raposo Cataldo Maria</t>
  </si>
  <si>
    <t>P0486</t>
  </si>
  <si>
    <t>Caio Raposo Cataldo Maria</t>
  </si>
  <si>
    <t>Engenho Novo, Rio de Janeiro</t>
  </si>
  <si>
    <t>Engenho Novo</t>
  </si>
  <si>
    <t>INFORMAÇÕES INPORTANTES
Angela que é a dona do contato ( número de telefone) 
Aposentada ( o maio está para aposentar rido está para aposentar próximo dia 04/12, inclusive vai na agência do INSS)
Mora no Engenho Novo. Tem uma casa em Praia Seca Araruama 
Disse que não sabe se vai ficar nesse imóvel que ela está no momento
Os filhos já não moram mais com ela. 
O Caio mora em apartamento e tem consumo alto na conta de luz. Gostou da possibilidade de compartilhar crédito com o filho. 
Hoje se priva de praticamente usar tudo para a conta não vir nas alturas 
Tem 3 aparelhos de ar condicionado. Sendo um de 18, um de 7,5 e um de 10. Quer usar pelo menos 8h nos meses mais quentes 
Tem um freezer que quer voltar a usar e uma fritadeira elétrica. 
Não gosta muito de praia, prefere a serra. Quem gosta muito de praia é sua irmã. 
Disse que o marido não costumar influenciar nas decisões, faz o que ela acha que é certo. 
Filho vai participar da reunião com ela. 
É trifásico.
12/01/2024 14:50-AD03 - Se a conta de luz não fosse uma problema?-Conj Bairros Grande Rio RJ-20241102 - Leads [cadastro] CBO - VCLT
Quando Pretende Instalar: apenas_curiosidade
Valor Médio da Conta: r$500
Telefone: 
+5521999881202
Cidade: Rio de Janeiro</t>
  </si>
  <si>
    <t>P0487 - Hinayanna</t>
  </si>
  <si>
    <t>P0487</t>
  </si>
  <si>
    <t>Hinayanna</t>
  </si>
  <si>
    <t>Indicação do Ovidio, veio pela Eletron, trabalha na Essor seguros. 
Verificar o vínculo com a academia, se ela que é a decisora.
Quer um projeto de Energia Solar para uma academia.
Conta está incompleta, apenas de agosto a novembro de 2024.
Aparentemente a academia recebe créditos de outra unidade porém uma quantidade bem pequena
Tem uma proposta da solaron</t>
  </si>
  <si>
    <t>add + 5% ajuste dezembro</t>
  </si>
  <si>
    <t>R. Timóteo da Costa, 805</t>
  </si>
  <si>
    <t>22450-130</t>
  </si>
  <si>
    <t>Leblon</t>
  </si>
  <si>
    <t>P0488 - Shanoá</t>
  </si>
  <si>
    <t>P0488</t>
  </si>
  <si>
    <t>Shanoá</t>
  </si>
  <si>
    <t>shanoa01@gmail.com</t>
  </si>
  <si>
    <t>Padre Miguel, Rio de Janeiro</t>
  </si>
  <si>
    <t>Padre Miguel</t>
  </si>
  <si>
    <t>12/01/2024 13:46-AD03 - Se a conta de luz não fosse uma problema?-Conj Bairros Grande Rio RJ-20241102 - Leads [cadastro] CBO - VCLT
Quando Pretende Instalar: apenas_curiosidade
Valor Médio da Conta: acima_de_r$1.000
Telefone: 
+5521975457206
Cidade: Rio de Janeiro / Padre Miguel
Está se mudando para um casa, hoje já utilizam tudo que tem em casa, o ar-condicionado fica liga ligado full-time mesmo no inverto, a conta vem em média R$ 2000.
Fazer proposta para R$ 2.500.</t>
  </si>
  <si>
    <t>INFORMAÇÕES IMPORTANTES
Faz dois trabalhos voluntários que cozinha para pessoas com necessidade
O principal ponto quando ela contrata um empresa. Espera confiança. 
Não suporta calor 
O imóvel do Leblon tem 5 quartos 
Imóvel tem 12 anos de construção 
Silvia tem 66 anos e o marido tem 78
Pediu financiamento para fazer sem precisar do marido. 
Pediu o máximo de carência possível e também o máximo de parcelas.
Não pretende aumentar o consumo
Está buscando por economia Economia 
Tem um consultório onde paga em média R$ 500 e uma casa que as vezes passa de 2 mil reais.
Dados para financiamento: 
Silvia Mangaravite de Moraes
638.214.437-15
10.000,00
22/11/1958
silviamangaravite@gmail.com
Solteira.
Rua Timóteo da Costa 805. Bloco 1. Apto 103. Leblon.
IPTU. Pedro Paulo de Sá Earp.
11/20/2024 19:59-AD01 - Rasgando Dinheiro - Carrossel-Conj Bairros Grande Rio RJ-20241102 - Leads [cadastro] CBO - VCLT
Quando Pretende Instalar: apenas_curiosidade
Valor Médio da Conta: r$500
Telefone: 
+5521996678538
Cidade: Rio de Janeiro / Leblon
Não pretende aumentar o consumo
Está buscando por economia Economia 
Tem um consultório onde paga em média R$ 500 e uma casa que as vezes passa de 2 mil reais.</t>
  </si>
  <si>
    <t>P0489 - COLEGIO E CURSO J.G.S.</t>
  </si>
  <si>
    <t>P0489</t>
  </si>
  <si>
    <t>COLEGIO E CURSO J.G.S.</t>
  </si>
  <si>
    <t>ritac.r.sada@gmail.com</t>
  </si>
  <si>
    <t>R. Combu, 39</t>
  </si>
  <si>
    <t>21921-610</t>
  </si>
  <si>
    <t>INFORMAÇÕES IMPORTANTES
Rita Sócia me disse que tem consumo na faixa de R$1500
Quem vai assistir é ela e o sócio  PAULO CESAR RIBEIRO SADA - 608.078.577-34
CARLOS ALBERTO RIBEIRO SADA - 407.855.647-72  faleceu ( ela disse algo sobre inventário)
Esse valor somente da creche o outro local eles alugaram e a mãe do inquilino está doente. Estão fazendo obras 
Disse que não tinha verba, expliquei que poderiam fazer sem tirar nenhum centavo do bolso
Nome Fantasia: COLEGIO E CURSO J.G.S.
Razão Social: COLEGIO E CURSO JOAQUIM GOMES DE SOUZA LTDA
CNPJ: 42.208.108/0001-14
/ Ensino fundamental/ Sociedade Simples Limitada/ MATRIZ/ DEMAIS/ DE R$ 250 MIL ATÉ R$ 500 MIL/ DE 10 A 49 FUNCIONARIOS
Data da Criação: 30/08/1974
Endereço: RUA COMBU, 39 PREDIO - ILHA DO GOVERNADOR - RIO DE JANEIRO/RJ - 21921610
Telefones: 2133962608/ 2130826129/ / 21985150441/ 21988374333/ 21984150441
Email: karlameletti@hotmail.com/ secretaria@jgscolegio.com.br/ colegiojgsilha@gmail.com
Sócio: RITA DE CASSIA RIBEIRO SADA - 975.025.297-72
Telefones: 21999526144/ 21996181699/ 21996969127/ 2130826129/ 2133962608/
Email: ritasada@ig.com.br/ rita.c.r.sada@gmail.com
Sócio: PAULO CESAR RIBEIRO SADA - 608.078.577-34
Telefones: 21995029356/ / / 2133962608/ /
Email: /
Sócio: CARLOS ALBERTO RIBEIRO SADA - 407.855.647-72
Telefones: 21972477682/ / / 2133962608/ /
Email: telmadecastro@hotmail.com/</t>
  </si>
  <si>
    <t>P0490 - Matheus Souza</t>
  </si>
  <si>
    <t>P0490</t>
  </si>
  <si>
    <t>Matheus Souza</t>
  </si>
  <si>
    <t>P0491 - Andre Vendrell</t>
  </si>
  <si>
    <t>P0491</t>
  </si>
  <si>
    <t>Andre Vendrell</t>
  </si>
  <si>
    <t>Méier, Rio de Janeiro</t>
  </si>
  <si>
    <t>INFORMAÇÕES IMPORTANTE
Disse que tem fiação antiga
Sexta feira fica de home office
Vai usar 1 aparelho de ar 7.500 Btus 8h da manhã as 6h da manhã  ( o dia inteiro)
Está no local tem menos de 1 mês 
Tem telhado suficiente acredita 
Disse que já acompanhou instalações, sabe como funciona 
Que saber valores e se vale a pena. 
Tem menos de 1 mês no local que está, então sabe que a conta vai ficar acima de R$700 porque a fiação é antiga e o aparelho de ar condicionado também não é econômico. 
12/05/2024 18:48-AD01 - Rasgando Dinheiro - Carrossel-Conj Bairros Grande Rio RJ-20241102 - Leads [cadastro] CBO - VCLT
Quando Pretende Instalar: em_até_30_dias
Valor Médio da Conta: r$700
Telefone: 
21987620085
Cidade: Rio de Janeiro</t>
  </si>
  <si>
    <t>P0492 - lygia durand</t>
  </si>
  <si>
    <t>P0492</t>
  </si>
  <si>
    <t>lygia durand</t>
  </si>
  <si>
    <t>Urca, Rio de Janeiro</t>
  </si>
  <si>
    <t>Urca</t>
  </si>
  <si>
    <t>11/17/2024 16:33-AD02 - Se a conta de luz não fosse uma problema?-Conj Bairros Grande Rio RJ-20241102 - Leads [cadastro] CBO - VCLT
Quando Pretende Instalar: apenas_curiosidade
Valor Médio da Conta: r$500
Telefone: 
+5521985024972
Cidade: Rio de Janeiro - Urca
Lygia demonstrou um certo conhecimento sobre energia solar, informou que deseja um sistema off-grid com baterias porque quando chove costuma ficar sem energia, quer para usar eletrodomésticos básicos, geladeira, lâmpadas, etc.
A principio não pretende aumentar o consumo, quer mesmo ficar tranquila quando acabar a luz.
Mandou uma foto da vista do local onde mora, está no anexo.</t>
  </si>
  <si>
    <t>P0493 - Flora Carvalho</t>
  </si>
  <si>
    <t>P0493</t>
  </si>
  <si>
    <t>Flora Carvalho</t>
  </si>
  <si>
    <t>P0494 - Odilon Junqueira</t>
  </si>
  <si>
    <t>P0494</t>
  </si>
  <si>
    <t>Odilon Junqueira</t>
  </si>
  <si>
    <t>12/07/2024 23:22-AD01 - Rasgando Dinheiro - Carrossel-Conj Bairros Grande Rio RJ-20241102 - Leads [cadastro] CBO - VCLT
Quando Pretende Instalar: em_até_30_dias
Valor Médio da Conta: r$500
Telefone: 
+5521998553133
Cidade: Rio de Janeiro
No verão a conta chega a R$ 1000 reais. 
Além da economia está buscando conforto.</t>
  </si>
  <si>
    <t>Tijuca, Rio de Janeiro</t>
  </si>
  <si>
    <t>INFORMAÇÕES IMPORTANTES
Matheus disse que comprou um apartamento, mas possui outro local para colocar 
Está querendo conhecer como funciona
Gostou desse possibilidade colocar em outro local e transferir crédito para o apartamento
Primeira vez que busca informação sobre energia solar, a conta hoje vem em média R$ 300, mas pretende consumir mais com verão porque quer usar o ar-condicionado.
Planeja fazer o investimento somente ano que vem porque precisa se organizar primeiro. 
12/03/2024 23:43-AD01 - Rasgando Dinheiro - Carrossel-Conj Bairros Grande Rio RJ-20241102 - Leads [cadastro] CBO - VCLT
Quando Pretende Instalar: apenas_curiosidade
Valor Médio da Conta: r$500
Telefone: 
+5521982086856
Cidade: Tijuca</t>
  </si>
  <si>
    <t>P0495 - Fatima Azevedo</t>
  </si>
  <si>
    <t>P0495</t>
  </si>
  <si>
    <t>Fatima Azevedo</t>
  </si>
  <si>
    <t>Guaratiba, Rio de Janeiro</t>
  </si>
  <si>
    <t>Guaratiba</t>
  </si>
  <si>
    <t>INFORMAÇÕES IMPORTANTES 
Quer colocar para sua mãe. 
É uma casa pequena em guaratiba
Acredita que R$500 ela vai conseguir usar o ar e ficar mais confortável 
Gostou da possibilidade de compartilhar crédito e economizar em dois locais 
Ficou de mandar a conta em PDF 
12/04/2024 07:33-AD02 - Se a conta de luz não fosse uma problema?-Conj Bairros Grande Rio RJ-20241102 - Leads [cadastro] CBO - VCLT
Quando Pretende Instalar: apenas_curiosidade
Valor Médio da Conta: r$500
Telefone: 
+5521999134613
Cidade: Rio de janeiro</t>
  </si>
  <si>
    <t>P0496 - ASSOCIACAO EDUCACIONAL PADRE AFFONSO</t>
  </si>
  <si>
    <t>P0496</t>
  </si>
  <si>
    <t>ASSOCIACAO EDUCACIONAL PADRE AFFONSO</t>
  </si>
  <si>
    <t>R. Cosme Velho, 98</t>
  </si>
  <si>
    <t>22241-090</t>
  </si>
  <si>
    <t>Cosme Velho</t>
  </si>
  <si>
    <t>INFORMAÇÕES IMPORTANTES 
Marco Aurélio é o gerente adm. Ele quem paga as contas. 
Tem consumo médio de R$25k por mês com alta tensão. 
Recém contrataram mercado livre de energia.
Diretor está ausente por motivo de doença. Ele quem faz os pagamentos e o que ele aprovar o diretor assina embaixo. 
Ele é pratico, direto. Fizemos contas 
Disse que já houve uma vt não me disse a quanto tempo atrás e que teria que reforçar o telhado. 
Nome Fantasia:
Razão Social: ASSOCIACAO EDUCACIONAL PADRE AFFONSO
CNPJ: 08.944.929/0001-80
/ Ensino fundamental/ Associação Privada/ MATRIZ/ DEMAIS/ DE R$ 10 MM ATÉ R$ 50 MM/ DE 10 A 49 FUNCIONARIOS
Data da Criação: 02/07/2007
Endereço: RUA COSME VELHO, 98  - COSME VELHO - RIO DE JANEIRO/RJ - 22241090
Telefones: 2132350700/ / / 21964859972/ 21964855018/ 21964854978
Email: ponsoni.contabil@uol.com.br/ tesouraria.sion@gmail.com/
Sócio: LENIR LUIZA SCORSIN - 238.303.607-20
Telefones: / / / / /
Email: informatica@colegiosion.com.br/
Sócio: HELENA ESMERALDA DE SOUZA - 922.235.407-91
Telefones: / / / / /
Email: helena.esmeralda@hotmail.com/ helenaesm@hotmail.com
Sócio: MARIA JILVANEIDE DOS SANTOS - 609.406.545-04
Telefones: 21998351530/ / / / /
Email: jilvaneide@yahoo.com.br/</t>
  </si>
  <si>
    <t>P0497 - PADARIA E CONFEITARIA VIRIATO</t>
  </si>
  <si>
    <t>P0497</t>
  </si>
  <si>
    <t>PADARIA E CONFEITARIA VIRIATO</t>
  </si>
  <si>
    <t>padariaviriato@gmail.com</t>
  </si>
  <si>
    <t>R. Bento Lisboa, 72</t>
  </si>
  <si>
    <t>22221-011</t>
  </si>
  <si>
    <t>Catete</t>
  </si>
  <si>
    <t>INFORMAÇÕES IMPORTANTES 
Tem consumo médio 25k em baixa tensão por enquanto disse ela 
Tem telhado. Local é locado.
Tem muito tempo de contrato e não pretende sair do ponto comercial 
Tem sistemas em outros estados que estão com a geração ok ( sabe como funciona) 
Perguntou o que eu precisava. Disse que não poderia conversar mais. 
Me perguntou de qual eu estava me referindo, concluo que tem outros lugares. 
Nome Fantasia: PADARIA E CONFEITARIA VIRIATO
Razão Social: PANIFICACAO E CONFEITARIA ESCANDIA LTDA
CNPJ: 33.381.674/0001-32
/ Padaria e confeitaria com predominância de revenda/ Sociedade Empresária Limitada/ MATRIZ/ ME/ DE R$ 500 MIL ATÉ R$ 1 MM/ ATE 9 FUNCIONARIOS
Data da Criação: 24/11/1970
Endereço: RUA BENTO LISBOA, 72, CATETE, RIO DE JANEIRO, 22221011
Telefones: 2122854159/ / / 21998888174/ 21996244899/ 21997660840
Email: padariaviriato@gmail.com/ /
Sócio: ANTONIO MARQUES DA SILVA - 005.798.033-09
Telefones: 21982955554/ / / 2125044043/ /
Email: /
Sócio: SUELLEN KILMA SANTIAGO SOUZA - 117.585.697-51
Telefones: 21964733903/ 21982771237/ / 2177004124/ 2125673384/
Email: isaias2205@gmail.com/ suellenkilma@hotmail.com
Sócio: WANDERLEY NERI MESQUITA - 943.533.363-04
Telefones: 21964156890/ 21998346498/ 21995883484/ 2130836485/ 2122851480/ 2125585582
Email: wando.neri@hotmail.com/ wando329@gmail.com</t>
  </si>
  <si>
    <t>P0498 - Ana Lúcia Camargo</t>
  </si>
  <si>
    <t>P0498</t>
  </si>
  <si>
    <t>Ana Lúcia Camargo</t>
  </si>
  <si>
    <t>Laranjeiras, Rio de Janeiro</t>
  </si>
  <si>
    <t>INFORMAÇÕES IMPORTANTES
Bairro Laranjeiras
Mora em apartamento são 5 em 3 andares 
Local já possui um sistema (Tem que vê se caberá) 
Acredita que R$500 atenderá ( hoje ela tem consumo baixo R$200)
Vai colocar forno elétrico profissional 3h/ dia de segunda a sexta
O filho João Paulo vai participar junto com ela 
Tem um ar de 12
Vai instalar um de 18 na sala. 
12/15/2024 02:53-AD02 - Se a conta de luz não fosse uma problema?-Conj Bairros Grande Rio RJ-20241102 - Leads [cadastro] CBO - VCLT
Quando Pretende Instalar: apenas_curiosidade
Valor Médio da Conta: r$500
Telefone: 
21981034106
Cidade: Rio de Janeiro</t>
  </si>
  <si>
    <t>P0499 - Tatiana Berbat</t>
  </si>
  <si>
    <t>P0499</t>
  </si>
  <si>
    <t>Tatiana Berbat</t>
  </si>
  <si>
    <t>INFORMAÇÕES IMPORTANTES
Bairro Tijuca
Disse ser única decisora 
Tem um bebê pequeno que chorou durante a ligação ( acredito ser o filho) 
Pediu dois outros orçamentos, mas ainda não teve resposta e não marcou nada 
Hoje tem consumo médio de R$800. 
Tem 4 aparelhos de ar de 12 não usa todo, mas gostaria de usar 
Tem um de 18 que fica na sala e quase não usa. Pode ser que utilize 3h nos meses mais quentes 
Disse que durante o dia geralmente não tem muito consumo pois quase não fica ninguém em casa.
Hoje liga alguns ares de 12 de 22h às 6h da manhã e gostaria de ligar de repente às 18h e quem sabe usar os outros
12/17/2024 06:54-ComparativoConta-[Bairro][Aberto]-[CBO][cadastro][20241120]
Quando Pretende Instalar: em_até_60_dias
Valor Médio da Conta: r$800
Telefone: 
+5521986972622
Cidade: Rio de Janeiro</t>
  </si>
  <si>
    <t>P0500 - VLADIMIR MELO DE FREITAS</t>
  </si>
  <si>
    <t>P0500</t>
  </si>
  <si>
    <t>VLADIMIR MELO DE FREITAS</t>
  </si>
  <si>
    <t>R. Agrolândia, 100</t>
  </si>
  <si>
    <t>22743-520</t>
  </si>
  <si>
    <t>P0501 - Álvaro - Indicação</t>
  </si>
  <si>
    <t>P0501</t>
  </si>
  <si>
    <t>Álvaro - Indicação</t>
  </si>
  <si>
    <t>Álvaro é indicação do Vinícius
21964214271
Bairro: Abolição - RJ
Conta média: R$ 800 
Gerar proposta com conta no valor de R$ 1000, porque pretende usar mais o ar-condicionado.
Precisa que o financiamento seja em nome do amigo, caso contrario não tem como seguir.</t>
  </si>
  <si>
    <t>P0502 - Daniel Garcia</t>
  </si>
  <si>
    <t>P0502</t>
  </si>
  <si>
    <t>Daniel Garcia</t>
  </si>
  <si>
    <t>danyelgo78@gmail.com</t>
  </si>
  <si>
    <t>Estr. do Gabinal, 18</t>
  </si>
  <si>
    <t>22760-152</t>
  </si>
  <si>
    <t>INFORMAÇÕES IMPORTANTES
Será para residência + comércio 
Disse que pretende realizar o investimento janeiro ou fevereiro
Está com monofásico, mas ele pretende trocar disse ele. ( de repente já podemos fazer a atualização de padrão R$2200 ou R$1800 confirmar com Vinicius  10% de desconto fechando o solar para tri ou bifásico
Ele decide com a esposa, caso eles entrem de câmera fechada perguntar por ela. 
Ele disse que acredita R$1000 reais atenderia a demanda de ambos 
Esse endereço que ele mandou e a conta é da loja o telhado a ser usado será da casa dele. 
12/18/2024 13:23-ComparativoConta-[Bairro][Aberto]-[CBO][cadastro][20241120]
Quando Pretende Instalar: em_até_30_dias
Valor Médio da Conta: r$900
Telefone: 
+5521979736791
Cidade: Rio de Janeiro</t>
  </si>
  <si>
    <t>P0503 - Felipe Duarte</t>
  </si>
  <si>
    <t>P0503</t>
  </si>
  <si>
    <t>Felipe Duarte</t>
  </si>
  <si>
    <t>felipeduarte1980@hotmail.com</t>
  </si>
  <si>
    <t>INFORMAÇÕES IMPORTANTES
Disse que quase não ficam em casa só usam ar a noite e finais de semana geralmente não estão em casa
Pai de Tuani tem sistema a 4 anos, na época colocou 16 placas. Falou super bem e tem resultado
A casa que eles moram é antiga. Não perguntei o bairro ( confirmar, ficaram de mandar a conta) 
Tuani esposa 
Consumo deles gira em torno de R$600/ R$700 
Acredita que pode ter problema na fiação porque acha conta um absurdo de cara. 
Tem cachorro
Tuani 
e-mail: felipeduarte1980@hotmail.com
R$600  R$700
12/16/2024 23:37-AD02 - Se a conta de luz não fosse uma problema?-Conj Bairros Grande Rio RJ-20241102 - Leads [cadastro] CBO - VCLT
Quando Pretende Instalar: imediato
Valor Médio da Conta: r$500
Telefone: 
+5521967827739
Cidade: Rio de Janeiro</t>
  </si>
  <si>
    <t>P0338 - [FV01] ANDRE DA COSTA PASSOS</t>
  </si>
  <si>
    <t>[FV01] ANDRE DA COSTA PASSOS</t>
  </si>
  <si>
    <t>andrecp@gmail.com</t>
  </si>
  <si>
    <t>Contato: https://app.clickup.com/t/86a3c3xgm
Infos importantes
Possui 3 telhados sem informação de orientação
7,20x6,04=43,48m²
8,60x4,35=37,41m²
3,50x6,04=21,14m²
Briefing
Cliente enviou a planta do local
Indicação do  
Busca sistema com NType e micro inversor, inicialmente perguntou se trabalhávamos com jinko mas mostrei que a astronergy é um excelente módulo
Quis mais informação sobre a parte de aquecimento banho também
Quer para consumo médio de 900kWh
Nome completo: ANDRE DA COSTA PASSOS	
  ⁠CPF: 08034280739
  ⁠Endereço de onde será instalação: RUA GUARARAPES, 496 - SAO FRANCISCO NITEROI -RJ
  ⁠CEP: 24360150
  ⁠E-mail: andrecp@gmail.com
  ⁠Data de nascimento: 23/07/1978
  ⁠Nacionalidade: BRASIL</t>
  </si>
  <si>
    <t>Indicação (Marcelo Navarro) amigo do Vinícius
21991244214
Paga em média R$ 450 reais, porém quer usar o ar-condicionado no verão sem se preocupar com a conta.
Fazer proposta para 500kWh</t>
  </si>
  <si>
    <t>P0504 - Vannessa Siqueira</t>
  </si>
  <si>
    <t>P0504</t>
  </si>
  <si>
    <t>Vannessa Siqueira</t>
  </si>
  <si>
    <t>admvannessa3@gmail.com</t>
  </si>
  <si>
    <t>INFORMAÇÕES IMPORTANTES 
Primeiro contato com solar. 
Deseja conforto para toda família. Tem pais idosos e crianças que frequentam local 
Bairro Tijuca
Gosta de conversar ( perguntou tempo de retorno, se temos escadas, sobre manutenção, certificação etc
Em 2025 vai instalar plataforma elevatória. Disse que não pode ficar sem luz porque caso os pais estejam dentro do elevador ficarem presos. Por isso pensa em sistema híbrido
Disse que ventou falta energia e que passou maus bocados nesse último inverno se calor que tivemos
Hoje só liga o ar a noite, se pudesse deixaria 24h ligado. Tem 48 anos ( falou sobre menopausa calor excessivo) 
São 4 aparelhos de 18 mil Btus
Tem animais, cadeirante e crianças no local. 
Disse que vai colocar em prática a partir de dia de reis 06/01/25. 
12/18/2024 23:23-ComparativoConta-[Bairro][Aberto]-[CBO][cadastro][20241120]
Quando Pretende Instalar: apenas_curiosidade
Valor Médio da Conta: r$500
Telefone: 
+5521968525922
Cidade: Río de Janeiro</t>
  </si>
  <si>
    <t>P0505 - Kaue Gofman</t>
  </si>
  <si>
    <t>P0505</t>
  </si>
  <si>
    <t>Kaue Gofman</t>
  </si>
  <si>
    <t>kaue.gofman@gmail.com</t>
  </si>
  <si>
    <t>INFORMAÇÕES IMPORTANTES 
São duas escolas de teatro e dois apartamentos
Bairro Tijuca 
Consumo médio das escolas, uma R$1300 e outra R$1500. Já o consumo dos apartamentos é de R$400 reais cada. Valor Total R$3.600. 
As escolas tem maior consumo a noite e durante o dia tem funcionários, mas o consumo maior é de 18h até 22h 
São locadas ( uma tem contrato indeterminado e outra de 5 anos) ele disse que o dono não vai se opor a colocação do sistema. 
Quer um sistema que atenda tudo. Por conta do telhado disse ele. Ser melhor um do que o outro 
Tem um crédito pré aprovado para solar no banco dele, mas o banco pede um projeto para a aprovação do crédito. 
Tem filhos e estão de férias em casa. 
12/23/2024 10:04-ComparativoConta-[Bairro][Aberto]-[CBO][cadastro][20241120]
Quando Pretende Instalar: em_até_30_dias
Valor Médio da Conta: acima_de_r$1.000
Telefone: 
+5521984802547
Cidade: Rio de Janeiro</t>
  </si>
  <si>
    <t>P0506 - Kelvin Guimar</t>
  </si>
  <si>
    <t>P0506</t>
  </si>
  <si>
    <t>Kelvin Guimar</t>
  </si>
  <si>
    <t>INFORMAÇÕES IMPORTANTES 
Bairro Jacarepaguá 
Único decisor
Local é locado, contrato de 10 anos 
Vai colocar 3 aparelhos de 12.000 Btus para serem usados todos os meses do ano durante 8h período diurdo. 
No momento somente para o comércio 
Primeiro ctt com solar 
Disse que tem telhado suficiente 
12/23/2024 06:43-ComparativoConta-[Bairro][Aberto]-[CBO][cadastro][20241120]
Quando Pretende Instalar: em_até_30_dias
Valor Médio da Conta: r$600
Telefone: 
+5521993884410
Cidade: Rio de Janeiro</t>
  </si>
  <si>
    <t>P0507 - Kathia Amon</t>
  </si>
  <si>
    <t>P0507</t>
  </si>
  <si>
    <t>Kathia Amon</t>
  </si>
  <si>
    <t>kathia.amon@gmail.com</t>
  </si>
  <si>
    <t>INFORMAÇÕES IMPORTANTES 
Precisa de um concentrador de ar ficar ligado 24h por dia por conta da sua mãe que está doente 
Tem um galão de oxigênio que pode usar caso falte luz 
Esse consumo de R$900 já está com a utilização do concentrador ( antes era +- R$500) 
Tem casa de 2 andares pretende ter mais uma geladeira e mais um aparelho de ar condicionado de no máximo 18 para ser usado somente a noite nos meses mais quentes 
Bairro Pechincha Jacarepaguá 
Nunca teve contato com solar. Ainda nem falou com o esposo Aguinaldo
Trabalha em uma escola do munícipio 
12/19/2024 00:33-ComparativoConta-[Bairro][Aberto]-[CBO][cadastro][20241120]
Quando Pretende Instalar: apenas_curiosidade
Valor Médio da Conta: r$900
Telefone: 
+5521982164467
Cidade: Rio de Janeiro</t>
  </si>
  <si>
    <t>P0508 - Bruno Nogueira</t>
  </si>
  <si>
    <t>P0508</t>
  </si>
  <si>
    <t>Bruno Nogueira</t>
  </si>
  <si>
    <t>b.nogueira@prowords.com</t>
  </si>
  <si>
    <t>12/22/2024 22:17-ComparativoConta-[Bairro][Aberto]-[CBO][cadastro][20241120]
Quando Pretende Instalar: imediato
Valor Médio da Conta: acima_de_r$1.000
Telefone: 
+5521997181336
Cidade: Rio de Janeiro - Vargem Pequena
A casa está em fase final de acabamento... Ainda não moro lá.
A ideia é calcular algo para pagar o mínimo da conta da light
O imóvel vai ter:
Ar condicionado
4 splits de 12btu
1 split de 30btu
Duas geladeira
Aquecimento de água para:
4 suítes com 4 torneiras.
4 pessoas - 8 banhos por dia de 10 minutos cada.
Considerar visitas, porque costuma receber pessoas.</t>
  </si>
  <si>
    <t>ricardobrizzichiani@gmail.com</t>
  </si>
  <si>
    <t>P0509</t>
  </si>
  <si>
    <t>danitx_01@outlook.com</t>
  </si>
  <si>
    <t>Av. Monsenhor Félix, 1010</t>
  </si>
  <si>
    <t>21235-112</t>
  </si>
  <si>
    <t>INFORMAÇÕES IMPORTANTES 
SOCIEDADE CULTURAL RIO LESTE LTDA 
COLEGIO FUTURO VIP - IRAJA
05.144.418/0018-34
FILIAL
05.144.418/0001-96  CNPJ principal 
DANIELA CHARBEL TEIXEIRA DE ARAUJO  única sócia Qsa adm 
Ela disse que as vezes cai e que não aguenta algumas salas, possivelmente readequação de padrão. Aumentar a carga. 
Conta na faixa de 15k (em anexo) 
Total de 4 filiais 
12/26/2024 19:10-AD01 - Rasgando Dinheiro - Carrossel-Conj Bairros Grande Rio RJ-20241102 - Leads [cadastro] CBO - VCLT
Quando Pretende Instalar: imediato
Valor Médio da Conta: acima_de_r$1.000
Telefone: 
+5521992911014
Cidade: Rio de Janeiro</t>
  </si>
  <si>
    <t>P0509 - Daniela Araujo - Futuro VIP</t>
  </si>
  <si>
    <t>Daniela Araujo - Futuro VIP</t>
  </si>
  <si>
    <t>LP182*199_x001F_M_x001F_66_x001F_NH</t>
  </si>
  <si>
    <t>https://belenus.com.br/api/arquivo/download/DATASHEET_MFVLE_MO_132_585W.pdf</t>
  </si>
  <si>
    <t>P0510 - Rinaldo Araujo</t>
  </si>
  <si>
    <t>P0510</t>
  </si>
  <si>
    <t>Rinaldo Araujo</t>
  </si>
  <si>
    <t>12/27/2024 03:11-AD01 - Rasgando Dinheiro - Carrossel-Conj Bairros Grande Rio RJ-20241102 - Leads [cadastro] CBO - VCLT
Quando Pretende Instalar: em_até_30_dias
Valor Médio da Conta: r$500
Telefone: 
+5521998958802
Cidade: Rio de Janeiro - 
Mora só, viaja muito e acha o valor da conta alto, quer pagar o valor mínimo da light.
Não pretende ter aumento de consumo.</t>
  </si>
  <si>
    <t>P0045 - [FV02] COLÉGIO PENHA GABRIEL - Ampliação</t>
  </si>
  <si>
    <t>[FV02] COLÉGIO PENHA GABRIEL - Ampliação</t>
  </si>
  <si>
    <t>21340-060</t>
  </si>
  <si>
    <t>P0511 - [FV02] COLÉGIO PENHA GABRIEL - Ampliação</t>
  </si>
  <si>
    <t>P0511</t>
  </si>
  <si>
    <t>P0512</t>
  </si>
  <si>
    <t>thp21@hotmail.com</t>
  </si>
  <si>
    <t>R. Barão de Pirassinunga, 26</t>
  </si>
  <si>
    <t>20521-170</t>
  </si>
  <si>
    <t>INFORMAÇÕES IMPORTANTES 
Local é uma cobertura 
Busca conforto para usar a vontade o ar condicionado 
Vão utilizar mais dois aparelhos de ar condicionado
1 de  9 BTus 6h  todos os meses  home office 
sala 18 mil 6h nos meses mais quentes 
Tijuca  
Primeiro contato com solar
Terraço suficiente, disse ele,   30m2 ( ele acha)  Não precisa de autorização para usar espaço. 
Cobertura e local do terraço não é área comum. 
12/31/2024 00:38-ComparativoConta-[Bairro][Aberto]-[CBO][cadastro][20241120]
Quando Pretende Instalar: apenas_curiosidade
Valor Médio da Conta: r$500
Telefone: 
+5521994474318
Cidade: Rio de Janeiro</t>
  </si>
  <si>
    <t>P0513 - Cassio Lima</t>
  </si>
  <si>
    <t>P0513</t>
  </si>
  <si>
    <t>Cassio Lima</t>
  </si>
  <si>
    <t>lima164@gmail.com</t>
  </si>
  <si>
    <t>Anil, Rio de Janeiro</t>
  </si>
  <si>
    <t>INFORMAÇÕES IMPORTANTES 
Bairro Anil 
Consumo médio de R$1500. 
Já fez algumas cotações, perguntei porque não avançou e ele disse que está fazendo pesquisa de mercado 
Disse que é o único decisor
Não pretende aumentar o consumo, mas deseja que possa fazer ampliação futura caso precise. 
01/08/2025 18:08-ComparativoConta-[Bairro][Aberto]-[CBO][cadastro][20241120]
Quando Pretende Instalar: imediato
Valor Médio da Conta: acima_de_r$1.000
Telefone: 
+5521987349999
Cidade: Rio de Janeiro</t>
  </si>
  <si>
    <t>P0514 - Pedro Paulo Conceição do Rosário</t>
  </si>
  <si>
    <t>P0514</t>
  </si>
  <si>
    <t>Pedro Paulo Conceição do Rosário</t>
  </si>
  <si>
    <t>P0515 - Vinícius Aquino Vellys</t>
  </si>
  <si>
    <t>P0515</t>
  </si>
  <si>
    <t>Vinícius Aquino Vellys</t>
  </si>
  <si>
    <t>12/09/2024 12:57-AD01 - Rasgando Dinheiro - Carrossel-Conj Bairros Grande Rio RJ-20241102 - Leads [cadastro] CBO - VCLT
Quando Pretende Instalar: imediato
Valor Médio da Conta: r$1.000
Telefone: 
+5521996713767
Cidade: Rio de Janeiro - Vargem Grande
Deseja compartilha a energia com outro endereço, que tem um consumo de 180wk</t>
  </si>
  <si>
    <t>Praça Santos Dumont, 30</t>
  </si>
  <si>
    <t>22470-060</t>
  </si>
  <si>
    <t>Gávea</t>
  </si>
  <si>
    <t>P0516 - Jorge Eduardo Vieira</t>
  </si>
  <si>
    <t>P0516</t>
  </si>
  <si>
    <t>Jorge Eduardo Vieira</t>
  </si>
  <si>
    <t>P0517 - Beto Solanes</t>
  </si>
  <si>
    <t>P0517</t>
  </si>
  <si>
    <t>Beto Solanes</t>
  </si>
  <si>
    <t>12/31/2024 14:10-ComparativoConta-[Bairro][Aberto]-[CBO][cadastro][20241120]
Quando Pretende Instalar: em_até_60_dias
Valor Médio da Conta: acima_de_r$1.000
Conta no valor de R$ 4k, não pretende ter aumento
Busca por economia
Está fazendo pesquisa de mercado, outra empresa já esteve no local fazendo VT.
Telefone: 21974362957
Cidade: Rio de Janeiro - Bairro da Gávea</t>
  </si>
  <si>
    <t>P0518 - Camille Castro</t>
  </si>
  <si>
    <t>P0518</t>
  </si>
  <si>
    <t>Camille Castro</t>
  </si>
  <si>
    <t>Alto da Boa Vista, Rio de Janeiro</t>
  </si>
  <si>
    <t>INFORMAÇÕES IMPORTANTES
É um sítio no Bairro Boa vista 
Caseiro foi embora
Mãe faleceu em 08/23 
4 suites 
Estão pensando em boiler 
Casa tem muita despesa (enorme) 
Vão começar a alugar para eventos.
Sítio pertence a ela e os irmãos ( todos são decisores pelo que entendi) 
Está orçando com outras empresas ( a nossa foi a segunda) 
Disse que tem telhado  suficiente 
Tem iluminação externa, piscina 
Fazer para R$700 reais
12/16/2024 08:00-AD03 - Se a conta de luz não fosse uma problema?-Conj Bairros Grande Rio RJ-20241102 - Leads [cadastro] CBO - VCLT
Quando Pretende Instalar: em_até_60_dias
Valor Médio da Conta: r$700
Telefone: 
+5521996229293
Cidade: Rio de Janeiro</t>
  </si>
  <si>
    <t>Utilizado</t>
  </si>
  <si>
    <t>P0519 - Bia Simbras | Nutricionista | Emagrecimento Feminino</t>
  </si>
  <si>
    <t>P0519</t>
  </si>
  <si>
    <t>Bia Simbras | Nutricionista | Emagrecimento Feminino</t>
  </si>
  <si>
    <t>INFORMAÇÕES IMPORTANTES
Ela mora em apartamento não tem espaço, mas poderia fazer na cobertura dos pais 
Consumo pequeno R$400/R$300 ( casa dela dos pais e consultório) e R$100
Marido trabalha voando pelo que entendi e tem escala. 
Ela quer participar da reunião com ele junto.
Confirmar o bairro dos pais ( local de instalação) 
12/28/2024 13:31-ComparativoConta-[Bairro][Aberto]-[CBO][cadastro][20241120]
Quando Pretende Instalar: apenas_curiosidade
Valor Médio da Conta: r$500
Telefone: 
+5521964220278
Cidade: Rio de Janeiro</t>
  </si>
  <si>
    <t>P0520 - Henrique Vasconcelos Nogueira</t>
  </si>
  <si>
    <t>P0520</t>
  </si>
  <si>
    <t>Henrique Vasconcelos Nogueira</t>
  </si>
  <si>
    <t>kompradorantigo02@gmail.com</t>
  </si>
  <si>
    <t>INFORMAÇÕES IMPORTANTES 
Bairro Campo Grande
Ele é eletrotécnico 
Tem lido muito a respeitos de paineis solares 
Quem decide é ele e a esposa Gloria 
Não tem sonho da casa própria, não gosta de ficar preço em um único lugar
Disse que tem autorização tanto do proprietário, quanto da imobiliária para usar o telhado e sabe que pode tirar o sistema ( ele mesmo falou isso antes que passasse a informação) 
Se mudou de um apartamento que era bifásico para uma casa que agora é trifásico
Esse mês a conta veio R$400, mas ainda não está com toda a mudança. A média da antiga casa com ciclo completo era R$1200.
Tem um filho de 10 anos ( menino) 
Telhado canelete 10m
Pretende no final do ano ter um gerador 18 Kva
É seu primeiro contato com solar
Ele conversa bastante
01/15/2025 08:14-ComparativoConta-[Bairro][Aberto]-[CBO][cadastro][20241120]
Quando Pretende Instalar: apenas_curiosidade
Valor Médio da Conta: r$900
Telefone: 
+5521980462911
Cidade: Rio de Janeiro</t>
  </si>
  <si>
    <t>P0521 - Juliana Rosa</t>
  </si>
  <si>
    <t>P0521</t>
  </si>
  <si>
    <t>Juliana Rosa</t>
  </si>
  <si>
    <t>Rua Conde de Bonfim, 1252</t>
  </si>
  <si>
    <t>20530-003</t>
  </si>
  <si>
    <t>INFORMAÇÕES IMPORTANTES
É para o condomínio CONDOMINIO DO EDIFICIO SERRA VERDE
cnpj 02.317.813/0001-35
Juliana faz parte do conselho / não é a sindica 
Consumo médio para área comum ( falei sobre o emuc, mas acho que não sabem como funciona e pediu para explicar 
01/05/2025 09:11-ComparativoConta-[Bairro][Aberto]-[CBO][cadastro][20241120]
Quando Pretende Instalar: apenas_curiosidade
Valor Médio da Conta: acima_de_r$1.000
Telefone: 
+5548999102906
4899102906
Cidade: Rio de Janeiro</t>
  </si>
  <si>
    <t>P0522 - Claudia Madeira</t>
  </si>
  <si>
    <t>P0522</t>
  </si>
  <si>
    <t>Claudia Madeira</t>
  </si>
  <si>
    <t>miranda.rj@hotmail.com</t>
  </si>
  <si>
    <t>Curicica, Rio de Janeiro</t>
  </si>
  <si>
    <t>Data do lead: 15/10/2024 23:36:00
Quando pretende instalar: em até 60 dias
valor médio da conta: R$ 1000 e 1300
21964778824
Bairro: Curicica - RJ
Terreno de 360 m³ com telhado galvanizado
Que colocar em um telhado na casa dela e usar na casa e no salão. 
Fazer um orçamento no valor de R$ 1.600, no verão a conta da casa chega a R$ 700 e na loja próximo desse valor.
Buscando por conforto.
miranda.rj@hotmail.com</t>
  </si>
  <si>
    <t>P0523 - Charles Araujo</t>
  </si>
  <si>
    <t>P0523</t>
  </si>
  <si>
    <t>Charles Araujo</t>
  </si>
  <si>
    <t>01/20/2025 07:27-ComparativoConta-[Bairro][Aberto]-[CBO][cadastro][20241120]
Quando Pretende Instalar: em_até_30_dias
Valor Médio da Conta: acima_de_r$1.000 - 
Proposta no valor de R$ 1300
Energia Limpa - 
Telefone: 
+5521997013914
Cidade: Rio de Janeiro - Barra -</t>
  </si>
  <si>
    <t>P0524 - Waldeck Xavier Dos Santos</t>
  </si>
  <si>
    <t>P0524</t>
  </si>
  <si>
    <t>Waldeck Xavier Dos Santos</t>
  </si>
  <si>
    <t>waldeck.xavier@gmail.com</t>
  </si>
  <si>
    <t>INFORMAÇÕES IMPORTANTES 
Disse que chegou a pedir outros orçamentos, mas não obteve o atendimento esperado ( um pediu a localização e outro somente a conta
Bairro Jacarepaguá 
Tem consumo na média de R$600 que chega a R$800 nos meses mais quentes 
Tem duas filhas adolescentes, sendo uma de 16 e 17 anos
Hoje tem 2 aparelhos de janela 7500, que liga somente 1 para economizar, a noite. 
Talvez troque um dos que possui hoje para split ( já tem o aparelho em outra casa) 
Pretende instalar mais um aparelho de 7500 de janela para uma das filhas
Vai construir uma piscina então terá bomba e chafariz/cascata.
Decisão será dele com a esposa ( não sabe se será à vista, não tem noção de valores)
Mas disse que não será em 30 dias porque tem muita coisa agora em janeiro ( IPVA, escolhas material etc) 
Ele quer saber como seria o projeto com e sem piscina. Falamos que uma ampliação tem custo e que o ideal é ele fazer um projeto já pensando na piscina. ( vale fazer os dois se houver muita diferença de valor) 
12/24/2024 14:26-ComparativoConta-[Bairro][Aberto]-[CBO][cadastro][20241120]
Quando Pretende Instalar: em_até_30_dias
Valor Médio da Conta: r$600
Telefone: 
+5521993251977
Cidade: Rio de Janeiro</t>
  </si>
  <si>
    <t>P0525 - Mariana Lomar Lazaro de Lima</t>
  </si>
  <si>
    <t>P0525</t>
  </si>
  <si>
    <t>Mariana Lomar Lazaro de Lima</t>
  </si>
  <si>
    <t>P0526 - Thiago Salgado</t>
  </si>
  <si>
    <t>P0526</t>
  </si>
  <si>
    <t>Thiago Salgado</t>
  </si>
  <si>
    <t>12/26/2024 18:26-ComparativoConta-[Bairro][Aberto]-[CBO][cadastro][20241120]
Quando Pretende Instalar: em_até_60_dias
Valor Médio da Conta: acima_de_r$1.000
Telefone: 
+5521991066878
Cidade: Rio de Janeiro - Itanhangá
A consumo médio 12meses de 1248KWh
2000 k 25m
Vai ter uma aumento de 40% de consumo no próximo ano.
Está viajando, pediu um contato depois do dia 13/01</t>
  </si>
  <si>
    <t>P0527 - @Paulo@</t>
  </si>
  <si>
    <t>P0527</t>
  </si>
  <si>
    <t>@Paulo@</t>
  </si>
  <si>
    <t>pchlopes@yahoo.com.br</t>
  </si>
  <si>
    <t>uaçu - RJ</t>
  </si>
  <si>
    <t>Nova Iguaçu - RJ</t>
  </si>
  <si>
    <t>INFORMAÇÃO IMPORTANTES 
Deseja ajuda para o consultório 
3k e 5k 
Local é locado, mas tem autorização para usar telhado 
Contrato indeterminado. Não pretende sair do ponto comercial 
Perguntou sobre energia compartilhada de fazenda ( ele já possui de outro local, mas não conseguiu incluir o consultório, o telhado não deve ser suficiente)
Ele decide sozinho
12/27/2024 17:17-ComparativoConta-[Bairro][Aberto]-[CBO][cadastro][20241120]
Quando Pretende Instalar: em_até_30_dias
Valor Médio da Conta: acima_de_r$1.000
Telefone: 
21982233650
Cidade: Rio de Janeiro</t>
  </si>
  <si>
    <t>12/22/2024 14:43-ComparativoConta-[Bairro][Aberto]-[CBO][cadastro][20241120]
Quando Pretende Instalar: imediato
Valor Médio da Conta: r$900
Telefone: 
+5521993562888 
Cidade: Rio de Janeiro - 
Moram na cobertura e pretende colocar na loja em cima.
Perguntar o bairro
VT - Precisa conversar com o marido primeiro</t>
  </si>
  <si>
    <t>P0528 - CURIOSA IDADE CRECHE MATERNAL LTDA</t>
  </si>
  <si>
    <t>P0528</t>
  </si>
  <si>
    <t>CURIOSA IDADE CRECHE MATERNAL LTDA</t>
  </si>
  <si>
    <t>R. Prof. Estelita Lins, 123</t>
  </si>
  <si>
    <t>22245-150</t>
  </si>
  <si>
    <t>Nome Fantasia:
Razão Social: CURIOSA IDADE CRECHE MATERNAL LTDA
CNPJ: 27.643.519/0001-44
/ Educação infantil - pré-escola/ Sociedade Simples Limitada/ MATRIZ/ EPP/ DE R$ 500 MIL ATÉ R$ 1 MM/ DE 10 A 49 FUNCIONARIOS
Data da Criação: 09/07/1982
Endereço: R ESTELITA LINS, 123  - LARANJEIRAS - RIO DE JANEIRO/RJ - 22245150
Telefones: 2122057222/ 2122851353/ 2131722327/ 21996113259/ 21999722419/ 21998568626
Email: leonardo@curiosaidade.com.br/ jussaragenobie@hotmail.com/ curiosaidade@curiosaidade.com.br
Sócio: JUSSARA GENOBIE ANTONIO - 553.028.827-87
Telefones: 21971224490/ 21998568626/ 21981812860/ 2125568592/ /
Email: jussaragenobie@hotmail.com/ jugenobi@ig.com.br
Sócio: MARIA DE FATIMA RODRIGUES AMORIM - 382.981.207-87
Telefones: 21996113259/ 21998876805/ 21973086724/ 2122255758/ 2122650765/
Email: fatimaamorim@uol.com.br/ fatimamorim@uol.com.br
Sócio: ANA CRISTINA BENSABATH DAMIANI - 383.475.807-82
Telefones: 21999722419/ / / 2122057222/ /
Email: crisbd@mls.com.br/</t>
  </si>
  <si>
    <t>P0529 - Genard Burity</t>
  </si>
  <si>
    <t>P0529</t>
  </si>
  <si>
    <t>Genard Burity</t>
  </si>
  <si>
    <t>ghburity@gmail.com</t>
  </si>
  <si>
    <t>INFORMAÇÃO IMPORTANTES 
Barra da tijuca /recreio
Irmão mora em Itaipuaçu 
Ele tem 80 anos ( disse que ano passado não aprovou o financiamento, quem sabe o RIVO)
Mora em casa com telhado cerâmico, casa com 3 andares 
Essa última empresa que foi lá disse que seu telhado tinha capacidade para 1700Kwh
Foi aviador, educado e adora conversar. Começou a voar com 17 anos 
A casa estava com barulhos, parecia ter crianças no local. E ele disse que tinha visita. 
12/20/2024 16:46-ComparativoConta-[Bairro][Aberto]-[CBO][cadastro][20241120]
Quando Pretende Instalar: em_até_60_dias
Valor Médio da Conta: acima_de_r$1.000
Telefone: 
+5521998681000
Cidade: Rio de Janeiro</t>
  </si>
  <si>
    <t>P0530 - Leo Amast</t>
  </si>
  <si>
    <t>P0530</t>
  </si>
  <si>
    <t>Leo Amast</t>
  </si>
  <si>
    <t>leoabranches@hotmail.com</t>
  </si>
  <si>
    <t>R. Alexandre Calaza</t>
  </si>
  <si>
    <t>20560-110</t>
  </si>
  <si>
    <t>Vila Isabel</t>
  </si>
  <si>
    <t>INFORMAÇÕES IMPORTANTES 
Hoje a conta está vindo R$600 sem ar. Pretende instalar 3 aparelhos 12
Disse que tem autorização para colocar no telhado do prédio
Tem 50m2 para utilizar
Ele decide junto com a esposa. Ele disse que eles já conversaram a respeito 
Disse que a previsão é essa até 60 dias porque tem muito gasto agora início de ano. Escolha do filho, IPVA de 3 carros. 
ATENÇÃO LÁ É MONOFÁSICO. TERÁ QUE FAZER ALTERAÇÃO DE PADRÃO***
Mora nesse apartamento tem 3 meses. 
01/24/2025 13:57-ComparativoConta-[Bairro][Aberto]-[CBO][cadastro][20241120]
Quando Pretende Instalar: em_até_60_dias
Valor Médio da Conta: r$700
Telefone: 
+5521972031824
Cidade: Rio de Janeiro</t>
  </si>
  <si>
    <t>P0531 - Kristiana Rangel</t>
  </si>
  <si>
    <t>P0531</t>
  </si>
  <si>
    <t>Kristiana Rangel</t>
  </si>
  <si>
    <t>Vargem Grande, Rio de Janeiro</t>
  </si>
  <si>
    <t>INFORMAÇÕES IMPORTANTES 
Não pretende aumentar consumo 
Disse que R$1000 o ano todo 
Disse que está fazendo pesquisa 
Perguntei para quando seria o investimento e ela não respondeu ( aqui está escrito 30 dias) 
12/29/2024 18:39-AD01 - Rasgando Dinheiro - Carrossel-Conj Bairros Grande Rio RJ-20241102 - Leads [cadastro] CBO - VCLT
Quando Pretende Instalar: em_até_30_dias
Valor Médio da Conta: r$1.000
Telefone: 
+5521996427135
Cidade: Rio de Janeiro</t>
  </si>
  <si>
    <t>P0532 - Rozi Brito</t>
  </si>
  <si>
    <t>P0532</t>
  </si>
  <si>
    <t>Rozi Brito</t>
  </si>
  <si>
    <t>Parque Felicidade, Duque de Caxias</t>
  </si>
  <si>
    <t>xias - RJ</t>
  </si>
  <si>
    <t>Parque Felicidade</t>
  </si>
  <si>
    <t>INFORMAÇÕES IMPORTANTES 
Disse que se pudesse ligaria os aparelhos de ar condicionado o dia inteiro, queria instalar mais um de 12.000, mas depois da última conta pensou em desistir
Hoje possui dois de 12
Quer ligar mais os aparelhos nos meses mais quentes
Não tem valor reservado para investimento, será financiado
Bairro Parque felicidade/ Caxias 
É seu primeiro contato com solar ( não senti ela muito quente) , pegar logo dados para financiamento. 
parque felicidade caxias 
rozibrito@yahoo.com 
01/26/2025 12:47-ComparativoConta-[Bairro][Aberto]-[CBO][cadastro][20241120]
Quando Pretende Instalar: apenas_curiosidade
Valor Médio da Conta: r$600
Telefone: 
+5521992408618
Cidade: Rio de Janeiro</t>
  </si>
  <si>
    <t>P0533 - Ricardo Casares</t>
  </si>
  <si>
    <t>P0533</t>
  </si>
  <si>
    <t>Ricardo Casares</t>
  </si>
  <si>
    <t>R. Timóteo da Costa</t>
  </si>
  <si>
    <t>INFORMAÇÕES IMPORTANTES 
Disse ser o único decisor 
Está fazendo outros orçamentos. Falei sobre a matriz de ganhos e perdas para ele expor o que tem na mesa
Ele nos procurou tem poucos dias ( mas disse está vendo isso tem 10 dias) 
Parece estar com pressa e ( preço não é única prioridade, esse é nosso cliente) 
Disse que a empresa tem que ser de confiança e preço compatível, juntamente com a qualidade
Não quer meet 
Timóteo da Costa 1033 bloco 2 CB 2</t>
  </si>
  <si>
    <t>R. Eunice Gondin, 190</t>
  </si>
  <si>
    <t>22795-350</t>
  </si>
  <si>
    <t>P0534 - Aline Neves</t>
  </si>
  <si>
    <t>P0534</t>
  </si>
  <si>
    <t>Aline Neves</t>
  </si>
  <si>
    <t>alineneves.prestserv@petrobras.com.br</t>
  </si>
  <si>
    <t>Usina</t>
  </si>
  <si>
    <t>20531-080</t>
  </si>
  <si>
    <t>INFORMAÇÕES INFORMAÇÕES 
Moram em uma vila de casas ( são 4 casas, cada casa tem um consumo médio de R$300 cada)
O vizinho colocou, mas ainda não tiveram tempo de pedir indicação para orçamento. 
Somos a primeira empresa. Ela falou alto sobre taxação ( expliquei brevemente)
São 4 pessoas que decidem, sendo que 3 são mais velhas e não entendem muito de tecnologia, ela acha que não vão consegui entrar 
Ela vai participar na saída do trabalho. 
Fazer um sistema com geração para as 4 casas. R$1200
Disse que se pudesse usaria ar condicionado e/ou aquecedor. Onde geralmente é muito fresquinho ( Usina/ prox ao alto da boa vista), mas tem feito muito calor
A tia que pediu para ela pesquisar
01/28/2025 12:59-ComparativoConta-[Bairro][Aberto]-[CBO][cadastro][20241120]
Quando Pretende Instalar: em_até_60_dias
Valor Médio da Conta: r$500
Telefone: 
+5521965696001
Cidade: Rio de Janeiro</t>
  </si>
  <si>
    <t>P0535 - Wânia Lima</t>
  </si>
  <si>
    <t>P0535</t>
  </si>
  <si>
    <t>Wânia Lima</t>
  </si>
  <si>
    <t>12/14/2024 15:15-AD03 - Se a conta de luz não fosse uma problema?-Conj Bairros Grande Rio RJ-20241102 - Leads [cadastro] CBO - VCLT
Quando Pretende Instalar: apenas_curiosidade
Valor Médio da Conta: r$500
Telefone: 
+5521987864044
Cidade: Rio de Janeiro - Vargem Pequena</t>
  </si>
  <si>
    <t>P0536</t>
  </si>
  <si>
    <t>R. Oliveira da Silva, 9</t>
  </si>
  <si>
    <t>20511-380</t>
  </si>
  <si>
    <t>2*NEP-BDM-2250-2,25kW+8*Leapton-585W</t>
  </si>
  <si>
    <t>P0537 - Marieni Cini</t>
  </si>
  <si>
    <t>P0537</t>
  </si>
  <si>
    <t>Marieni Cini</t>
  </si>
  <si>
    <t>INFORMAÇÕES IMPORTANTES 
Ela mora no Recreio e as filhas em Botafogo
Tem um vizinho que tem e colocou para ele e filhos, ele quem indicou para ela.
Ela tem telhado, a conta dela é baixa R$200 chegando a R$430 nos meses mais quente e suas filhas tem consumo de R$400 que chegar R$900/100 no verão. Não quer tomar tempo agora, mas quer saber quanto de economia vai ter. 
01/26/2025 17:17-ComparativoConta-[Bairro][Aberto]-[CBO][cadastro][20241120]
Quando Pretende Instalar: apenas_curiosidade
Valor Médio da Conta: r$500
Telefone: 
+5521972270390
Cidade: Rio de Janeiro</t>
  </si>
  <si>
    <t>P0538 - Edleia Turques</t>
  </si>
  <si>
    <t>P0538</t>
  </si>
  <si>
    <t>Edleia Turques</t>
  </si>
  <si>
    <t>edleiaturques@gmail.com</t>
  </si>
  <si>
    <t>Freguesia (Jacarepaguá), Rio de Janeiro</t>
  </si>
  <si>
    <t>P0539</t>
  </si>
  <si>
    <t>pfontes2015@hotmail.com</t>
  </si>
  <si>
    <t>R. Luís Orlando Cardoso, 685</t>
  </si>
  <si>
    <t>P0540 - Jarbas Leite</t>
  </si>
  <si>
    <t>P0540</t>
  </si>
  <si>
    <t>Jarbas Leite</t>
  </si>
  <si>
    <t>jps41978@gmail.com</t>
  </si>
  <si>
    <t>INFORMAÇOES IMPORTANTES 
Tem consumo de 300KWh sem chuveiro, ar e micro ondas 
São 4 adultos que usarão chuveiro 
Disse que ele que decide e não fez outro estudo 
Pretende instalar um aparelho de 12 inverter para usar o ano inteiro 8h/ dia 
É apartamento, mas disse que tem uma residência que pode colocar
jps41978@gmail.com
01/19/2025 16:06-ComparativoConta-[Bairro][Aberto]-[CBO][cadastro][20241120]
Quando Pretende Instalar: em_até_30_dias
Valor Médio da Conta: r$500
Telefone: 
+5521999678818 errado 
21967061970 ctt correto 
Cidade: Rio de janeiro</t>
  </si>
  <si>
    <t>P0541 - Rica Alimentos</t>
  </si>
  <si>
    <t>P0541</t>
  </si>
  <si>
    <t>Rica Alimentos</t>
  </si>
  <si>
    <t>matheus.bezerra@ricaalimentos.com.br</t>
  </si>
  <si>
    <t>Estrada Caribú, 418</t>
  </si>
  <si>
    <t>22765-010</t>
  </si>
  <si>
    <t>INFORMAÇÕES IMPORTANTES 
Fizeram um estudo a mais de 2 anos e na época a Diretora não viu vantagem por conta da forma de pagamento e juros da época 
Coordenador ( quem paga está com algumas demandas e pediu para Matheus tocar, deu carta branca para ele apresentar para diretora) 
Ele me mandou duas contas de dezembro e duas contas de janeiro. Disse que essa redução se deu devido ao desligamentos algumas máquinas que não usam mais 
Matheus trabalha na empresa a 9 anos 
O espaço da foto é o local com mais espaço. 
Leads próximo a casa do Vinícius.
2121967789
2121967750
2121967969
2121967777
Matheus 21 99454-9729
Empresa em recuperação Judicial 
Já comprar parte da energia no Mercado Livre de Energia</t>
  </si>
  <si>
    <t>INFORMAÇÕES IMPORTANTES
É para sua casa ( bairro Freguesia). Pretende ter um pouco mais de conforto não entende como apenas um ar de 12 faz sua conta ser tão alta (disse ela) 
Esposo Nelson decide junto com ela e vai participar da reunião.
Primeiro contato. Nunca fez outros estudos.
Futuramente, em aproximadamente 2 anos vai ter uma piscina.
Hoje liga o ar somente a noite e não todos os dias.
Pretende ligar o ar do quarto de visitas algumas vezes. Ar será econômico. 
Tem boiller acredita que ele é o vilão  e tem um ar de 10 mil BTUs que gostaria de usar todas as noites nos meses mais quentes. ( Tem outro de 12 que fica desligado) 
edleiaturques@gmail.com 
VT - vão avaliar a proposta primeiro.
Pagamento - Pretendem parcelar
12/18/2024 07:03-ComparativoConta-[Bairro][Aberto]-[CBO][cadastro][20241120]
Quando Pretende Instalar: apenas_curiosidade
Valor Médio da Conta: r$600
Telefone: 
+5521980481044
Cidade: Rio de Janeiro</t>
  </si>
  <si>
    <t>P0542 - Luciane Di Lucia</t>
  </si>
  <si>
    <t>P0542</t>
  </si>
  <si>
    <t>Luciane Di Lucia</t>
  </si>
  <si>
    <t>02/02/2025 11:51-ComparativoConta-[Bairro][Aberto]-[CBO][cadastro][20241120]
Quando Pretende Instalar: apenas_curiosidade
Valor Médio da Conta: r$500
Telefone: 
+5521995152333
Cidade: Rio de Janeiro - Grajaú</t>
  </si>
  <si>
    <t>P0543</t>
  </si>
  <si>
    <t>R. Marques da Cruz, São Pedro da Aldeia</t>
  </si>
  <si>
    <t>28941-086</t>
  </si>
  <si>
    <t>São Pedro da Aldeia</t>
  </si>
  <si>
    <t>R. Marques da Cruz</t>
  </si>
  <si>
    <t>INFORMAÇÕES IMPORTANTES 
É para sua casa e comércio
Está de mudança
Média de consumo do comércio é R$1300 e da casa R$600
Está colocando cooktop de indução que vai usar 40 min 1h por dia
Pretende colocar um ar de 12 na sala para usar ao finais de semana uma 3h, somente nos meses mais quentes
Ficou de me mandar as contas com consumo real
É indicação de Dudu Jaconé</t>
  </si>
  <si>
    <t>P0544 - Gabriel de Souza</t>
  </si>
  <si>
    <t>P0544</t>
  </si>
  <si>
    <t>Gabriel de Souza</t>
  </si>
  <si>
    <t>INFORMAÇÕES IMPORTANTES 
A última conta dele foi R$400
Ele disse que pretende sim instalar um ar, mas não sabe projetar a potência
Perguntou se poderia ampliar caso ele compre um ar. Como a fatura dele é abaixo de R$500, podemos fazer por R$500, já pensando nesse aparelhos de ar. 
Bairro Anil, é casa, disse ter espaço. Ele é muito reservado, não sei se tem mais algum decisor
Perguntou qual preço pagaria para o que tem agora. 
É seu primeiro ctt com solar 
01/23/2025 14:08-ComparativoConta-[Bairro][Aberto]-[CBO][cadastro][20241120]
Quando Pretende Instalar: apenas_curiosidade
Valor Médio da Conta: r$500
Telefone: 
+5521965524492
Cidade: Rio de Janeiro</t>
  </si>
  <si>
    <t>P0536 - ETHEL AZEREDO</t>
  </si>
  <si>
    <t>ETHEL AZEREDO</t>
  </si>
  <si>
    <t>P0545 - Leandro Nascimento</t>
  </si>
  <si>
    <t>P0545</t>
  </si>
  <si>
    <t>Leandro Nascimento</t>
  </si>
  <si>
    <t>leojp@hotmail.com</t>
  </si>
  <si>
    <t>Recreio dos Bandeirantes, Rio de Janeiro</t>
  </si>
  <si>
    <t>INFORMAÇÕES IMPORTANTES 
Mora ele, esposa, dois filhos e dois animais 
Tem ar condicionado em todos os cômodos das casa e não pretende ter aumento de consumo
Fez um orçamento a 5 anos atrás na época ficou em 37k e ele achou caro ( a conta era bem menos do que é hoje) 
Mora no Recreio ( condomínio de casas) 
Cegou a pagar R$1700 de conta e disse que não tinha como não ligar, um calor absurdo
Principal objetivo dele e economizar 
Futuramente pretende fazer uma área gourmet ( quem sabe com a economia gerada) 
02/02/2025 12:37-ComparativoConta-[Bairro][Aberto]-[CBO][cadastro][20241120]
Quando Pretende Instalar: em_até_60_dias
Valor Médio da Conta: r$1.000
Telefone: 
(21) 99879-0967
Cidade: Rio de Janeiro
21998790967</t>
  </si>
  <si>
    <t>P0546 - Djalma Montenegro Duarte</t>
  </si>
  <si>
    <t>P0546</t>
  </si>
  <si>
    <t>Djalma Montenegro Duarte</t>
  </si>
  <si>
    <t>02/01/2025 07:39-ComparativoConta-[Bairro][Aberto]-[CBO][cadastro][20241120]
Quando Pretende Instalar: em_até_60_dias
Valor Médio da Conta: acima_de_r$1.000
Telefone: 
+5521998711942
Cidade: Rio de Janeiro</t>
  </si>
  <si>
    <t>12/25/2024 17:53-ComparativoConta-[Bairro][Aberto]-[CBO][cadastro][20241120]
Quando Pretende Instalar: em_até_30_dias
Valor Médio da Conta: r$800
Se mudou recente, ainda não tem conta de luz
Pedi a VT antes da proposta porque precisa saber quantos módulos cabem e qual a capacidade de geração. 
Microinversor
VT - Combinado de fazer a VT e depois a proposta, pq ela ligou a energia lá recente, não tem conta de luz. Ela queria saber quantos módulos cabem e qual a capacidade de geração.
Telefone: 
+5521992789996
Cidade: Rio de Janeiro - Tijuca 
VT - o Prédio e novo, se mudou em dezembro, ligou a luz faz pouco tempo, precisa verificar o telhado para ver quantas placas cabem para avaliar a economia. 
Endereço: Rua Oliveira da Silva 9 apto 303 - Tijuca</t>
  </si>
  <si>
    <t>P0547 - Hane</t>
  </si>
  <si>
    <t>P0547</t>
  </si>
  <si>
    <t>Hane</t>
  </si>
  <si>
    <t>Lead veio pelo Instagram e mandou mensagem no Wzp.
Mora em apartamento na Tijuca, mas pretende colocar em uma casa em Nova Iguaçu.
Hane informa que deseja colocar o sistema para 3 casas, ela, a mãe e a avó.
Fez uma cotação com outra empresa e ficou em 28k pensando em uma conta de R$ 1000 reais.
Hane informa que a conta das 3 fora do verão vem em torno de R$ 1000, porém agora no verão somente a dela veio esse valor, pensando nesse aumento de consumo, combinamos de apresentar uma proposta penando em um conta de R$ 1300.
21980565556</t>
  </si>
  <si>
    <t>P0548 - Gustavo Henrique Villas Bôas</t>
  </si>
  <si>
    <t>P0548</t>
  </si>
  <si>
    <t>Gustavo Henrique Villas Bôas</t>
  </si>
  <si>
    <t>gustavohvbds@gmail.com</t>
  </si>
  <si>
    <t>INFORMAÇÕES IMPORTANTES 
Qualificado pelo robô
Disse que tem espaço, que se mudou recentemente, mas que sua conta vinha em média R$500
Quero algo imediato 
02/09/2025 17:49-ComparativoConta-[Bairro][Aberto]-[CBO][cadastro][20241120]
Quando Pretende Instalar: em_até_30_dias
Valor Médio da Conta: r$500
Telefone: 
+5521964142746
Cidade: Rio de Janeiro</t>
  </si>
  <si>
    <t>P0549 - É isso aí, Bicho! - Groomer Carlos Torres</t>
  </si>
  <si>
    <t>P0549</t>
  </si>
  <si>
    <t>É isso aí, Bicho! - Groomer Carlos Torres</t>
  </si>
  <si>
    <t>cjtorres68@yahoo.com.br</t>
  </si>
  <si>
    <t>Tanque, Rio de Janeiro</t>
  </si>
  <si>
    <t>Tanque</t>
  </si>
  <si>
    <t>INFORMAÇÕES IMPORTANTES 
Tem 3 aparelhos de ar condicionado nos quartos 2x 7500 1x 18 Já ligam quando precisam
Quer colocar mais um na sala sem projeção de potência 
Tem gatos 
E filha trabalha home office 
Quer ter liberdade de ligar quando quiser sem se preocupar em vir alta 
Esposa Luzia. 
É o primeiro contato. Disse que quer saber se realmente vale a pena e economia
02/08/2025 22:41-ComparativoConta-[Bairro][Aberto]-[CBO][cadastro][20241120]
Quando Pretende Instalar: apenas_curiosidade
Valor Médio da Conta: r$900
Telefone: 
+5521998336640
Cidade: Rio de Janeiro</t>
  </si>
  <si>
    <t>P0550 - Vitinho</t>
  </si>
  <si>
    <t>P0550</t>
  </si>
  <si>
    <t>Vitinho</t>
  </si>
  <si>
    <t>Estr. Velha da Tijuca, 255</t>
  </si>
  <si>
    <t>INFORMAÇÕES IMPORTANTES 
ROBÔ que qualificou. 
Disse ter espaço suficiente 
Quer um sistema para  2500KW/H 
02/11/2025 15:46-ComparativoConta-[Bairro][Aberto]-[CBO][cadastro][20241120]
Quando Pretende Instalar: imediato
Valor Médio da Conta: acima_de_r$1.000
Telefone: 
+5521969693867
Cidade: Rio de Janeiro</t>
  </si>
  <si>
    <t>P0551 - Denise Braga Dos Santos</t>
  </si>
  <si>
    <t>P0551</t>
  </si>
  <si>
    <t>Denise Braga Dos Santos</t>
  </si>
  <si>
    <t>R. Brg. Téles Ribeiro, 92</t>
  </si>
  <si>
    <t>22750-200</t>
  </si>
  <si>
    <t>INFORMAÇÕES IMPORTANTES 
Viúva e 3 filhos 
Rodrigo filho mais velho vai participar junto com ela
Disse que viu antes, mas precisava dar uma entrada e ela não tinha como
Tem lava louça mas não usa, tem lava e seca, mas não usa. 
São 4 quartos, mas não usa os aparelhos para a conta não vir nas alturas 
Disse que quer o sistema pelo valor de conta por enquanto, mas se pudesse usaria mais, falei sobre fazer um sistema maior e ela poder usar as coisas como gostaria e ela ficou com medo de não conseguir pagar acima do valor de conta
O vizinho tem sistema e fica com o ar ligado o dia inteiro
02/11/2025 09:33-QueimandoDinheiro-[Bairro][Aberto]-[CBO][cadastro][20241120]
Quando Pretende Instalar: em_até_30_dias
Valor Médio da Conta: r$700
Telefone: 
+5521967387070
Cidade: Rio de Janeiro</t>
  </si>
  <si>
    <t>P0552 - Sarah Fraga e Bruno</t>
  </si>
  <si>
    <t>P0552</t>
  </si>
  <si>
    <t>Sarah Fraga e Bruno</t>
  </si>
  <si>
    <t>snipercopy1@gmail.com</t>
  </si>
  <si>
    <t>INFORMAÇÕES IMPORTANTES 
Fizeram um estudo a um tempo atrás, não lembra direito porque não fechou. ( acha que foi valor e tempo) 
Tem lage e telhado 
Tem 3 ares de janela e quer trocar para split 
Vai acrescentar um forno elétrico ( não é ele que cozinha) 
Quer saber como funciona e preço para saber como será a forma de pagamento 
01/31/2025 11:09-ComparativoConta-[Bairro][Aberto]-[CBO][cadastro][20241120]
Quando Pretende Instalar: apenas_curiosidade
Valor Médio da Conta: r$500
Telefone: 
+5521967381794
Cidade: Jacarepaguá</t>
  </si>
  <si>
    <t>P0553 - Marciellen Pellegrino</t>
  </si>
  <si>
    <t>P0553</t>
  </si>
  <si>
    <t>Marciellen Pellegrino</t>
  </si>
  <si>
    <t>INFORMAÇÕES IMPORTANTES 
Hoje ela tem um ar condicionado pouco usado 
Disse que pretende colocar mais dois aparelhos em dois quartos a mais, não sabe a projetar a potência e mais um na sala para usar durante o dia nos meses mais quentes, ela acredita que esse será mais potente 
Disse que tem espaço para o sistema e que pretende investir em 2/3 meses.
02/13/2025 00:43-ComparativoConta-[Bairro][Aberto]-[CBO][cadastro][20241120]
Quando Pretende Instalar: em_até_60_dias
Valor Médio da Conta: r$500
Telefone: 
+5521997904754
Cidade: Rio de Janeiro</t>
  </si>
  <si>
    <t>P0554 - Romildo  Souza</t>
  </si>
  <si>
    <t>P0554</t>
  </si>
  <si>
    <t>Romildo  Souza</t>
  </si>
  <si>
    <t>rpsouza.biologia@gmail.com</t>
  </si>
  <si>
    <t>Jardim Tropical, Nova Iguaçu</t>
  </si>
  <si>
    <t>Jardim Tropical</t>
  </si>
  <si>
    <t>INFORMAÇÕES IMPORTANTES 
É para colocar em casa. É uma vila de casas familiares, algumas são locadas e outras habitadas pelos próprios familiares
Hoje ele tem um ponto comercial e está saindo para trabalhar em casa. Casa esta que está em reforma, disse ser bem antiga, está mudando fiação. 
Tem um ateliê. Conta normal da casa R$289. Acredita que um sistema de R$500 vá atender a demanda trabalho/residência
Trabalha com personalizado. Está investindo na empresa. Tem um valor guardado para investir na empresa. 
Falou sobre padrão de entrada e que está difícil achar profissionais qualificados
Somos a 3ª empresa que ele está vendo, mas fomos indicação de alguém que trabalha com ele. Ele foi pesquisar no Instagram também 
Não sabe como funciona muito bem. ( Talvez seja o primeiro sistemas dessa vila de 8 casas ) 
Esposa Raiane não vai poder participar 
02/09/2025 13:50-ComparativoConta-[Bairro][Aberto]-[CBO][cadastro][20241120]
Quando Pretende Instalar: apenas_curiosidade
Valor Médio da Conta: r$500
Telefone: 
+5521976261923
Cidade: Nova Iguaçu</t>
  </si>
  <si>
    <t>P0555 - Deusa Santana</t>
  </si>
  <si>
    <t>P0555</t>
  </si>
  <si>
    <t>Deusa Santana</t>
  </si>
  <si>
    <t>deusa-santana@hotmail.com</t>
  </si>
  <si>
    <t>INFORMAÇÕES IMPORTANTES 
Mora ela e o esposo. Eles precisam ficar com o ar condicionado ligado 
Está buscando economia. Estava vindo na média de R$500 e nos dois últimos meses veio R$600 e agora R$835.
Ela que decide 
Disse que está pesquisando. Pediu outros orçamentos, mas ainda não conseguiu contato 
Não pretende ter aumento de consumo. Já usa dentro do que precisa. 
02/13/2025 08:11-ComparativoConta-[Bairro][Aberto]-[CBO][cadastro][20241120]
Quando Pretende Instalar: em_até_60_dias
Valor Médio da Conta: r$800
Telefone: 
+5521991371400
Cidade: Rio de Janeiro</t>
  </si>
  <si>
    <t>P0556</t>
  </si>
  <si>
    <t>luislhss@yahoo.com.br</t>
  </si>
  <si>
    <t>R. Marquês de Muritiba, 484</t>
  </si>
  <si>
    <t>21910-280</t>
  </si>
  <si>
    <t>P0557 - Paulo Marcio</t>
  </si>
  <si>
    <t>P0557</t>
  </si>
  <si>
    <t>Paulo Marcio</t>
  </si>
  <si>
    <t>mmachado.ppaulo@gmail.com</t>
  </si>
  <si>
    <t>Jardim Catarina, São Gonçalo</t>
  </si>
  <si>
    <t>çalo - RJ</t>
  </si>
  <si>
    <t>Jardim Catarina</t>
  </si>
  <si>
    <t>INFORMAÇÕES IMPORTANTES 
Tem dois aparelhos ar condicionado, sendo um de 9 e um de 12
Pretende colocar um de 9 na sala para usar umas 3h no meses mais quentes 
Está fazendo outros dois orçamentos. Quem nos indicou foi Luan que passou nosso contato 
Tem um amigo que trabalha com isso, mas ele ainda não autorizou ele a ir lá 
O vizinho tem e está vindo R$90 reais a conta 
Esposa Patrícia vai participar também 
Combinei com ele se ele receber um orçamento nos deixar fazer uma matriz de ganhos e perdas.</t>
  </si>
  <si>
    <t>P0558 - DULCE MARQUES PEREIRA MARINS</t>
  </si>
  <si>
    <t>P0558</t>
  </si>
  <si>
    <t>DULCE MARQUES PEREIRA MARINS</t>
  </si>
  <si>
    <t>dulce@cedaneletrica.com.br</t>
  </si>
  <si>
    <t>INFORMAÇÕES IMPORTANTES 
Será um sistema para 3 locais, duas lojas e uma residência 
Na segunda ligação disse que fez outros dois pedidos de orçamento 
Empresa com mais de 20 anos de mercado 
Loja no centro  R$600 Marechal   Floriano flor em frente ao Bradesco próx ao VLT 131 loja tem Venisure 
Lanchonete fica shopping downtown R$2300 
casa R$900 ou mais apartamento 
Vinicius 20 anos de funcionário e vai virar sócio trabalha  Cedan  20 anos  2187-7272 
Estão no mercado a 38 anos 
Tem deposito atrás do Pedro Segundo 
Joice esposa do Vinícius 
21987158623
CNPJ: 
06.137.161/0001-08
QSA Dulce e WALMIR COSTA MARINS
CEDAN ELETRICA LTDA 
dulce@cedaneletrica.com.br 
01/19/2025 17:37-ComparativoConta-[Bairro][Aberto]-[CBO][cadastro][20241120]
Quando Pretende Instalar: imediato
Valor Médio da Conta: r$900
Telefone: 
+5521995626617
Cidade: RJ</t>
  </si>
  <si>
    <t>heliovillanova@hotmail.com</t>
  </si>
  <si>
    <t>Estrada do Galeão, 2760</t>
  </si>
  <si>
    <t>11/21/2024 20:16-AD02 - Se a conta de luz não fosse uma problema?-Conj Bairros Grande Rio RJ-20241102 - Leads [cadastro] CBO - VCLT
Quando Pretende Instalar: em_até_30_dias
Valor Médio da Conta: r$500
Telefone: 
+5521969106850 
Cidade: Rio de Janeiro /  Bonsucesso
Flora informa que mora de aluguel então quer colocar na casa da tia que fica na Ilha do Governador, hoje tanto ela quanto a Tia pagam em média R$ 500 cada uma, acredita que não terá muito aumento no consumo, já utilizam o Ar toda a noite.
Querem fazer o pagamento à vista.
Importante: Conversaram com a tia para ela também entrar no sistema e dividir os custos, Flora irá pagar à vista e a Tia parcelado, caso o valor da parcela fica maior que o valor da conta, pode ser que a Tia não consiga entrar no sistema no momento, então será feito a instalação somente para a Flora e quando a tia tiver condições, ela pede para ampliar o sistema.
Dados para contrato: 
HELIO VILLANOVA TORRES NETO
CPF 103.119.227-16
Nascimento: 08/06/1987
•⁠  ⁠Nome completo: HELIO VILLANOVA TORRES NETO
•⁠  ⁠CPF:103.119.227-16
•⁠  ⁠Endereço de onde será instalação: Estrada do galeão, 2760, bloco sagres 1, casa 102
•⁠  ⁠CEP:21931-582
•⁠  ⁠E-mail:heliovillanova@hotmail.com  
•⁠  ⁠Data de nascimento:08/06/1987
•⁠  ⁠Nacionalidade :Brasileira 
•⁠  ⁠Cópia do RG/CNH: Ok
•⁠  ⁠Fatura de energia do local da instalação:?
Endereço da troca do relógio ( endereço atual de vocês) 
endereço da troca do relógio: RUA MAPENDI, 550, BLOCO 2, APTO 411, TAQUARA, RIO DE JANEIRO, CEP: 22710-255
Endereço de instalação: estrada do galeão, 2760, bloco sagres 1, casa 102, Portuguesa  endereço da instalação.</t>
  </si>
  <si>
    <t>P0559 - Heloisa Brito</t>
  </si>
  <si>
    <t>P0559</t>
  </si>
  <si>
    <t>Heloisa Brito</t>
  </si>
  <si>
    <t>lolita25rj@gmail.com</t>
  </si>
  <si>
    <t>Jardim Leal, Duque de Caxias</t>
  </si>
  <si>
    <t>25265-008</t>
  </si>
  <si>
    <t>Jardim Leal</t>
  </si>
  <si>
    <t>INFORMAÇÃO IMPORTANTES 
Tem um ar condicionado no quarto que liga por volta de 12h quando o filho chega da escola. ( ele é cardiopata e precisa ficar no fresco
Conta hoje vem entorno de R$500/600, mas chegou a pagar R$800
Quer colocar um na sala de 18  para ligar 12h às 18h ( consumo a mais a somar) 
Adriano marido 
Conta em débito automático/ ela trabalha por plantão e o marido está de férias 
O primeiro contato, quer saber quanto custa para saber se cabe dentro do orçamento
Lage 
lolita25rj@gmail.com 
02/13/2025 23:20-ComparativoConta-[Bairro][Aberto]-[CBO][cadastro][20241120]
Quando Pretende Instalar: apenas_curiosidade
Valor Médio da Conta: r$500
Telefone: 
+5521965244311
Cidade: Duque de Caxias</t>
  </si>
  <si>
    <t>P0560 - Leandro Sader</t>
  </si>
  <si>
    <t>P0560</t>
  </si>
  <si>
    <t>Leandro Sader</t>
  </si>
  <si>
    <t>leandrosaderr@hotmail.com</t>
  </si>
  <si>
    <t>Queimados, RJ</t>
  </si>
  <si>
    <t>mados, RJ</t>
  </si>
  <si>
    <t>INFORMAÇÃO IMPORTANTE 
Único decisor 
Disse que quer valor à vista ou parcelado no cartão dando uma entrada 
Preza por QUALIDADE ( nosso cliente  )
Já fez outros orçamentos
Pediu orçamento para 1500Kwh
Usou de 19/01/2024 até hoje 15770KWh 18/02
Tem telhado de 130m2</t>
  </si>
  <si>
    <t>P0561 - Adriana Gomes Ferreira</t>
  </si>
  <si>
    <t>P0561</t>
  </si>
  <si>
    <t>Adriana Gomes Ferreira</t>
  </si>
  <si>
    <t>Pechincha, Rio de Janeiro</t>
  </si>
  <si>
    <t>INFORMAÇÕES IMPORTANTES 
Já está com dois outros estudos 
Não aceitou fazer envio da conta por que acredita que vão cobrar mais caro pelo bairro ( tranquilizei nesse sentido) 
Tem DOIS filhos pequenos que estudam a tarde ( menores de 10 anos ) 
Estão de mudança de uma casa para outra casa e não haverá aumento de consumo 
Tem 3 aparelhos de ar + bomba de piscina 
Vão se mudar em abril ( antes vão pintar a casa) 
Marido decide junto com ela ( disse que ele não tem paciência para vídeo chamada) 
Fazer para conta entre R$700 a R$1000 nos meses mais quentes 
PECHINCHA/ VAI 
INÍCIO MUDANÇA EM ABRIL 
adriana.manchon@gmail.com 
19/02 
14h 
R$700 a 1000
02/18/2025 08:12-ComparativoConta-[Bairro][Aberto]-[CBO][cadastro][20241120]
Quando Pretende Instalar: em_até_60_dias
Valor Médio da Conta: r$1.000
Telefone: 
+5521998586914
Cidade: Rio de Janeiro</t>
  </si>
  <si>
    <t>P0562 - Antonio - Indicação</t>
  </si>
  <si>
    <t>P0562</t>
  </si>
  <si>
    <t>Antonio - Indicação</t>
  </si>
  <si>
    <t>Av. das Américas, 1981</t>
  </si>
  <si>
    <t>22631-000</t>
  </si>
  <si>
    <t>INFORMAÇÃO IMPORTANTES 
Veio de indicação de um vizinho do mesmo condomínio ( Glaucos) 
Condomínio Jardim Club da Barra
Marcou a reunião, mas pediu para olhar o orçamento antes da vídeo 
Perguntou minha opinião sobre qual melhor equipamento
Disse para fazer pela conta com uma pequena margem.</t>
  </si>
  <si>
    <t>Rosane Abreu</t>
  </si>
  <si>
    <t>P0563 - Rosane Abreu</t>
  </si>
  <si>
    <t>P0563</t>
  </si>
  <si>
    <t>P0543 - Rosane Abreu - Comercial</t>
  </si>
  <si>
    <t>Rosane Abreu - Comercial</t>
  </si>
  <si>
    <t>P0564</t>
  </si>
  <si>
    <t>luizcouto659@gmail.com</t>
  </si>
  <si>
    <t>INFORMAÇÕES IMPORTANTES 
Jaconé 
Disse que estava em lanchonete em Jaconé e nos indicaram ( perguntei se era o Dudu, mas não soube dizer) 
Hoje ele mora em casa e, mas tem miau e vem R$200
Essa casa no momento é de veraneio, mas pretende se mudar em uns 6 meses 
Geralmente o consumo vem maior no verão e época de feriados e festas 
Tem 3 aparelhos de ar condicionado de 7000  Btus e 2 de 24, pretende instalar mais 2 ( 1 de 7 e outro de 24) Se pudesse ficaria ligado o tempo inteiro 
Ele quem decide. Perguntou sobre manutenção
Pediu orçamento entre R$800 a R$1000 
Tem piscina 
nos meses mais quentes 
cond vilage del sole 1 
lote 10 qd I na estrada 
luizcouto659@gmail.com</t>
  </si>
  <si>
    <t>P0564 - Luiz Couto</t>
  </si>
  <si>
    <t>Luiz Couto</t>
  </si>
  <si>
    <t>P0565 - Bruno</t>
  </si>
  <si>
    <t>P0565</t>
  </si>
  <si>
    <t>Bruno</t>
  </si>
  <si>
    <t>Av. das Américas, 28705</t>
  </si>
  <si>
    <t>23020-470</t>
  </si>
  <si>
    <t>INFORMAÇOES IMPORTANTES 
Lá falta bastante luz. Quer o melhor sistema que tiver 
Orçamento não pode ultrapassar 500k por serviço 
Disse que pode colocar uma gordurinha, disse que o edital não comtempla obra
Caso precise poderão fazer por fora, querem saber se dá ou não para colocar 
Gostou da possibilidade do carregador veicular inteligente 
Indicação do Luís Borges 
repartição pública 
centro tecnológico do exercito  fica na av das américas 
finep edital infra estrutura 
dois andares 
Falta  energia/ melhor que tiver 
Não pode ultrapassar 500k para cada serviço ou equipamento 
Colocar uma gordurinha 
7h até 16h</t>
  </si>
  <si>
    <t>Distribuição de Fases</t>
  </si>
  <si>
    <t>Potência considerada do inversor</t>
  </si>
  <si>
    <t>kW</t>
  </si>
  <si>
    <t>Quantidade de inversores</t>
  </si>
  <si>
    <t>Potência total</t>
  </si>
  <si>
    <t>Inv. 1</t>
  </si>
  <si>
    <t>Inv. 2</t>
  </si>
  <si>
    <t>Inv. 3</t>
  </si>
  <si>
    <t>Inv. 4</t>
  </si>
  <si>
    <t>Inv. 5</t>
  </si>
  <si>
    <t>Inv. 6</t>
  </si>
  <si>
    <t>Inv. 7</t>
  </si>
  <si>
    <t>Inv. 8</t>
  </si>
  <si>
    <t>Inv. 9</t>
  </si>
  <si>
    <t>Inv. 10</t>
  </si>
  <si>
    <t>Inv. 11</t>
  </si>
  <si>
    <t>Inv. 12</t>
  </si>
  <si>
    <t>R</t>
  </si>
  <si>
    <t>S</t>
  </si>
  <si>
    <t>T</t>
  </si>
  <si>
    <t>Corrente por Fase</t>
  </si>
  <si>
    <t>Simplificada</t>
  </si>
  <si>
    <t>2S1O</t>
  </si>
  <si>
    <t>3O</t>
  </si>
  <si>
    <t>2O</t>
  </si>
  <si>
    <t>3L</t>
  </si>
  <si>
    <t>Barra Guaratiba</t>
  </si>
  <si>
    <t>P0566 - Rodrigo Martins</t>
  </si>
  <si>
    <t>P0566</t>
  </si>
  <si>
    <t>Rodrigo Martins</t>
  </si>
  <si>
    <t>Vizinho de Ethel
Fazer proposta com 8 módulos</t>
  </si>
  <si>
    <t>P0567 - Ioni Faissal Soares Brandão</t>
  </si>
  <si>
    <t>P0567</t>
  </si>
  <si>
    <t>Ioni Faissal Soares Brandão</t>
  </si>
  <si>
    <t>ninafaissal@gmail.com</t>
  </si>
  <si>
    <t>Taquara, Rio de Janeiro</t>
  </si>
  <si>
    <t>INFORMAÇÕES IMPORTANTES 
Pretende colocar em prática em 30/45 o investimento
Decide junto com o esposo 
Tem um ano que mora na Taquara e sua conta sem ar e sem usar as coisas de casa como gostaria está vindo próximo a R$500
Quer usar air fryer ao menos uns 40 min/ dia e micro ondas alguns min
Não ar ainda pretende instalar um de 12 para colocar na sala e gelar toda a casa ( ela disse que os quartos ficariam abertos e a casa é pequena) para ser usado 8h/dia nos meses mais quentes ao menos para dormir 
É o primeiro contato, pediu outros orçamentos, mas fomos os primeiros a entrar em contato.
02/21/2025 00:08-ComparativoConta-[Bairro][Aberto]-[CBO][cadastro][20241120]
Quando Pretende Instalar: em_até_30_dias
Valor Médio da Conta: r$500
Telefone: 
+5521995761976
Cidade: Rio de Janeiro</t>
  </si>
  <si>
    <t>P0568 - Daniella Soares</t>
  </si>
  <si>
    <t>P0568</t>
  </si>
  <si>
    <t>Daniella Soares</t>
  </si>
  <si>
    <t>dani7309@yahoo.com.br</t>
  </si>
  <si>
    <t>Andaraí, Rio de Janeiro</t>
  </si>
  <si>
    <t>INFORMAÇÕES IMPORTANTES 
Primeiro contato, decide junto com irmão ( ele vai participar da reunião) 
Não tem crianças 
Tem dois aparelhos de ar de 7500 que gostaria de usar mais nos meses mais quentes com a possível queda ( economia) 
Esse mês no pico de consumo conta veio R$640. 
Perguntou se nossa proposta estava incluso tudo. 
02/20/2025 19:28-ComparativoConta-[Bairro][Aberto]-[CBO][cadastro][20241120]
Quando Pretende Instalar: apenas_curiosidade
Valor Médio da Conta: r$600
Telefone: 
21995056828
Cidade: Rio de Janeiro</t>
  </si>
  <si>
    <t>P0569</t>
  </si>
  <si>
    <t>francisco.o.gomes@gmail.com</t>
  </si>
  <si>
    <t>Rua Alberto Pasqualini, 576</t>
  </si>
  <si>
    <t>22740-250</t>
  </si>
  <si>
    <t>P0570 - Peterson</t>
  </si>
  <si>
    <t>P0570</t>
  </si>
  <si>
    <t>Peterson</t>
  </si>
  <si>
    <t>perterson.rsantos11@gmail.com</t>
  </si>
  <si>
    <t>Bancários, Rio de Janeiro</t>
  </si>
  <si>
    <t>Bancários</t>
  </si>
  <si>
    <t>INFORMAÇÕES IMPORTANTES 
Deseja usar a mais um ar condicionado de 9000 4h/ dia no meses mais quentes 
Nunca fez estudo, pensava que era por assinatura. Tem espaço no telhado do prédio/ sobrado
Disse que falaria os  outros moradores ( mas quer ver se faz sentido a economia para ele primeiro) 
perterson.rsantos11@gmail.com 
19h</t>
  </si>
  <si>
    <t>P0571</t>
  </si>
  <si>
    <t>marcus.v.drumond@gmail.com</t>
  </si>
  <si>
    <t>Rua Franz Post, 1506</t>
  </si>
  <si>
    <t>22745-080</t>
  </si>
  <si>
    <t>P0414 - Gilberto Antonio Mendes de Moura</t>
  </si>
  <si>
    <t>Gilberto Antonio Mendes de Moura</t>
  </si>
  <si>
    <t>moura.gilberto@gmail.com</t>
  </si>
  <si>
    <t>INFORMAÇÕES IMPORTANTES 
Casa tem 3 quartos, sendo que dois quartos já tem dois aparelhos de ar e depois que instalou aumentou muito a conta 
Pretende colocar mais um split de 9 no quarto faltante 
Foi indicação do Marcos Martins. 
É o primeiro ctt, perguntou sobre formas de pagamento e se fazemos financiamento
Trabalha de casa e liga sempre que precisa, disse que está muito calor
É o único decisor 
Dados para contrato:
Nome •⁠ ⁠Luis Henrique Da Silva Sales
CPF •⁠ ⁠14237324729
Data de nascimento •⁠ ⁠15/04/1993
e-mail •⁠ ⁠luislhss@yahoo.com.br
⁠Estado civil •⁠ solteiro
⁠Endereço •⁠ R. Marquês de Muritiba, 484 - Cocotá, Rio de Janeiro - RJ, 21910-280
⁠CEP •⁠ 21910280</t>
  </si>
  <si>
    <t>P0572 - Aurea Gioia</t>
  </si>
  <si>
    <t>P0572</t>
  </si>
  <si>
    <t>Aurea Gioia</t>
  </si>
  <si>
    <t>R. Sen. Alencar, 83</t>
  </si>
  <si>
    <t>20921-430</t>
  </si>
  <si>
    <t>INFORMAÇÃO IMPORTANTE 
É monofásico
É um prédio, mas tem um espaço que pode usar ( temos que saber quanto, o marido Rafael disse que tem uma parte na lage dele que bate bastante sol que poderia colocar nesse local, pois tem outros prédios que fazem sombra em outro lugar )
Rafael faz tratamento crônico, faz diálise. 
ANEXO 
22m2 
Diálise até 9h  Rafael 
Está atendendo pacientes ( será médica)</t>
  </si>
  <si>
    <t>Microinversor NEP</t>
  </si>
  <si>
    <t>8*NEP2,25kW+32*LEAPTON-NTYPE-585W</t>
  </si>
  <si>
    <t>DHN-72X16/BF/FS - 585W</t>
  </si>
  <si>
    <t>https://fr.dahsolarpv.com/uploadfile/downloads/BR-DHN-72X16%20BF%20FS-570~585W.pdf</t>
  </si>
  <si>
    <t>DHN-72R18/BF - 610W</t>
  </si>
  <si>
    <t>https://www.dahsolarpv.com/uploadfile/downloads/PT-DHN-72R18-BF-610~630W.pdf</t>
  </si>
  <si>
    <t>VALIDADE DA PROPOSTA: 3 DIAS CORRIDOS</t>
  </si>
  <si>
    <t>P0413 - Paula da Cruz Silva Trindade Fonseca</t>
  </si>
  <si>
    <t>Paula da Cruz Silva Trindade Fonseca</t>
  </si>
  <si>
    <t>paulacsilva@gmail.com</t>
  </si>
  <si>
    <t>INFOMAÇÕES IMPORTANTES
Amigo do João Coda
Quer colocar na casa dele e transferir crédito para loja que ele tem no shopping 
Em casa a média é de 800 reais e na loja a média é de 17 mil.
Limite de telhado 16 módulos, condomínio magic garden
Documentos necessários
- Nome completo: Paula da Cruz Silva trindade Fonseca
- CPF:11359127771
- Endereço de onde será instalação: rua geminiano Góis 882 casa 103 b2 lt3
- CEP: 22743670
- E-mail:paulacsilva@gmail.com
- Data de nascimento: 17.03.87
- Nacionalidade: br
- Cópia do RG/CNH: 174279
- Fatura de energia do local da instalação:</t>
  </si>
  <si>
    <t>P0573 - Luis Giovanni Torres Escate</t>
  </si>
  <si>
    <t>P0573</t>
  </si>
  <si>
    <t>Luis Giovanni Torres Escate</t>
  </si>
  <si>
    <t>Reunião agendada pela Ia para o dia 3/3/25
Informações passadas:
Consumo médio R$800
pode ser que aumente
informou não ter espaço suficiente
pretende investir em 2 meses
03/02/2025 22:50-ComparativoConta-[Bairro][Aberto]-[CBO][cadastro][20241120]
Quando Pretende Instalar: imediato
Valor Médio da Conta: r$800
Telefone: 
21971452050
Cidade: Rio de Janeiro</t>
  </si>
  <si>
    <t>3*NEP2,25kW+12*LEAPTON-NTYPE-585W</t>
  </si>
  <si>
    <t>4*NEP2,25kW+16*LEAPTON-NTYPE-585W</t>
  </si>
  <si>
    <t>P0569 - FRANCISCO DE OLIVEIRA GOMES</t>
  </si>
  <si>
    <t>FRANCISCO DE OLIVEIRA GOMES</t>
  </si>
  <si>
    <t>INFORMAÇÕES IMPORTANTES 
Veio por indicação do Luis, está um pouco chateado porque não recebeu atendimento. ( TEM QUE SER UMA EXCELENTE CONEXÃO) Chegou para Bia 31/01 e foi atendido hoje 24/02. Disse que ainda estamos como prioridade
Disse que tem dois orçamentos, que também foram indicados, não aceitou falar nomes das empresas. ( disse que poderia passar valores) 
A casa é locada, mas ele já possui autorização da dona para a colocação do sistema
Não pretende ter aumento de consumo
VT a partir das 9:00 h - Validar com o Vinícius o horário. (Rua Alberto Pasqualini, 576, CS 4 - Pechincha, Rio de Janeiro - RJ, 22740-250)</t>
  </si>
  <si>
    <t>P0574 - Camila Barbosa de Lima</t>
  </si>
  <si>
    <t>P0574</t>
  </si>
  <si>
    <t>Camila Barbosa de Lima</t>
  </si>
  <si>
    <t>lima.mih91@gmail.com</t>
  </si>
  <si>
    <t>Higienópolis, Rio de Janeiro</t>
  </si>
  <si>
    <t>Higienópolis</t>
  </si>
  <si>
    <t>INFORMAÇÕES IMPORTANTES 
São 3 decisores ela, o irmão e mãe 
Conta já chegou a pagar quase 2k em época de bandeira tarifária 
1º contato, quer saber preço 
entrou de férias essa segunda 03/03
O local é que mora locado. Perguntou se pode levar o sistema para outro local ( respondi que pode e teria custo, não entrei em detalhes de porcentagem 
Pretende aumentar o consumo no ar de 12 que já possui 4h/dia nos meses mais quentes e mais um aparelho de 12 para ser usado 8h/dia também nos meses mais quentes 
02/23/2025 14:28-ComparativoConta-[Bairro][Aberto]-[CBO][cadastro][20241120]
Quando Pretende Instalar: apenas_curiosidade
Valor Médio da Conta: r$600
Telefone: 
+5521996667396
Cidade: Rio de Janeiro</t>
  </si>
  <si>
    <t>P0575 - Drica Schwartz</t>
  </si>
  <si>
    <t>P0575</t>
  </si>
  <si>
    <t>Drica Schwartz</t>
  </si>
  <si>
    <t>adrianapaesgatinha@gmail.com</t>
  </si>
  <si>
    <t>INFORMAÇÕES IMPORTANTES 
Disse que o irmão vai morar no mesmo local e que o consumo será o mesmo, senti que quer saber preço
Disse que vai dividir com ele, local e casa tem telhado 
Fazer proposta para R$1000
Um pouco seca, não consegui me conectar muito com ela 
adrianapaesgatinha@gmail.com 
03/02/2025 11:41-ComparativoConta-[Bairro][Aberto]-[CBO][cadastro][20241120]
Quando Pretende Instalar: apenas_curiosidade
Valor Médio da Conta: r$500
Telefone: 
+5521986293039
Cidade: Rio de Janeiro</t>
  </si>
  <si>
    <t>P0576 - Mario Cantizani</t>
  </si>
  <si>
    <t>P0576</t>
  </si>
  <si>
    <t>Mario Cantizani</t>
  </si>
  <si>
    <t>mariocantizani@gmail.com</t>
  </si>
  <si>
    <t>INFORMAÇÕES IMPORTANTES 
Ele mora em apartamento, mas sabe que pode colocar em outro local para compartilhar o crédito. Falamos de um cunhado e o sogro, sendo que o cunhado é casa e o sogro é cobertura.
Ele tem carro elétrico e está muito chateado que o condomínio não o deixa instalar o seu carregador veicular 
Ele supõe que seja caro, fizemos algumas contas ( pode ser que tenha valor para pagar, mas depende da autorização de quem tem telhado) 
Consumo gira entre 500/600, sendo 600 nos meses mais quentes. Ficou de me mandar a conta. 
mariocantizani@gmail.com 
11h 
03/05/2025 08:07-ComparativoConta-[Bairro][Aberto]-[CBO][cadastro][20241120]
Quando Pretende Instalar: apenas_curiosidade
Valor Médio da Conta: r$600
Telefone: 
+5521996427522
Cidade: Rio de Janeiro</t>
  </si>
  <si>
    <t>P0577</t>
  </si>
  <si>
    <t>marco.cardoso2504@gmail.com</t>
  </si>
  <si>
    <t>R. Mamoré, 25</t>
  </si>
  <si>
    <t>22760-080</t>
  </si>
  <si>
    <t>P0578 - Bruno Vianna</t>
  </si>
  <si>
    <t>P0578</t>
  </si>
  <si>
    <t>Bruno Vianna</t>
  </si>
  <si>
    <t>bruno.braga.vianna@gmail.com</t>
  </si>
  <si>
    <t>R. Amanda Guimarães, 402</t>
  </si>
  <si>
    <t>21932-680</t>
  </si>
  <si>
    <t>Galeão</t>
  </si>
  <si>
    <t>INFORMAÇÕES IMPORTANTES 
Foi qualificado pela Bia, não sei a origem de como chegou até a Cactos ( perguntar na vídeo)
Disse que está fazendo orçamentos
Quer fazer para o mais breve possível 
Tem telhado colonial 
Pediu orçamento para 800 kwh, mas mandou a conta tbm.</t>
  </si>
  <si>
    <t>rodrigo.armr@gmail.com</t>
  </si>
  <si>
    <t>P0579 - Vania Magalhães</t>
  </si>
  <si>
    <t>P0579</t>
  </si>
  <si>
    <t>Vania Magalhães</t>
  </si>
  <si>
    <t>vscardosmagalhaes@gmail.com</t>
  </si>
  <si>
    <t>R. São Francisco Xavier, 154</t>
  </si>
  <si>
    <t>20550-012</t>
  </si>
  <si>
    <t>Maracanã</t>
  </si>
  <si>
    <t>INFORMAÇÃO IMPORTANTES 
É uma cobertura, ela não tem muito espaço.
Gostaria de usar mais ar condicionado, tem um de 30 na sala e um de 18 na varanda 
Recebeu um orçamento de 17k foi feito sem VT
Falamos sobre o açougue e ela quer contra- filé
Fazer pela conta porque ela gostaria que fosse mais, mas não tem espaço e outra  casa que ela possui tem mais de 300m2 fica em Búzios e é outra concessão. 
03/08/2025 10:21-ComparativoConta-[Bairro][Aberto]-[CBO][cadastro][20241120]
Quando Pretende Instalar: imediato
Valor Médio da Conta: r$600
Telefone: 
21981996948
Cidade: Rio de Janeiro</t>
  </si>
  <si>
    <t>P0580 - DIEGO JERONYMO EVANGELISTA</t>
  </si>
  <si>
    <t>P0580</t>
  </si>
  <si>
    <t>DIEGO JERONYMO EVANGELISTA</t>
  </si>
  <si>
    <t>Estr. do Bananal, 1149</t>
  </si>
  <si>
    <t>22750-012</t>
  </si>
  <si>
    <t>Diego evangelista entrou em contato, dono da Arena limit, na freguesia, conhecido do</t>
  </si>
  <si>
    <t>P0581 - DIEGO JERONYMO EVANGELISTA (CASA)</t>
  </si>
  <si>
    <t>P0581</t>
  </si>
  <si>
    <t>DIEGO JERONYMO EVANGELISTA (CASA)</t>
  </si>
  <si>
    <t>Estr. do Engenho d'Água, 655</t>
  </si>
  <si>
    <t>22765-240</t>
  </si>
  <si>
    <t>Diego evangelista entrou em contato, dono da Arena limit, na freguesia, conhecido do  
simular quanto ficaria a mais para enviar energia para casa</t>
  </si>
  <si>
    <t>INFORMAÇÕES IMPORTANTES 
Pediu para atualizar o orçamento 
Tem um filho pequeno 
Vai alterar os aparelhos de ar de 7500 para os atuais aos poucos. Está dependendo apenas de chegarem. Disse ser essa semana ou na outra.
Disse que tentou fazer a troca de titularidade da conta de luz do seu pai para ele e não conseguiu 
Vai participar ele e a esposa 
Contato: https://app.clickup.com/t/86a3ue3dq
Infos importantes
Os sogros possuem o sistema. É vizinho dos sogros, se mudou recentemente, aumentou muito o consumo depois que se mudaram. É advogado. 
Já recebeu outros orçamentos, mas achou estranho. Os sogros possuem 8 painéis e ampliaram mais 4. Totalizando 12 painéis. 
Ele se assustou pela quantidade de painéis oferecida pela outra empresa. Essa empresa ofereceu 17 painéis. Futuramente pretende ter um projeto de impressão 3D. Haverá maior necessidade de consumo. Mas será futuramente, não por agora!
Briefing
Quando fez a mudança adicionou ao consumo 1 ar. Ele sentiu que o consumo dobrou de uma casa para outra. Pessoas que moram: Esposa, 1 filho pequeno (ainda dorme com os pais) e 1 empregada. Trifásico, analisar telha por satélite.
Se mudou recentemente. A conta de luz não reflete a realidade de consumo. Tem a expectativa de um projeto entre 800 a 1.000 reais na conta de energia.</t>
  </si>
  <si>
    <t>P0582</t>
  </si>
  <si>
    <t>R. Modesto de Souza, 120</t>
  </si>
  <si>
    <t>21860-240</t>
  </si>
  <si>
    <t>INFORMAÇÕES IMPORTANTES 
acrescentar um ar de 12  12H/ DIA 
Fez um contato ano passado com a empresa Carioca e perdeu time momento do preço 
É ele é aposentado. 
Serão dois sistemas um para ele e outro para a filha 
Consumo dele R$500 no meses mais quentes 
Consumo de R$800 reais nos meses mais quentes, ambos são servidores públicos ( filha e genro)
Filha vai instalar um aparelho de 18 na sala para usar 3h/dia nos meses mais quentes
Tem piscina outros aparelhos que já estão no real.
03/02/2025 19:22-ComparativoConta-[Bairro][Aberto]-[CBO][cadastro][20241120]
Quando Pretende Instalar: apenas_curiosidade
Valor Médio da Conta: r$500
Telefone: 
+5521995057645
Cidade: Rio de Janeiro</t>
  </si>
  <si>
    <t>P0582 - CARLOS ALBERTO PEREIRA ALVES</t>
  </si>
  <si>
    <t>CARLOS ALBERTO PEREIRA ALVES</t>
  </si>
  <si>
    <t>alves56@gmail.com</t>
  </si>
  <si>
    <t>P0583 - Dr.Jerbas Porto | Saúde Emocional</t>
  </si>
  <si>
    <t>P0583</t>
  </si>
  <si>
    <t>Dr.Jerbas Porto | Saúde Emocional</t>
  </si>
  <si>
    <t>jerbasporto@gmail.com</t>
  </si>
  <si>
    <t>INFORMAÇÕES IMPORTANTES 
É médico psicanalista, tem consultório e também trabalha home office com telemedicina 
Tem valor à vista para investimento, já possui 2 ou 3 outros orçamentos e disse que está buscando atendimento/pós venda ( ganhamos pontos) 
A solução é para a casa dele, falei sobre mandar créditos para o consultório, mas lá vem no mínimo
Tem dois aparelhos de ar nos quartos que estão no real e deseja acrescentar um de 12 para sala para usar 3h aos final de semana nos meses mais quentes 
Conta entre R$300 a R$500
Esposa Giordãnia 
03/12/2025 17:17-ComparativoConta-[Bairro][Aberto]-[CBO][cadastro][20241120]
Quando Pretende Instalar: em_até_30_dias
Valor Médio da Conta: r$500
Telefone: 
+5521984591900
Cidade: Rio de Janeiro</t>
  </si>
  <si>
    <t>P0577 - Bernadette Maria Marcatti Cardoso</t>
  </si>
  <si>
    <t>Bernadette Maria Marcatti Cardoso</t>
  </si>
  <si>
    <t>INFORMAÇÕES IMPORTANTES 
É BIFÁSICO 
São vizinhos do Evanildo, Vera e Nelson ( esse último sogro do Vinícius) 
São dois decisores, Marco e Bernadette nº do Marco 21988011085
Consumo reduziu, a filha casou e o outro filho nem sempre está lá
Marco é engenheiro, tem conhecimento técnico, já sabe como funciona
Disse que não pretende ter aumento de consumo tem 3 aparelhos de ar, sendo 3 de 9 e 1 de 24 que já liga sempre que é necessário. Sabe que quando se coloca painel tendem a consumir um pouco mais ( pediu que usássemos aquela porcentagem) e disse que se tivesse uma sobrinha poderia mandar para a filha que mora em apartamento
Disse que o vizinho colocou 8 placas 
Falei para aproveitarem a semana do consumidor para fecharem mais rápido 
Sobre a entrega dos matérias, só pode receber até o dia 19 ou depois do dia 25, porque vão está em viagem do dia 20 até o dia 25.
O pagamento ficou acordado em 60%, 20% e 20%
Deu condição especial para fechamento essa semana, desconto de R$ 800 reais. fechando um total de R$ 15.040.
Marco Cardoso (Marido)
Fechamos com 8*610 + troca do disjuntor = 15.700 (geração de aproximadamente 408kWh de média mensal) por R$ 15.700 sendo entrada de até 60%, 20% e 20%.
Endereço: R. Mamoré, 25 - CA 104 - Freguesia (Jacarepaguá), Rio de Janeiro - RJ, 22760-080</t>
  </si>
  <si>
    <t>P0584 - Jorginho Nunes</t>
  </si>
  <si>
    <t>P0584</t>
  </si>
  <si>
    <t>Jorginho Nunes</t>
  </si>
  <si>
    <t>jorgelcnunes45@gmail.com</t>
  </si>
  <si>
    <t>Estr. do Outeiro Santo, 1411</t>
  </si>
  <si>
    <t>22713-169</t>
  </si>
  <si>
    <t>INFORMAÇÕES IMPORTANTES 
Liga o ar condicionado sempre que precisa 
Hoje tem nos quartos e na sala, casa própria com 2 andares 
Disse que tem um vizinho que colocou, mas ele não tem muita intimidade e não teve ainda oportunidade de perguntar se está funcionando como o esperado 
Hoje tem  um consumo entre R$500/R$700 e chegou em janeiro a R$1000 pelo uso do ar
Primeiro contato. Acha que será financiado ( depende) 
18 SALA 
Já liga dentro do que precisa 
jorgelcnunes45@gmail.com
11h 17/.03
02/26/2025 14:03-ComparativoConta-[Bairro][Aberto]-[CBO][cadastro][20241120]
Quando Pretende Instalar: em_até_30_dias
Valor Médio da Conta: r$700
Telefone: 
+5521964263673
Cidade: Rio de Janeiro</t>
  </si>
  <si>
    <t>P0585</t>
  </si>
  <si>
    <t>renatoamartins1961@gmail.com</t>
  </si>
  <si>
    <t>R. Peçanha Povoas, 19</t>
  </si>
  <si>
    <t>P0586 - Cecilia Breves</t>
  </si>
  <si>
    <t>P0586</t>
  </si>
  <si>
    <t>Cecilia Breves</t>
  </si>
  <si>
    <t>brevescecilia@yahoo.com.br</t>
  </si>
  <si>
    <t>INFORMAÇÃO IMPORTANTES 
Tem muitos bichos tucanos, 73 anos , gatos etc. Não tem herdeiros. Pensa em uma solução mais barata
Saiu da cobertura no Humaitá 600m2 para essa casa que no momento está locada, mas pretende comprar esse ano ainda 
Lá é telha, disse que sua última conta veio R$700 agora no verão. Não pretende ter aumento de consumo. Vai alterar um ar de janela para um mais econômico inverter 
Disse que não tem família, ama os animais ****
Não tem família 
Tem 4 meses que está nesse local 
12/24/2024 20:27-AD03 - Se a conta de luz não fosse uma problema?-Conj Bairros Grande Rio RJ-20241102 - Leads [cadastro] CBO - VCLT
Quando Pretende Instalar: apenas_curiosidade
Valor Médio da Conta: r$500
Telefone: 
+5521972072741
Cidade: Rio de Janeiro</t>
  </si>
  <si>
    <t>P0587 - Janaina Braga</t>
  </si>
  <si>
    <t>P0587</t>
  </si>
  <si>
    <t>Janaina Braga</t>
  </si>
  <si>
    <t>braagamell@yahoo.com.br</t>
  </si>
  <si>
    <t>INFORMAÇÕES IMPORTANTES 
Decide sozinha
Trabalha com alimentação saudável e funcional tem mais de 3k de seguidores @positivese_vc
Fez uma cotação ano passado, mas não lembra porque pararam de conversar 
Nesse momento somos a única empresa, mas disse que quer ter ao menos mais dois orçamentos e disse que tem uma perto da casa dela 
Disse que tem um consumo médio de 550Kwh  e no verão chegou a  R$1000 reais 
A ideia de usar mais air fryer  e no futuro um forno elétrico, que hoje é a gás.
Tem a casa do filho, tem um consumo de médio verão R$400 e no inverno R$180. Ela vai comprar a casa dele ano que vem
Acredita que somando no verão R$1300  e no inverno R$900
Fazer estudo para os dois consumo
03/03/2025 14:51-ComparativoConta-[Bairro][Aberto]-[CBO][cadastro][20241120]
Quando Pretende Instalar: em_até_30_dias
Valor Médio da Conta: r$700
Telefone: 
+5521979906513
Cidade: Rio de Janeiro</t>
  </si>
  <si>
    <t>P0588 - Ana Claudia Ferreira</t>
  </si>
  <si>
    <t>P0588</t>
  </si>
  <si>
    <t>Ana Claudia Ferreira</t>
  </si>
  <si>
    <t>claudia_jferreira@hotmail.com</t>
  </si>
  <si>
    <t>INFORMAÇÃO IMPORTANTES 
Disse que já fez estudo antes, na época não fechou por conta de valores 
Ela que decide e ex marido é um influenciador
Esse mês veio R$480 sem usar ar. Ela possui um de 7500 que gostaria de ligar de 22h às 6h nos meses mais quentes 
Casa alugada, perguntei se tinha autorização do dono do imóvel e ela perguntou se poderia levar o sistema para outros local. ( expliquei sobre 
Não senti ela muito quente, tem que ver se aprova financiamento logo.
7500  22H ÀS 6H 
Casa locada 
claudia_jferreira@hotmail.com 
14h 
03/12/2025 19:56-ComparativoConta-[Bairro][Aberto]-[CBO][cadastro][20241120]
Quando Pretende Instalar: imediato
Valor Médio da Conta: r$500
Telefone: 
+5521993515298
Cidade: Rio de Janeiro</t>
  </si>
  <si>
    <t>2*NEP-2,25kW+8*DAH-NTYPE-610W</t>
  </si>
  <si>
    <t>P0589 - Carlos Pereira</t>
  </si>
  <si>
    <t>P0589</t>
  </si>
  <si>
    <t>Carlos Pereira</t>
  </si>
  <si>
    <t>duducalberto@gmail.com</t>
  </si>
  <si>
    <t>02/15/2025 22:36-ComparativoConta-[Bairro][Aberto]-[CBO][cadastro][20241120]
Quando Pretende Instalar: apenas_curiosidade
Valor Médio da Conta: r$600
Telefone: 
+5521992994441
Cidade: Rio de Janeiro</t>
  </si>
  <si>
    <t>P0590 - Paloma Queiroz</t>
  </si>
  <si>
    <t>P0590</t>
  </si>
  <si>
    <t>Paloma Queiroz</t>
  </si>
  <si>
    <t>Paloma deseja ampliar o sistema que tem em casa e já está sendo tratada em outra oportunidade, porém pediu uma nova proposta para a sua casa de praia que fica na Praia Seca. 
Informou que nos 3 meses do verão o consumo fica em torno de R$ 700 reais e nos demais meses entre R$ 300 e R$ 400 reais.
Verificar com o Vinícius sobre esse projeto.</t>
  </si>
  <si>
    <t>P0591 - Thais Souza</t>
  </si>
  <si>
    <t>P0591</t>
  </si>
  <si>
    <t>Thais Souza</t>
  </si>
  <si>
    <t>thais.correiasantos@gmail.com</t>
  </si>
  <si>
    <t>Itanhangá, Rio de Janeiro</t>
  </si>
  <si>
    <t>INFORMAÇÕES IMPORTANTES 
Decide junto com o esposo.
Já fez um estudo a muito tempo, mas perdeu o time
Vai passar a trabalhar home office, acredita que vai usar umas 4h/5h a mais no meses mais quentes um ar de 12
É casa com telhado 
Consumo costuma de ser em média de R$600/R$700 e chegou a R$800 no verão. 
03/16/2025 15:57-ComparativoConta-[Bairro][Aberto]-[CBO][cadastro][20241120]
Quando Pretende Instalar: apenas_curiosidade
Valor Médio da Conta: r$800
Telefone: 
+5521993739293
Cidade: Rio de Janeiro</t>
  </si>
  <si>
    <t>P0592</t>
  </si>
  <si>
    <t>paulomenezes2212@gmail.com</t>
  </si>
  <si>
    <t>P0585 - Renato Agostinho Martins</t>
  </si>
  <si>
    <t>Renato Agostinho Martins</t>
  </si>
  <si>
    <t>INFORMAÇÕES IMPORTANTES 
É indicação da filha que estudou na mesma escola que Vinícius 
Tem um sistema com  2 micro inversores e 8 placas e quer aumentar em mais 4 ( acredita que será o suficiente, mas se for preciso mais, vamos fazer essa análise) 
Só fez uma manutenção  Falei que poderíamos fazer um oferta especial . 2k  de micro 8*455w
A conta vinha por volta de R$200 e passou a vir R$700
A mãe dele tem 89 anos e fica com ar ligação durante todo o dia e ele não abre mão desse conforto
RG 02784147-7</t>
  </si>
  <si>
    <t>R. Jorge Lóssio, 36</t>
  </si>
  <si>
    <t>20521-040</t>
  </si>
  <si>
    <t>P0593 - Gleisia Milione</t>
  </si>
  <si>
    <t>P0593</t>
  </si>
  <si>
    <t>Gleisia Milione</t>
  </si>
  <si>
    <t>gleisiamilioni@gmail.com</t>
  </si>
  <si>
    <t>Av. Guia Lopes, 1093</t>
  </si>
  <si>
    <t>22740-080</t>
  </si>
  <si>
    <t>INFORMAÇÕES IMPORTANTES 
Trabalha com confeitaria, tem 1500 seguidores do insta abaixo
@patisseriemilione
Disse que o telhado é dela 
Vai acrescentar uma geladeira expositora e um ar condicionado split 
Essa geladeira ficará ligada direto e o aparelhos de ar será de 12 e ficará ligado 8h/dia nos meses mais quentes. 
Ela e a mãe tem interesse, será um sistema único para as duas. Tem uma outra irmã que ainda vai se mudar, mas ela não sabe se a irmã vai participar e é será mais futuro 
SOMAR A CONTA ABAIXO O CONSUMO DA MÃE DE R$570 
02/01/2025 20:33-ComparativoConta-[Bairro][Aberto]-[CBO][cadastro][20241120]
Quando Pretende Instalar: apenas_curiosidade
Valor Médio da Conta: r$500
Telefone: 
+5521995722698
Cidade: Rio de Janeiro</t>
  </si>
  <si>
    <t>P0594 - Sonia Mograbi</t>
  </si>
  <si>
    <t>P0594</t>
  </si>
  <si>
    <t>Sonia Mograbi</t>
  </si>
  <si>
    <t>soniareginamograbi@gmail.com</t>
  </si>
  <si>
    <t>INFORMAÇÕES IMPORTANTES 
É o primeiro contato, mora de aluguel e ainda não pediu autorização para o proprietário 
Decide sozinha, mora sozinha. Ela tinha acabado de acordar, tentei ser rápida acabei sem perguntar o bairro ( ficou de mandar a conta) 
Não pretende instalar nada a mais e nem consumir mais disse ela
Conta fica entre R$300 no inverno e R$500 nos meses mais quentes 
soniareginamograbi@gmail.com
02/27/2025 10:56-ComparativoConta-[Bairro][Aberto]-[CBO][cadastro][20241120]
Quando Pretende Instalar: em_até_60_dias
Valor Médio da Conta: r$500
Telefone: 
+5521985729001
Cidade: Rio de Janeiro</t>
  </si>
  <si>
    <t>P0595 - Camila Martins (Milarte)</t>
  </si>
  <si>
    <t>P0595</t>
  </si>
  <si>
    <t>Camila Martins (Milarte)</t>
  </si>
  <si>
    <t>camilamartins81@hotmail.com</t>
  </si>
  <si>
    <t>INFORMAÇÕES IMPORTANTES 
Tem casa com telhado, sua conta vem no inverno R$400 e no verão R$800
Camila trabalha home office, fica ligando e desligando o ar com uso de ventilador nos intervalos e gostaria de poder usar mais 6h um ar de 12, nos meses mais quentes. 
Tem um orçamento de 3 meses atrás de outra empresa, disse que poderíamos fazer a consultoria em termos de equipamento 
Decide junto com o esposo ( Maycon), mas ele não poderá participar pois chega muito tarde, alinhei com ela que caso fosse necessário poderíamos fazer uma nova vídeo. 
 camilamartins81@hotmail.com 
Tem quase 5k de seguidores, é artista de biscuit
03/19/2025 01:53-ComparativoConta-[Bairro][Aberto]-[CBO][cadastro][20241120]
Quando Pretende Instalar: apenas_curiosidade
Valor Médio da Conta: r$800
Telefone: 
+5521969673577
Cidade: Rio de Janeiro</t>
  </si>
  <si>
    <t>P0596 - Adriano Limoeiro Barreto</t>
  </si>
  <si>
    <t>P0596</t>
  </si>
  <si>
    <t>Adriano Limoeiro Barreto</t>
  </si>
  <si>
    <t>adrianolimoeiro@gmail.com</t>
  </si>
  <si>
    <t>Icaraí, Niterói</t>
  </si>
  <si>
    <t>erói - RJ</t>
  </si>
  <si>
    <t>Icaraí</t>
  </si>
  <si>
    <t>INFORMAÇÃO IMPORTANTES 
Mora em apartamento no bairro de Icaraí, ainda não tem autorização da sindica para colocação do sistema, falamos sobre colocação em outro local, disse que precisa conversar sobre com o possível dono( a ) do telhado 
Conta costuma vir R$500 no meses mais quentes chegando a R$800/R$1000 usando o ar de 22 mais potente 
Não pretende ter aumento de consumo 
É o primeiro contato 
14H  21/03
adrianolimoeiro@gmail.com
/03/15/2025 00:30-ComparativoConta-[Bairro][Aberto]-[CBO][cadastro][20241120]
Quando Pretende Instalar: apenas_curiosidade
Valor Médio da Conta: r$500
Telefone: 
21965397007
Cidade: Niterói
Senha acessar conta: 02871</t>
  </si>
  <si>
    <t>P0597 - Carlos Garzezi</t>
  </si>
  <si>
    <t>P0597</t>
  </si>
  <si>
    <t>Carlos Garzezi</t>
  </si>
  <si>
    <t>garzezi@gmail.com</t>
  </si>
  <si>
    <t>INFORMAÇÕES IMPORTATES 
Comprou essa cobertura a 10 anos. Viu na época, mas não foi viável 
Tem uma estrutura forte de ferro com policarbonato  de 16m2 e tem mais espaço que pode ser usado 
Tem netos que inclusive estavam com ele quando liguei a 1ª vez, ofertar micro inversor, pois as crianças frequentam o local 
Não pretende ter aumento de consumo 
Conta vem entre R$800 a R$1100. Disse que nunca pagou menos de R$600
03/20/2025 23:11-ComparativoConta-[Bairro][Aberto]-[CBO][cadastro][20241120]
Quando Pretende Instalar: apenas_curiosidade
Valor Médio da Conta: r$900
Telefone: 
+5521987562205
Cidade: Rio de Janeiro</t>
  </si>
  <si>
    <t>P0598 - Adriana Rocha</t>
  </si>
  <si>
    <t>P0598</t>
  </si>
  <si>
    <t>Adriana Rocha</t>
  </si>
  <si>
    <t>dricabastos69psi@outlook.com</t>
  </si>
  <si>
    <t>R. Malba Tahan, 175</t>
  </si>
  <si>
    <t>22790-400</t>
  </si>
  <si>
    <t>INFORMÇÕES IMPORTANTES 
Tem aquecimento banho pelo solar, disse que além do conforto fez ela reduzir para a taxa mínima o consumo de gás. Não fez na época o solar porque era muito caro 60k na época
Está vindo de 5 vídeo chamadas, disse que não fechou porque não disseram como seria a manutenção e pós venda ***** focar muito nesse nosso diferencial 
Não quer que seja repetitivo 
Teve um um problema que uma cobertura próxima voaram todas as placas e que graças a Deus ninguém se machucou. 
Consumo gira entre 418Kwh meses frios  a 491Kwh meses mais quentes 
Trabalha home office e gostaria de usar o aparelho de ar de 22  6H NOS MESES MAIS QUENTES 
nome cond pedro antonio 
vem de 5 vídeo chamada, somos a 6ª empresa. 
 dricabastos69psi@outlook.com
Condomínio Edificio Pedro Antonio
02/25/2025 17:04-ComparativoConta-[Bairro][Aberto]-[CBO][cadastro][20241120]
Quando Pretende Instalar: apenas_curiosidade
Valor Médio da Conta: r$600
Telefone: 
+5521995391738
Cidade: Rio de Janeiro</t>
  </si>
  <si>
    <t>P0599 - Sulamita</t>
  </si>
  <si>
    <t>P0599</t>
  </si>
  <si>
    <t>Sulamita</t>
  </si>
  <si>
    <t>contatosula@gmail.com</t>
  </si>
  <si>
    <t>INFORMAÇÕES IMPORTANTES  
$2000
Estão a 3 meses meses nessa casa, é locada. Não quer investir um valor muito alto porque o imóvel não é definitivo
Conta tem vindo na faixa de 2k no meses mais quentes 
Tem 3 filhos, marido trabalha home office. Todos usam ar condicionado em seus quartos 
Marcou a tarde pois disse que já colocou os 3 para a escola 
Contrato de 3 anos de locação 
contatosula@gmail.com
03/20/2025 13:55-ComparativoConta-[Bairro][Aberto]-[CBO][cadastro][20241120]
Quando Pretende Instalar: apenas_curiosidade
Valor Médio da Conta: acima_de_r$1.000
Telefone: 
+5521979482773
Cidade: Rio de Janeiro</t>
  </si>
  <si>
    <t>P0600 - Igor Bustamante</t>
  </si>
  <si>
    <t>P0600</t>
  </si>
  <si>
    <t>Igor Bustamante</t>
  </si>
  <si>
    <t>Itaipu, Niterói</t>
  </si>
  <si>
    <t>Itaipu</t>
  </si>
  <si>
    <t>INFORMAÇÕES IMPORTANTES 
Está vendendo a casa de Itaipu e querem colocar na outra casa 
Não estão quentes, é para o pai dele, que é o decisor</t>
  </si>
  <si>
    <t>palomaqueirozd@gmail.com</t>
  </si>
  <si>
    <t>Indicação da  , vizinha do mesmo condomínio. 
Chamam ela de Paloma!
Já possuía um sistema string com 11 módulos e um inversor deye de 5k.
Disse que o sistema não está dando conta e pediu uma ampliação.
Acha que o "sistema não está funcionando direito"
Disse que a única coisa que aumentou foi colocação de um carregador veicular.
Em VT prévia, identificou-se 1 DPS queimado, ausência de aterramento nos módulos e sistema MUITO sujo. 
Aparentemente cabem 6 módulos na laje e talvez mais 2 reorganizando os 4 módulos de paisagem, Totalizando 8 módulos
Quer projeto com e sem bateria!
Pagamento em 12 vezes no cartão de crédito.</t>
  </si>
  <si>
    <t>P0601 - Eduardo Da Veiga Franco</t>
  </si>
  <si>
    <t>P0601</t>
  </si>
  <si>
    <t>Eduardo Da Veiga Franco</t>
  </si>
  <si>
    <t>eduvfranco@yahoo.com.br</t>
  </si>
  <si>
    <t>INFORMAÇÕES IMPORTANTES 
São 3 decisores 
Ele hoje mora de aluguel/ vai se mudar dia 10/03. Um casal americano vão viajar. 
Tem uma pet shop + sua sócia que tem um sistema com 4 placas e casa própria. Pretende colocar ao menos parte do sistema da pet ( ampliar e cobrir o pet) 
Precisa de duas propostas para a casa R$700 acredita que irá atender e para a loja R$2200
Perguntou sobre o leasing. Será financiado 
Mesmo a casa sendo locada ele disse que os proprietários demostraram interesse e de repente podem rachar com ele....
02/10/2025 15:34-ComparativoConta-[Bairro][Aberto]-[CBO][cadastro][20241120]
Quando Pretende Instalar: apenas_curiosidade
Valor Médio da Conta: r$700
Telefone: 
+5521982589994
Cidade: Rio de Janeiro</t>
  </si>
  <si>
    <t>P0602</t>
  </si>
  <si>
    <t>biancabarcellos03@gmail.com</t>
  </si>
  <si>
    <t>Av. Marechal Fontenele, 3103</t>
  </si>
  <si>
    <t>Jardim Sulacap</t>
  </si>
  <si>
    <t>P0603 - Marcos André Dantas Palácio</t>
  </si>
  <si>
    <t>P0603</t>
  </si>
  <si>
    <t>Marcos André Dantas Palácio</t>
  </si>
  <si>
    <t>marcosadpalacio@yahoo.com</t>
  </si>
  <si>
    <t>P0604 - [FV02] ANA RITA RIBEIRO DA CRUZ</t>
  </si>
  <si>
    <t>P0604</t>
  </si>
  <si>
    <t>[FV02] ANA RITA RIBEIRO DA CRUZ</t>
  </si>
  <si>
    <t>arribeiro.ipalerj@gmail.com</t>
  </si>
  <si>
    <t>Vizinho camila. Setembro anterior563kWh, se manteve.
Ampliação: Aumentou consumo com wallbox (taxista) 
mais 4*610dah-bf+1NEP 2,25</t>
  </si>
  <si>
    <t>INFORMAÇÕES IMPORTANTES 
Ela foi bem reservada, não consegui muita conexão. 
Está fazendo outros estudos 
Não pretende ter aumento de consumo 
Tem outro decisor além dela que decide por esse investimento 
03/20/2025 20:52-ComparativoConta-[Bairro][Aberto]-[CBO][cadastro][20241120]
Quando Pretende Instalar: em_até_60_dias
Valor Médio da Conta: r$1.000
Telefone: 
+5521964289596
Cidade: Rio de Janeiro
biancabarcellos03@gmail.com</t>
  </si>
  <si>
    <t>P0605 - Rosane Fátima Leal de Oliveira</t>
  </si>
  <si>
    <t>P0605</t>
  </si>
  <si>
    <t>Rosane Fátima Leal de Oliveira</t>
  </si>
  <si>
    <t>rosanericardo@uol.com.br</t>
  </si>
  <si>
    <t>R. Cel. Alberto Martins, 120</t>
  </si>
  <si>
    <t>22765-020</t>
  </si>
  <si>
    <t>P0606 - Francisco Carvalho</t>
  </si>
  <si>
    <t>P0606</t>
  </si>
  <si>
    <t>Francisco Carvalho</t>
  </si>
  <si>
    <t>carvalhosilvafrancisco@gmail.com</t>
  </si>
  <si>
    <t>Vila Kosmos, Rio de Janeiro</t>
  </si>
  <si>
    <t>Vila Kosmos</t>
  </si>
  <si>
    <t>INFORMAÇÕES IMPORTANTES 
Francisco tem dois (2*)  mercados em container que ficam dentro de condomínio
Ele mora em apartamento e pensa em colocar o sistema na casa da mãe que tem telhado
Valores de consumo de R$1400/ R$1200 cada + consumo da mãe de R$400
Decide sozinho pelo investimento
Telhado da mãe  vila cosmos 
Já fez estudo, mas tem muito tempo. Disse que nos viu pelo Instagram e viu que fazemos financiamento 
carvalhosilvafrancisco@gmail.com 
03/04  14h
03/31/2025 07:39-ComparativoConta-[Bairro][Aberto]-[CBO][cadastro][20241120]
Quando Pretende Instalar: imediato
Valor Médio da Conta: acima_de_r$1.000
Telefone: 
21998769801
Cidade: Rio de janeiro</t>
  </si>
  <si>
    <t>P0571 - Alessandra Lopes de Souza Drumond</t>
  </si>
  <si>
    <t>Alessandra Lopes de Souza Drumond</t>
  </si>
  <si>
    <t>INFORMAÇÕES IMPORTANTES 
Tem o sistema de desde 2020, fez uma manutenção em 2023 ( acha), pois um conector estava ruim. 
Não tem nenhum problema aparente
Hoje são 8 módulos com micro inversor 
Disse que tem espaço para mais um kit com um micro inversor e 4 módulos 
Condomínio Magic Garden Houses</t>
  </si>
  <si>
    <t>P0607 - Juliana Nunes E Miguel Ângelo Machado</t>
  </si>
  <si>
    <t>P0607</t>
  </si>
  <si>
    <t>Juliana Nunes E Miguel Ângelo Machado</t>
  </si>
  <si>
    <t>miguelangelomachado2@gmail.com</t>
  </si>
  <si>
    <t>INFORMAÇÕES IMPORTANTES 
Miguel que decide pelo investimento, já fez orçamento ano passado e disse que os orçamentos estão mais baixos por conta da baixa do dólar 
Pediu um orçamento de 800Kwh já com aumento de consumo que pretende ter com ar condicionado a mais 
Tem uma cobertura ( QUER COLOCAR NELA) no Pechincha que acredita que cabem 8 módulos e tem um pergolado que pode colocar mais 3 ( acredita ele) 
Disse que já pensou em abrir uma empresa de energia solar, foi a China com o possível sócio, não andou
Hoje possui 16 mercados em condomínios, mas que os relógios estão em nome do condomínio (não consegue transferir essa conta para seu CNPJ)
Não quer usar cartão de crédito e não tem valor à vista. Perguntou quais formas de pagamento temos 
Tem propostas na mesa de 14k a 20k, não sabe sobre material ( falei da matriz da ganhos e perdas) 
Tem criança em casa 
03/09/2025 15:21-ComparativoConta-[Bairro][Aberto]-[CBO][cadastro][20241120]
Quando Pretende Instalar: apenas_curiosidade
Valor Médio da Conta: r$700
Telefone: 
+5521969695244
Cidade: Rio de Janeiro</t>
  </si>
  <si>
    <t>P0608 - Fátima Vizinha Paulo</t>
  </si>
  <si>
    <t>P0608</t>
  </si>
  <si>
    <t>Fátima Vizinha Paulo</t>
  </si>
  <si>
    <t>Fátima é indicação comissionada do Paulo/Elisete.
Vinícius estava fazendo a VT do Paulo, ele indicou e vizinha e o Vinícius aproveitou e fez a VT junto.
Pegar os dados da proposta com o Vinícius e agendar a apresentação.</t>
  </si>
  <si>
    <t>P0609 - Roberta Galdino</t>
  </si>
  <si>
    <t>P0609</t>
  </si>
  <si>
    <t>Roberta Galdino</t>
  </si>
  <si>
    <t>bettinhagaldinho@gmail.com</t>
  </si>
  <si>
    <t>Irajá, Rio de Janeiro</t>
  </si>
  <si>
    <t>P0610 - Claudio  LC</t>
  </si>
  <si>
    <t>P0610</t>
  </si>
  <si>
    <t>Claudio  LC</t>
  </si>
  <si>
    <t>tcclaudiorj@gmail.com</t>
  </si>
  <si>
    <t>P0611</t>
  </si>
  <si>
    <t>celaoscbp@gmail.com</t>
  </si>
  <si>
    <t>8*DAH-585W</t>
  </si>
  <si>
    <t>INFORMAÇÕES IMPORTANTES 
Parque da Palmeira condomínio ( confirmar endereço para VT) 
tcclaudiorj@gmail.com  10h 
Última conta veio R$2100, mês passado R$1900. Nos meses mais frios vem R$1600
Tem uma filha de 1 ano e meio e a esposa está grávida, vai ganhar neném em junho.
Ele quer ter isso resolvido até lá. ( a sogra vem para ajuda e o consumo deve aumentar)
Já usa como precisa. 
Disse presa pelo preço e também pela qualidade 
03/28/2025 22:15-ComparativoConta-[Bairro][Aberto]-[CBO][cadastro][20241120]
Quando Pretende Instalar: em_até_60_dias
Valor Médio da Conta: acima_de_r$1.000
Telefone: 
+5521976444203
Cidade: Rio de Janeiro</t>
  </si>
  <si>
    <t>P0611 - Marcelo Lima/ HASHTAG ESFIHA TAQUARA LTDA</t>
  </si>
  <si>
    <t>Marcelo Lima/ HASHTAG ESFIHA TAQUARA LTDA</t>
  </si>
  <si>
    <t>Av. dos Mananciais, 983</t>
  </si>
  <si>
    <t>22720-410</t>
  </si>
  <si>
    <t>INFORMAÇÕES IMPORTANTES 
É para uma esfirraria / HASHTAG ESFIHA TAQUARA LTDA
Consumo médio entre R$3.200 e nos meses mais frios R$2800
Não pretende mudar forno para elétrico por que já tentaram mudar e altera sabor 
Marcelo é gerente adm das lojas ( são 4 lojas), o dono deixa ele ver todos os contratos e tratativas e somente assina
As lojas são locadas, mas eles possuem autorização para a colocação do sistema 
Tem uma espaço de apróx 220m2 para 4 lojas e duas são Pet shop ( outro sistema na área ) 
Loja deles tem 58m2/ tem conta está em anexo
Daniel/ Nelson donos das lojas
220M2
celaoscbp@gmail.com  
11h
04/07/2025 22:40-ComparativoConta-[Bairro][Aberto]-[CBO][cadastro][20241120]
Quando Pretende Instalar: imediato
Valor Médio da Conta: acima_de_r$1.000
Telefone: 
+5521970426265
Cidade: Rio de Janeiro</t>
  </si>
  <si>
    <t>P0612 - INSTITUTO EDUCACIONAL SOUZA VARGAS LTDA</t>
  </si>
  <si>
    <t>P0612</t>
  </si>
  <si>
    <t>INSTITUTO EDUCACIONAL SOUZA VARGAS LTDA</t>
  </si>
  <si>
    <t>bruynvargas@hotmail.com</t>
  </si>
  <si>
    <t>R. Otelo Réis, 33</t>
  </si>
  <si>
    <t>26050-540</t>
  </si>
  <si>
    <t>Santa Rita</t>
  </si>
  <si>
    <t>INFORMAÇÕES IMPORTANTES 
ANA JAQUELINE DE SOUZA VARGAS DA CRUZ sócia junto com PAULO ROBERTO DA SILVA VARGAS
Hoje o consumo é pequeno R$500, na casa dela R$300 e gostaria de colocar um ar em cada sala, são 6 salas de alunos + secretaria + sala dos professores + biblioteca e secretaria 
Seriam aparelhos inverter econômicos 10mil Btus
Disse que o dinheiro que deixaria de ir para light faria obras o maior desafio dela é a inadimplência
@bruym.vargas</t>
  </si>
  <si>
    <t>Av. Dom Hélder Câmara, 1184</t>
  </si>
  <si>
    <t>20973-012</t>
  </si>
  <si>
    <t>Benfica</t>
  </si>
  <si>
    <t>12.180Kwh  
CE Compositor Luiz Carlos Da Vila
12/29/2024 02:08-AD01 - Rasgando Dinheiro - Carrossel-Conj Bairros Grande Rio RJ-20241102 - Leads [cadastro] CBO - VCLT
Quando Pretende Instalar: apenas_curiosidade
Valor Médio da Conta: r$500
Telefone: 
+5521971528039
Cidade: Rio de Janeiro</t>
  </si>
  <si>
    <t>P0613 - Fernando José Marques Maia de Almeida</t>
  </si>
  <si>
    <t>P0613</t>
  </si>
  <si>
    <t>Fernando José Marques Maia de Almeida</t>
  </si>
  <si>
    <t>setedesetembro.sindico@gmail.com</t>
  </si>
  <si>
    <t>Edificio 7 De Setembro</t>
  </si>
  <si>
    <t>20020-050</t>
  </si>
  <si>
    <t>INFORMAÇÕES IMPORTANTES 
É para um condomínio do centro do RJ cond sete de setembro 
Fernando é o sindico, fez estudo a tempo atrás, mas não lembra muito, só sabe que é viável espaço mesmo tirando a caixa d'água  e sala de comando dos elevadores ( Foi feito antes da pandemia) 
04/13/2025 11:29-ComparativoConta-[Bairro][Aberto]-[CBO][cadastro][20241120]
Quando Pretende Instalar: apenas_curiosidade
Valor Médio da Conta: acima_de_r$1.000
Telefone: 
+5521999990198
Cidade: Rio de Janeiro</t>
  </si>
  <si>
    <t>P0614</t>
  </si>
  <si>
    <t>patriciaveterinaria@gmail.com</t>
  </si>
  <si>
    <t>INFORMAÇÕES IMPORTANTES 
Tem 3 aparelhos de ar liga somente um hoje para dormir
Queria ligar a mais  um de 10 que fica desligado  8H NOITE NOS MESES  mais quentes
 E quer usar  o da sala  de 12 a mais  8/H DIA NOS MESES MAIS QUENTES 
Decide sozinha/ é funcionária pública da prefeitura ( não tem clínica veterinária) 
Nós somos 1ª empresa 
patriciaveterinaria@gmail.com
Viu há 2 anos atrás 
Conta chegou a R$900 no pico do verão. Geralmente vem menos R$300/500.
Patrícia quer saber se vale a pena, se tem algum problema e valores
É casa com telhado 
04/13/2025 13:08-ComparativoConta-[Bairro][Aberto]-[CBO][cadastro][20241120]
Quando Pretende Instalar: em_até_60_dias
Valor Médio da Conta: r$500
Telefone: 
+5521999940753
Cidade: Rio de Janeiro</t>
  </si>
  <si>
    <t>P0615 - Luciana</t>
  </si>
  <si>
    <t>P0615</t>
  </si>
  <si>
    <t>Luciana</t>
  </si>
  <si>
    <t>furtadoluciana104@gmail.com</t>
  </si>
  <si>
    <t>Itaipuaçu, Maricá</t>
  </si>
  <si>
    <t>INFORMAÇÕES IMPORTANTES 
Itaipuaçu/ Maricá  rua 35/116 / veio pela foto antes e depois que coloquei no grupo do whatsapp 
Decide junto com o esposo 
1º contato. Última conta veio R$480 reais, ela usa pouca cascata e leds
Gostaria de usar um ar de 12 que possui 6h/dia nos meses mais quentes aos finais de semana
Quer instalar um de 10 no quarto do filho para usar a noite 8h/dia nos meses mais quentes</t>
  </si>
  <si>
    <t>prpedropaulo@yahoo.com.br</t>
  </si>
  <si>
    <t>INFORMAÇÃO IMPORTANTES 
Quer dar uma entrada 
Tem uma proposta de 17k e pouco 
4 banheiros, maquinas de lavar, fridadeira elétrica, dois de 9 btuns 
casa da filha 2 9btus 
Ainda não tem aparelhos de ar e deseja acrescentar 8h/dia nos meses mais quentes
R$340/ R$240  
prpedropaulo@yahoo.com.br 
16h
12/19/2024 05:17-AD02 - Se a conta de luz não fosse uma problema?-Conj Bairros Grande Rio RJ-20241102 - Leads [cadastro] CBO - VCLT
Quando Pretende Instalar: apenas_curiosidade
Valor Médio da Conta: r$500
Telefone: 
+5521964808586 
Pretende colocar um ar-condicionado para usar durante a noite, não soube precisar os BTUs.
Gerar proposta para conta no valor de R$ 600.
Cidade: Rio de janeiro - Taquara</t>
  </si>
  <si>
    <t>Estr. do Pau-Ferro, 654</t>
  </si>
  <si>
    <t>22743-052</t>
  </si>
  <si>
    <t>5*NEP-BDM-2250-2,25kW+20*DAH-BF-610W</t>
  </si>
  <si>
    <t>P0616 - Ana Livia Olmedo Sobreira</t>
  </si>
  <si>
    <t>P0616</t>
  </si>
  <si>
    <t>Ana Livia Olmedo Sobreira</t>
  </si>
  <si>
    <t>Mora em cobertura, recentemente colocou um ar de janela e a conta veio R$300, não tem usado muito por estar frio, mas devemos fazer projeção para os meses mais quentes 
Disse que tem telhadinho que pode colocar 
Ela disse que acha que quando passar a usar mais a conta deve subir para uns R$480/500
04/16/2025 15:52-ComparativoConta-[Bairro][Aberto]-[CBO][cadastro][20241120]
Quando Pretende Instalar: imediato
Valor Médio da Conta: r$500
Telefone: 
+5521972291089
Cidade: Rio de Janeiro</t>
  </si>
  <si>
    <t>anagnvrj@gmail.com</t>
  </si>
  <si>
    <t>P0617 - Rodrigo Raymundo</t>
  </si>
  <si>
    <t>P0617</t>
  </si>
  <si>
    <t>Rodrigo Raymundo</t>
  </si>
  <si>
    <t>rodrigoamterrarepresetacoes@yahoo.com.br</t>
  </si>
  <si>
    <t>R. Francisca Sáles, 833</t>
  </si>
  <si>
    <t>22760-000</t>
  </si>
  <si>
    <t>P0618 - jorge Amaro da Costa Correia</t>
  </si>
  <si>
    <t>P0618</t>
  </si>
  <si>
    <t>jorge Amaro da Costa Correia</t>
  </si>
  <si>
    <t>jorgeacostacorreia@gmail.com</t>
  </si>
  <si>
    <t>P0619 - Daniel Teixeira</t>
  </si>
  <si>
    <t>P0619</t>
  </si>
  <si>
    <t>Daniel Teixeira</t>
  </si>
  <si>
    <t>danielgracie2003@hotmail.com</t>
  </si>
  <si>
    <t>INFORMAÇÃO IMPORTANTES 
Tem uma de 12  quer usar 4h a mais aos finais de semana nos meses mais quentes 
É o 1º contato, acha um absurdo ficar o dia inteiro fora e a conta vir R$250/300, seria fora do nosso ICP, mas ele pretende usar mais ar condicionado.
Decide sozinho
danielgracie2003@hotmail.com 
13h 
Mora em casa com telhado 
04/19/2025 17:03-ComparativoConta-[Bairro][Aberto]-[CBO][cadastro][20241120]
Quando Pretende Instalar: apenas_curiosidade
Valor Médio da Conta: r$500
Telefone: 
+5521969296330
Cidade: Rio de Janeiro</t>
  </si>
  <si>
    <t>P0620 - João Nascimento</t>
  </si>
  <si>
    <t>P0620</t>
  </si>
  <si>
    <t>João Nascimento</t>
  </si>
  <si>
    <t>INFORMAÇÕES IMPORTANTES 
Disse que quer equipamentos nota 10, com preços baixos 
Quer que seja possível ampliação futura 
Hoje não tem pretende aumentar o consumo 
Mora em condomínio de casas no recreio 
04/19/2025 23:09-ComparativoConta-[Bairro][Aberto]-[CBO][cadastro][20241120]
Quando Pretende Instalar: imediato
Valor Médio da Conta: r$900
Telefone: 
+5521992663958
Cidade: Rio de Janeiro</t>
  </si>
  <si>
    <t>INFORMAÇÕES IMPORTANTES 
20 casas no condomínio ( a maioria já possui energia solar) 
TEM VONTADE DE REFORMAR O SÓTÃO ( ONDE ELE VAI COLOCAR O AR DE 22MIL BTUS) falamos sobre fazer isso com a economia gerada e ele amou a ideia. 
Condomínio Miraggio Freguesia 
Não soube dizer quem nos indicou ( disse ele)
Vai acrescentar um ar de 9mil Btus para quarto de hóspedes 8h/noite nos meses mais quentes, aos finais de semana. E um ar de 22mil Btus  para colocar no sótão ( onde ele vai fazer algum projeto) 
Mora nesse condomínio 4 anos 
Quer fazer parcelado  pediu orçamento para nós e maia uma empresa que também foi indicação, mas não recebeu o orçamento ainda.  
Hoje seu consumo chegou a R$1200 no pico de verão e R$500 nos meses de inverno. 
São em 4 pessoas, morando. Ele disse que um vizinho colocou o string ( não tem problema) , mas outro vizinho colocou micro inversor e disse ser melhor ( e ele disse que acredita que o intermediário pode atender )  Disse tbm que a maioria lá tem entre 8/9 módulos e estão com crédito sobrando. 
TEM AQUECIMENTO A GÁS ( GASTA +-R$300) FALAMOS SOBRE ISSO TBM 
rodrigoamterrarepresetacoes@yahoo.com.br  
10h
04/20/2025 23:27-ComparativoConta-[Bairro][Aberto]-[CBO][cadastro][20241120]
Quando Pretende Instalar: em_até_60_dias
Valor Médio da Conta: r$1.000
Telefone: 
+5521964652652
Cidade: Rio de Janeiro</t>
  </si>
  <si>
    <t>P0621</t>
  </si>
  <si>
    <t>P0622 - André Lima</t>
  </si>
  <si>
    <t>P0622</t>
  </si>
  <si>
    <t>André Lima</t>
  </si>
  <si>
    <t>andredilima@gmail.com</t>
  </si>
  <si>
    <t>R. Henrique de Vasconcelos</t>
  </si>
  <si>
    <t>20785-140</t>
  </si>
  <si>
    <t>Cachambi</t>
  </si>
  <si>
    <t>INFORMAÇÕES IMPORTANTES 
Ele tem uma loja que trabalha com hamburgueria e açaiteria no mesmo local 
Não pretende ter aumento de consumo. 
Ele é mei,  decide sozinho. Mora em apartamento também condomínio grande disse ele
A loja dele fica no térreo de um prédio onde a mãe mora no último andar onde ele pretende colocar. Disse que espaço é bem grande 
Hoje o consumo é entre R$900/R$1200
Cai o consumo agora nos meses mais frios e aumenta no verão por conta do ar condicionado 
04/15/2025 15:33-ComparativoConta-[Bairro][Aberto]-[CBO][cadastro][20241120]
Quando Pretende Instalar: imediato
Valor Médio da Conta: r$1.000
Telefone: 
+5521983239303
Cidade: Rio de Janeiro</t>
  </si>
  <si>
    <t>INFORMAÇÃO IMPORTANTES 
Está com o pai internado, indo lá todos os dias. Disse que ele está se recuperando 
Decide junto com o esposo
Fez outro orçamento, mas confessa que nem olhou ainda e está com as mensagens atrasadas.
Tem consumo de R$700/800 no meses mais frios e R$100/1300 nos meses mais quentes 
Trabalham de casa 
Vai instalar um ar na sala de 12.000 btus para usar 6h/dia no meses mais quentes 
E vai trocar um de 12 antigo por inverter
17h 
04/06/2025 23:20-ComparativoConta-[Bairro][Aberto]-[CBO][cadastro][20241120]
Quando Pretende Instalar: imediato
Valor Médio da Conta: acima_de_r$1.000
Telefone: 
+5521979719677
Cidade: Rio de Janeiro</t>
  </si>
  <si>
    <t>P0623 - ALESSANDRA RAMIREZ FOTOGRAFIA E SONORIZACAO.</t>
  </si>
  <si>
    <t>P0623</t>
  </si>
  <si>
    <t>ALESSANDRA RAMIREZ FOTOGRAFIA E SONORIZACAO.</t>
  </si>
  <si>
    <t>arfotografia.rj@outlook.com</t>
  </si>
  <si>
    <t>019 Condomínio Jardim Vila Isabel</t>
  </si>
  <si>
    <t>20551-100</t>
  </si>
  <si>
    <t>P0624 - Fabiana L.</t>
  </si>
  <si>
    <t>P0624</t>
  </si>
  <si>
    <t>Fabiana L.</t>
  </si>
  <si>
    <t>fabilopes34@gmail.com</t>
  </si>
  <si>
    <t>INFORMAÇÕES IMPORTANTES 
Fabiana mora em apartamento ( ainda não tem autorização para colocar sistema), acha que a maioria mora em apartamento
Seu esposo ficou desempregado, disse que não tem valor à vista, teria que ser financiado. Faz sentido pagar com parte o  sistema com parte da economia gerada 
Hoje seu consumo é R$500/700 nos meses mais quentes e R$300 nos meses mais frios 
Decide junto com o esposo 
Ela é autônoma 
Pretende instalar mais um ar de 12 para a filha 8h/dia nos meses mais quentes e usar um que já possui de 12 4h a mais nos finais de semana nos meses mais quentes 
fabilopes34@gmail.com 
12 4h nos finais 
12 8h nos meses mais quentes 
16h 
04/17/2025 04:12-ComparativoConta-[Bairro][Aberto]-[CBO][cadastro][20241120]
Quando Pretende Instalar: apenas_curiosidade
Valor Médio da Conta: r$500
Telefone: 
+5521992233396
Cidade: Rio de Janeiro</t>
  </si>
  <si>
    <t>P0625 - LUANA RANGEL DA CUNHA 09070139707</t>
  </si>
  <si>
    <t>P0625</t>
  </si>
  <si>
    <t>LUANA RANGEL DA CUNHA 09070139707</t>
  </si>
  <si>
    <t>rangelluanacunha@gmail.com</t>
  </si>
  <si>
    <t>Osvaldo Cruz, Rio de Janeiro</t>
  </si>
  <si>
    <t>Osvaldo Cruz</t>
  </si>
  <si>
    <t>INFORMAÇÕES IMPORTANTES 
Luana disse que trabalha com pratos prontos saudáveis ( fit ou fitness)
Tem muita concorrência e no momento não tem muita demanda 
Tem filho pequeno 
Gosta de postar, mas não investe em marketing para atrair clientes
Gostaria de voltar a ligar seu freezer 24h para colocar seus materiais de trabalho
Hoje a conta vem R$200/300 meses frios e R$500 nos meses mais quentes 
11h
24h freezer 
Nome Fantasia:
Razão Social: LUANA RANGEL DA CUNHA 09070139707
CNPJ: 19.688.309/0001-44
/ Fabricação de alimentos e pratos prontos/ Empresário (Individual)/ MATRIZ/ ME/ DE R$ 50 MIL ATÉ R$ 100 MIL/ ATE 9 FUNCIONARIOS
Data da Criação: 10/02/2014
Endereço: RUA AREQUIPA, 289, ROCHA MIRANDA, RIO DE JANEIRO, 21540420
Telefones: 2120274553/ 2130150307/ / N/ N/ N
Email: rangelluanacunha@gmail.com/ lukarang2010@hotmail.com/
Sócio: LUANA RANGEL DA CUNHA - 090.701.397-07
Telefones: 21964307892Y/ N/ N/ 2124501527/ /
Email: lukarang2010@hotmail.com/ rangelluanacunha@gmail.com</t>
  </si>
  <si>
    <t>P0626</t>
  </si>
  <si>
    <t>norbertocomercial@gmail.com</t>
  </si>
  <si>
    <t>Santo Cristo, Rio de Janeiro</t>
  </si>
  <si>
    <t>INFORMAÇÕES IMPORTANTES 
norbertocomercial@gmail.com 
Consumo vem R$500 nos meses mais frios  e no pico de verão R$800.
Não pretende ter aumento de consumo, já usa como gostaria
É o primeiro contato, mora em um prédio pequeno com 6 apartamentos e ele que é o sindico, ele quer saber como funciona. 
04/15/2025 15:51-ComparativoConta-[Bairro][Aberto]-[CBO][cadastro][20241120]
Quando Pretende Instalar: imediato
Valor Médio da Conta: r$800
Telefone: 
+5521991400909
Cidade: Rio de Janeiro</t>
  </si>
  <si>
    <t>P0627 - Maicon da Silvinha</t>
  </si>
  <si>
    <t>P0627</t>
  </si>
  <si>
    <t>Maicon da Silvinha</t>
  </si>
  <si>
    <t>INFORMAÇÕES IMPORTANTES 
É indicação de Flora e Hélio
Tem consumo entre R$500/800 chega a R$1000 no meses mais quentes 
São 4 pessoas na casa. Tem dois aparelhos de ar condicionado e querem mais 2 entre7500 e 9000 Btus para serem usados 8h/noite para dormir e um pouco de dia nos meses mais quentes 
Acredita ter 50m2 de espaço de telhado</t>
  </si>
  <si>
    <t>INFORMAÇÕES IMPORTANTES 
Disse que já diversificou bastante e que na pandemia teve que se virar nos 30 
Hoje trabalha com eventos, na parte sonorização em aniversários 15 anos, casamentos etc 
Tem grande rotina administrativa 
Disse que não tem dinheiro para investir em energia solar, mas consegue pagar a conta de luz ( falamos sobre financiamento) 
1º contato 
Disse que trabalha em casa com telhado 
Alta temporada R$700/1000 e baixa temporada  já pagou R$200
Como trabalha com eventos ( sempre estará ocupadas aos finais de semana, de forma generalista) 
14h 07/05 
Nome Fantasia: ALESSANDRA RAMIREZ FOTOGRAFIA E SONORIZACAO.
Razão Social: ALESSANDRA RAMIRES FOTOGRAFIA E SONORIZACAO LTDA
CNPJ: 19.920.564/0001-70
/ Fabricação de alimentos e pratos prontos/ Sociedade Empresária Limitada/ MATRIZ/ ME/ ATÉ R$ 50 MIL/ ATE 9 FUNCIONARIOS
Data da Criação: 20/03/2014
Endereço: RUA ENGENHEIRO GAMA LOBO, 650, CASA 01, VILA ISABEL, RIO DE JANEIRO, 20551100
Telefones: 2125779036/ / / 21994826373Y/ N/ N
Email: arfotografia.rj@outlook.com/ /
Sócio: ALESSANDRA RAMIRES - 052.156.537-55
Telefones: 21994826373Y/ N/ N/ 2133413087/ 2133818605/
Email: arfotografia.rj@outlook.com/ alessandraramires1@hotmail.com não existe</t>
  </si>
  <si>
    <t>P0628 - [TESTE] Mariana Monteiro</t>
  </si>
  <si>
    <t>P0628</t>
  </si>
  <si>
    <t>[TESTE] Mariana Monteiro</t>
  </si>
  <si>
    <t>mariana@asv.digital</t>
  </si>
  <si>
    <t>pep</t>
  </si>
  <si>
    <t>pep123</t>
  </si>
  <si>
    <t>pedro paulo</t>
  </si>
  <si>
    <t>Estr. da Boiúna, 1133</t>
  </si>
  <si>
    <t>22723-019</t>
  </si>
  <si>
    <t>INFORMAÇÕES IMPORTANTES 
Casa com telhado sobrado ( dele, esposa e embaixo filha e marido) 
No pico de verão R$1300 no pico de verão e R$800 nos meses mais frios 
Filha mora embaixo disse que o consumo vem entorno de 70% do que vem. R$600 média
Disse que ainda não falou com a filha e genro sobre isso, quer dois estudos um para ambas as casas e um somente para ele ( a conta da filha está no nome do genro, falamos que transferir é tranquilo) 
Ele é aposentado, mora ele a esposa em cima 
Não pretende consumir mais 
Pretende ter o carro, mas para frente. ( bem para o futuro) 
jorgeacostacorreia@gmail.com 
11h  23/04 
04/20/2025 19:06-ComparativoConta-[Bairro][Aberto]-[CBO][cadastro][20241120]
Quando Pretende Instalar: em_até_60_dias
Valor Médio da Conta: r$800
Telefone: 
+5521998878607
VT: Estr. da Boiúna, 1133, Casa 38 - Taquara Cidade: Rio de Janeiro</t>
  </si>
  <si>
    <t>P0629 - Larissa Hirdes</t>
  </si>
  <si>
    <t>P0629</t>
  </si>
  <si>
    <t>Larissa Hirdes</t>
  </si>
  <si>
    <t>larissa.hirdes@gmail.com</t>
  </si>
  <si>
    <t>Condomínio do Edifício Omega</t>
  </si>
  <si>
    <t>20521-160</t>
  </si>
  <si>
    <t>INFORMAÇÕES IMPORTANTES 
Gostaria de usar o ar do seu escritório home office 10.000Btus  4h a mais   DE SEG E SEXTA nos meses mais quentes  
É o 1º contato, não sabe como funciona. Disse que seu apartamento fica abaixo da cobertura, mas tem muitas opções te telhado na família que seria uma possibilidade. 
Já foi sindica e decide sozinha pelo investimento
APARTAMENTO ainda não tem autorização no telhado do prédio ( disse que temos várias soluções, a partir de 10% até 90%)
Consumo gira em torno de R$600 até R$1400 no pico de verão ( nunca ficou abaixo disso) 
larissa.hirdes@gmail.com
06/05 14h 
05/03/2025 08:10-ComparativoConta-[Bairro][Aberto]-[CBO][cadastro][20241120]
Quando Pretende Instalar: apenas_curiosidade
Valor Médio da Conta: r$600
Telefone: 
+5521984584366
Cidade: Rio de Janeiro</t>
  </si>
  <si>
    <t>P0456</t>
  </si>
  <si>
    <t>R. José Higino, 176</t>
  </si>
  <si>
    <t>20520-202</t>
  </si>
  <si>
    <t>10/25/2024 08:04-AD01 - Criativo Registro-Conj 22-65 [aberto] Bairros-Leads [cadastro] CBO 1609 V0
Quando Pretende Instalar: apenas_curiosidade
Valor Médio da Conta: 6k
Telefone: 21982733629
+5521982733629
Cidade: Rio de Janeiro
sociedade espirita Ramatis José egino e Maria Amália 
Vivem de doação 
Ar condicionado direto 
Ele disse que não é decisor. Outros que eles viram ficou muito caro
Só está fazendo a ponte 
ramatis@ramatis.com.br aos cuidados de Ramalho gerente 
Miriam</t>
  </si>
  <si>
    <t>vieira@previnasaude.com.br</t>
  </si>
  <si>
    <t>R. Flordelice, 467</t>
  </si>
  <si>
    <t>22753-800</t>
  </si>
  <si>
    <t>INFORMAÇÕES IMPORTANTES 
Vieira finalizou a obra, tudo pronto para seguir
Disse que não teve alteração de consumo, atualizar estudo pelos mesmo valores e marcar a VT ainda essa semana. 
Disse que a rua fica no Anil rua Flordelice 467 ( Freguesia/ Jacarepaguá) Não achei no mapa 
ATENÇÃO PARA A VT ele disse que era 467 o nº, mas a prefeitura mudou para 471. Não soube me sinalizar no mapa diferença de 1 quarteirão.
conta entre R$900 e R$1000 ( refazer pelo que já tem, mas para atualizar valores) 
Queria fazer a visita técnica direto
vieira@previnasaude.com.br
8h
Veio pelo grupo do bosque dos esquilos.
Falei com o lead e foi um pouco "grosseiro" em relação ao assunto de energia solar
Disse para mandarmos proposta, e após isso em outra ligação questionou o porquê de não termos enviado ainda a proposta comercial</t>
  </si>
  <si>
    <t>P0630 - Ingrid</t>
  </si>
  <si>
    <t>P0630</t>
  </si>
  <si>
    <t>Ingrid</t>
  </si>
  <si>
    <t>ingrid.souza_adm@hotmail.com</t>
  </si>
  <si>
    <t>Inhoaíba, Rio de Janeiro</t>
  </si>
  <si>
    <t>Inhoaíba</t>
  </si>
  <si>
    <t>INFORMAÇÕES IMPORTANTES 
Casa com telhado 
Não decide sozinha. Disse que são 5 na casa. 
1º contato. Voltou de viagem do Rio Grande do Sul e seus amigos ( todos lá possuem e ficam com tudo ligado direto ) Ela achou isso um máximo e quer também. 
São 3 quartos, não soube projetar a potência certinho, tem um de janela antigo acredito que 7500, mais 2 inverter de 9 ou 12, e um na sala que ela disse ser um pouco maior. Hoje a conta está vindo R$470 sem ligar nada. Disse que gostaria de ligar os dos quartos para dormir umas 8h/noite nos meses mais quentes e o da sala umas 3h aos finais de semana também nos meses mais quentes 
7500 8h
12 2x  8h 
sala 18 3 h 
ingrid.souza_adm@hotmail.com  07/05 17h
05/06/2025 12:41-ComparativoConta-[Bairro][Aberto]-[CBO][cadastro][20241120]
Quando Pretende Instalar: em_até_60_dias
Valor Médio da Conta: r$500
Telefone: 
21974425544
Cidade: Rio de janeiro</t>
  </si>
  <si>
    <t>P0456 - GUSTAVO VIEIRA</t>
  </si>
  <si>
    <t>GUSTAVO VIEIRA</t>
  </si>
  <si>
    <t>P0631 - Vitor Lovisaro</t>
  </si>
  <si>
    <t>P0631</t>
  </si>
  <si>
    <t>Vitor Lovisaro</t>
  </si>
  <si>
    <t>vitor.lj@hotmail.com</t>
  </si>
  <si>
    <t>R. Joaquim Pinheiro, 215</t>
  </si>
  <si>
    <t>22743-660</t>
  </si>
  <si>
    <t>P0632 - Luiz Felipe Mendes Vieira - Magic Garden House</t>
  </si>
  <si>
    <t>P0632</t>
  </si>
  <si>
    <t>Luiz Felipe Mendes Vieira - Magic Garden House</t>
  </si>
  <si>
    <t>INFORMAÇÕES IMPORTANTES
Colocou com a Natural Energi que não existe mais 
Nunca fez manutenção preventiva e nem limpeza 
Tem o sistema a 3 anos 
São 2 micro inversores HOYMILES  com 8 placas de 550w 
o aplicativo está funcionando, disse que parece que uma das placas está gerando menos que as demais, fora isso parece está tudo ok. Não tem nada para fazer sombreamento no local 
Casa com dois andares e telhado de cerâmica</t>
  </si>
  <si>
    <t>INFORMAÇÕES IMPORTANTES 
Disse que está com orçamento para instalar ainda esse semestre
Fez  outros estudos 
Perguntei como chegou até a Cactos e ele não respondeu 
O Vitor é subsindico
Ele disse que quer tentar fazer no telhado e não fazer como cobertura para os carros. 
Mandou um um vídeo que parece de drone e um desenho de onde pode colocar as placas 
Optou pelo microinversor.
VT R. Joaquim Pinheiro, 215 - Ap. 401 - Jacarepaguá, Rio de Janeiro - RJ, 22743-660</t>
  </si>
  <si>
    <t>P0633 - Carlos Augusto</t>
  </si>
  <si>
    <t>P0633</t>
  </si>
  <si>
    <t>Carlos Augusto</t>
  </si>
  <si>
    <t>carlosaugusto.et@gmail.com</t>
  </si>
  <si>
    <t>R. Miguel de Frias, 48</t>
  </si>
  <si>
    <t>24220-002</t>
  </si>
  <si>
    <t>INFORMAÇÕES IMPORTANTES  
Foi indicado pelo tio do Guilherme 
É para condomínio Ed Rogério/ Icaraí Niterói
Carlos é o sindico, pensa em de repente não usar o caixa e sim fazer um financiamento pelo Itaú que tem crédito pré aprovado
Mora na cobertura desse prédio, disse que lá cabem 14 módulos também caso precise e seu consumo é de R$600
Consumo do condomínio gira em torno de R$2800 a  R$3100 no pico do verão 
É do GRUPO A
Ed Rogério rua miguel de frias 48 
carlosaugusto.et@gmail.com
10h</t>
  </si>
  <si>
    <t>P0634 - José Ricardo Prado</t>
  </si>
  <si>
    <t>P0634</t>
  </si>
  <si>
    <t>José Ricardo Prado</t>
  </si>
  <si>
    <t>jrprado2016@gmail.com</t>
  </si>
  <si>
    <t>INFORMAÇÕES IMPORTANTES 
Já tem um de janela que usa a noite nos meses mais quentes e gostaria de ligar 4h a mais nos meses de verão
Vai instalar mais um de janela que também ficará ligado de 18h as 6h nos meses mais quentes  
A conta mês passado veio R$900. Nunca ficou abaixo de R$500
Ele trabalha com salgado e vai usar o forno para isso
Ele acredita que tem uns 50m2 de telhado 
1º contato com solar 
Se estiver dentro do seu orçamento não vai ficar barganhando preço. Disse que nos viu na internet e gostou 
forno elétrico 4h 4x na semana 
jrprado2016@gmail.com 
05/14/2025 23:20-ComparativoConta-[Bairro][Aberto]-[CBO][cadastro][20241120]
Quando Pretende Instalar: em_até_30_dias
Valor Médio da Conta: r$800
Telefone: 
+5521999175772
Cidade: RIO DE JANEIRO</t>
  </si>
  <si>
    <t>P0635 - Romulo Ricardo</t>
  </si>
  <si>
    <t>P0635</t>
  </si>
  <si>
    <t>Romulo Ricardo</t>
  </si>
  <si>
    <t>romuloricardo1000@gmail.com</t>
  </si>
  <si>
    <t>INFORMAÇÕES IMPORTANTES 
Mora nessa casa há 2 anos tem um ar de 18 que usa com a esposa 
Vai colocar no quarto das crianças ( tem um CASAL COM MENOS DE 12 ANOS) mais dois aparelhos de 9.000 Btus  que serão usados 12h a noite nos meses mais quentes 
Sonho Maria Aline está fazendo curso de estética ( começou agora e vai fazer um espaço para ela atender) em 2 anos. Pretende usar essa economia para investir nesse sonho da esposa/família
Tem consumo de R$900 reais. 
1º contato com solar, está pesquisando 
romuloricardo1000@gmail.com
10h
05/16/2025 05:58-ComparativoConta-[Bairro][Aberto]-[CBO][cadastro][20241120]
Quando Pretende Instalar: em_até_60_dias
Valor Médio da Conta: r$900
Telefone: 
+5521985010858
Cidade: Rio de janeiro</t>
  </si>
  <si>
    <t>P0636 - Juliana Fernandes</t>
  </si>
  <si>
    <t>P0636</t>
  </si>
  <si>
    <t>Juliana Fernandes</t>
  </si>
  <si>
    <t>julianaliroza@gmail.com</t>
  </si>
  <si>
    <t>Rio de Janeiro, RJ</t>
  </si>
  <si>
    <t>neiro, RJ</t>
  </si>
  <si>
    <t>INFORMAÇÕES IMPORTANTES 
1º contato com solar. Tem uma amiga que possui sistema, conhece um pouco, quer saber como funciona. 
Hoje ela mora de aluguel, falamos sobre colocar em em casa de parente e ela achou ótimo essa possibilidade. Ela está de mudança. 
julianaliroza@gmail.com 
Hoje ela acredita que uma média R$800/mês vai atender sua demanda 
Decide com esposo 
05/16/2025 07:05-ComparativoConta-[Bairro][Aberto]-[CBO][cadastro][20241120]
Quando Pretende Instalar: em_até_30_dias
Valor Médio da Conta: r$800
Telefone: 
+5521964374781
Cidade: Rio de Janeiro</t>
  </si>
  <si>
    <t>P0637 - RARO BAR E GRILL</t>
  </si>
  <si>
    <t>P0637</t>
  </si>
  <si>
    <t>RARO BAR E GRILL</t>
  </si>
  <si>
    <t>R. Voluntários da Pátria, 448</t>
  </si>
  <si>
    <t>22270-018</t>
  </si>
  <si>
    <t>Botafogo</t>
  </si>
  <si>
    <t>INFORMAÇÕES IMPORTANTES 
Acabou de assinar mercado livre de energia com a Delta energia 
Tem consumo de 110k 
Tem um terreno de 2300m2 em Campo Grande
Disse que já pensou sobre em algum momento, mas não achou empresa. 
Quer saber quanto consegue reduzir nesse terreno. 
Nome Fantasia: RARO BAR E GRILL
Razão Social: SORVETERIA PINGO D OURO LTDA
CNPJ: 28.150.662/0001-67
/ Restaurantes e similares/ Sociedade Empresária Limitada/ MATRIZ/ ME/ DE R$ 5 MM ATÉ R$ 10 MM/ DE 10 A 49 FUNCIONARIOS
Data da Criação: 05/11/1982
Endereço: RUA VOLUNTARIOS DA PATRIA, 448, BOX LJ EXT17E 450LJ A, BOTAFOGO, RIO DE JANEIRO, 22270010
Telefones: 2125523393/ / / N/ N/ N
Email: qualidade@farinhapura.com.br/ diretoria@farinhapura.com.br/ marketing@farinhapura.com.br
Sócio: ROGERIO RODRIGUEZ VIDIGAL - 098.622.457-00
Telefones: 21987730965Y   Atendeu uma mulher / 21999584292Y/ N/ 2135560221/ 2132398000/ 2122572958
Email: mkinpink@hotmail.com/
Sócio: OLAVO SOUSA DOS SANTOS - 591.722.744-68
Telefones: 21981672835Y/ 21981309165Y/ N/ 2122099869/ /
Email: olavossantos2010@hotmail.com/ olavo.sousa@pocao.com.br
Sócio: CARLOS ROGERIO RODRIGUES DOS SANTOS - 448.239.833-00
Telefones: 21979491843Y/ 21982881842Y/ 21975074832N/ 2131539408/ 2138785303/
Email: magnotubarao@gmail.com/ santos.carlosrogerio@ig.com.br</t>
  </si>
  <si>
    <t>P0638 - Ece-Essencial Centro Educacional LTDA</t>
  </si>
  <si>
    <t>P0638</t>
  </si>
  <si>
    <t>Ece-Essencial Centro Educacional LTDA</t>
  </si>
  <si>
    <t>R. Conde d'Eu, 126</t>
  </si>
  <si>
    <t>22611-050</t>
  </si>
  <si>
    <t>INFORMAÇÕES IMPORTANTES 
Ivan disse que está pagando custos e impostos desde a pandemia 
Hoje enfrenta problema como inadimplência com a mensalidades 
Seu consumo gira em média R$1000 e às vezes vem R$700
Disse que não tem caixa para investimento reservado, nunca fez estudo antes 
ivan.firmo@hotmail.com
Nome fantasia Essencial Creche Escola
Sócios 
Ivan Firmo Pereira - Sócio-Administrador
Liria Valverde Knutti Robledo - Sócio-Administrador
Marynes Meirelles - Sócio-Administrador</t>
  </si>
  <si>
    <t>P0639 - Fabro Paes Ltda</t>
  </si>
  <si>
    <t>P0639</t>
  </si>
  <si>
    <t>Fabro Paes Ltda</t>
  </si>
  <si>
    <t>Av. das Américas, 7907</t>
  </si>
  <si>
    <t>22793-081</t>
  </si>
  <si>
    <t>Rogério do mesmo Lead - RARO BAR E GRILL, informou que possui outra empresa e deseja fazer o sistema para essa outra empresa, pretende incluir a família no sistema, somando as contas da empresa e da família deve ficar em 20K de conta.
Pretende usar o terreno da família para colocar os sistema porque moram em apartamento.</t>
  </si>
  <si>
    <t>P0640 - CEVADAS S.A</t>
  </si>
  <si>
    <t>P0640</t>
  </si>
  <si>
    <t>CEVADAS S.A</t>
  </si>
  <si>
    <t>marciaquelhas@uol.com.br</t>
  </si>
  <si>
    <t>Av. das Américas, 17501</t>
  </si>
  <si>
    <t>22790-703</t>
  </si>
  <si>
    <t>INFORMAÇÕES IMPORTANTES 
Disse que pesquisou faz um tempo e na época tinha ficado uns 22k, ela falou sobre guardar créditos 
É proprietária da Cevadas lá tem um consumo de 12k, mas ela não pode usar o telhado do prédio ( acha que lá é grupo A) Pode ser nossa cliente do ML
Tem 90m2 na sua casa, hoje sua conta vem R$700 e R$1000, e já chegou a R$1200 no pico de verão 
Pediu para fazer estudo pelo consumo da sua residência e caso haja interesse, poderemos ampliar isso. Perguntou sobre mandar créditos para outras casas, perguntou quanto tempo temos de empresa ( falei da experiência total) 
marciaquelhas@uol.com.br 
18h
Nome Fantasia: CEVADAS S.A
Razão Social: BIRITIKIM BAR E RESTAURANTE LTDA.
CNPJ: 07.142.426/0001-29
/ Restaurantes e similares/ Sociedade Empresária Limitada/ MATRIZ/ EPP/ DE R$ 2 MM ATÉ R$ 5 MM/ DE 10 A 49 FUNCIONARIOS
Data da Criação: 17/12/2004
Endereço: R ALIOMAR BALEEIRO, 645, LJ A B C, RCR DOS BANDEIRANTES, RIO DE JANEIRO, 22790550
Telefones: 2125657334/ 2124905000/ 2124712531/ 21992325813Y/ 21993833681Y/ 21970001253Y
Email: administrativocevadas@bol.com.br/ leobetton@uol.com.br/ reservas@cevadassa.com.br
Sócio: MARCIA QUELHAS MUSSAUER - 013.060.557-33
Telefones: 21981219251Y/ 21981666852Y/ 21983736688N/ 2125910868/ 2122613568/
Email: marciaquelhas@uol.com.br/ lopessuzana001@gmail.com</t>
  </si>
  <si>
    <t>P0539 - PAULO FABIANO IGREJA DAS FONTES</t>
  </si>
  <si>
    <t>PAULO FABIANO IGREJA DAS FONTES</t>
  </si>
  <si>
    <t>INFORMAÇÕES IMPORTANTES 
Levou um susto com o valor da conta, seu Vizinho Hebert, nos indicou. 
Ele quem decide. Não queria Meet. Ele disse que já comprou várias coisas que as  pessoas mandaram o vídeo, ele gostou, e foi ( ele disse que realmente teve sorte e que nunca teve problema), avisei que faria todo sentido. 
Não tem pretende aumento de aumento de consumo, pelo contrário deve reduzir algumas luminárias que tem 4 lâmpadas e 8 lâmpadas, vai arrancar tudo. 
Disse que seu telhado é virado para outro lado diferente do Herbet e que disse que tem uma área coberta muito maior do que o vizinho 
Ele é pá pum
Talvez caso sobre ele possa mandar para o pai. A princípio somente para ele. 
Microinversor</t>
  </si>
  <si>
    <t>P0641 - LANCHONETE CAMACHA LTDA</t>
  </si>
  <si>
    <t>P0641</t>
  </si>
  <si>
    <t>LANCHONETE CAMACHA LTDA</t>
  </si>
  <si>
    <t>j3adm@yahoo.com.br</t>
  </si>
  <si>
    <t>Estrada da Barra da Tijuca, 18</t>
  </si>
  <si>
    <t>22611-202</t>
  </si>
  <si>
    <t>INFORMAÇÕES IMPORTANTES 
Falei com um dos sócios João Francisco Andrade Gomes que é adm junto com a Fernanda 
Disse que a conta vem em média 10/12k 
Nunca fizeram estudo para reduzir esse custo e disse que seria ótimo ter essa redução 
No QSA tem mais decisores, mas esses dois que vão participar da reunião que cuidam da parte financeira.
Nome Fantasia:
Razão Social: LANCHONETE CAMACHA LTDA
CNPJ: 33.585.019/0001-04
/ Restaurantes e similares/ Sociedade Empresária Limitada/ MATRIZ/ ME/ DE R$ 2 MM ATÉ R$ 5 MM/ DE 10 A 49 FUNCIONARIOS
Data da Criação: 09/02/1967
Endereço: ESTRADA DA BARRA DA TIJUCA, 18, LOJA A, BARRA DA TIJUCA, RIO DE JANEIRO, 22611202
Telefones: 2124930636/ 2125330918/ 2124930776/ 21978302435N/ N/ N
Email: camachaltda@hotmail.com/ robertarj@hotmail.com/ wbrando@icloud.com
Sócio: JOAO ROGERIO DE MESQUITA - 600.428.937-04
Telefones: 21982408810Y/ 21995328729N/ N/ 2131790692/ 2124930776/ 2124916778
Email: simone.mesquitarj@hotmail.com/ lhmesquita@hotmail.com
Sócio: ANGELA MARIA CECILIO BORBA - 965.834.877-72
Telefones: N/ N/ N/ / /
Email: marcos_vcb@hotmail.com/ wbrando@icloud.com
Sócio: MARCOS VINICIUS CECILIO BORBA - 123.892.017-92
Telefones: 21983935252Y/ N/ N/ / /
Email: marcos.vborba@hotmail.com/ markos.borba@gmail.com</t>
  </si>
  <si>
    <t>P0642 - Renato Silva Baptista</t>
  </si>
  <si>
    <t>P0642</t>
  </si>
  <si>
    <t>Renato Silva Baptista</t>
  </si>
  <si>
    <t>INFORMAÇÕES IMPORTANTES 
Hoje só usa ventilador e deseja colocar um ar de 9000 para ficar ligado 24h nos meses mais quentes 
CASA 
Fala BASTANTE. 
Jacarapaguá R$350
Quer pelo menos 3 estudos, somos os primeiros, disse que ainda não recebeu outros estudos. 
Tem piscina, duas pessoas 
4 quartos. Telha de argila neocolonial Falou muito sobre o telhado
rsb7rj@gmail.com  17h
05/24/2025 18:14-ComparativoConta-[Bairro][Aberto]-[CBO][cadastro][20241120]
Quando Pretende Instalar: apenas_curiosidade
Valor Médio da Conta: r$500
Telefone: 
+5521992849831
Cidade: Rio de Janeiro</t>
  </si>
  <si>
    <t>P0621 - Greice de Meneses Machado Coda</t>
  </si>
  <si>
    <t>Greice de Meneses Machado Coda</t>
  </si>
  <si>
    <t>greice@adlaseguros.com.br</t>
  </si>
  <si>
    <t>Mãe da esposa do Vinícius (Camila)
Fatura estava em nome do pai dela (alcides) passou de 466 em mar/24 para 611 em mar/25 aumento de 31% percebido a partir de Fev/25
Colocar o máximo que couber no telhado, o excedente será enviado para a filha dele (Greice)
Greice de Meneses Machado coda
Cpf 00835769755
Endereço rua Oswaldo Lussac 165 cs 2 ( confirma com a Camila na conta )
Cep não sei ver na conta 
E-mail greice@adlaseguros.com.br
Nasc 01/08/1969
Nacionalidade brasileira</t>
  </si>
  <si>
    <t>08484591727</t>
  </si>
  <si>
    <t>INFORMAÇÕES IMPORTANTES 
É indicação de Luiz Borges ( disse que ela irmão dele...) 
Quer fazer um sistema para ele e para o irmão 
Ele tem consumo entre R$1200 a R$1500 e pretende colocar mais dois aparelhos de ar condicionado de 24 para serem comados ao uso nos meses mais quentes 5/dia
Irmão tem consumo médio de R$1000/mês  o ano inteiro. Ele disse que o irmão não pode colocar no telhado dele
Contato é Marcus Drumond
Nome •⁠ Alessandra Lopes de Souza Drumond
CPF •⁠ ⁠084.845.917-27
RG: 123248726
Data de nascimento •⁠ ⁠26.03.1979
e-mail •⁠ ⁠ marcus.v.drumond@gmail.com
⁠Estado civil . Casada
⁠Endereço •⁠ Rua Franz Post, 1506 - Freguesia - jacarepagua - RJ - CEP 22.745-080
Beneficiários:
Felipe Rodrigues Drumond
Código da Instalação: 0414786898
Rua Vale da Serra, SN, Lt 17, QD G Anil / Rio de Janeiro - RJ - Cep: 22755-360
Elizeu Oliveira Drumond
Código da Instalação: 412101105
Rua São João Gualberto, 127 - Ap 501 - Vila da Penha / Rio de Janeiro RJ - Cep: 21221-380
Dados para acessar a Light
CPF 08484591727
E-mail: marcus.v.drumond@gmail.com
Senha : @Danielesophia01</t>
  </si>
  <si>
    <t>59068329715</t>
  </si>
  <si>
    <t>INFORMAÇÕES IMPORTANTES 
É indicação da mãe do Vinícius. 
Já utiliza tudo como precisa, tem uma árvore na frente da casa que faz sombreamento, mas que pode ser podada 
Perguntou se seu telhado aguenta as placas
Está em obra 
Disse que para bia que está pesquisando, fazer matriz de ganhos e perdas ( expor o que ela tem na mesa) 
Equipamento Microinversor
Pagamento no boleto com +- 60% para o material, 20% quando chegar o material e o restante quando finalizar a instalação.
Beneficiário:
Augusto Carlos Maciel Saraiva
CPF: 061.720.904-96
Instalação: 0412315451
Rua Bombina, 146 Ap 706, Botafogo / Rio de Janeiro, RJ - Cep: 22251-050</t>
  </si>
  <si>
    <t>P0643</t>
  </si>
  <si>
    <t>INFORMAÇÕES IMPORTANTES 
EST DO PAU FERRO 654 CA 25 LT 2 FREGUESIA 
É indicação da Patrícia ( vizinho dela) 
Não pretende ter aumento de consumo
Busca usar tudo que possui na casa e economizar</t>
  </si>
  <si>
    <t>HUASUN</t>
  </si>
  <si>
    <t>HS-21 OR-B132 - DS610</t>
  </si>
  <si>
    <t>https://belenus.com.br/api/arquivo/download/DATASHEET_MFHU_1.2_HJ_132_610W.pdf</t>
  </si>
  <si>
    <t>99% de eficiência no primeiro ano e 88% no ano 30.</t>
  </si>
  <si>
    <t>P0644 - CICEROS BAR</t>
  </si>
  <si>
    <t>P0644</t>
  </si>
  <si>
    <t>CICEROS BAR</t>
  </si>
  <si>
    <t>cicerosbar2restaurante@gmail.com</t>
  </si>
  <si>
    <t>19209983000107</t>
  </si>
  <si>
    <t>Av. Isabel Domingues, 970</t>
  </si>
  <si>
    <t>22763-627</t>
  </si>
  <si>
    <t>Gardênia Azul</t>
  </si>
  <si>
    <t>INFORMAÇÕES IMPORTA
São 3 unidades de restaurantes
 Somente um tem telhado os demais não possuem telhado
Hoje a média de consumo é de 15k por unidade 
Joselma disse que nunca fez estudo para reduzir esse custo e acha muito importante qualquer redução para a empresa é valida
Nome Fantasia: CICEROS BAR
Razão Social: CICEROS BAR E RESTAURANTE LTDA
CNPJ: 19.209.983/0001-07
/ Restaurantes e similares/ Sociedade Empresária Limitada/ MATRIZ/ ME/ DE R$ 2 MM ATÉ R$ 5 MM/ ATE 9 FUNCIONARIOS
Data da Criação: 05/11/2013
Endereço: AVENIDA ISABEL DOMINGUES, 325, LOJA, GARDENIA AZUL, RIO DE JANEIRO, 22763627
Telefones: 2134135978/ 2132213838/ / N/ N/ N
Email: josecarlosjunger@yahoo.com.br/ /
Sócio: LIDUINA PAIVA PIRES BARBOSA - 006.029.887-13
Telefones: 21969612999Y/ 21994534664Y/ 21983861742N/ 2134135978/ 2132838682/ 2133221949
Email: liduinapaula-araujobarbosa@yahoo.com.br/ liduina_pires@hotmail.com
Sócio: ANTONIO CICERO BARBOSA - 827.780.607-82
Telefones: 21969782410Y/ 21970445594Y/ 21992781701Y/ 2134135978/ 2133221949/ 2124278690
Email: cicerosbar2restaurante@gmail.com/ luanab_barbosa@hotmail.com</t>
  </si>
  <si>
    <t>P0645</t>
  </si>
  <si>
    <t>P0646 - Sidney Gomes</t>
  </si>
  <si>
    <t>P0646</t>
  </si>
  <si>
    <t>Sidney Gomes</t>
  </si>
  <si>
    <t>sgm.marins@gmail.com</t>
  </si>
  <si>
    <t>Inhaúma, Rio de Janeiro</t>
  </si>
  <si>
    <t>Inhaúma</t>
  </si>
  <si>
    <t>INFORMAÇÕES IMPORTANTES 
Duas casas com terraço apenas um relógio 
Tem dois filhos adultos que decidem também, mas não possuem flexibilidade de horário ( um militar e outro trabalha em hospital por plantão 
Esposa Gisele é professora e trabalha até 16h, então agendei ele e a esposa
Eles FAZEM CÚPULA PARA DECIDIR AS COISAS SOBRE O QUE ADQUIREM E DESDE PEQUENO ELE ENSINA PLANEJAMENTO FINANCEIRO. 
R$600 de média 
sgm.marins@gmail.com 
trisfásico 
06/04/2025 01:07-ComparativoConta-[Bairro][Aberto]-[CBO][cadastro][20241120]
Quando Pretende Instalar: em_até_60_dias
Valor Médio da Conta: r$600
Telefone: 
+5521994507300
Cidade: Rio de Janeiro</t>
  </si>
  <si>
    <t>P0647 - Gisah Moreno</t>
  </si>
  <si>
    <t>P0647</t>
  </si>
  <si>
    <t>Gisah Moreno</t>
  </si>
  <si>
    <t>Rua Conde de Baependi, 134</t>
  </si>
  <si>
    <t>22231-140</t>
  </si>
  <si>
    <t>Flamengo</t>
  </si>
  <si>
    <t>INFORMAÇÕES IMPORTANTES 
Tem 69 anos, mora sozinha, não possui outro local para colocar o sistema 
Tem vindo R$400 a conta dela. Ela pediu um estudo para ela e outro equivalente 6 apartamentos com o mesmo consumo
6  80m2
CONDE DE PAIPENDI 134 
3000
moreno.gisah@gmail.com 
06.06 15h  
06/03/2025 15:49-ComparativoConta-[Bairro][Aberto]-[CBO][cadastro][20241120]
Quando Pretende Instalar: apenas_curiosidade
Valor Médio da Conta: r$500
Telefone: 
+5521997771956
Cidade: Malabo</t>
  </si>
  <si>
    <t>ivan.firmo@hotmail.com</t>
  </si>
  <si>
    <t>17393113000105</t>
  </si>
  <si>
    <t>rcfavelar@hotmail.com</t>
  </si>
  <si>
    <t>P0648 - Cassius Duque estrada</t>
  </si>
  <si>
    <t>P0648</t>
  </si>
  <si>
    <t>Cassius Duque estrada</t>
  </si>
  <si>
    <t>INFORMAÇÕES IMPORTANTES 
Está comprando uma casa no Condomínio Magic Garden Houses e nos indicaram 
Corretora Liz que indicou 
500Kwh até 600 acredita que vá atender 
Disse que decide sozinho e depois com a esposa 
cassiusrde@gmail.com  11.06 10:30 
Pega as chaves da casa nova e mudança em 15 dias
Tem 4 aparelhos antigos e na casa nova serão 4 novos splip mais econômicos</t>
  </si>
  <si>
    <t>P0649 - Paula</t>
  </si>
  <si>
    <t>P0649</t>
  </si>
  <si>
    <t>Paula</t>
  </si>
  <si>
    <t>paula86jordao@gmail.com</t>
  </si>
  <si>
    <t>Cosmos, Rio de Janeiro</t>
  </si>
  <si>
    <t>INFORMAÇÕES IMPORTANTES 
Paula ainda não tem relógio, disse que a light está vindo e por ter ar condicionado e pela quantidade de lâmpada ela acredita que uns R$700 ou mais um pouco vá atender. Vai colocar mais dois aparelhos de ar. Pediu estudo para 1k
Tem um amigo que tem um mercado e caiu de 5k para R$400 a conta e ela ficou encantada com isso 
Decide junto com o esposo 
É o primeiro contato, disse que quer fazer para o ano que vem. Estão terminado a obra da casa. 
06/10/2025 15:14-ComparativoConta-[Bairro][Aberto]-[CBO][cadastro][20241120]
Quando Pretende Instalar: apenas_curiosidade
Valor Médio da Conta: r$700
Telefone: 
+5521970791378
Cidade: Rio de Janeiro</t>
  </si>
  <si>
    <t>P0650 - Meu Bicho Pet Shop</t>
  </si>
  <si>
    <t>P0650</t>
  </si>
  <si>
    <t>Meu Bicho Pet Shop</t>
  </si>
  <si>
    <t>Av. Dom Hélder Câmara, 9995</t>
  </si>
  <si>
    <t>21380-002</t>
  </si>
  <si>
    <t>INFORMAÇÕES IMPIRTANTES 
São 4 unidades, duas em Cascadura, uma no Meier e uma na Taquara 
João é responsável pela compras de ração por exemplo. As vezes vê uma conta de luz, mas quem cuida desses custos é o pai Alexandre e a madrasta Érica
Disse que já fizeram estudo, mas não sabe por que não avançou. 
Tem 6 meses que fizeram estudo. 
4k até 5k 
alexandre.inzvp@gmail.com 
ericamorellimartins@gmail.com 
São 3 unidades/ sendo duas com telhado  
Trabalham com banho completo aquecido 
Alexandre Correia Martins - Sócio/ Érica 
Joao Vitor Garcia da Costa Martins - Sócio-Administrador</t>
  </si>
  <si>
    <t>P0651 - Fernanda Gonçalves</t>
  </si>
  <si>
    <t>P0651</t>
  </si>
  <si>
    <t>Fernanda Gonçalves</t>
  </si>
  <si>
    <t>fernandasantoska99@gmail.com</t>
  </si>
  <si>
    <t>INFORMAÇÕES IMPORTANTES 
É um relógio para duas casas 
Decide sozinha 
Hoje tem um consumo de R$500, disse que pretende consumir mais após a colocação do sistema, mas não soube exemplificar ( colocar a margem de 20% padrão de aumento) 
Tem dois aparelhos de ar que já liga nos meses mais quentes 
Trabalha no horário comercial 
06/10/2025 06:22-ComparativoConta-[Bairro][Aberto]-[CBO][cadastro][20241120]
Quando Pretende Instalar: apenas_curiosidade
Valor Médio da Conta: r$500
Telefone: 
+5521976827809
Cidade: Rio de Janeiro</t>
  </si>
  <si>
    <t>P0652 - Instituto Educacional Teixeira Carelli &amp; Leite LTDA</t>
  </si>
  <si>
    <t>P0652</t>
  </si>
  <si>
    <t>Instituto Educacional Teixeira Carelli &amp; Leite LTDA</t>
  </si>
  <si>
    <t>ietcl@yahoo.com.br</t>
  </si>
  <si>
    <t>Av. Tancredo Neves, 3702</t>
  </si>
  <si>
    <t>26285-002</t>
  </si>
  <si>
    <t>ietcl@yahoo.com.br
São 3 relógios consumo R$900, R$1200 e R$2000. Média de 3k mês os 3 unidades
Estão com alguns projetinhos lá, estão vendo isso. Fernanda não é a decisora, cuida da agenda. 
Reduzir é sempre bom, disse ela quando falamos de valores e fizemos contas 
Disse que tem um outro telhado na Amélia Barbosa 72
Amanhã 13/06 é feriado em Nova Iguaçu e semana que vem tem bienal e palestra 
Está para receber um orçamento da Brasil 
3k   
Leticia Teixeira de Freitas - Sócio-Administrador  essa não vai na escola só está com sócia 
Shirleyne Teixeira Leite - Sócio-Administrador
Shirley Teixeira Carelli - Sócio-Administrador</t>
  </si>
  <si>
    <t>P0653 - MISTER PET COMERCIO DE RACOES LTDA</t>
  </si>
  <si>
    <t>P0653</t>
  </si>
  <si>
    <t>MISTER PET COMERCIO DE RACOES LTDA</t>
  </si>
  <si>
    <t>danielpet021@gmail.com</t>
  </si>
  <si>
    <t>42677036000154</t>
  </si>
  <si>
    <t>INFORMAÇÕES IMPORTANTES 
Sr Nelson pai da Dra Elaine veterinária 
Genro Daniel que é o decisor, disse que fez um estudo a um tempo atrás, mas tinha que dar uma entrada e eles não seguiram na época 
Disse que são duas lojas, consumo de R$500 e R$700  reais cada 
Estão no ponto comercial a muito tempo e não pretendem sair 
Daniel disse que está cotando com um parente que não irá cobrar por mão de obra disse ele e que dificilmente fechará com outra empresa. Mesmo assim nos deu uma oportunidade de apresentar o trabalho. 
danielpet021@gmail.com 
14h  1k 
São duas lojas com lage
SONIA MESQUITA ALVES
Qualificação:
49-Sócio-Administrador</t>
  </si>
  <si>
    <t>P0654 - Leonardo Duarte</t>
  </si>
  <si>
    <t>P0654</t>
  </si>
  <si>
    <t>Leonardo Duarte</t>
  </si>
  <si>
    <t>duarte.r.p.leonardo@gmail.com</t>
  </si>
  <si>
    <t>R. Araticum, 1202</t>
  </si>
  <si>
    <t>22753-500</t>
  </si>
  <si>
    <t>INFORMAÇÕES IMPORTANTES 
É indicação do sócio dele, mora no condomínio Bosque dos Esquilos 
São 3 decisores ( mãe, irmã e ele), valor será dividido entre os 3 
Já fez estudo cerca de um ano, mas nem lembra qual empresa 
Hoje a conta dele vem entre R$500/600 no pico do verão e ele pretende ou instalar 2 ares de 13 ou um de 18 para usar em duas salas grandes de TV e jantar 
E gostaria de usar um pouco mais os que já possuem nos quartos. Disse que acredita que uma média de R$850 vá atender, ficou de mandar a conta e eu disse que ia passar para o engenheiro sobre o aumento de consumo</t>
  </si>
  <si>
    <t>P0655 - Tiago David</t>
  </si>
  <si>
    <t>P0655</t>
  </si>
  <si>
    <t>Tiago David</t>
  </si>
  <si>
    <t>tiagoturis@gmail.com</t>
  </si>
  <si>
    <t>Parque Araruama, São João de Meriti</t>
  </si>
  <si>
    <t>riti - RJ</t>
  </si>
  <si>
    <t>Parque Araruama</t>
  </si>
  <si>
    <t>INFORMAÇÃO IMPORTANTES 
Thiago tem dois aparelhos de ar condicionado, sendo um de 9 e um de 10, que liga somente para dormir
Quer ligar sempre que sentir vontade( sem medo de ser feliz), acredita que umas 4h a mais  todos os meses do ano será suficiente 
1º contato e disse que estando dentro do orçamento dele, deseja fazer o investimento em 60 dias 
É casa com telhado 
São João de Mereti 
Meses 
tiagoturis@gmail.com 
24/06 
06/19/2025 21:11-ComparativoConta-[Bairro][Aberto]-[CBO][cadastro][20241120]
Quando Pretende Instalar: imediato
Valor Médio da Conta: r$500
Telefone: 
+5521975231430
Cidade: Rio de Janeiro</t>
  </si>
  <si>
    <t>BF+N-TYPE</t>
  </si>
  <si>
    <t>ASTRONERGY - CHSM66N(DG)/F-BH - NTYPE - 600W</t>
  </si>
  <si>
    <t>HCB40</t>
  </si>
  <si>
    <t>https://belenus.com.br/api/arquivo/download/DATASHEET_MFAS_2.3_BF_132_600W.pdf</t>
  </si>
  <si>
    <r>
      <rPr>
        <b/>
        <sz val="11"/>
        <color theme="1"/>
        <rFont val="Calibri"/>
        <family val="2"/>
        <scheme val="minor"/>
      </rPr>
      <t xml:space="preserve">1- </t>
    </r>
    <r>
      <rPr>
        <sz val="11"/>
        <color theme="1"/>
        <rFont val="Calibri"/>
        <family val="2"/>
        <scheme val="minor"/>
      </rPr>
      <t xml:space="preserve">Criação de Maquete 3D para estudo de Sombreamento - </t>
    </r>
    <r>
      <rPr>
        <b/>
        <sz val="11"/>
        <color theme="1"/>
        <rFont val="Calibri"/>
        <family val="2"/>
        <scheme val="minor"/>
      </rPr>
      <t>R$1.970</t>
    </r>
    <r>
      <rPr>
        <sz val="11"/>
        <color theme="1"/>
        <rFont val="Calibri"/>
        <family val="2"/>
        <scheme val="minor"/>
      </rPr>
      <t xml:space="preserve"> </t>
    </r>
    <r>
      <rPr>
        <i/>
        <sz val="11"/>
        <color theme="1"/>
        <rFont val="Calibri"/>
        <family val="2"/>
        <scheme val="minor"/>
      </rPr>
      <t>(reembolsável)</t>
    </r>
  </si>
  <si>
    <t>50% Inicial - Entrega Material</t>
  </si>
  <si>
    <t>50% Final - Término Instalação</t>
  </si>
  <si>
    <t>P0645 - Monica Malaquias / Ricardo Avelar</t>
  </si>
  <si>
    <t>Monica Malaquias / Ricardo Avelar</t>
  </si>
  <si>
    <t>88197638772</t>
  </si>
  <si>
    <t>INFORMAÇÕES IMPORTANTES 
É vizinho do Alcides 
Disse que no inverno tem o consumo do chuveiro e no verão ar condicionado
21 986968855
21965046977
R$500 R$600
Que usar a mais um ar de 18 mil BTUs 3h finais semana 
1º contato 
rcfavelar@hotmail.com 
10h 
Documentos necessários:
•⁠  ⁠Nome completo: Monica Malaquias
•⁠  ⁠CPF: 881.976.387-72
•⁠  ⁠Endereço de onde será instalação:  R OSWALDO LUSSAC 165 CA 4
Taquara - Jacarepagua -RJ - Rua do Celeiro Urbano e Clube dos bancarios. Se for o mesmo técnico casa ao lado do SR ALCIDES que estão fazendo a instalação essa semana.
•⁠  ⁠CEP: 22770-640 
•⁠  ⁠E-mail: rcfavelar@hotmail.com 
•⁠  ⁠Data de nascimento: 15/08/1966
•⁠  ⁠Nacionalidade: Brasileira
•⁠  ⁠Cópia do RG/CNH:
•⁠  ⁠Fatura de energia do local da instalação: Ok</t>
  </si>
  <si>
    <t>P0656 - Luciana Falcão</t>
  </si>
  <si>
    <t>P0656</t>
  </si>
  <si>
    <t>Luciana Falcão</t>
  </si>
  <si>
    <t>lucianafalcao2025@gmail.com</t>
  </si>
  <si>
    <t>R. Teixeira Franco, 102</t>
  </si>
  <si>
    <t>21060-130</t>
  </si>
  <si>
    <t>Primo. Marcou uma visíta técnica no dia 14/11. Solicitou para uma fatura menor que a atual pois o consumo aumentou com o HomeOffice Pandemia. Possui duas águas promissoras, noroeste (plantas altas causam sombra) e nordeste (água um pouco menor e possui um telhado mais elevado que causa sombra no amanhecer.</t>
  </si>
  <si>
    <t>Nome do contato WALESKA (Irma é o nome da mãe). Indicação Danielle P0027. Achou interessante mas não quis se comprometer com mais um financiamento no momento, verificar o momento atual se ainda te interesse e se quer retomar a negociação.</t>
  </si>
  <si>
    <t>Indicação da Danielle arquiteta A1 (P0027). Casa nova sem histórico de consumo. Pediu para um consumo de 1.000kWh média. Possui outras propostas quer preço.</t>
  </si>
  <si>
    <t>P0130 - CATARINA ABREU</t>
  </si>
  <si>
    <t>CATARINA ABREU</t>
  </si>
  <si>
    <t>Cliente veio através do Solutudo. Pediu dois orçamentos, os dois pensando em um sistema maior, pois irá aumentar o uso do ar-condicionado. Nos dois orçamentos ela tem interesse no aquecimento banho, mas quer um orçamento com aquecimento piscina e o outro sem aquecimento piscina. Sobre os ar-condicionados: são 3 aparelhos, não sabe os BTUs, mas falou para considerar como se fosse 12000, vai usar só no verão, com um pouco mais de horas (falou para considerar 10h por dia). Não tem interesse em outros equipamentos que também poderiam aumentar o consumo.</t>
  </si>
  <si>
    <t>Rua Imbuia, 368, CA 1</t>
  </si>
  <si>
    <t>368, CA 1</t>
  </si>
  <si>
    <t>P0158 - CARLOS AUGUSTO V FERREIRA</t>
  </si>
  <si>
    <t>RUA DONA CLARA</t>
  </si>
  <si>
    <t>P0191 - CATARINA ABREU</t>
  </si>
  <si>
    <t>#ERROR!</t>
  </si>
  <si>
    <t xml:space="preserve"> 1 casa 4</t>
  </si>
  <si>
    <t>1 casa 4</t>
  </si>
  <si>
    <t>822375494</t>
  </si>
  <si>
    <t>873922000000</t>
  </si>
  <si>
    <t>P0360 - [FV01] Cinthia Medeiros Ramos Barbosa</t>
  </si>
  <si>
    <t>[FV01] Cinthia Medeiros Ramos Barbosa</t>
  </si>
  <si>
    <t>40981798000114</t>
  </si>
  <si>
    <t>P0399 - Leandro Dutra</t>
  </si>
  <si>
    <t>Leandro Dutra</t>
  </si>
  <si>
    <t>P0412 - Vitor Luis de Araujo Brito</t>
  </si>
  <si>
    <t>Vitor Luis de Araujo Brito</t>
  </si>
  <si>
    <t>P0428 - Sérgio Caruso de Carvalho</t>
  </si>
  <si>
    <t>Sérgio Caruso de Carvalho</t>
  </si>
  <si>
    <t>P0438 - Bia Car Auto Peças E Auto Mecanica Bastos</t>
  </si>
  <si>
    <t>Bia Car Auto Peças E Auto Mecanica Bastos</t>
  </si>
  <si>
    <t>P0466 - FABIO PEREIRA RODRIGUES DA SILVA</t>
  </si>
  <si>
    <t>FABIO PEREIRA RODRIGUES DA SILVA</t>
  </si>
  <si>
    <t>P0485 - Alessandra Bergman</t>
  </si>
  <si>
    <t>Alessandra Bergman</t>
  </si>
  <si>
    <t>P0512 - Isadora Modesto e Thiago Pereira</t>
  </si>
  <si>
    <t>Isadora Modesto e Thiago Pereira</t>
  </si>
  <si>
    <t>P0556 - Luis Henrique da Silva Sales</t>
  </si>
  <si>
    <t>Luis Henrique da Silva Sales</t>
  </si>
  <si>
    <t>P0592 - ELISETE CORDEIRO DE MENEZES e Paulo</t>
  </si>
  <si>
    <t>ELISETE CORDEIRO DE MENEZES e Paulo</t>
  </si>
  <si>
    <t>P0602 - Bia Bistrô</t>
  </si>
  <si>
    <t>Bia Bistrô</t>
  </si>
  <si>
    <t>835769755</t>
  </si>
  <si>
    <t>P0626 - Norberto Cardoso</t>
  </si>
  <si>
    <t>Norberto Cardoso</t>
  </si>
  <si>
    <t>P0657 - MAD BURGERS</t>
  </si>
  <si>
    <t>P0657</t>
  </si>
  <si>
    <t>MAD BURGERS</t>
  </si>
  <si>
    <t>28932240000143</t>
  </si>
  <si>
    <t>R. Rodrigo de Brito, 8</t>
  </si>
  <si>
    <t>22280-100</t>
  </si>
  <si>
    <t>INFORMAÇÕES IMPORTANTES 
Magno disse que no telhado da loja tem uma pessoa que tem 8 placas
Ele não soube dizer se tem espaço para economia 
Não tem noção de valores ( quer saber como funciona, se é viável e o retorno) 
Hoje a conta da loja está em torno de R$1800  a 2K 
Dia de segunda a loja não abre
Nome Fantasia: MAD BURGERS
Razão Social: MAD BURGERS HAMBURGUERIA LTDA
CNPJ: 28.932.240/0001-43
/ Restaurantes e similares/ Sociedade Empresária Limitada/ MATRIZ/ ME/ ATÉ R$ 50 MIL/ ATE 9 FUNCIONARIOS
Data da Criação: 25/10/2017
Endereço: R RODRIGO DE BRITO, 8, B, BOTAFOGO, RIO DE JANEIRO, 22280100
Telefones: / / / Y/ 21960111606N/ N
Email: jsmcarvalho@imsn.com.br/ /
Sócio: AURELIO MAGNO MARQUES DE CARVALHO - 854.566.757-49
Telefones: 21999893922Y/ 21970418143Y/ 21994501736Y/ 2124717911/ 2124733426/
Email: aureliomagno1982@gmail.com/ aurelioindiobf@hotmail.com
Sócio: LOIDE SOARES TINOCO - 428.050.747-34
Telefones: 21988335322Y/ N/ N/ 2122752306/ 2122863723/ 2126083543
Email: lstinoco@uol.com.br/ lstinoco@aol.com.br
Sócio: ALFREDO TAVARES BORGES - 017.058.778-93
Telefones: N/ N/ N/ / /
Email: alfredo@global.com/ atborges@zonasul.com.br
Sócio: GABRIEL MAGNO MOREIRA MARQUES DE CARVALHO - 156.053.877-58
Telefones: N/ N/ N/ 2124258158/ /
Email: magnogabrielm@gmail.com/</t>
  </si>
  <si>
    <t>32363160000191</t>
  </si>
  <si>
    <t>"OUTROS"</t>
  </si>
  <si>
    <t>INFORMAÇÃO IMPORTANTES 
Condomínio está no vermelho 
lucianafalcao2025@gmail.com 
6k 
R$400 nos meses uns R$600  
4h 2 de 7500 no meses mais 
amanhã às 10h
São 4 elevadores 
06/26/2025 09:31-ComparativoConta-[Bairro][Aberto]-[CBO][cadastro][20241120]
Quando Pretende Instalar: apenas_curiosidade
Valor Médio da Conta: acima_de_r$1.000
Telefone: 
21999258265
Cidade: Rio de Janeiro
Dados para financiamento PJ:
•⁠  ⁠Razão Social  CONDOMINIO DO EDIFICIO SOLAR DA IMPERATRIZ
- CNPJ 32363160000191
- ⁠ Nome do sócio administrador 
•⁠  ⁠CPF
•⁠  ⁠Data de nascimento
- data da fundação 02/08/1989
•⁠  ⁠email  COND.SOLAR.DA.IMPERATRIZ@GMAIL.COM
•⁠  ⁠capital social 
•⁠  ⁠Endereço  R. Teixeira Franco, 102 - Ramos, Rio de Janeiro - RJ
•⁠  ⁠CEP 21060-130
•⁠  ⁠Local de instalação é próprio? SIM 
•⁠  Parcelamento em quantos meses e qual carência?</t>
  </si>
  <si>
    <t>5521970436680</t>
  </si>
  <si>
    <t>P0658 - Edgard Curi</t>
  </si>
  <si>
    <t>P0658</t>
  </si>
  <si>
    <t>Edgard Curi</t>
  </si>
  <si>
    <t>5521979705407</t>
  </si>
  <si>
    <t>Av. Tim Maia, 7435</t>
  </si>
  <si>
    <t>22790-669</t>
  </si>
  <si>
    <t>Indicação do Rafael (primo do Vinícius)
Está em obra, tem um consumo aproximado de R$900 (confirmar fatura)
A arquiteta enviou o arquivo do sketchup
Av. Tim Maia, 7435 - Recreio dos Bandeirantes, Rio de Janeiro - RJ, 22790-669, Brasil
Bloco Itacaré 601 (interfonar para o Itaparica 101 para liberar)</t>
  </si>
  <si>
    <t>P0659 - Lucas Prata</t>
  </si>
  <si>
    <t>P0659</t>
  </si>
  <si>
    <t>Lucas Prata</t>
  </si>
  <si>
    <t>5521983755749</t>
  </si>
  <si>
    <t>Botafogo, Rio de Janeiro</t>
  </si>
  <si>
    <t>INFORMAÇÃO IMPORTANTES 
Disse para considerar 30m2 de telhado 
Pediu 500Kwh 
São 5 ares de 
Sala: 24 BTU
Quarto: 18 BTU
Quarto casal: 18 BTU
Sala Cobertura: 18 BTU
Escritório: 9 BTU
São duas pessoas que vão morar, jovens de 30 anos</t>
  </si>
  <si>
    <t>P0660 - Yuri Lopes</t>
  </si>
  <si>
    <t>P0660</t>
  </si>
  <si>
    <t>Yuri Lopes</t>
  </si>
  <si>
    <t>5521991599992</t>
  </si>
  <si>
    <t>yuri.lopesconsultora@gmail.com</t>
  </si>
  <si>
    <t>28990-000</t>
  </si>
  <si>
    <t>Saquarema</t>
  </si>
  <si>
    <t>Sampaio Correia</t>
  </si>
  <si>
    <t>INFORMAÇÕES IMPORTANTES 
Jaconé condomínio veio pelo Insta/ Ceral
Costuma ficar muito sem luz e que resolver 
bomba, 2 geladeiras,wi-fi e sistema de câmera que fica ligado quando não tem ninguém lá.  
R$500 nos meses mais frios/ R$700 meses que usa a casa. 
Não possui ar hoje, mas pediu para acrescentar um ar de 10 por 8h aos finais de semana nos meses mais quentes  
geladeira 2 e iluminação básica para sistema com bateria ( isso que ele precisa que esteja ligado) 
1º contato Quer saber como funciona, valores, se parcela
14h 
yuri.lopesconsultoria@gmail.com 
06/30/2025 19:06-ComparativoConta-[Bairro][Aberto]-[CBO][cadastro][20241120]
Quando Pretende Instalar: apenas_curiosidade
Valor Médio da Conta: r$500
Telefone: 
+5521991599992
Cidade: Rio de Janeiro</t>
  </si>
  <si>
    <t>P0661 - Encanto Pet &amp; Turma Feliz</t>
  </si>
  <si>
    <t>P0661</t>
  </si>
  <si>
    <t>Encanto Pet &amp; Turma Feliz</t>
  </si>
  <si>
    <t>5521983139828</t>
  </si>
  <si>
    <t>undefinedferr@gmail.com</t>
  </si>
  <si>
    <t>R. Dona Claudina, 144</t>
  </si>
  <si>
    <t>20725-060</t>
  </si>
  <si>
    <t>INFORMAÇÕES IMPORTANTES 
Lucia responsável pelo pagamento de contas ( Carol funcionária) 
Disse que teve uma empresa lá para conversar sobre energia solar 
R$1200 
Repagina, contratar funcionários
Ernani Sócio decidem juntos 
undefinedferr@gmail.com 
10h</t>
  </si>
  <si>
    <t>P0662 - Márcio Nascimento e B&amp;B Freguesia</t>
  </si>
  <si>
    <t>P0662</t>
  </si>
  <si>
    <t>Márcio Nascimento e B&amp;B Freguesia</t>
  </si>
  <si>
    <t>5521996836836</t>
  </si>
  <si>
    <t>msnasc@gmail.com</t>
  </si>
  <si>
    <t>INFORMAÇÕES IMPORTANTES 
Só terá pernoite, e tem uma cobertura que no pico de verão chega a 1k
Pediu um estudo de R$1500 para colocar no B&amp;B e transferir crédito para cobertura, não quer instalar na cobertura
Vai fazer aniversário AMANHÃ 04/07 e pediu um desconto de presente 
Vai viajar para comemorar seu aniversário e volta terça 08/07. 
Disse que o hotel ainda não está aberto ao público
Falei com Márcio ele disse que era dono do hotel, mas não estava numa boa hora para falar 
Manter gastar 1500k 
per noite 
Aniversário amanhã 
msnasc@gmail.com</t>
  </si>
  <si>
    <t>P0663 - Barbearia Miraglia Barber Club</t>
  </si>
  <si>
    <t>P0663</t>
  </si>
  <si>
    <t>Barbearia Miraglia Barber Club</t>
  </si>
  <si>
    <t>5521992401362</t>
  </si>
  <si>
    <t>miragliabarberclub@gmail.com</t>
  </si>
  <si>
    <t>P0664 - Dogs Beach Club</t>
  </si>
  <si>
    <t>P0664</t>
  </si>
  <si>
    <t>Dogs Beach Club</t>
  </si>
  <si>
    <t>5521994706668</t>
  </si>
  <si>
    <t>R. Carlos Galhardo, 70</t>
  </si>
  <si>
    <t>22795-440</t>
  </si>
  <si>
    <t>Network. Conhecido do Vini, estudou com ele no garriga.</t>
  </si>
  <si>
    <t>P0665 - Goa jiu-jítsu</t>
  </si>
  <si>
    <t>P0665</t>
  </si>
  <si>
    <t>Goa jiu-jítsu</t>
  </si>
  <si>
    <t>R. Colbert Coelho, 555</t>
  </si>
  <si>
    <t>22793-313</t>
  </si>
  <si>
    <t>OUTROS</t>
  </si>
  <si>
    <t>Network. Conhecido do Vini. Estudou com ele no garriga.
Disse que a capacidade máxima de telhado são 94 módulos (confirmar in loco)</t>
  </si>
  <si>
    <t>INFORMAÇÕES IMPORTANTES 
Wellington Miraglia é o dono 
São duas unidades (21) 98253-4638 
miragliabarberclub@gmail.com 
R$600 
Decide sozinho pelo investimento.</t>
  </si>
  <si>
    <t>P0614 - Patrícia Nunez</t>
  </si>
  <si>
    <t>Patrícia Nunez</t>
  </si>
  <si>
    <t>5521999940753</t>
  </si>
  <si>
    <t xml:space="preserve">P0643 - André Luis de Oliveira Valladas </t>
  </si>
  <si>
    <t xml:space="preserve">André Luis de Oliveira Valladas </t>
  </si>
  <si>
    <t>5521964849666</t>
  </si>
  <si>
    <t>Escolhido</t>
  </si>
  <si>
    <t>1 x MODULO FV 570WP N-TYPE BIFACIAL DAH SOLAR DHN-72X16/DG 
 1 x HMS-2000-4T - MICRO HOYMILES 2000W DTU EXTERNA 
 4 x CABO FOTOVOLTAICO 4MM² PRETO 
 4 x CABO FOTOVOLTAICO 4MM² VERMELHO 
 8 x CONECTOR MC4 PAR EMBALADO 
 ESTRUTURA FIBROCIMENTO MADEIRA 
 1 x AC TRUNK CONNECTOR - CONECTOR CA HOYMILES 
 1 x AC TRUNK END CAP - TERMINAL ENDCAP HOYMILES 
 1 x AC TRUNK CONNECTOR UNLOCK TOOL - CHAVE DESBLOQUEIO CONECTOR CA 
 1 x HMS DISCONNECT TOOL-1PCS - CHAVE DESCONEXAO MICROINVERSOR 
 0 x CABO CA MULTIPOLAR 10AWG 
 1 x DTU-LITE-S(WIFI) - MONIT DTU-LITE S (ATÉ 25 MICROS)</t>
  </si>
  <si>
    <t>1 x MODULO FV 570WP N-TYPE BIFACIAL DUAL GLASS DAS-DH144NA 
 1 x HMS-2000-4T - MICRO HOYMILES 2000W DTU EXTERNA 
 4 x CABO FOTOVOLTAICO 4MM² PRETO 
 4 x CABO FOTOVOLTAICO 4MM² VERMELHO 
 8 x CONECTOR MC4 PAR EMBALADO 
 ESTRUTURA FIBROCIMENTO MADEIRA 
 1 x AC TRUNK CONNECTOR - CONECTOR CA HOYMILES 
 1 x AC TRUNK END CAP - TERMINAL ENDCAP HOYMILES 
 1 x AC TRUNK CONNECTOR UNLOCK TOOL - CHAVE DESBLOQUEIO CONECTOR CA 
 1 x HMS DISCONNECT TOOL-1PCS - CHAVE DESCONEXAO MICROINVERSOR 
 0 x CABO CA MULTIPOLAR 10AWG 
 1 x DTU-LITE-S(WIFI) - MONIT DTU-LITE S (ATÉ 25 MICROS)</t>
  </si>
  <si>
    <t>1 x MODULO FV 710WP BIFACIAL DUAL-GLASS TRINA TSM-NEG21C.20 
 1 x HMS-2000-4T - MICRO HOYMILES 2000W DTU EXTERNA 
 4 x CABO FOTOVOLTAICO 4MM² PRETO 
 4 x CABO FOTOVOLTAICO 4MM² VERMELHO 
 8 x CONECTOR MC4 PAR TRINA 
 ESTRUTURA FIBROCIMENTO MADEIRA 
 1 x AC TRUNK CONNECTOR - CONECTOR CA HOYMILES 
 1 x AC TRUNK END CAP - TERMINAL ENDCAP HOYMILES 
 1 x AC TRUNK CONNECTOR UNLOCK TOOL - CHAVE DESBLOQUEIO CONECTOR CA 
 1 x HMS DISCONNECT TOOL-1PCS - CHAVE DESCONEXAO MICROINVERSOR 
 0 x CABO CA MULTIPOLAR 10AWG 
 1 x DTU-LITE-S(WIFI) - MONIT DTU-LITE S (ATÉ 25 MICROS)</t>
  </si>
  <si>
    <t>2 x MODULO FV 570WP N-TYPE BIFACIAL DAH SOLAR DHN-72X16/DG 
 1 x HMS-2000-4T - MICRO HOYMILES 2000W DTU EXTERNA 
 4 x CABO FOTOVOLTAICO 4MM² PRETO 
 4 x CABO FOTOVOLTAICO 4MM² VERMELHO 
 8 x CONECTOR MC4 PAR EMBALADO 
 ESTRUTURA FIBROCIMENTO MADEIRA 
 1 x AC TRUNK CONNECTOR - CONECTOR CA HOYMILES 
 1 x AC TRUNK END CAP - TERMINAL ENDCAP HOYMILES 
 1 x AC TRUNK CONNECTOR UNLOCK TOOL - CHAVE DESBLOQUEIO CONECTOR CA 
 1 x HMS DISCONNECT TOOL-1PCS - CHAVE DESCONEXAO MICROINVERSOR 
 0 x CABO CA MULTIPOLAR 10AWG 
 1 x DTU-LITE-S(WIFI) - MONIT DTU-LITE S (ATÉ 25 MICROS)</t>
  </si>
  <si>
    <t>2 x MODULO FV 570WP N-TYPE BIFACIAL DUAL GLASS DAS-DH144NA 
 1 x HMS-2000-4T - MICRO HOYMILES 2000W DTU EXTERNA 
 4 x CABO FOTOVOLTAICO 4MM² PRETO 
 4 x CABO FOTOVOLTAICO 4MM² VERMELHO 
 8 x CONECTOR MC4 PAR EMBALADO 
 ESTRUTURA FIBROCIMENTO MADEIRA 
 1 x AC TRUNK CONNECTOR - CONECTOR CA HOYMILES 
 1 x AC TRUNK END CAP - TERMINAL ENDCAP HOYMILES 
 1 x AC TRUNK CONNECTOR UNLOCK TOOL - CHAVE DESBLOQUEIO CONECTOR CA 
 1 x HMS DISCONNECT TOOL-1PCS - CHAVE DESCONEXAO MICROINVERSOR 
 0 x CABO CA MULTIPOLAR 10AWG 
 1 x DTU-LITE-S(WIFI) - MONIT DTU-LITE S (ATÉ 25 MICROS)</t>
  </si>
  <si>
    <t>2 x MODULO FV 710WP BIFACIAL DUAL-GLASS TRINA TSM-NEG21C.20 
 1 x HMS-2000-4T - MICRO HOYMILES 2000W DTU EXTERNA 
 4 x CABO FOTOVOLTAICO 4MM² PRETO 
 4 x CABO FOTOVOLTAICO 4MM² VERMELHO 
 8 x CONECTOR MC4 PAR TRINA 
 ESTRUTURA FIBROCIMENTO MADEIRA 
 1 x AC TRUNK CONNECTOR - CONECTOR CA HOYMILES 
 1 x AC TRUNK END CAP - TERMINAL ENDCAP HOYMILES 
 1 x AC TRUNK CONNECTOR UNLOCK TOOL - CHAVE DESBLOQUEIO CONECTOR CA 
 1 x HMS DISCONNECT TOOL-1PCS - CHAVE DESCONEXAO MICROINVERSOR 
 0 x CABO CA MULTIPOLAR 10AWG 
 1 x DTU-LITE-S(WIFI) - MONIT DTU-LITE S (ATÉ 25 MICROS)</t>
  </si>
  <si>
    <t>3 x MODULO FV 570WP N-TYPE BIFACIAL DAH SOLAR DHN-72X16/DG 
 1 x HMS-2000-4T - MICRO HOYMILES 2000W DTU EXTERNA 
 4 x CABO FOTOVOLTAICO 4MM² PRETO 
 4 x CABO FOTOVOLTAICO 4MM² VERMELHO 
 8 x CONECTOR MC4 PAR EMBALADO 
 ESTRUTURA FIBROCIMENTO MADEIRA 
 1 x AC TRUNK CONNECTOR - CONECTOR CA HOYMILES 
 1 x AC TRUNK END CAP - TERMINAL ENDCAP HOYMILES 
 1 x AC TRUNK CONNECTOR UNLOCK TOOL - CHAVE DESBLOQUEIO CONECTOR CA 
 1 x HMS DISCONNECT TOOL-1PCS - CHAVE DESCONEXAO MICROINVERSOR 
 0 x CABO CA MULTIPOLAR 10AWG 
 1 x DTU-LITE-S(WIFI) - MONIT DTU-LITE S (ATÉ 25 MICROS)</t>
  </si>
  <si>
    <t>3 x MODULO FV 570WP N-TYPE BIFACIAL DUAL GLASS DAS-DH144NA 
 1 x HMS-2000-4T - MICRO HOYMILES 2000W DTU EXTERNA 
 4 x CABO FOTOVOLTAICO 4MM² PRETO 
 4 x CABO FOTOVOLTAICO 4MM² VERMELHO 
 8 x CONECTOR MC4 PAR EMBALADO 
 ESTRUTURA FIBROCIMENTO MADEIRA 
 1 x AC TRUNK CONNECTOR - CONECTOR CA HOYMILES 
 1 x AC TRUNK END CAP - TERMINAL ENDCAP HOYMILES 
 1 x AC TRUNK CONNECTOR UNLOCK TOOL - CHAVE DESBLOQUEIO CONECTOR CA 
 1 x HMS DISCONNECT TOOL-1PCS - CHAVE DESCONEXAO MICROINVERSOR 
 0 x CABO CA MULTIPOLAR 10AWG 
 1 x DTU-LITE-S(WIFI) - MONIT DTU-LITE S (ATÉ 25 MICROS)</t>
  </si>
  <si>
    <t>3 x MODULO FV 710WP BIFACIAL DUAL-GLASS TRINA TSM-NEG21C.20 
 1 x HMS-2000-4T - MICRO HOYMILES 2000W DTU EXTERNA 
 4 x CABO FOTOVOLTAICO 4MM² PRETO 
 4 x CABO FOTOVOLTAICO 4MM² VERMELHO 
 8 x CONECTOR MC4 PAR TRINA 
 ESTRUTURA FIBROCIMENTO MADEIRA 
 1 x AC TRUNK CONNECTOR - CONECTOR CA HOYMILES 
 1 x AC TRUNK END CAP - TERMINAL ENDCAP HOYMILES 
 1 x AC TRUNK CONNECTOR UNLOCK TOOL - CHAVE DESBLOQUEIO CONECTOR CA 
 1 x HMS DISCONNECT TOOL-1PCS - CHAVE DESCONEXAO MICROINVERSOR 
 0 x CABO CA MULTIPOLAR 10AWG 
 1 x DTU-LITE-S(WIFI) - MONIT DTU-LITE S (ATÉ 25 MICROS)</t>
  </si>
  <si>
    <t>4 x MODULO FV 570WP N-TYPE BIFACIAL DAH SOLAR DHN-72X16/DG 
 1 x HMS-2000-4T - MICRO HOYMILES 2000W DTU EXTERNA 
 4 x CABO FOTOVOLTAICO 4MM² PRETO 
 4 x CABO FOTOVOLTAICO 4MM² VERMELHO 
 8 x CONECTOR MC4 PAR EMBALADO 
 ESTRUTURA FIBROCIMENTO MADEIRA 
 1 x AC TRUNK CONNECTOR - CONECTOR CA HOYMILES 
 1 x AC TRUNK END CAP - TERMINAL ENDCAP HOYMILES 
 1 x AC TRUNK CONNECTOR UNLOCK TOOL - CHAVE DESBLOQUEIO CONECTOR CA 
 1 x HMS DISCONNECT TOOL-1PCS - CHAVE DESCONEXAO MICROINVERSOR 
 0 x CABO CA MULTIPOLAR 10AWG 
 1 x DTU-LITE-S(WIFI) - MONIT DTU-LITE S (ATÉ 25 MICROS)</t>
  </si>
  <si>
    <t>4 x MODULO FV 570WP N-TYPE BIFACIAL DUAL GLASS DAS-DH144NA 
 1 x HMS-2000-4T - MICRO HOYMILES 2000W DTU EXTERNA 
 4 x CABO FOTOVOLTAICO 4MM² PRETO 
 4 x CABO FOTOVOLTAICO 4MM² VERMELHO 
 8 x CONECTOR MC4 PAR EMBALADO 
 ESTRUTURA FIBROCIMENTO MADEIRA 
 1 x AC TRUNK CONNECTOR - CONECTOR CA HOYMILES 
 1 x AC TRUNK END CAP - TERMINAL ENDCAP HOYMILES 
 1 x AC TRUNK CONNECTOR UNLOCK TOOL - CHAVE DESBLOQUEIO CONECTOR CA 
 1 x HMS DISCONNECT TOOL-1PCS - CHAVE DESCONEXAO MICROINVERSOR 
 0 x CABO CA MULTIPOLAR 10AWG 
 1 x DTU-LITE-S(WIFI) - MONIT DTU-LITE S (ATÉ 25 MICROS)</t>
  </si>
  <si>
    <t>4 x MODULO FV 710WP BIFACIAL DUAL-GLASS TRINA TSM-NEG21C.20 
 1 x HMS-2000-4T - MICRO HOYMILES 2000W DTU EXTERNA 
 4 x CABO FOTOVOLTAICO 4MM² PRETO 
 4 x CABO FOTOVOLTAICO 4MM² VERMELHO 
 8 x CONECTOR MC4 PAR TRINA 
 ESTRUTURA FIBROCIMENTO MADEIRA 
 1 x AC TRUNK CONNECTOR - CONECTOR CA HOYMILES 
 1 x AC TRUNK END CAP - TERMINAL ENDCAP HOYMILES 
 1 x AC TRUNK CONNECTOR UNLOCK TOOL - CHAVE DESBLOQUEIO CONECTOR CA 
 1 x HMS DISCONNECT TOOL-1PCS - CHAVE DESCONEXAO MICROINVERSOR 
 0 x CABO CA MULTIPOLAR 10AWG 
 1 x DTU-LITE-S(WIFI) - MONIT DTU-LITE S (ATÉ 25 MICROS)</t>
  </si>
  <si>
    <t>5 x MODULO FV 570WP N-TYPE BIFACIAL DAH SOLAR DHN-72X16/DG 
 2 x HMS-2000-4T - MICRO HOYMILES 2000W DTU EXTERNA 
 4 x CABO FOTOVOLTAICO 4MM² PRETO 
 8 x CABO FOTOVOLTAICO 4MM² VERMELHO 
 16 x CONECTOR MC4 PAR EMBALADO 
 ESTRUTURA FIBROCIMENTO MADEIRA 
 2 x AC TRUNK CONNECTOR - CONECTOR CA HOYMILES 
 1 x AC TRUNK END CAP - TERMINAL ENDCAP HOYMILES 
 1 x AC TRUNK CONNECTOR UNLOCK TOOL - CHAVE DESBLOQUEIO CONECTOR CA 
 1 x HMS DISCONNECT TOOL-1PCS - CHAVE DESCONEXAO MICROINVERSOR 
 3 x CABO CA MULTIPOLAR 10AWG 
 1 x DTU-LITE-S(WIFI) - MONIT DTU-LITE S (ATÉ 25 MICROS)</t>
  </si>
  <si>
    <t>5 x MODULO FV 570WP N-TYPE BIFACIAL DUAL GLASS DAS-DH144NA 
 2 x HMS-2000-4T - MICRO HOYMILES 2000W DTU EXTERNA 
 4 x CABO FOTOVOLTAICO 4MM² PRETO 
 8 x CABO FOTOVOLTAICO 4MM² VERMELHO 
 16 x CONECTOR MC4 PAR EMBALADO 
 ESTRUTURA FIBROCIMENTO MADEIRA 
 2 x AC TRUNK CONNECTOR - CONECTOR CA HOYMILES 
 1 x AC TRUNK END CAP - TERMINAL ENDCAP HOYMILES 
 1 x AC TRUNK CONNECTOR UNLOCK TOOL - CHAVE DESBLOQUEIO CONECTOR CA 
 1 x HMS DISCONNECT TOOL-1PCS - CHAVE DESCONEXAO MICROINVERSOR 
 3 x CABO CA MULTIPOLAR 10AWG 
 1 x DTU-LITE-S(WIFI) - MONIT DTU-LITE S (ATÉ 25 MICROS)</t>
  </si>
  <si>
    <t>6 x MODULO FV 570WP N-TYPE BIFACIAL DAH SOLAR DHN-72X16/DG 
 1 x INVERSOR SUNGROW SG3.0RS-L COM MONITORAMENTO 
 50 x CABO FOTOVOLTAICO 4MM² PRETO 
 50 x CABO FOTOVOLTAICO 4MM² VERMELHO 
 2 x CONECTOR MC4 PAR EMBALADO 
 ESTRUTURA FIBROCIMENTO MADEIRA</t>
  </si>
  <si>
    <t>6 x MODULO FV 570WP N-TYPE BIFACIAL DUAL GLASS DAS-DH144NA 
 1 x INVERSOR SUNGROW SG3.0RS-L COM MONITORAMENTO 
 50 x CABO FOTOVOLTAICO 4MM² PRETO 
 50 x CABO FOTOVOLTAICO 4MM² VERMELHO 
 2 x CONECTOR MC4 PAR EMBALADO 
 ESTRUTURA FIBROCIMENTO MADEIRA</t>
  </si>
  <si>
    <t>6 x MODULO FV 570WP N-TYPE BIFACIAL DAH SOLAR DHN-72X16/DG 
 1 x INVERSOR SOLIS 3KW S6-GR1P3K-M COM MONITORAMENTO 
 50 x CABO FOTOVOLTAICO 4MM² PRETO 
 50 x CABO FOTOVOLTAICO 4MM² VERMELHO 
 2 x CONECTOR MC4 PAR EMBALADO 
 ESTRUTURA FIBROCIMENTO MADEIRA</t>
  </si>
  <si>
    <t>6 x MODULO FV 570WP N-TYPE BIFACIAL DUAL GLASS DAS-DH144NA 
 1 x INVERSOR SOLIS 3KW S6-GR1P3K-M COM MONITORAMENTO 
 50 x CABO FOTOVOLTAICO 4MM² PRETO 
 50 x CABO FOTOVOLTAICO 4MM² VERMELHO 
 2 x CONECTOR MC4 PAR EMBALADO 
 ESTRUTURA FIBROCIMENTO MADEIRA</t>
  </si>
  <si>
    <t>6 x MODULO FV 570WP N-TYPE BIFACIAL DAH SOLAR DHN-72X16/DG 
 2 x HMS-2000-4T - MICRO HOYMILES 2000W DTU EXTERNA 
 4 x CABO FOTOVOLTAICO 4MM² PRETO 
 8 x CABO FOTOVOLTAICO 4MM² VERMELHO 
 16 x CONECTOR MC4 PAR EMBALADO 
 ESTRUTURA FIBROCIMENTO MADEIRA 
 2 x AC TRUNK CONNECTOR - CONECTOR CA HOYMILES 
 1 x AC TRUNK END CAP - TERMINAL ENDCAP HOYMILES 
 1 x AC TRUNK CONNECTOR UNLOCK TOOL - CHAVE DESBLOQUEIO CONECTOR CA 
 1 x HMS DISCONNECT TOOL-1PCS - CHAVE DESCONEXAO MICROINVERSOR 
 3 x CABO CA MULTIPOLAR 10AWG 
 1 x DTU-LITE-S(WIFI) - MONIT DTU-LITE S (ATÉ 25 MICROS)</t>
  </si>
  <si>
    <t>6 x MODULO FV 570WP N-TYPE BIFACIAL DUAL GLASS DAS-DH144NA 
 2 x HMS-2000-4T - MICRO HOYMILES 2000W DTU EXTERNA 
 4 x CABO FOTOVOLTAICO 4MM² PRETO 
 8 x CABO FOTOVOLTAICO 4MM² VERMELHO 
 16 x CONECTOR MC4 PAR EMBALADO 
 ESTRUTURA FIBROCIMENTO MADEIRA 
 2 x AC TRUNK CONNECTOR - CONECTOR CA HOYMILES 
 1 x AC TRUNK END CAP - TERMINAL ENDCAP HOYMILES 
 1 x AC TRUNK CONNECTOR UNLOCK TOOL - CHAVE DESBLOQUEIO CONECTOR CA 
 1 x HMS DISCONNECT TOOL-1PCS - CHAVE DESCONEXAO MICROINVERSOR 
 3 x CABO CA MULTIPOLAR 10AWG 
 1 x DTU-LITE-S(WIFI) - MONIT DTU-LITE S (ATÉ 25 MICROS)</t>
  </si>
  <si>
    <t>5 x MODULO FV 710WP BIFACIAL DUAL-GLASS TRINA TSM-NEG21C.20 
 2 x HMS-2000-4T - MICRO HOYMILES 2000W DTU EXTERNA 
 4 x CABO FOTOVOLTAICO 4MM² PRETO 
 8 x CABO FOTOVOLTAICO 4MM² VERMELHO 
 16 x CONECTOR MC4 PAR TRINA 
 ESTRUTURA FIBROCIMENTO MADEIRA 
 2 x AC TRUNK CONNECTOR - CONECTOR CA HOYMILES 
 1 x AC TRUNK END CAP - TERMINAL ENDCAP HOYMILES 
 1 x AC TRUNK CONNECTOR UNLOCK TOOL - CHAVE DESBLOQUEIO CONECTOR CA 
 1 x HMS DISCONNECT TOOL-1PCS - CHAVE DESCONEXAO MICROINVERSOR 
 3 x CABO CA MULTIPOLAR 10AWG 
 1 x DTU-LITE-S(WIFI) - MONIT DTU-LITE S (ATÉ 25 MICROS)</t>
  </si>
  <si>
    <t>7 x MODULO FV 570WP N-TYPE BIFACIAL DAH SOLAR DHN-72X16/DG 
 1 x INVERSOR SUNGROW SG3.0RS-L COM MONITORAMENTO 
 50 x CABO FOTOVOLTAICO 4MM² PRETO 
 50 x CABO FOTOVOLTAICO 4MM² VERMELHO 
 2 x CONECTOR MC4 PAR EMBALADO 
 ESTRUTURA FIBROCIMENTO MADEIRA</t>
  </si>
  <si>
    <t>7 x MODULO FV 570WP N-TYPE BIFACIAL DUAL GLASS DAS-DH144NA 
 1 x INVERSOR SUNGROW SG3.0RS-L COM MONITORAMENTO 
 50 x CABO FOTOVOLTAICO 4MM² PRETO 
 50 x CABO FOTOVOLTAICO 4MM² VERMELHO 
 2 x CONECTOR MC4 PAR EMBALADO 
 ESTRUTURA FIBROCIMENTO MADEIRA</t>
  </si>
  <si>
    <t>7 x MODULO FV 570WP N-TYPE BIFACIAL DAH SOLAR DHN-72X16/DG 
 1 x INVERSOR SOLIS 3KW S6-GR1P3K-M COM MONITORAMENTO 
 50 x CABO FOTOVOLTAICO 4MM² PRETO 
 50 x CABO FOTOVOLTAICO 4MM² VERMELHO 
 2 x CONECTOR MC4 PAR EMBALADO 
 ESTRUTURA FIBROCIMENTO MADEIRA</t>
  </si>
  <si>
    <t>7 x MODULO FV 570WP N-TYPE BIFACIAL DUAL GLASS DAS-DH144NA 
 1 x INVERSOR SOLIS 3KW S6-GR1P3K-M COM MONITORAMENTO 
 50 x CABO FOTOVOLTAICO 4MM² PRETO 
 50 x CABO FOTOVOLTAICO 4MM² VERMELHO 
 2 x CONECTOR MC4 PAR EMBALADO 
 ESTRUTURA FIBROCIMENTO MADEIRA</t>
  </si>
  <si>
    <t>7 x MODULO FV 570WP N-TYPE BIFACIAL DAH SOLAR DHN-72X16/DG 
 2 x HMS-2000-4T - MICRO HOYMILES 2000W DTU EXTERNA 
 4 x CABO FOTOVOLTAICO 4MM² PRETO 
 8 x CABO FOTOVOLTAICO 4MM² VERMELHO 
 16 x CONECTOR MC4 PAR EMBALADO 
 ESTRUTURA FIBROCIMENTO MADEIRA 
 2 x AC TRUNK CONNECTOR - CONECTOR CA HOYMILES 
 1 x AC TRUNK END CAP - TERMINAL ENDCAP HOYMILES 
 1 x AC TRUNK CONNECTOR UNLOCK TOOL - CHAVE DESBLOQUEIO CONECTOR CA 
 1 x HMS DISCONNECT TOOL-1PCS - CHAVE DESCONEXAO MICROINVERSOR 
 3 x CABO CA MULTIPOLAR 10AWG 
 1 x DTU-LITE-S(WIFI) - MONIT DTU-LITE S (ATÉ 25 MICROS)</t>
  </si>
  <si>
    <t>7 x MODULO FV 570WP N-TYPE BIFACIAL DUAL GLASS DAS-DH144NA 
 2 x HMS-2000-4T - MICRO HOYMILES 2000W DTU EXTERNA 
 4 x CABO FOTOVOLTAICO 4MM² PRETO 
 8 x CABO FOTOVOLTAICO 4MM² VERMELHO 
 16 x CONECTOR MC4 PAR EMBALADO 
 ESTRUTURA FIBROCIMENTO MADEIRA 
 2 x AC TRUNK CONNECTOR - CONECTOR CA HOYMILES 
 1 x AC TRUNK END CAP - TERMINAL ENDCAP HOYMILES 
 1 x AC TRUNK CONNECTOR UNLOCK TOOL - CHAVE DESBLOQUEIO CONECTOR CA 
 1 x HMS DISCONNECT TOOL-1PCS - CHAVE DESCONEXAO MICROINVERSOR 
 3 x CABO CA MULTIPOLAR 10AWG 
 1 x DTU-LITE-S(WIFI) - MONIT DTU-LITE S (ATÉ 25 MICROS)</t>
  </si>
  <si>
    <t>6 x MODULO FV 710WP BIFACIAL DUAL-GLASS TRINA TSM-NEG21C.20 
 2 x HMS-2000-4T - MICRO HOYMILES 2000W DTU EXTERNA 
 4 x CABO FOTOVOLTAICO 4MM² PRETO 
 8 x CABO FOTOVOLTAICO 4MM² VERMELHO 
 16 x CONECTOR MC4 PAR TRINA 
 ESTRUTURA FIBROCIMENTO MADEIRA 
 2 x AC TRUNK CONNECTOR - CONECTOR CA HOYMILES 
 1 x AC TRUNK END CAP - TERMINAL ENDCAP HOYMILES 
 1 x AC TRUNK CONNECTOR UNLOCK TOOL - CHAVE DESBLOQUEIO CONECTOR CA 
 1 x HMS DISCONNECT TOOL-1PCS - CHAVE DESCONEXAO MICROINVERSOR 
 3 x CABO CA MULTIPOLAR 10AWG 
 1 x DTU-LITE-S(WIFI) - MONIT DTU-LITE S (ATÉ 25 MICROS)</t>
  </si>
  <si>
    <t>8 x MODULO FV 570WP N-TYPE BIFACIAL DAH SOLAR DHN-72X16/DG 
 1 x INVERSOR SUNGROW SG4.0RS-L COM MONITORAMENTO 
 50 x CABO FOTOVOLTAICO 4MM² PRETO 
 50 x CABO FOTOVOLTAICO 4MM² VERMELHO 
 4 x CONECTOR MC4 PAR EMBALADO 
 ESTRUTURA FIBROCIMENTO MADEIRA</t>
  </si>
  <si>
    <t>8 x MODULO FV 570WP N-TYPE BIFACIAL DUAL GLASS DAS-DH144NA 
 1 x INVERSOR SUNGROW SG4.0RS-L COM MONITORAMENTO 
 50 x CABO FOTOVOLTAICO 4MM² PRETO 
 50 x CABO FOTOVOLTAICO 4MM² VERMELHO 
 4 x CONECTOR MC4 PAR EMBALADO 
 ESTRUTURA FIBROCIMENTO MADEIRA</t>
  </si>
  <si>
    <t>8 x MODULO FV 570WP N-TYPE BIFACIAL DAH SOLAR DHN-72X16/DG 
 1 x INVERSOR SOLIS 4KW S6-GR1P4K-S COM MONITORAMENTO 
 50 x CABO FOTOVOLTAICO 4MM² PRETO 
 50 x CABO FOTOVOLTAICO 4MM² VERMELHO 
 4 x CONECTOR MC4 PAR EMBALADO 
 ESTRUTURA FIBROCIMENTO MADEIRA</t>
  </si>
  <si>
    <t>8 x MODULO FV 570WP N-TYPE BIFACIAL DUAL GLASS DAS-DH144NA 
 1 x INVERSOR SOLIS 4KW S6-GR1P4K-S COM MONITORAMENTO 
 50 x CABO FOTOVOLTAICO 4MM² PRETO 
 50 x CABO FOTOVOLTAICO 4MM² VERMELHO 
 4 x CONECTOR MC4 PAR EMBALADO 
 ESTRUTURA FIBROCIMENTO MADEIRA</t>
  </si>
  <si>
    <t>8 x MODULO FV 570WP N-TYPE BIFACIAL DAH SOLAR DHN-72X16/DG 
 2 x HMS-2000-4T - MICRO HOYMILES 2000W DTU EXTERNA 
 4 x CABO FOTOVOLTAICO 4MM² PRETO 
 8 x CABO FOTOVOLTAICO 4MM² VERMELHO 
 16 x CONECTOR MC4 PAR EMBALADO 
 ESTRUTURA FIBROCIMENTO MADEIRA 
 2 x AC TRUNK CONNECTOR - CONECTOR CA HOYMILES 
 1 x AC TRUNK END CAP - TERMINAL ENDCAP HOYMILES 
 1 x AC TRUNK CONNECTOR UNLOCK TOOL - CHAVE DESBLOQUEIO CONECTOR CA 
 1 x HMS DISCONNECT TOOL-1PCS - CHAVE DESCONEXAO MICROINVERSOR 
 3 x CABO CA MULTIPOLAR 10AWG 
 1 x DTU-LITE-S(WIFI) - MONIT DTU-LITE S (ATÉ 25 MICROS)</t>
  </si>
  <si>
    <t>8 x MODULO FV 570WP N-TYPE BIFACIAL DUAL GLASS DAS-DH144NA 
 2 x HMS-2000-4T - MICRO HOYMILES 2000W DTU EXTERNA 
 4 x CABO FOTOVOLTAICO 4MM² PRETO 
 8 x CABO FOTOVOLTAICO 4MM² VERMELHO 
 16 x CONECTOR MC4 PAR EMBALADO 
 ESTRUTURA FIBROCIMENTO MADEIRA 
 2 x AC TRUNK CONNECTOR - CONECTOR CA HOYMILES 
 1 x AC TRUNK END CAP - TERMINAL ENDCAP HOYMILES 
 1 x AC TRUNK CONNECTOR UNLOCK TOOL - CHAVE DESBLOQUEIO CONECTOR CA 
 1 x HMS DISCONNECT TOOL-1PCS - CHAVE DESCONEXAO MICROINVERSOR 
 3 x CABO CA MULTIPOLAR 10AWG 
 1 x DTU-LITE-S(WIFI) - MONIT DTU-LITE S (ATÉ 25 MICROS)</t>
  </si>
  <si>
    <t>7 x MODULO FV 710WP BIFACIAL DUAL-GLASS TRINA TSM-NEG21C.20 
 2 x HMS-2000-4T - MICRO HOYMILES 2000W DTU EXTERNA 
 4 x CABO FOTOVOLTAICO 4MM² PRETO 
 8 x CABO FOTOVOLTAICO 4MM² VERMELHO 
 16 x CONECTOR MC4 PAR TRINA 
 ESTRUTURA FIBROCIMENTO MADEIRA 
 2 x AC TRUNK CONNECTOR - CONECTOR CA HOYMILES 
 1 x AC TRUNK END CAP - TERMINAL ENDCAP HOYMILES 
 1 x AC TRUNK CONNECTOR UNLOCK TOOL - CHAVE DESBLOQUEIO CONECTOR CA 
 1 x HMS DISCONNECT TOOL-1PCS - CHAVE DESCONEXAO MICROINVERSOR 
 3 x CABO CA MULTIPOLAR 10AWG 
 1 x DTU-LITE-S(WIFI) - MONIT DTU-LITE S (ATÉ 25 MICROS)</t>
  </si>
  <si>
    <t>9 x MODULO FV 570WP N-TYPE BIFACIAL DAH SOLAR DHN-72X16/DG 
 1 x INVERSOR SUNGROW SG4.0RS-L COM MONITORAMENTO 
 50 x CABO FOTOVOLTAICO 4MM² PRETO 
 50 x CABO FOTOVOLTAICO 4MM² VERMELHO 
 4 x CONECTOR MC4 PAR EMBALADO 
 ESTRUTURA FIBROCIMENTO MADEIRA</t>
  </si>
  <si>
    <t>9 x MODULO FV 570WP N-TYPE BIFACIAL DUAL GLASS DAS-DH144NA 
 1 x INVERSOR SUNGROW SG4.0RS-L COM MONITORAMENTO 
 50 x CABO FOTOVOLTAICO 4MM² PRETO 
 50 x CABO FOTOVOLTAICO 4MM² VERMELHO 
 4 x CONECTOR MC4 PAR EMBALADO 
 ESTRUTURA FIBROCIMENTO MADEIRA</t>
  </si>
  <si>
    <t>9 x MODULO FV 570WP N-TYPE BIFACIAL DAH SOLAR DHN-72X16/DG 
 1 x INVERSOR SOLIS 4KW S6-GR1P4K-S COM MONITORAMENTO 
 50 x CABO FOTOVOLTAICO 4MM² PRETO 
 50 x CABO FOTOVOLTAICO 4MM² VERMELHO 
 4 x CONECTOR MC4 PAR EMBALADO 
 ESTRUTURA FIBROCIMENTO MADEIRA</t>
  </si>
  <si>
    <t>9 x MODULO FV 570WP N-TYPE BIFACIAL DUAL GLASS DAS-DH144NA 
 1 x INVERSOR SOLIS 4KW S6-GR1P4K-S COM MONITORAMENTO 
 50 x CABO FOTOVOLTAICO 4MM² PRETO 
 50 x CABO FOTOVOLTAICO 4MM² VERMELHO 
 4 x CONECTOR MC4 PAR EMBALADO 
 ESTRUTURA FIBROCIMENTO MADEIRA</t>
  </si>
  <si>
    <t>6</t>
  </si>
  <si>
    <t>9 x MODULO FV 570WP N-TYPE BIFACIAL DAH SOLAR DHN-72X16/DG 
 3 x HMS-2000-4T - MICRO HOYMILES 2000W DTU EXTERNA 
 4 x CABO FOTOVOLTAICO 4MM² PRETO 
 12 x CABO FOTOVOLTAICO 4MM² VERMELHO 
 24 x CONECTOR MC4 PAR EMBALADO 
 ESTRUTURA FIBROCIMENTO MADEIRA 
 3 x AC TRUNK CONNECTOR - CONECTOR CA HOYMILES 
 1 x AC TRUNK END CAP - TERMINAL ENDCAP HOYMILES 
 1 x AC TRUNK CONNECTOR UNLOCK TOOL - CHAVE DESBLOQUEIO CONECTOR CA 
 1 x HMS DISCONNECT TOOL-1PCS - CHAVE DESCONEXAO MICROINVERSOR 
 6 x CABO CA MULTIPOLAR 10AWG 
 1 x DTU-LITE-S(WIFI) - MONIT DTU-LITE S (ATÉ 25 MICROS)</t>
  </si>
  <si>
    <t>9 x MODULO FV 570WP N-TYPE BIFACIAL DUAL GLASS DAS-DH144NA 
 3 x HMS-2000-4T - MICRO HOYMILES 2000W DTU EXTERNA 
 4 x CABO FOTOVOLTAICO 4MM² PRETO 
 12 x CABO FOTOVOLTAICO 4MM² VERMELHO 
 24 x CONECTOR MC4 PAR EMBALADO 
 ESTRUTURA FIBROCIMENTO MADEIRA 
 3 x AC TRUNK CONNECTOR - CONECTOR CA HOYMILES 
 1 x AC TRUNK END CAP - TERMINAL ENDCAP HOYMILES 
 1 x AC TRUNK CONNECTOR UNLOCK TOOL - CHAVE DESBLOQUEIO CONECTOR CA 
 1 x HMS DISCONNECT TOOL-1PCS - CHAVE DESCONEXAO MICROINVERSOR 
 6 x CABO CA MULTIPOLAR 10AWG 
 1 x DTU-LITE-S(WIFI) - MONIT DTU-LITE S (ATÉ 25 MICROS)</t>
  </si>
  <si>
    <t>8 x MODULO FV 710WP BIFACIAL DUAL-GLASS TRINA TSM-NEG21C.20 
 2 x HMS-2000-4T - MICRO HOYMILES 2000W DTU EXTERNA 
 4 x CABO FOTOVOLTAICO 4MM² PRETO 
 8 x CABO FOTOVOLTAICO 4MM² VERMELHO 
 16 x CONECTOR MC4 PAR TRINA 
 ESTRUTURA FIBROCIMENTO MADEIRA 
 2 x AC TRUNK CONNECTOR - CONECTOR CA HOYMILES 
 1 x AC TRUNK END CAP - TERMINAL ENDCAP HOYMILES 
 1 x AC TRUNK CONNECTOR UNLOCK TOOL - CHAVE DESBLOQUEIO CONECTOR CA 
 1 x HMS DISCONNECT TOOL-1PCS - CHAVE DESCONEXAO MICROINVERSOR 
 3 x CABO CA MULTIPOLAR 10AWG 
 1 x DTU-LITE-S(WIFI) - MONIT DTU-LITE S (ATÉ 25 MICROS)</t>
  </si>
  <si>
    <t>10 x MODULO FV 570WP N-TYPE BIFACIAL DAH SOLAR DHN-72X16/DG 
 1 x INVERSOR SUNGROW SG5.0RS-L COM MONITORAMENTO 
 50 x CABO FOTOVOLTAICO 4MM² PRETO 
 50 x CABO FOTOVOLTAICO 4MM² VERMELHO 
 4 x CONECTOR MC4 PAR EMBALADO 
 ESTRUTURA FIBROCIMENTO MADEIRA</t>
  </si>
  <si>
    <t>10 x MODULO FV 570WP N-TYPE BIFACIAL DUAL GLASS DAS-DH144NA 
 1 x INVERSOR SUNGROW SG5.0RS-L COM MONITORAMENTO 
 50 x CABO FOTOVOLTAICO 4MM² PRETO 
 50 x CABO FOTOVOLTAICO 4MM² VERMELHO 
 4 x CONECTOR MC4 PAR EMBALADO 
 ESTRUTURA FIBROCIMENTO MADEIRA</t>
  </si>
  <si>
    <t>10 x MODULO FV 570WP N-TYPE BIFACIAL DAH SOLAR DHN-72X16/DG 
 1 x INVERSOR SOLIS 5KW S6-GR1P5K-S COM MONITORAMENTO 
 50 x CABO FOTOVOLTAICO 4MM² PRETO 
 50 x CABO FOTOVOLTAICO 4MM² VERMELHO 
 4 x CONECTOR MC4 PAR EMBALADO 
 ESTRUTURA FIBROCIMENTO MADEIRA</t>
  </si>
  <si>
    <t>10 x MODULO FV 570WP N-TYPE BIFACIAL DUAL GLASS DAS-DH144NA 
 1 x INVERSOR SOLIS 5KW S6-GR1P5K-S COM MONITORAMENTO 
 50 x CABO FOTOVOLTAICO 4MM² PRETO 
 50 x CABO FOTOVOLTAICO 4MM² VERMELHO 
 4 x CONECTOR MC4 PAR EMBALADO 
 ESTRUTURA FIBROCIMENTO MADEIRA</t>
  </si>
  <si>
    <t>10 x MODULO FV 570WP N-TYPE BIFACIAL DAH SOLAR DHN-72X16/DG 
 3 x HMS-2000-4T - MICRO HOYMILES 2000W DTU EXTERNA 
 4 x CABO FOTOVOLTAICO 4MM² PRETO 
 12 x CABO FOTOVOLTAICO 4MM² VERMELHO 
 24 x CONECTOR MC4 PAR EMBALADO 
 ESTRUTURA FIBROCIMENTO MADEIRA 
 3 x AC TRUNK CONNECTOR - CONECTOR CA HOYMILES 
 1 x AC TRUNK END CAP - TERMINAL ENDCAP HOYMILES 
 1 x AC TRUNK CONNECTOR UNLOCK TOOL - CHAVE DESBLOQUEIO CONECTOR CA 
 1 x HMS DISCONNECT TOOL-1PCS - CHAVE DESCONEXAO MICROINVERSOR 
 6 x CABO CA MULTIPOLAR 10AWG 
 1 x DTU-LITE-S(WIFI) - MONIT DTU-LITE S (ATÉ 25 MICROS)</t>
  </si>
  <si>
    <t>10 x MODULO FV 570WP N-TYPE BIFACIAL DUAL GLASS DAS-DH144NA 
 3 x HMS-2000-4T - MICRO HOYMILES 2000W DTU EXTERNA 
 4 x CABO FOTOVOLTAICO 4MM² PRETO 
 12 x CABO FOTOVOLTAICO 4MM² VERMELHO 
 24 x CONECTOR MC4 PAR EMBALADO 
 ESTRUTURA FIBROCIMENTO MADEIRA 
 3 x AC TRUNK CONNECTOR - CONECTOR CA HOYMILES 
 1 x AC TRUNK END CAP - TERMINAL ENDCAP HOYMILES 
 1 x AC TRUNK CONNECTOR UNLOCK TOOL - CHAVE DESBLOQUEIO CONECTOR CA 
 1 x HMS DISCONNECT TOOL-1PCS - CHAVE DESCONEXAO MICROINVERSOR 
 6 x CABO CA MULTIPOLAR 10AWG 
 1 x DTU-LITE-S(WIFI) - MONIT DTU-LITE S (ATÉ 25 MICROS)</t>
  </si>
  <si>
    <t>11 x MODULO FV 570WP N-TYPE BIFACIAL DAH SOLAR DHN-72X16/DG 
 1 x INVERSOR SUNGROW SG5.0RS-L COM MONITORAMENTO 
 50 x CABO FOTOVOLTAICO 4MM² PRETO 
 50 x CABO FOTOVOLTAICO 4MM² VERMELHO 
 4 x CONECTOR MC4 PAR EMBALADO 
 ESTRUTURA FIBROCIMENTO MADEIRA</t>
  </si>
  <si>
    <t>11 x MODULO FV 570WP N-TYPE BIFACIAL DUAL GLASS DAS-DH144NA 
 1 x INVERSOR SUNGROW SG5.0RS-L COM MONITORAMENTO 
 50 x CABO FOTOVOLTAICO 4MM² PRETO 
 50 x CABO FOTOVOLTAICO 4MM² VERMELHO 
 4 x CONECTOR MC4 PAR EMBALADO 
 ESTRUTURA FIBROCIMENTO MADEIRA</t>
  </si>
  <si>
    <t>11 x MODULO FV 570WP N-TYPE BIFACIAL DAH SOLAR DHN-72X16/DG 
 1 x INVERSOR SOLIS 5KW S6-GR1P5K-S COM MONITORAMENTO 
 50 x CABO FOTOVOLTAICO 4MM² PRETO 
 50 x CABO FOTOVOLTAICO 4MM² VERMELHO 
 4 x CONECTOR MC4 PAR EMBALADO 
 ESTRUTURA FIBROCIMENTO MADEIRA</t>
  </si>
  <si>
    <t>11 x MODULO FV 570WP N-TYPE BIFACIAL DUAL GLASS DAS-DH144NA 
 1 x INVERSOR SOLIS 5KW S6-GR1P5K-S COM MONITORAMENTO 
 50 x CABO FOTOVOLTAICO 4MM² PRETO 
 50 x CABO FOTOVOLTAICO 4MM² VERMELHO 
 4 x CONECTOR MC4 PAR EMBALADO 
 ESTRUTURA FIBROCIMENTO MADEIRA</t>
  </si>
  <si>
    <t>11 x MODULO FV 570WP N-TYPE BIFACIAL DAH SOLAR DHN-72X16/DG 
 3 x HMS-2000-4T - MICRO HOYMILES 2000W DTU EXTERNA 
 4 x CABO FOTOVOLTAICO 4MM² PRETO 
 12 x CABO FOTOVOLTAICO 4MM² VERMELHO 
 24 x CONECTOR MC4 PAR EMBALADO 
 ESTRUTURA FIBROCIMENTO MADEIRA 
 3 x AC TRUNK CONNECTOR - CONECTOR CA HOYMILES 
 1 x AC TRUNK END CAP - TERMINAL ENDCAP HOYMILES 
 1 x AC TRUNK CONNECTOR UNLOCK TOOL - CHAVE DESBLOQUEIO CONECTOR CA 
 1 x HMS DISCONNECT TOOL-1PCS - CHAVE DESCONEXAO MICROINVERSOR 
 6 x CABO CA MULTIPOLAR 10AWG 
 1 x DTU-LITE-S(WIFI) - MONIT DTU-LITE S (ATÉ 25 MICROS)</t>
  </si>
  <si>
    <t>11 x MODULO FV 570WP N-TYPE BIFACIAL DUAL GLASS DAS-DH144NA 
 3 x HMS-2000-4T - MICRO HOYMILES 2000W DTU EXTERNA 
 4 x CABO FOTOVOLTAICO 4MM² PRETO 
 12 x CABO FOTOVOLTAICO 4MM² VERMELHO 
 24 x CONECTOR MC4 PAR EMBALADO 
 ESTRUTURA FIBROCIMENTO MADEIRA 
 3 x AC TRUNK CONNECTOR - CONECTOR CA HOYMILES 
 1 x AC TRUNK END CAP - TERMINAL ENDCAP HOYMILES 
 1 x AC TRUNK CONNECTOR UNLOCK TOOL - CHAVE DESBLOQUEIO CONECTOR CA 
 1 x HMS DISCONNECT TOOL-1PCS - CHAVE DESCONEXAO MICROINVERSOR 
 6 x CABO CA MULTIPOLAR 10AWG 
 1 x DTU-LITE-S(WIFI) - MONIT DTU-LITE S (ATÉ 25 MICROS)</t>
  </si>
  <si>
    <t>9 x MODULO FV 710WP BIFACIAL DUAL-GLASS TRINA TSM-NEG21C.20 
 3 x HMS-2000-4T - MICRO HOYMILES 2000W DTU EXTERNA 
 4 x CABO FOTOVOLTAICO 4MM² PRETO 
 12 x CABO FOTOVOLTAICO 4MM² VERMELHO 
 24 x CONECTOR MC4 PAR TRINA 
 ESTRUTURA FIBROCIMENTO MADEIRA 
 3 x AC TRUNK CONNECTOR - CONECTOR CA HOYMILES 
 1 x AC TRUNK END CAP - TERMINAL ENDCAP HOYMILES 
 1 x AC TRUNK CONNECTOR UNLOCK TOOL - CHAVE DESBLOQUEIO CONECTOR CA 
 1 x HMS DISCONNECT TOOL-1PCS - CHAVE DESCONEXAO MICROINVERSOR 
 6 x CABO CA MULTIPOLAR 10AWG 
 1 x DTU-LITE-S(WIFI) - MONIT DTU-LITE S (ATÉ 25 MICROS)</t>
  </si>
  <si>
    <t>12 x MODULO FV 570WP N-TYPE BIFACIAL DAH SOLAR DHN-72X16/DG 
 1 x INVERSOR SUNGROW SG5.0RS-L COM MONITORAMENTO 
 50 x CABO FOTOVOLTAICO 4MM² PRETO 
 50 x CABO FOTOVOLTAICO 4MM² VERMELHO 
 4 x CONECTOR MC4 PAR EMBALADO 
 ESTRUTURA FIBROCIMENTO MADEIRA</t>
  </si>
  <si>
    <t>12 x MODULO FV 570WP N-TYPE BIFACIAL DUAL GLASS DAS-DH144NA 
 1 x INVERSOR SUNGROW SG5.0RS-L COM MONITORAMENTO 
 50 x CABO FOTOVOLTAICO 4MM² PRETO 
 50 x CABO FOTOVOLTAICO 4MM² VERMELHO 
 4 x CONECTOR MC4 PAR EMBALADO 
 ESTRUTURA FIBROCIMENTO MADEIRA</t>
  </si>
  <si>
    <t>12 x MODULO FV 570WP N-TYPE BIFACIAL DAH SOLAR DHN-72X16/DG 
 1 x INVERSOR SOLIS 5KW S6-GR1P5K-S COM MONITORAMENTO 
 50 x CABO FOTOVOLTAICO 4MM² PRETO 
 50 x CABO FOTOVOLTAICO 4MM² VERMELHO 
 4 x CONECTOR MC4 PAR EMBALADO 
 ESTRUTURA FIBROCIMENTO MADEIRA</t>
  </si>
  <si>
    <t>12 x MODULO FV 570WP N-TYPE BIFACIAL DUAL GLASS DAS-DH144NA 
 1 x INVERSOR SOLIS 5KW S6-GR1P5K-S COM MONITORAMENTO 
 50 x CABO FOTOVOLTAICO 4MM² PRETO 
 50 x CABO FOTOVOLTAICO 4MM² VERMELHO 
 4 x CONECTOR MC4 PAR EMBALADO 
 ESTRUTURA FIBROCIMENTO MADEIRA</t>
  </si>
  <si>
    <t>12 x MODULO FV 570WP N-TYPE BIFACIAL DAH SOLAR DHN-72X16/DG 
 3 x HMS-2000-4T - MICRO HOYMILES 2000W DTU EXTERNA 
 4 x CABO FOTOVOLTAICO 4MM² PRETO 
 12 x CABO FOTOVOLTAICO 4MM² VERMELHO 
 24 x CONECTOR MC4 PAR EMBALADO 
 ESTRUTURA FIBROCIMENTO MADEIRA 
 3 x AC TRUNK CONNECTOR - CONECTOR CA HOYMILES 
 1 x AC TRUNK END CAP - TERMINAL ENDCAP HOYMILES 
 1 x AC TRUNK CONNECTOR UNLOCK TOOL - CHAVE DESBLOQUEIO CONECTOR CA 
 1 x HMS DISCONNECT TOOL-1PCS - CHAVE DESCONEXAO MICROINVERSOR 
 6 x CABO CA MULTIPOLAR 10AWG 
 1 x DTU-LITE-S(WIFI) - MONIT DTU-LITE S (ATÉ 25 MICROS)</t>
  </si>
  <si>
    <t>12 x MODULO FV 570WP N-TYPE BIFACIAL DUAL GLASS DAS-DH144NA 
 3 x HMS-2000-4T - MICRO HOYMILES 2000W DTU EXTERNA 
 4 x CABO FOTOVOLTAICO 4MM² PRETO 
 12 x CABO FOTOVOLTAICO 4MM² VERMELHO 
 24 x CONECTOR MC4 PAR EMBALADO 
 ESTRUTURA FIBROCIMENTO MADEIRA 
 3 x AC TRUNK CONNECTOR - CONECTOR CA HOYMILES 
 1 x AC TRUNK END CAP - TERMINAL ENDCAP HOYMILES 
 1 x AC TRUNK CONNECTOR UNLOCK TOOL - CHAVE DESBLOQUEIO CONECTOR CA 
 1 x HMS DISCONNECT TOOL-1PCS - CHAVE DESCONEXAO MICROINVERSOR 
 6 x CABO CA MULTIPOLAR 10AWG 
 1 x DTU-LITE-S(WIFI) - MONIT DTU-LITE S (ATÉ 25 MICROS)</t>
  </si>
  <si>
    <t>10 x MODULO FV 710WP BIFACIAL DUAL-GLASS TRINA TSM-NEG21C.20 
 3 x HMS-2000-4T - MICRO HOYMILES 2000W DTU EXTERNA 
 4 x CABO FOTOVOLTAICO 4MM² PRETO 
 12 x CABO FOTOVOLTAICO 4MM² VERMELHO 
 24 x CONECTOR MC4 PAR TRINA 
 ESTRUTURA FIBROCIMENTO MADEIRA 
 3 x AC TRUNK CONNECTOR - CONECTOR CA HOYMILES 
 1 x AC TRUNK END CAP - TERMINAL ENDCAP HOYMILES 
 1 x AC TRUNK CONNECTOR UNLOCK TOOL - CHAVE DESBLOQUEIO CONECTOR CA 
 1 x HMS DISCONNECT TOOL-1PCS - CHAVE DESCONEXAO MICROINVERSOR 
 6 x CABO CA MULTIPOLAR 10AWG 
 1 x DTU-LITE-S(WIFI) - MONIT DTU-LITE S (ATÉ 25 MICROS)</t>
  </si>
  <si>
    <t>13 x MODULO FV 570WP N-TYPE BIFACIAL DAH SOLAR DHN-72X16/DG 
 1 x INVERSOR SUNGROW SG6.0RS-L COM MONITORAMENTO 
 50 x CABO FOTOVOLTAICO 4MM² PRETO 
 50 x CABO FOTOVOLTAICO 4MM² VERMELHO 
 4 x CONECTOR MC4 PAR EMBALADO 
 ESTRUTURA FIBROCIMENTO MADEIRA</t>
  </si>
  <si>
    <t>13 x MODULO FV 570WP N-TYPE BIFACIAL DUAL GLASS DAS-DH144NA 
 1 x INVERSOR SUNGROW SG6.0RS-L COM MONITORAMENTO 
 50 x CABO FOTOVOLTAICO 4MM² PRETO 
 50 x CABO FOTOVOLTAICO 4MM² VERMELHO 
 4 x CONECTOR MC4 PAR EMBALADO 
 ESTRUTURA FIBROCIMENTO MADEIRA</t>
  </si>
  <si>
    <t>13 x MODULO FV 570WP N-TYPE BIFACIAL DAH SOLAR DHN-72X16/DG 
 1 x INVERSOR SOLIS 6KW S6-GR1P6K-S COM MONITORAMENTO 
 50 x CABO FOTOVOLTAICO 4MM² PRETO 
 50 x CABO FOTOVOLTAICO 4MM² VERMELHO 
 4 x CONECTOR MC4 PAR EMBALADO 
 ESTRUTURA FIBROCIMENTO MADEIRA</t>
  </si>
  <si>
    <t>13 x MODULO FV 570WP N-TYPE BIFACIAL DUAL GLASS DAS-DH144NA 
 1 x INVERSOR SOLIS 6KW S6-GR1P6K-S COM MONITORAMENTO 
 50 x CABO FOTOVOLTAICO 4MM² PRETO 
 50 x CABO FOTOVOLTAICO 4MM² VERMELHO 
 4 x CONECTOR MC4 PAR EMBALADO 
 ESTRUTURA FIBROCIMENTO MADEIRA</t>
  </si>
  <si>
    <t>13 x MODULO FV 570WP N-TYPE BIFACIAL DAH SOLAR DHN-72X16/DG 
 4 x HMS-2000-4T - MICRO HOYMILES 2000W DTU EXTERNA 
 4 x CABO FOTOVOLTAICO 4MM² PRETO 
 16 x CABO FOTOVOLTAICO 4MM² VERMELHO 
 32 x CONECTOR MC4 PAR EMBALADO 
 ESTRUTURA FIBROCIMENTO MADEIRA 
 4 x AC TRUNK CONNECTOR - CONECTOR CA HOYMILES 
 2 x AC TRUNK END CAP - TERMINAL ENDCAP HOYMILES 
 1 x AC TRUNK CONNECTOR UNLOCK TOOL - CHAVE DESBLOQUEIO CONECTOR CA 
 1 x HMS DISCONNECT TOOL-1PCS - CHAVE DESCONEXAO MICROINVERSOR 
 6 x CABO CA MULTIPOLAR 10AWG 
 1 x DTU-LITE-S(WIFI) - MONIT DTU-LITE S (ATÉ 25 MICROS)</t>
  </si>
  <si>
    <t>13 x MODULO FV 570WP N-TYPE BIFACIAL DUAL GLASS DAS-DH144NA 
 4 x HMS-2000-4T - MICRO HOYMILES 2000W DTU EXTERNA 
 4 x CABO FOTOVOLTAICO 4MM² PRETO 
 16 x CABO FOTOVOLTAICO 4MM² VERMELHO 
 32 x CONECTOR MC4 PAR EMBALADO 
 ESTRUTURA FIBROCIMENTO MADEIRA 
 4 x AC TRUNK CONNECTOR - CONECTOR CA HOYMILES 
 2 x AC TRUNK END CAP - TERMINAL ENDCAP HOYMILES 
 1 x AC TRUNK CONNECTOR UNLOCK TOOL - CHAVE DESBLOQUEIO CONECTOR CA 
 1 x HMS DISCONNECT TOOL-1PCS - CHAVE DESCONEXAO MICROINVERSOR 
 6 x CABO CA MULTIPOLAR 10AWG 
 1 x DTU-LITE-S(WIFI) - MONIT DTU-LITE S (ATÉ 25 MICROS)</t>
  </si>
  <si>
    <t>11 x MODULO FV 710WP BIFACIAL DUAL-GLASS TRINA TSM-NEG21C.20 
 3 x HMS-2000-4T - MICRO HOYMILES 2000W DTU EXTERNA 
 4 x CABO FOTOVOLTAICO 4MM² PRETO 
 12 x CABO FOTOVOLTAICO 4MM² VERMELHO 
 24 x CONECTOR MC4 PAR TRINA 
 ESTRUTURA FIBROCIMENTO MADEIRA 
 3 x AC TRUNK CONNECTOR - CONECTOR CA HOYMILES 
 1 x AC TRUNK END CAP - TERMINAL ENDCAP HOYMILES 
 1 x AC TRUNK CONNECTOR UNLOCK TOOL - CHAVE DESBLOQUEIO CONECTOR CA 
 1 x HMS DISCONNECT TOOL-1PCS - CHAVE DESCONEXAO MICROINVERSOR 
 6 x CABO CA MULTIPOLAR 10AWG 
 1 x DTU-LITE-S(WIFI) - MONIT DTU-LITE S (ATÉ 25 MICROS)</t>
  </si>
  <si>
    <t>14 x MODULO FV 570WP N-TYPE BIFACIAL DAH SOLAR DHN-72X16/DG 
 1 x INVERSOR SUNGROW SG6.0RS-L COM MONITORAMENTO 
 50 x CABO FOTOVOLTAICO 4MM² PRETO 
 50 x CABO FOTOVOLTAICO 4MM² VERMELHO 
 4 x CONECTOR MC4 PAR EMBALADO 
 ESTRUTURA FIBROCIMENTO MADEIRA</t>
  </si>
  <si>
    <t>14 x MODULO FV 570WP N-TYPE BIFACIAL DUAL GLASS DAS-DH144NA 
 1 x INVERSOR SUNGROW SG6.0RS-L COM MONITORAMENTO 
 50 x CABO FOTOVOLTAICO 4MM² PRETO 
 50 x CABO FOTOVOLTAICO 4MM² VERMELHO 
 4 x CONECTOR MC4 PAR EMBALADO 
 ESTRUTURA FIBROCIMENTO MADEIRA</t>
  </si>
  <si>
    <t>14 x MODULO FV 570WP N-TYPE BIFACIAL DAH SOLAR DHN-72X16/DG 
 1 x INVERSOR SOLIS 6KW S6-GR1P6K-S COM MONITORAMENTO 
 50 x CABO FOTOVOLTAICO 4MM² PRETO 
 50 x CABO FOTOVOLTAICO 4MM² VERMELHO 
 4 x CONECTOR MC4 PAR EMBALADO 
 ESTRUTURA FIBROCIMENTO MADEIRA</t>
  </si>
  <si>
    <t>14 x MODULO FV 570WP N-TYPE BIFACIAL DUAL GLASS DAS-DH144NA 
 1 x INVERSOR SOLIS 6KW S6-GR1P6K-S COM MONITORAMENTO 
 50 x CABO FOTOVOLTAICO 4MM² PRETO 
 50 x CABO FOTOVOLTAICO 4MM² VERMELHO 
 4 x CONECTOR MC4 PAR EMBALADO 
 ESTRUTURA FIBROCIMENTO MADEIRA</t>
  </si>
  <si>
    <t>14 x MODULO FV 570WP N-TYPE BIFACIAL DAH SOLAR DHN-72X16/DG 
 4 x HMS-2000-4T - MICRO HOYMILES 2000W DTU EXTERNA 
 4 x CABO FOTOVOLTAICO 4MM² PRETO 
 16 x CABO FOTOVOLTAICO 4MM² VERMELHO 
 32 x CONECTOR MC4 PAR EMBALADO 
 ESTRUTURA FIBROCIMENTO MADEIRA 
 4 x AC TRUNK CONNECTOR - CONECTOR CA HOYMILES 
 2 x AC TRUNK END CAP - TERMINAL ENDCAP HOYMILES 
 1 x AC TRUNK CONNECTOR UNLOCK TOOL - CHAVE DESBLOQUEIO CONECTOR CA 
 1 x HMS DISCONNECT TOOL-1PCS - CHAVE DESCONEXAO MICROINVERSOR 
 6 x CABO CA MULTIPOLAR 10AWG 
 1 x DTU-LITE-S(WIFI) - MONIT DTU-LITE S (ATÉ 25 MICROS)</t>
  </si>
  <si>
    <t>14 x MODULO FV 570WP N-TYPE BIFACIAL DUAL GLASS DAS-DH144NA 
 4 x HMS-2000-4T - MICRO HOYMILES 2000W DTU EXTERNA 
 4 x CABO FOTOVOLTAICO 4MM² PRETO 
 16 x CABO FOTOVOLTAICO 4MM² VERMELHO 
 32 x CONECTOR MC4 PAR EMBALADO 
 ESTRUTURA FIBROCIMENTO MADEIRA 
 4 x AC TRUNK CONNECTOR - CONECTOR CA HOYMILES 
 2 x AC TRUNK END CAP - TERMINAL ENDCAP HOYMILES 
 1 x AC TRUNK CONNECTOR UNLOCK TOOL - CHAVE DESBLOQUEIO CONECTOR CA 
 1 x HMS DISCONNECT TOOL-1PCS - CHAVE DESCONEXAO MICROINVERSOR 
 6 x CABO CA MULTIPOLAR 10AWG 
 1 x DTU-LITE-S(WIFI) - MONIT DTU-LITE S (ATÉ 25 MICROS)</t>
  </si>
  <si>
    <t>12 x MODULO FV 710WP BIFACIAL DUAL-GLASS TRINA TSM-NEG21C.20 
 3 x HMS-2000-4T - MICRO HOYMILES 2000W DTU EXTERNA 
 4 x CABO FOTOVOLTAICO 4MM² PRETO 
 12 x CABO FOTOVOLTAICO 4MM² VERMELHO 
 24 x CONECTOR MC4 PAR TRINA 
 ESTRUTURA FIBROCIMENTO MADEIRA 
 3 x AC TRUNK CONNECTOR - CONECTOR CA HOYMILES 
 1 x AC TRUNK END CAP - TERMINAL ENDCAP HOYMILES 
 1 x AC TRUNK CONNECTOR UNLOCK TOOL - CHAVE DESBLOQUEIO CONECTOR CA 
 1 x HMS DISCONNECT TOOL-1PCS - CHAVE DESCONEXAO MICROINVERSOR 
 6 x CABO CA MULTIPOLAR 10AWG 
 1 x DTU-LITE-S(WIFI) - MONIT DTU-LITE S (ATÉ 25 MICROS)</t>
  </si>
  <si>
    <t>15 x MODULO FV 570WP N-TYPE BIFACIAL DAH SOLAR DHN-72X16/DG 
 1 x INVERSOR SOLIS 7KW S6-GR1P7K2 COM MONITORAMENTO 
 50 x CABO FOTOVOLTAICO 4MM² PRETO 
 50 x CABO FOTOVOLTAICO 4MM² VERMELHO 
 6 x CONECTOR MC4 PAR EMBALADO 
 ESTRUTURA FIBROCIMENTO MADEIRA</t>
  </si>
  <si>
    <t>15 x MODULO FV 570WP N-TYPE BIFACIAL DUAL GLASS DAS-DH144NA 
 1 x INVERSOR SOLIS 7KW S6-GR1P7K2 COM MONITORAMENTO 
 50 x CABO FOTOVOLTAICO 4MM² PRETO 
 50 x CABO FOTOVOLTAICO 4MM² VERMELHO 
 6 x CONECTOR MC4 PAR EMBALADO 
 ESTRUTURA FIBROCIMENTO MADEIRA</t>
  </si>
  <si>
    <t>15 x MODULO FV 570WP N-TYPE BIFACIAL DAH SOLAR DHN-72X16/DG 
 1 x INVERSOR SUNGROW SG8.0RS-L COM MONITORAMENTO 
 50 x CABO FOTOVOLTAICO 4MM² PRETO 
 50 x CABO FOTOVOLTAICO 4MM² VERMELHO 
 6 x CONECTOR MC4 PAR EMBALADO 
 ESTRUTURA FIBROCIMENTO MADEIRA</t>
  </si>
  <si>
    <t>15 x MODULO FV 570WP N-TYPE BIFACIAL DUAL GLASS DAS-DH144NA 
 1 x INVERSOR SUNGROW SG8.0RS-L COM MONITORAMENTO 
 50 x CABO FOTOVOLTAICO 4MM² PRETO 
 50 x CABO FOTOVOLTAICO 4MM² VERMELHO 
 6 x CONECTOR MC4 PAR EMBALADO 
 ESTRUTURA FIBROCIMENTO MADEIRA</t>
  </si>
  <si>
    <t>15 x MODULO FV 570WP N-TYPE BIFACIAL DAH SOLAR DHN-72X16/DG 
 4 x HMS-2000-4T - MICRO HOYMILES 2000W DTU EXTERNA 
 4 x CABO FOTOVOLTAICO 4MM² PRETO 
 16 x CABO FOTOVOLTAICO 4MM² VERMELHO 
 32 x CONECTOR MC4 PAR EMBALADO 
 ESTRUTURA FIBROCIMENTO MADEIRA 
 4 x AC TRUNK CONNECTOR - CONECTOR CA HOYMILES 
 2 x AC TRUNK END CAP - TERMINAL ENDCAP HOYMILES 
 1 x AC TRUNK CONNECTOR UNLOCK TOOL - CHAVE DESBLOQUEIO CONECTOR CA 
 1 x HMS DISCONNECT TOOL-1PCS - CHAVE DESCONEXAO MICROINVERSOR 
 6 x CABO CA MULTIPOLAR 10AWG 
 1 x DTU-LITE-S(WIFI) - MONIT DTU-LITE S (ATÉ 25 MICROS)</t>
  </si>
  <si>
    <t>15 x MODULO FV 570WP N-TYPE BIFACIAL DUAL GLASS DAS-DH144NA 
 4 x HMS-2000-4T - MICRO HOYMILES 2000W DTU EXTERNA 
 4 x CABO FOTOVOLTAICO 4MM² PRETO 
 16 x CABO FOTOVOLTAICO 4MM² VERMELHO 
 32 x CONECTOR MC4 PAR EMBALADO 
 ESTRUTURA FIBROCIMENTO MADEIRA 
 4 x AC TRUNK CONNECTOR - CONECTOR CA HOYMILES 
 2 x AC TRUNK END CAP - TERMINAL ENDCAP HOYMILES 
 1 x AC TRUNK CONNECTOR UNLOCK TOOL - CHAVE DESBLOQUEIO CONECTOR CA 
 1 x HMS DISCONNECT TOOL-1PCS - CHAVE DESCONEXAO MICROINVERSOR 
 6 x CABO CA MULTIPOLAR 10AWG 
 1 x DTU-LITE-S(WIFI) - MONIT DTU-LITE S (ATÉ 25 MICROS)</t>
  </si>
  <si>
    <t>16 x MODULO FV 570WP N-TYPE BIFACIAL DAH SOLAR DHN-72X16/DG 
 1 x INVERSOR SOLIS 7KW S6-GR1P7K2 COM MONITORAMENTO 
 50 x CABO FOTOVOLTAICO 4MM² PRETO 
 50 x CABO FOTOVOLTAICO 4MM² VERMELHO 
 6 x CONECTOR MC4 PAR EMBALADO 
 ESTRUTURA FIBROCIMENTO MADEIRA</t>
  </si>
  <si>
    <t>16 x MODULO FV 570WP N-TYPE BIFACIAL DUAL GLASS DAS-DH144NA 
 1 x INVERSOR SOLIS 7KW S6-GR1P7K2 COM MONITORAMENTO 
 50 x CABO FOTOVOLTAICO 4MM² PRETO 
 50 x CABO FOTOVOLTAICO 4MM² VERMELHO 
 6 x CONECTOR MC4 PAR EMBALADO 
 ESTRUTURA FIBROCIMENTO MADEIRA</t>
  </si>
  <si>
    <t>16 x MODULO FV 570WP N-TYPE BIFACIAL DAH SOLAR DHN-72X16/DG 
 1 x INVERSOR SUNGROW SG8.0RS-L COM MONITORAMENTO 
 50 x CABO FOTOVOLTAICO 4MM² PRETO 
 50 x CABO FOTOVOLTAICO 4MM² VERMELHO 
 6 x CONECTOR MC4 PAR EMBALADO 
 ESTRUTURA FIBROCIMENTO MADEIRA</t>
  </si>
  <si>
    <t>16 x MODULO FV 570WP N-TYPE BIFACIAL DUAL GLASS DAS-DH144NA 
 1 x INVERSOR SUNGROW SG8.0RS-L COM MONITORAMENTO 
 50 x CABO FOTOVOLTAICO 4MM² PRETO 
 50 x CABO FOTOVOLTAICO 4MM² VERMELHO 
 6 x CONECTOR MC4 PAR EMBALADO 
 ESTRUTURA FIBROCIMENTO MADEIRA</t>
  </si>
  <si>
    <t>16 x MODULO FV 570WP N-TYPE BIFACIAL DAH SOLAR DHN-72X16/DG 
 4 x HMS-2000-4T - MICRO HOYMILES 2000W DTU EXTERNA 
 4 x CABO FOTOVOLTAICO 4MM² PRETO 
 16 x CABO FOTOVOLTAICO 4MM² VERMELHO 
 32 x CONECTOR MC4 PAR EMBALADO 
 ESTRUTURA FIBROCIMENTO MADEIRA 
 4 x AC TRUNK CONNECTOR - CONECTOR CA HOYMILES 
 2 x AC TRUNK END CAP - TERMINAL ENDCAP HOYMILES 
 1 x AC TRUNK CONNECTOR UNLOCK TOOL - CHAVE DESBLOQUEIO CONECTOR CA 
 1 x HMS DISCONNECT TOOL-1PCS - CHAVE DESCONEXAO MICROINVERSOR 
 6 x CABO CA MULTIPOLAR 10AWG 
 1 x DTU-LITE-S(WIFI) - MONIT DTU-LITE S (ATÉ 25 MICROS)</t>
  </si>
  <si>
    <t>16 x MODULO FV 570WP N-TYPE BIFACIAL DUAL GLASS DAS-DH144NA 
 4 x HMS-2000-4T - MICRO HOYMILES 2000W DTU EXTERNA 
 4 x CABO FOTOVOLTAICO 4MM² PRETO 
 16 x CABO FOTOVOLTAICO 4MM² VERMELHO 
 32 x CONECTOR MC4 PAR EMBALADO 
 ESTRUTURA FIBROCIMENTO MADEIRA 
 4 x AC TRUNK CONNECTOR - CONECTOR CA HOYMILES 
 2 x AC TRUNK END CAP - TERMINAL ENDCAP HOYMILES 
 1 x AC TRUNK CONNECTOR UNLOCK TOOL - CHAVE DESBLOQUEIO CONECTOR CA 
 1 x HMS DISCONNECT TOOL-1PCS - CHAVE DESCONEXAO MICROINVERSOR 
 6 x CABO CA MULTIPOLAR 10AWG 
 1 x DTU-LITE-S(WIFI) - MONIT DTU-LITE S (ATÉ 25 MICROS)</t>
  </si>
  <si>
    <t>13 x MODULO FV 710WP BIFACIAL DUAL-GLASS TRINA TSM-NEG21C.20 
 4 x HMS-2000-4T - MICRO HOYMILES 2000W DTU EXTERNA 
 4 x CABO FOTOVOLTAICO 4MM² PRETO 
 16 x CABO FOTOVOLTAICO 4MM² VERMELHO 
 32 x CONECTOR MC4 PAR TRINA 
 ESTRUTURA FIBROCIMENTO MADEIRA 
 4 x AC TRUNK CONNECTOR - CONECTOR CA HOYMILES 
 2 x AC TRUNK END CAP - TERMINAL ENDCAP HOYMILES 
 1 x AC TRUNK CONNECTOR UNLOCK TOOL - CHAVE DESBLOQUEIO CONECTOR CA 
 1 x HMS DISCONNECT TOOL-1PCS - CHAVE DESCONEXAO MICROINVERSOR 
 6 x CABO CA MULTIPOLAR 10AWG 
 1 x DTU-LITE-S(WIFI) - MONIT DTU-LITE S (ATÉ 25 MICROS)</t>
  </si>
  <si>
    <t>17 x MODULO FV 570WP N-TYPE BIFACIAL DAH SOLAR DHN-72X16/DG 
 1 x INVERSOR SOLIS 7KW S6-GR1P7K2 COM MONITORAMENTO 
 50 x CABO FOTOVOLTAICO 4MM² PRETO 
 50 x CABO FOTOVOLTAICO 4MM² VERMELHO 
 6 x CONECTOR MC4 PAR EMBALADO 
 ESTRUTURA FIBROCIMENTO MADEIRA</t>
  </si>
  <si>
    <t>17 x MODULO FV 570WP N-TYPE BIFACIAL DUAL GLASS DAS-DH144NA 
 1 x INVERSOR SOLIS 7KW S6-GR1P7K2 COM MONITORAMENTO 
 50 x CABO FOTOVOLTAICO 4MM² PRETO 
 50 x CABO FOTOVOLTAICO 4MM² VERMELHO 
 6 x CONECTOR MC4 PAR EMBALADO 
 ESTRUTURA FIBROCIMENTO MADEIRA</t>
  </si>
  <si>
    <t>17 x MODULO FV 570WP N-TYPE BIFACIAL DAH SOLAR DHN-72X16/DG 
 1 x INVERSOR SUNGROW SG8.0RS-L COM MONITORAMENTO 
 50 x CABO FOTOVOLTAICO 4MM² PRETO 
 50 x CABO FOTOVOLTAICO 4MM² VERMELHO 
 6 x CONECTOR MC4 PAR EMBALADO 
 ESTRUTURA FIBROCIMENTO MADEIRA</t>
  </si>
  <si>
    <t>17 x MODULO FV 570WP N-TYPE BIFACIAL DUAL GLASS DAS-DH144NA 
 1 x INVERSOR SUNGROW SG8.0RS-L COM MONITORAMENTO 
 50 x CABO FOTOVOLTAICO 4MM² PRETO 
 50 x CABO FOTOVOLTAICO 4MM² VERMELHO 
 6 x CONECTOR MC4 PAR EMBALADO 
 ESTRUTURA FIBROCIMENTO MADEIRA</t>
  </si>
  <si>
    <t>9</t>
  </si>
  <si>
    <t>17 x MODULO FV 570WP N-TYPE BIFACIAL DAH SOLAR DHN-72X16/DG 
 5 x HMS-2000-4T - MICRO HOYMILES 2000W DTU EXTERNA 
 4 x CABO FOTOVOLTAICO 4MM² PRETO 
 20 x CABO FOTOVOLTAICO 4MM² VERMELHO 
 40 x CONECTOR MC4 PAR EMBALADO 
 ESTRUTURA FIBROCIMENTO MADEIRA 
 5 x AC TRUNK CONNECTOR - CONECTOR CA HOYMILES 
 2 x AC TRUNK END CAP - TERMINAL ENDCAP HOYMILES 
 1 x AC TRUNK CONNECTOR UNLOCK TOOL - CHAVE DESBLOQUEIO CONECTOR CA 
 1 x HMS DISCONNECT TOOL-1PCS - CHAVE DESCONEXAO MICROINVERSOR 
 9 x CABO CA MULTIPOLAR 10AWG 
 1 x DTU-LITE-S(WIFI) - MONIT DTU-LITE S (ATÉ 25 MICROS)</t>
  </si>
  <si>
    <t>17 x MODULO FV 570WP N-TYPE BIFACIAL DUAL GLASS DAS-DH144NA 
 5 x HMS-2000-4T - MICRO HOYMILES 2000W DTU EXTERNA 
 4 x CABO FOTOVOLTAICO 4MM² PRETO 
 20 x CABO FOTOVOLTAICO 4MM² VERMELHO 
 40 x CONECTOR MC4 PAR EMBALADO 
 ESTRUTURA FIBROCIMENTO MADEIRA 
 5 x AC TRUNK CONNECTOR - CONECTOR CA HOYMILES 
 2 x AC TRUNK END CAP - TERMINAL ENDCAP HOYMILES 
 1 x AC TRUNK CONNECTOR UNLOCK TOOL - CHAVE DESBLOQUEIO CONECTOR CA 
 1 x HMS DISCONNECT TOOL-1PCS - CHAVE DESCONEXAO MICROINVERSOR 
 9 x CABO CA MULTIPOLAR 10AWG 
 1 x DTU-LITE-S(WIFI) - MONIT DTU-LITE S (ATÉ 25 MICROS)</t>
  </si>
  <si>
    <t>14 x MODULO FV 710WP BIFACIAL DUAL-GLASS TRINA TSM-NEG21C.20 
 4 x HMS-2000-4T - MICRO HOYMILES 2000W DTU EXTERNA 
 4 x CABO FOTOVOLTAICO 4MM² PRETO 
 16 x CABO FOTOVOLTAICO 4MM² VERMELHO 
 32 x CONECTOR MC4 PAR TRINA 
 ESTRUTURA FIBROCIMENTO MADEIRA 
 4 x AC TRUNK CONNECTOR - CONECTOR CA HOYMILES 
 2 x AC TRUNK END CAP - TERMINAL ENDCAP HOYMILES 
 1 x AC TRUNK CONNECTOR UNLOCK TOOL - CHAVE DESBLOQUEIO CONECTOR CA 
 1 x HMS DISCONNECT TOOL-1PCS - CHAVE DESCONEXAO MICROINVERSOR 
 6 x CABO CA MULTIPOLAR 10AWG 
 1 x DTU-LITE-S(WIFI) - MONIT DTU-LITE S (ATÉ 25 MICROS)</t>
  </si>
  <si>
    <t>18 x MODULO FV 570WP N-TYPE BIFACIAL DAH SOLAR DHN-72X16/DG 
 1 x INVERSOR SOLIS 8KW S6-GR1P8K2 COM MONITORAMENTO 
 50 x CABO FOTOVOLTAICO 4MM² PRETO 
 50 x CABO FOTOVOLTAICO 4MM² VERMELHO 
 6 x CONECTOR MC4 PAR EMBALADO 
 ESTRUTURA FIBROCIMENTO MADEIRA</t>
  </si>
  <si>
    <t>18 x MODULO FV 570WP N-TYPE BIFACIAL DUAL GLASS DAS-DH144NA 
 1 x INVERSOR SOLIS 8KW S6-GR1P8K2 COM MONITORAMENTO 
 50 x CABO FOTOVOLTAICO 4MM² PRETO 
 50 x CABO FOTOVOLTAICO 4MM² VERMELHO 
 6 x CONECTOR MC4 PAR EMBALADO 
 ESTRUTURA FIBROCIMENTO MADEIRA</t>
  </si>
  <si>
    <t>18 x MODULO FV 570WP N-TYPE BIFACIAL DAH SOLAR DHN-72X16/DG 
 1 x INVERSOR SUNGROW SG8.0RS-L COM MONITORAMENTO 
 50 x CABO FOTOVOLTAICO 4MM² PRETO 
 50 x CABO FOTOVOLTAICO 4MM² VERMELHO 
 6 x CONECTOR MC4 PAR EMBALADO 
 ESTRUTURA FIBROCIMENTO MADEIRA</t>
  </si>
  <si>
    <t>18 x MODULO FV 570WP N-TYPE BIFACIAL DUAL GLASS DAS-DH144NA 
 1 x INVERSOR SUNGROW SG8.0RS-L COM MONITORAMENTO 
 50 x CABO FOTOVOLTAICO 4MM² PRETO 
 50 x CABO FOTOVOLTAICO 4MM² VERMELHO 
 6 x CONECTOR MC4 PAR EMBALADO 
 ESTRUTURA FIBROCIMENTO MADEIRA</t>
  </si>
  <si>
    <t>18 x MODULO FV 570WP N-TYPE BIFACIAL DAH SOLAR DHN-72X16/DG 
 5 x HMS-2000-4T - MICRO HOYMILES 2000W DTU EXTERNA 
 4 x CABO FOTOVOLTAICO 4MM² PRETO 
 20 x CABO FOTOVOLTAICO 4MM² VERMELHO 
 40 x CONECTOR MC4 PAR EMBALADO 
 ESTRUTURA FIBROCIMENTO MADEIRA 
 5 x AC TRUNK CONNECTOR - CONECTOR CA HOYMILES 
 2 x AC TRUNK END CAP - TERMINAL ENDCAP HOYMILES 
 1 x AC TRUNK CONNECTOR UNLOCK TOOL - CHAVE DESBLOQUEIO CONECTOR CA 
 1 x HMS DISCONNECT TOOL-1PCS - CHAVE DESCONEXAO MICROINVERSOR 
 9 x CABO CA MULTIPOLAR 10AWG 
 1 x DTU-LITE-S(WIFI) - MONIT DTU-LITE S (ATÉ 25 MICROS)</t>
  </si>
  <si>
    <t>18 x MODULO FV 570WP N-TYPE BIFACIAL DUAL GLASS DAS-DH144NA 
 5 x HMS-2000-4T - MICRO HOYMILES 2000W DTU EXTERNA 
 4 x CABO FOTOVOLTAICO 4MM² PRETO 
 20 x CABO FOTOVOLTAICO 4MM² VERMELHO 
 40 x CONECTOR MC4 PAR EMBALADO 
 ESTRUTURA FIBROCIMENTO MADEIRA 
 5 x AC TRUNK CONNECTOR - CONECTOR CA HOYMILES 
 2 x AC TRUNK END CAP - TERMINAL ENDCAP HOYMILES 
 1 x AC TRUNK CONNECTOR UNLOCK TOOL - CHAVE DESBLOQUEIO CONECTOR CA 
 1 x HMS DISCONNECT TOOL-1PCS - CHAVE DESCONEXAO MICROINVERSOR 
 9 x CABO CA MULTIPOLAR 10AWG 
 1 x DTU-LITE-S(WIFI) - MONIT DTU-LITE S (ATÉ 25 MICROS)</t>
  </si>
  <si>
    <t>15 x MODULO FV 710WP BIFACIAL DUAL-GLASS TRINA TSM-NEG21C.20 
 4 x HMS-2000-4T - MICRO HOYMILES 2000W DTU EXTERNA 
 4 x CABO FOTOVOLTAICO 4MM² PRETO 
 16 x CABO FOTOVOLTAICO 4MM² VERMELHO 
 32 x CONECTOR MC4 PAR TRINA 
 ESTRUTURA FIBROCIMENTO MADEIRA 
 4 x AC TRUNK CONNECTOR - CONECTOR CA HOYMILES 
 2 x AC TRUNK END CAP - TERMINAL ENDCAP HOYMILES 
 1 x AC TRUNK CONNECTOR UNLOCK TOOL - CHAVE DESBLOQUEIO CONECTOR CA 
 1 x HMS DISCONNECT TOOL-1PCS - CHAVE DESCONEXAO MICROINVERSOR 
 6 x CABO CA MULTIPOLAR 10AWG 
 1 x DTU-LITE-S(WIFI) - MONIT DTU-LITE S (ATÉ 25 MICROS)</t>
  </si>
  <si>
    <t>19 x MODULO FV 570WP N-TYPE BIFACIAL DAH SOLAR DHN-72X16/DG 
 1 x INVERSOR SOLIS 8KW S6-GR1P8K2 COM MONITORAMENTO 
 50 x CABO FOTOVOLTAICO 4MM² PRETO 
 50 x CABO FOTOVOLTAICO 4MM² VERMELHO 
 6 x CONECTOR MC4 PAR EMBALADO 
 ESTRUTURA FIBROCIMENTO MADEIRA</t>
  </si>
  <si>
    <t>19 x MODULO FV 570WP N-TYPE BIFACIAL DUAL GLASS DAS-DH144NA 
 1 x INVERSOR SOLIS 8KW S6-GR1P8K2 COM MONITORAMENTO 
 50 x CABO FOTOVOLTAICO 4MM² PRETO 
 50 x CABO FOTOVOLTAICO 4MM² VERMELHO 
 6 x CONECTOR MC4 PAR EMBALADO 
 ESTRUTURA FIBROCIMENTO MADEIRA</t>
  </si>
  <si>
    <t>19 x MODULO FV 570WP N-TYPE BIFACIAL DAH SOLAR DHN-72X16/DG 
 1 x INVERSOR SUNGROW SG8.0RS-L COM MONITORAMENTO 
 50 x CABO FOTOVOLTAICO 4MM² PRETO 
 50 x CABO FOTOVOLTAICO 4MM² VERMELHO 
 6 x CONECTOR MC4 PAR EMBALADO 
 ESTRUTURA FIBROCIMENTO MADEIRA</t>
  </si>
  <si>
    <t>19 x MODULO FV 570WP N-TYPE BIFACIAL DUAL GLASS DAS-DH144NA 
 1 x INVERSOR SUNGROW SG8.0RS-L COM MONITORAMENTO 
 50 x CABO FOTOVOLTAICO 4MM² PRETO 
 50 x CABO FOTOVOLTAICO 4MM² VERMELHO 
 6 x CONECTOR MC4 PAR EMBALADO 
 ESTRUTURA FIBROCIMENTO MADEIRA</t>
  </si>
  <si>
    <t>19 x MODULO FV 570WP N-TYPE BIFACIAL DAH SOLAR DHN-72X16/DG 
 5 x HMS-2000-4T - MICRO HOYMILES 2000W DTU EXTERNA 
 4 x CABO FOTOVOLTAICO 4MM² PRETO 
 20 x CABO FOTOVOLTAICO 4MM² VERMELHO 
 40 x CONECTOR MC4 PAR EMBALADO 
 ESTRUTURA FIBROCIMENTO MADEIRA 
 5 x AC TRUNK CONNECTOR - CONECTOR CA HOYMILES 
 2 x AC TRUNK END CAP - TERMINAL ENDCAP HOYMILES 
 1 x AC TRUNK CONNECTOR UNLOCK TOOL - CHAVE DESBLOQUEIO CONECTOR CA 
 1 x HMS DISCONNECT TOOL-1PCS - CHAVE DESCONEXAO MICROINVERSOR 
 9 x CABO CA MULTIPOLAR 10AWG 
 1 x DTU-LITE-S(WIFI) - MONIT DTU-LITE S (ATÉ 25 MICROS)</t>
  </si>
  <si>
    <t>19 x MODULO FV 570WP N-TYPE BIFACIAL DUAL GLASS DAS-DH144NA 
 5 x HMS-2000-4T - MICRO HOYMILES 2000W DTU EXTERNA 
 4 x CABO FOTOVOLTAICO 4MM² PRETO 
 20 x CABO FOTOVOLTAICO 4MM² VERMELHO 
 40 x CONECTOR MC4 PAR EMBALADO 
 ESTRUTURA FIBROCIMENTO MADEIRA 
 5 x AC TRUNK CONNECTOR - CONECTOR CA HOYMILES 
 2 x AC TRUNK END CAP - TERMINAL ENDCAP HOYMILES 
 1 x AC TRUNK CONNECTOR UNLOCK TOOL - CHAVE DESBLOQUEIO CONECTOR CA 
 1 x HMS DISCONNECT TOOL-1PCS - CHAVE DESCONEXAO MICROINVERSOR 
 9 x CABO CA MULTIPOLAR 10AWG 
 1 x DTU-LITE-S(WIFI) - MONIT DTU-LITE S (ATÉ 25 MICROS)</t>
  </si>
  <si>
    <t>16 x MODULO FV 710WP BIFACIAL DUAL-GLASS TRINA TSM-NEG21C.20 
 4 x HMS-2000-4T - MICRO HOYMILES 2000W DTU EXTERNA 
 4 x CABO FOTOVOLTAICO 4MM² PRETO 
 16 x CABO FOTOVOLTAICO 4MM² VERMELHO 
 32 x CONECTOR MC4 PAR TRINA 
 ESTRUTURA FIBROCIMENTO MADEIRA 
 4 x AC TRUNK CONNECTOR - CONECTOR CA HOYMILES 
 2 x AC TRUNK END CAP - TERMINAL ENDCAP HOYMILES 
 1 x AC TRUNK CONNECTOR UNLOCK TOOL - CHAVE DESBLOQUEIO CONECTOR CA 
 1 x HMS DISCONNECT TOOL-1PCS - CHAVE DESCONEXAO MICROINVERSOR 
 6 x CABO CA MULTIPOLAR 10AWG 
 1 x DTU-LITE-S(WIFI) - MONIT DTU-LITE S (ATÉ 25 MICROS)</t>
  </si>
  <si>
    <t>20 x MODULO FV 570WP N-TYPE BIFACIAL DAH SOLAR DHN-72X16/DG 
 1 x INVERSOR SOLIS 9KW S5-GR1P9K COM MONITORAMENTO 
 50 x CABO FOTOVOLTAICO 4MM² PRETO 
 50 x CABO FOTOVOLTAICO 4MM² VERMELHO 
 6 x CONECTOR MC4 PAR EMBALADO 
 ESTRUTURA FIBROCIMENTO MADEIRA</t>
  </si>
  <si>
    <t>20 x MODULO FV 570WP N-TYPE BIFACIAL DUAL GLASS DAS-DH144NA 
 1 x INVERSOR SOLIS 9KW S5-GR1P9K COM MONITORAMENTO 
 50 x CABO FOTOVOLTAICO 4MM² PRETO 
 50 x CABO FOTOVOLTAICO 4MM² VERMELHO 
 6 x CONECTOR MC4 PAR EMBALADO 
 ESTRUTURA FIBROCIMENTO MADEIRA</t>
  </si>
  <si>
    <t>20 x MODULO FV 570WP N-TYPE BIFACIAL DAH SOLAR DHN-72X16/DG 
 1 x INVERSOR SUNGROW SG9.0RS-L COM MONITORAMENTO 
 50 x CABO FOTOVOLTAICO 4MM² PRETO 
 50 x CABO FOTOVOLTAICO 4MM² VERMELHO 
 6 x CONECTOR MC4 PAR EMBALADO 
 ESTRUTURA FIBROCIMENTO MADEIRA</t>
  </si>
  <si>
    <t>20 x MODULO FV 570WP N-TYPE BIFACIAL DUAL GLASS DAS-DH144NA 
 1 x INVERSOR SUNGROW SG9.0RS-L COM MONITORAMENTO 
 50 x CABO FOTOVOLTAICO 4MM² PRETO 
 50 x CABO FOTOVOLTAICO 4MM² VERMELHO 
 6 x CONECTOR MC4 PAR EMBALADO 
 ESTRUTURA FIBROCIMENTO MADEIRA</t>
  </si>
  <si>
    <t>20 x MODULO FV 570WP N-TYPE BIFACIAL DAH SOLAR DHN-72X16/DG 
 5 x HMS-2000-4T - MICRO HOYMILES 2000W DTU EXTERNA 
 4 x CABO FOTOVOLTAICO 4MM² PRETO 
 20 x CABO FOTOVOLTAICO 4MM² VERMELHO 
 40 x CONECTOR MC4 PAR EMBALADO 
 ESTRUTURA FIBROCIMENTO MADEIRA 
 5 x AC TRUNK CONNECTOR - CONECTOR CA HOYMILES 
 2 x AC TRUNK END CAP - TERMINAL ENDCAP HOYMILES 
 1 x AC TRUNK CONNECTOR UNLOCK TOOL - CHAVE DESBLOQUEIO CONECTOR CA 
 1 x HMS DISCONNECT TOOL-1PCS - CHAVE DESCONEXAO MICROINVERSOR 
 9 x CABO CA MULTIPOLAR 10AWG 
 1 x DTU-LITE-S(WIFI) - MONIT DTU-LITE S (ATÉ 25 MICROS)</t>
  </si>
  <si>
    <t>20 x MODULO FV 570WP N-TYPE BIFACIAL DUAL GLASS DAS-DH144NA 
 5 x HMS-2000-4T - MICRO HOYMILES 2000W DTU EXTERNA 
 4 x CABO FOTOVOLTAICO 4MM² PRETO 
 20 x CABO FOTOVOLTAICO 4MM² VERMELHO 
 40 x CONECTOR MC4 PAR EMBALADO 
 ESTRUTURA FIBROCIMENTO MADEIRA 
 5 x AC TRUNK CONNECTOR - CONECTOR CA HOYMILES 
 2 x AC TRUNK END CAP - TERMINAL ENDCAP HOYMILES 
 1 x AC TRUNK CONNECTOR UNLOCK TOOL - CHAVE DESBLOQUEIO CONECTOR CA 
 1 x HMS DISCONNECT TOOL-1PCS - CHAVE DESCONEXAO MICROINVERSOR 
 9 x CABO CA MULTIPOLAR 10AWG 
 1 x DTU-LITE-S(WIFI) - MONIT DTU-LITE S (ATÉ 25 MICROS)</t>
  </si>
  <si>
    <t>21 x MODULO FV 570WP N-TYPE BIFACIAL DAH SOLAR DHN-72X16/DG 
 1 x INVERSOR SOLIS 9KW S5-GR1P9K COM MONITORAMENTO 
 50 x CABO FOTOVOLTAICO 4MM² PRETO 
 50 x CABO FOTOVOLTAICO 4MM² VERMELHO 
 6 x CONECTOR MC4 PAR EMBALADO 
 ESTRUTURA FIBROCIMENTO MADEIRA</t>
  </si>
  <si>
    <t>21 x MODULO FV 570WP N-TYPE BIFACIAL DUAL GLASS DAS-DH144NA 
 1 x INVERSOR SOLIS 9KW S5-GR1P9K COM MONITORAMENTO 
 50 x CABO FOTOVOLTAICO 4MM² PRETO 
 50 x CABO FOTOVOLTAICO 4MM² VERMELHO 
 6 x CONECTOR MC4 PAR EMBALADO 
 ESTRUTURA FIBROCIMENTO MADEIRA</t>
  </si>
  <si>
    <t>21 x MODULO FV 570WP N-TYPE BIFACIAL DAH SOLAR DHN-72X16/DG 
 1 x INVERSOR SUNGROW SG9.0RS-L COM MONITORAMENTO 
 50 x CABO FOTOVOLTAICO 4MM² PRETO 
 50 x CABO FOTOVOLTAICO 4MM² VERMELHO 
 6 x CONECTOR MC4 PAR EMBALADO 
 ESTRUTURA FIBROCIMENTO MADEIRA</t>
  </si>
  <si>
    <t>21 x MODULO FV 570WP N-TYPE BIFACIAL DUAL GLASS DAS-DH144NA 
 1 x INVERSOR SUNGROW SG9.0RS-L COM MONITORAMENTO 
 50 x CABO FOTOVOLTAICO 4MM² PRETO 
 50 x CABO FOTOVOLTAICO 4MM² VERMELHO 
 6 x CONECTOR MC4 PAR EMBALADO 
 ESTRUTURA FIBROCIMENTO MADEIRA</t>
  </si>
  <si>
    <t>12</t>
  </si>
  <si>
    <t>21 x MODULO FV 570WP N-TYPE BIFACIAL DAH SOLAR DHN-72X16/DG 
 6 x HMS-2000-4T - MICRO HOYMILES 2000W DTU EXTERNA 
 4 x CABO FOTOVOLTAICO 4MM² PRETO 
 24 x CABO FOTOVOLTAICO 4MM² VERMELHO 
 48 x CONECTOR MC4 PAR EMBALADO 
 ESTRUTURA FIBROCIMENTO MADEIRA 
 6 x AC TRUNK CONNECTOR - CONECTOR CA HOYMILES 
 2 x AC TRUNK END CAP - TERMINAL ENDCAP HOYMILES 
 1 x AC TRUNK CONNECTOR UNLOCK TOOL - CHAVE DESBLOQUEIO CONECTOR CA 
 1 x HMS DISCONNECT TOOL-1PCS - CHAVE DESCONEXAO MICROINVERSOR 
 12 x CABO CA MULTIPOLAR 10AWG 
 1 x DTU-LITE-S(WIFI) - MONIT DTU-LITE S (ATÉ 25 MICROS)</t>
  </si>
  <si>
    <t>21 x MODULO FV 570WP N-TYPE BIFACIAL DUAL GLASS DAS-DH144NA 
 6 x HMS-2000-4T - MICRO HOYMILES 2000W DTU EXTERNA 
 4 x CABO FOTOVOLTAICO 4MM² PRETO 
 24 x CABO FOTOVOLTAICO 4MM² VERMELHO 
 48 x CONECTOR MC4 PAR EMBALADO 
 ESTRUTURA FIBROCIMENTO MADEIRA 
 6 x AC TRUNK CONNECTOR - CONECTOR CA HOYMILES 
 2 x AC TRUNK END CAP - TERMINAL ENDCAP HOYMILES 
 1 x AC TRUNK CONNECTOR UNLOCK TOOL - CHAVE DESBLOQUEIO CONECTOR CA 
 1 x HMS DISCONNECT TOOL-1PCS - CHAVE DESCONEXAO MICROINVERSOR 
 12 x CABO CA MULTIPOLAR 10AWG 
 1 x DTU-LITE-S(WIFI) - MONIT DTU-LITE S (ATÉ 25 MICROS)</t>
  </si>
  <si>
    <t>17 x MODULO FV 710WP BIFACIAL DUAL-GLASS TRINA TSM-NEG21C.20 
 5 x HMS-2000-4T - MICRO HOYMILES 2000W DTU EXTERNA 
 4 x CABO FOTOVOLTAICO 4MM² PRETO 
 20 x CABO FOTOVOLTAICO 4MM² VERMELHO 
 40 x CONECTOR MC4 PAR TRINA 
 ESTRUTURA FIBROCIMENTO MADEIRA 
 5 x AC TRUNK CONNECTOR - CONECTOR CA HOYMILES 
 2 x AC TRUNK END CAP - TERMINAL ENDCAP HOYMILES 
 1 x AC TRUNK CONNECTOR UNLOCK TOOL - CHAVE DESBLOQUEIO CONECTOR CA 
 1 x HMS DISCONNECT TOOL-1PCS - CHAVE DESCONEXAO MICROINVERSOR 
 9 x CABO CA MULTIPOLAR 10AWG 
 1 x DTU-LITE-S(WIFI) - MONIT DTU-LITE S (ATÉ 25 MICROS)</t>
  </si>
  <si>
    <t>22 x MODULO FV 570WP N-TYPE BIFACIAL DAH SOLAR DHN-72X16/DG 
 1 x INVERSOR SOLIS 9KW S5-GR1P9K COM MONITORAMENTO 
 50 x CABO FOTOVOLTAICO 4MM² PRETO 
 50 x CABO FOTOVOLTAICO 4MM² VERMELHO 
 6 x CONECTOR MC4 PAR EMBALADO 
 ESTRUTURA FIBROCIMENTO MADEIRA</t>
  </si>
  <si>
    <t>22 x MODULO FV 570WP N-TYPE BIFACIAL DUAL GLASS DAS-DH144NA 
 1 x INVERSOR SOLIS 9KW S5-GR1P9K COM MONITORAMENTO 
 50 x CABO FOTOVOLTAICO 4MM² PRETO 
 50 x CABO FOTOVOLTAICO 4MM² VERMELHO 
 6 x CONECTOR MC4 PAR EMBALADO 
 ESTRUTURA FIBROCIMENTO MADEIRA</t>
  </si>
  <si>
    <t>22 x MODULO FV 570WP N-TYPE BIFACIAL DAH SOLAR DHN-72X16/DG 
 1 x INVERSOR SUNGROW SG9.0RS-L COM MONITORAMENTO 
 50 x CABO FOTOVOLTAICO 4MM² PRETO 
 50 x CABO FOTOVOLTAICO 4MM² VERMELHO 
 6 x CONECTOR MC4 PAR EMBALADO 
 ESTRUTURA FIBROCIMENTO MADEIRA</t>
  </si>
  <si>
    <t>22 x MODULO FV 570WP N-TYPE BIFACIAL DUAL GLASS DAS-DH144NA 
 1 x INVERSOR SUNGROW SG9.0RS-L COM MONITORAMENTO 
 50 x CABO FOTOVOLTAICO 4MM² PRETO 
 50 x CABO FOTOVOLTAICO 4MM² VERMELHO 
 6 x CONECTOR MC4 PAR EMBALADO 
 ESTRUTURA FIBROCIMENTO MADEIRA</t>
  </si>
  <si>
    <t>22 x MODULO FV 570WP N-TYPE BIFACIAL DAH SOLAR DHN-72X16/DG 
 6 x HMS-2000-4T - MICRO HOYMILES 2000W DTU EXTERNA 
 4 x CABO FOTOVOLTAICO 4MM² PRETO 
 24 x CABO FOTOVOLTAICO 4MM² VERMELHO 
 48 x CONECTOR MC4 PAR EMBALADO 
 ESTRUTURA FIBROCIMENTO MADEIRA 
 6 x AC TRUNK CONNECTOR - CONECTOR CA HOYMILES 
 2 x AC TRUNK END CAP - TERMINAL ENDCAP HOYMILES 
 1 x AC TRUNK CONNECTOR UNLOCK TOOL - CHAVE DESBLOQUEIO CONECTOR CA 
 1 x HMS DISCONNECT TOOL-1PCS - CHAVE DESCONEXAO MICROINVERSOR 
 12 x CABO CA MULTIPOLAR 10AWG 
 1 x DTU-LITE-S(WIFI) - MONIT DTU-LITE S (ATÉ 25 MICROS)</t>
  </si>
  <si>
    <t>22 x MODULO FV 570WP N-TYPE BIFACIAL DUAL GLASS DAS-DH144NA 
 6 x HMS-2000-4T - MICRO HOYMILES 2000W DTU EXTERNA 
 4 x CABO FOTOVOLTAICO 4MM² PRETO 
 24 x CABO FOTOVOLTAICO 4MM² VERMELHO 
 48 x CONECTOR MC4 PAR EMBALADO 
 ESTRUTURA FIBROCIMENTO MADEIRA 
 6 x AC TRUNK CONNECTOR - CONECTOR CA HOYMILES 
 2 x AC TRUNK END CAP - TERMINAL ENDCAP HOYMILES 
 1 x AC TRUNK CONNECTOR UNLOCK TOOL - CHAVE DESBLOQUEIO CONECTOR CA 
 1 x HMS DISCONNECT TOOL-1PCS - CHAVE DESCONEXAO MICROINVERSOR 
 12 x CABO CA MULTIPOLAR 10AWG 
 1 x DTU-LITE-S(WIFI) - MONIT DTU-LITE S (ATÉ 25 MICROS)</t>
  </si>
  <si>
    <t>18 x MODULO FV 710WP BIFACIAL DUAL-GLASS TRINA TSM-NEG21C.20 
 5 x HMS-2000-4T - MICRO HOYMILES 2000W DTU EXTERNA 
 4 x CABO FOTOVOLTAICO 4MM² PRETO 
 20 x CABO FOTOVOLTAICO 4MM² VERMELHO 
 40 x CONECTOR MC4 PAR TRINA 
 ESTRUTURA FIBROCIMENTO MADEIRA 
 5 x AC TRUNK CONNECTOR - CONECTOR CA HOYMILES 
 2 x AC TRUNK END CAP - TERMINAL ENDCAP HOYMILES 
 1 x AC TRUNK CONNECTOR UNLOCK TOOL - CHAVE DESBLOQUEIO CONECTOR CA 
 1 x HMS DISCONNECT TOOL-1PCS - CHAVE DESCONEXAO MICROINVERSOR 
 9 x CABO CA MULTIPOLAR 10AWG 
 1 x DTU-LITE-S(WIFI) - MONIT DTU-LITE S (ATÉ 25 MICROS)</t>
  </si>
  <si>
    <t>23 x MODULO FV 570WP N-TYPE BIFACIAL DAH SOLAR DHN-72X16/DG 
 1 x INVERSOR SUNGROW SG10RS-L COM MONITORAMENTO 
 50 x CABO FOTOVOLTAICO 4MM² PRETO 
 50 x CABO FOTOVOLTAICO 4MM² VERMELHO 
 6 x CONECTOR MC4 PAR EMBALADO 
 ESTRUTURA FIBROCIMENTO MADEIRA</t>
  </si>
  <si>
    <t>23 x MODULO FV 570WP N-TYPE BIFACIAL DUAL GLASS DAS-DH144NA 
 1 x INVERSOR SUNGROW SG10RS-L COM MONITORAMENTO 
 50 x CABO FOTOVOLTAICO 4MM² PRETO 
 50 x CABO FOTOVOLTAICO 4MM² VERMELHO 
 6 x CONECTOR MC4 PAR EMBALADO 
 ESTRUTURA FIBROCIMENTO MADEIRA</t>
  </si>
  <si>
    <t>23 x MODULO FV 570WP N-TYPE BIFACIAL DAH SOLAR DHN-72X16/DG 
 1 x INVERSOR SOLIS 10KW S5-GR1P10K COM MONITORAMENTO 
 50 x CABO FOTOVOLTAICO 4MM² PRETO 
 50 x CABO FOTOVOLTAICO 4MM² VERMELHO 
 6 x CONECTOR MC4 PAR EMBALADO 
 ESTRUTURA FIBROCIMENTO MADEIRA</t>
  </si>
  <si>
    <t>23 x MODULO FV 570WP N-TYPE BIFACIAL DUAL GLASS DAS-DH144NA 
 1 x INVERSOR SOLIS 10KW S5-GR1P10K COM MONITORAMENTO 
 50 x CABO FOTOVOLTAICO 4MM² PRETO 
 50 x CABO FOTOVOLTAICO 4MM² VERMELHO 
 6 x CONECTOR MC4 PAR EMBALADO 
 ESTRUTURA FIBROCIMENTO MADEIRA</t>
  </si>
  <si>
    <t>23 x MODULO FV 570WP N-TYPE BIFACIAL DAH SOLAR DHN-72X16/DG 
 6 x HMS-2000-4T - MICRO HOYMILES 2000W DTU EXTERNA 
 4 x CABO FOTOVOLTAICO 4MM² PRETO 
 24 x CABO FOTOVOLTAICO 4MM² VERMELHO 
 48 x CONECTOR MC4 PAR EMBALADO 
 ESTRUTURA FIBROCIMENTO MADEIRA 
 6 x AC TRUNK CONNECTOR - CONECTOR CA HOYMILES 
 2 x AC TRUNK END CAP - TERMINAL ENDCAP HOYMILES 
 1 x AC TRUNK CONNECTOR UNLOCK TOOL - CHAVE DESBLOQUEIO CONECTOR CA 
 1 x HMS DISCONNECT TOOL-1PCS - CHAVE DESCONEXAO MICROINVERSOR 
 12 x CABO CA MULTIPOLAR 10AWG 
 1 x DTU-LITE-S(WIFI) - MONIT DTU-LITE S (ATÉ 25 MICROS)</t>
  </si>
  <si>
    <t>23 x MODULO FV 570WP N-TYPE BIFACIAL DUAL GLASS DAS-DH144NA 
 6 x HMS-2000-4T - MICRO HOYMILES 2000W DTU EXTERNA 
 4 x CABO FOTOVOLTAICO 4MM² PRETO 
 24 x CABO FOTOVOLTAICO 4MM² VERMELHO 
 48 x CONECTOR MC4 PAR EMBALADO 
 ESTRUTURA FIBROCIMENTO MADEIRA 
 6 x AC TRUNK CONNECTOR - CONECTOR CA HOYMILES 
 2 x AC TRUNK END CAP - TERMINAL ENDCAP HOYMILES 
 1 x AC TRUNK CONNECTOR UNLOCK TOOL - CHAVE DESBLOQUEIO CONECTOR CA 
 1 x HMS DISCONNECT TOOL-1PCS - CHAVE DESCONEXAO MICROINVERSOR 
 12 x CABO CA MULTIPOLAR 10AWG 
 1 x DTU-LITE-S(WIFI) - MONIT DTU-LITE S (ATÉ 25 MICROS)</t>
  </si>
  <si>
    <t>19 x MODULO FV 710WP BIFACIAL DUAL-GLASS TRINA TSM-NEG21C.20 
 5 x HMS-2000-4T - MICRO HOYMILES 2000W DTU EXTERNA 
 4 x CABO FOTOVOLTAICO 4MM² PRETO 
 20 x CABO FOTOVOLTAICO 4MM² VERMELHO 
 40 x CONECTOR MC4 PAR TRINA 
 ESTRUTURA FIBROCIMENTO MADEIRA 
 5 x AC TRUNK CONNECTOR - CONECTOR CA HOYMILES 
 2 x AC TRUNK END CAP - TERMINAL ENDCAP HOYMILES 
 1 x AC TRUNK CONNECTOR UNLOCK TOOL - CHAVE DESBLOQUEIO CONECTOR CA 
 1 x HMS DISCONNECT TOOL-1PCS - CHAVE DESCONEXAO MICROINVERSOR 
 9 x CABO CA MULTIPOLAR 10AWG 
 1 x DTU-LITE-S(WIFI) - MONIT DTU-LITE S (ATÉ 25 MICROS)</t>
  </si>
  <si>
    <t>24 x MODULO FV 570WP N-TYPE BIFACIAL DAH SOLAR DHN-72X16/DG 
 1 x INVERSOR SUNGROW SG10RS-L COM MONITORAMENTO 
 50 x CABO FOTOVOLTAICO 4MM² PRETO 
 50 x CABO FOTOVOLTAICO 4MM² VERMELHO 
 6 x CONECTOR MC4 PAR EMBALADO 
 ESTRUTURA FIBROCIMENTO MADEIRA</t>
  </si>
  <si>
    <t>24 x MODULO FV 570WP N-TYPE BIFACIAL DUAL GLASS DAS-DH144NA 
 1 x INVERSOR SUNGROW SG10RS-L COM MONITORAMENTO 
 50 x CABO FOTOVOLTAICO 4MM² PRETO 
 50 x CABO FOTOVOLTAICO 4MM² VERMELHO 
 6 x CONECTOR MC4 PAR EMBALADO 
 ESTRUTURA FIBROCIMENTO MADEIRA</t>
  </si>
  <si>
    <t>24 x MODULO FV 570WP N-TYPE BIFACIAL DAH SOLAR DHN-72X16/DG 
 1 x INVERSOR SOLIS 10KW S5-GR1P10K COM MONITORAMENTO 
 50 x CABO FOTOVOLTAICO 4MM² PRETO 
 50 x CABO FOTOVOLTAICO 4MM² VERMELHO 
 6 x CONECTOR MC4 PAR EMBALADO 
 ESTRUTURA FIBROCIMENTO MADEIRA</t>
  </si>
  <si>
    <t>24 x MODULO FV 570WP N-TYPE BIFACIAL DUAL GLASS DAS-DH144NA 
 1 x INVERSOR SOLIS 10KW S5-GR1P10K COM MONITORAMENTO 
 50 x CABO FOTOVOLTAICO 4MM² PRETO 
 50 x CABO FOTOVOLTAICO 4MM² VERMELHO 
 6 x CONECTOR MC4 PAR EMBALADO 
 ESTRUTURA FIBROCIMENTO MADEIRA</t>
  </si>
  <si>
    <t>24 x MODULO FV 570WP N-TYPE BIFACIAL DAH SOLAR DHN-72X16/DG 
 6 x HMS-2000-4T - MICRO HOYMILES 2000W DTU EXTERNA 
 4 x CABO FOTOVOLTAICO 4MM² PRETO 
 24 x CABO FOTOVOLTAICO 4MM² VERMELHO 
 48 x CONECTOR MC4 PAR EMBALADO 
 ESTRUTURA FIBROCIMENTO MADEIRA 
 6 x AC TRUNK CONNECTOR - CONECTOR CA HOYMILES 
 2 x AC TRUNK END CAP - TERMINAL ENDCAP HOYMILES 
 1 x AC TRUNK CONNECTOR UNLOCK TOOL - CHAVE DESBLOQUEIO CONECTOR CA 
 1 x HMS DISCONNECT TOOL-1PCS - CHAVE DESCONEXAO MICROINVERSOR 
 12 x CABO CA MULTIPOLAR 10AWG 
 1 x DTU-LITE-S(WIFI) - MONIT DTU-LITE S (ATÉ 25 MICROS)</t>
  </si>
  <si>
    <t>24 x MODULO FV 570WP N-TYPE BIFACIAL DUAL GLASS DAS-DH144NA 
 6 x HMS-2000-4T - MICRO HOYMILES 2000W DTU EXTERNA 
 4 x CABO FOTOVOLTAICO 4MM² PRETO 
 24 x CABO FOTOVOLTAICO 4MM² VERMELHO 
 48 x CONECTOR MC4 PAR EMBALADO 
 ESTRUTURA FIBROCIMENTO MADEIRA 
 6 x AC TRUNK CONNECTOR - CONECTOR CA HOYMILES 
 2 x AC TRUNK END CAP - TERMINAL ENDCAP HOYMILES 
 1 x AC TRUNK CONNECTOR UNLOCK TOOL - CHAVE DESBLOQUEIO CONECTOR CA 
 1 x HMS DISCONNECT TOOL-1PCS - CHAVE DESCONEXAO MICROINVERSOR 
 12 x CABO CA MULTIPOLAR 10AWG 
 1 x DTU-LITE-S(WIFI) - MONIT DTU-LITE S (ATÉ 25 MICROS)</t>
  </si>
  <si>
    <t>20 x MODULO FV 710WP BIFACIAL DUAL-GLASS TRINA TSM-NEG21C.20 
 5 x HMS-2000-4T - MICRO HOYMILES 2000W DTU EXTERNA 
 4 x CABO FOTOVOLTAICO 4MM² PRETO 
 20 x CABO FOTOVOLTAICO 4MM² VERMELHO 
 40 x CONECTOR MC4 PAR TRINA 
 ESTRUTURA FIBROCIMENTO MADEIRA 
 5 x AC TRUNK CONNECTOR - CONECTOR CA HOYMILES 
 2 x AC TRUNK END CAP - TERMINAL ENDCAP HOYMILES 
 1 x AC TRUNK CONNECTOR UNLOCK TOOL - CHAVE DESBLOQUEIO CONECTOR CA 
 1 x HMS DISCONNECT TOOL-1PCS - CHAVE DESCONEXAO MICROINVERSOR 
 9 x CABO CA MULTIPOLAR 10AWG 
 1 x DTU-LITE-S(WIFI) - MONIT DTU-LITE S (ATÉ 25 MICROS)</t>
  </si>
  <si>
    <t>25 x MODULO FV 570WP N-TYPE BIFACIAL DAH SOLAR DHN-72X16/DG 
 1 x INVERSOR SUNGROW SG10RS-L COM MONITORAMENTO 
 50 x CABO FOTOVOLTAICO 4MM² PRETO 
 50 x CABO FOTOVOLTAICO 4MM² VERMELHO 
 6 x CONECTOR MC4 PAR EMBALADO 
 ESTRUTURA FIBROCIMENTO MADEIRA</t>
  </si>
  <si>
    <t>25 x MODULO FV 570WP N-TYPE BIFACIAL DUAL GLASS DAS-DH144NA 
 1 x INVERSOR SUNGROW SG10RS-L COM MONITORAMENTO 
 50 x CABO FOTOVOLTAICO 4MM² PRETO 
 50 x CABO FOTOVOLTAICO 4MM² VERMELHO 
 6 x CONECTOR MC4 PAR EMBALADO 
 ESTRUTURA FIBROCIMENTO MADEIRA</t>
  </si>
  <si>
    <t>25 x MODULO FV 570WP N-TYPE BIFACIAL DAH SOLAR DHN-72X16/DG 
 1 x INVERSOR SOLIS 10KW S5-GR1P10K COM MONITORAMENTO 
 50 x CABO FOTOVOLTAICO 4MM² PRETO 
 50 x CABO FOTOVOLTAICO 4MM² VERMELHO 
 6 x CONECTOR MC4 PAR EMBALADO 
 ESTRUTURA FIBROCIMENTO MADEIRA</t>
  </si>
  <si>
    <t>25 x MODULO FV 570WP N-TYPE BIFACIAL DUAL GLASS DAS-DH144NA 
 1 x INVERSOR SOLIS 10KW S5-GR1P10K COM MONITORAMENTO 
 50 x CABO FOTOVOLTAICO 4MM² PRETO 
 50 x CABO FOTOVOLTAICO 4MM² VERMELHO 
 6 x CONECTOR MC4 PAR EMBALADO 
 ESTRUTURA FIBROCIMENTO MADEIRA</t>
  </si>
  <si>
    <t>25 x MODULO FV 570WP N-TYPE BIFACIAL DAH SOLAR DHN-72X16/DG 
 7 x HMS-2000-4T - MICRO HOYMILES 2000W DTU EXTERNA 
 4 x CABO FOTOVOLTAICO 4MM² PRETO 
 28 x CABO FOTOVOLTAICO 4MM² VERMELHO 
 56 x CONECTOR MC4 PAR EMBALADO 
 ESTRUTURA FIBROCIMENTO MADEIRA 
 7 x AC TRUNK CONNECTOR - CONECTOR CA HOYMILES 
 3 x AC TRUNK END CAP - TERMINAL ENDCAP HOYMILES 
 1 x AC TRUNK CONNECTOR UNLOCK TOOL - CHAVE DESBLOQUEIO CONECTOR CA 
 1 x HMS DISCONNECT TOOL-1PCS - CHAVE DESCONEXAO MICROINVERSOR 
 12 x CABO CA MULTIPOLAR 10AWG 
 1 x DTU-LITE-S(WIFI) - MONIT DTU-LITE S (ATÉ 25 MICROS)</t>
  </si>
  <si>
    <t>25 x MODULO FV 570WP N-TYPE BIFACIAL DUAL GLASS DAS-DH144NA 
 7 x HMS-2000-4T - MICRO HOYMILES 2000W DTU EXTERNA 
 4 x CABO FOTOVOLTAICO 4MM² PRETO 
 28 x CABO FOTOVOLTAICO 4MM² VERMELHO 
 56 x CONECTOR MC4 PAR EMBALADO 
 ESTRUTURA FIBROCIMENTO MADEIRA 
 7 x AC TRUNK CONNECTOR - CONECTOR CA HOYMILES 
 3 x AC TRUNK END CAP - TERMINAL ENDCAP HOYMILES 
 1 x AC TRUNK CONNECTOR UNLOCK TOOL - CHAVE DESBLOQUEIO CONECTOR CA 
 1 x HMS DISCONNECT TOOL-1PCS - CHAVE DESCONEXAO MICROINVERSOR 
 12 x CABO CA MULTIPOLAR 10AWG 
 1 x DTU-LITE-S(WIFI) - MONIT DTU-LITE S (ATÉ 25 MICROS)</t>
  </si>
  <si>
    <t>26 x MODULO FV 570WP N-TYPE BIFACIAL DAH SOLAR DHN-72X16/DG 
 2 x INVERSOR SUNGROW SG6.0RS-L COM MONITORAMENTO 
 50 x CABO FOTOVOLTAICO 4MM² PRETO 
 100 x CABO FOTOVOLTAICO 4MM² VERMELHO 
 8 x CONECTOR MC4 PAR EMBALADO 
 ESTRUTURA FIBROCIMENTO MADEIRA</t>
  </si>
  <si>
    <t>26 x MODULO FV 570WP N-TYPE BIFACIAL DUAL GLASS DAS-DH144NA 
 2 x INVERSOR SUNGROW SG6.0RS-L COM MONITORAMENTO 
 50 x CABO FOTOVOLTAICO 4MM² PRETO 
 100 x CABO FOTOVOLTAICO 4MM² VERMELHO 
 8 x CONECTOR MC4 PAR EMBALADO 
 ESTRUTURA FIBROCIMENTO MADEIRA</t>
  </si>
  <si>
    <t>26 x MODULO FV 570WP N-TYPE BIFACIAL DAH SOLAR DHN-72X16/DG 
 2 x INVERSOR SOLIS 6KW S6-GR1P6K-S COM MONITORAMENTO 
 50 x CABO FOTOVOLTAICO 4MM² PRETO 
 100 x CABO FOTOVOLTAICO 4MM² VERMELHO 
 8 x CONECTOR MC4 PAR EMBALADO 
 ESTRUTURA FIBROCIMENTO MADEIRA</t>
  </si>
  <si>
    <t>26 x MODULO FV 570WP N-TYPE BIFACIAL DUAL GLASS DAS-DH144NA 
 2 x INVERSOR SOLIS 6KW S6-GR1P6K-S COM MONITORAMENTO 
 50 x CABO FOTOVOLTAICO 4MM² PRETO 
 100 x CABO FOTOVOLTAICO 4MM² VERMELHO 
 8 x CONECTOR MC4 PAR EMBALADO 
 ESTRUTURA FIBROCIMENTO MADEIRA</t>
  </si>
  <si>
    <t>26 x MODULO FV 570WP N-TYPE BIFACIAL DAH SOLAR DHN-72X16/DG 
 1 x INVERSOR SUNGROW SG12RT COM MONITORAMENTO 
 100 x CABO FOTOVOLTAICO 4MM² PRETO 
 100 x CABO FOTOVOLTAICO 4MM² VERMELHO 
 8 x CONECTOR MC4 PAR EMBALADO 
 ESTRUTURA FIBROCIMENTO MADEIRA</t>
  </si>
  <si>
    <t>26 x MODULO FV 570WP N-TYPE BIFACIAL DAH SOLAR DHN-72X16/DG 
 1 x INVERSOR SOLIS 12KW 380V S5-GR3P12K COM MONITORAMENTO 
 100 x CABO FOTOVOLTAICO 4MM² PRETO 
 100 x CABO FOTOVOLTAICO 4MM² VERMELHO 
 8 x CONECTOR MC4 PAR EMBALADO 
 ESTRUTURA FIBROCIMENTO MADEIRA</t>
  </si>
  <si>
    <t>26 x MODULO FV 570WP N-TYPE BIFACIAL DUAL GLASS DAS-DH144NA 
 1 x INVERSOR SUNGROW SG12RT COM MONITORAMENTO 
 100 x CABO FOTOVOLTAICO 4MM² PRETO 
 100 x CABO FOTOVOLTAICO 4MM² VERMELHO 
 8 x CONECTOR MC4 PAR EMBALADO 
 ESTRUTURA FIBROCIMENTO MADEIRA</t>
  </si>
  <si>
    <t>26 x MODULO FV 570WP N-TYPE BIFACIAL DUAL GLASS DAS-DH144NA 
 1 x INVERSOR SOLIS 12KW 380V S5-GR3P12K COM MONITORAMENTO 
 100 x CABO FOTOVOLTAICO 4MM² PRETO 
 100 x CABO FOTOVOLTAICO 4MM² VERMELHO 
 8 x CONECTOR MC4 PAR EMBALADO 
 ESTRUTURA FIBROCIMENTO MADEIRA</t>
  </si>
  <si>
    <t>26 x MODULO FV 570WP N-TYPE BIFACIAL DAH SOLAR DHN-72X16/DG 
 7 x HMS-2000-4T - MICRO HOYMILES 2000W DTU EXTERNA 
 4 x CABO FOTOVOLTAICO 4MM² PRETO 
 28 x CABO FOTOVOLTAICO 4MM² VERMELHO 
 56 x CONECTOR MC4 PAR EMBALADO 
 ESTRUTURA FIBROCIMENTO MADEIRA 
 7 x AC TRUNK CONNECTOR - CONECTOR CA HOYMILES 
 3 x AC TRUNK END CAP - TERMINAL ENDCAP HOYMILES 
 1 x AC TRUNK CONNECTOR UNLOCK TOOL - CHAVE DESBLOQUEIO CONECTOR CA 
 1 x HMS DISCONNECT TOOL-1PCS - CHAVE DESCONEXAO MICROINVERSOR 
 12 x CABO CA MULTIPOLAR 10AWG 
 1 x DTU-LITE-S(WIFI) - MONIT DTU-LITE S (ATÉ 25 MICROS)</t>
  </si>
  <si>
    <t>26 x MODULO FV 570WP N-TYPE BIFACIAL DUAL GLASS DAS-DH144NA 
 7 x HMS-2000-4T - MICRO HOYMILES 2000W DTU EXTERNA 
 4 x CABO FOTOVOLTAICO 4MM² PRETO 
 28 x CABO FOTOVOLTAICO 4MM² VERMELHO 
 56 x CONECTOR MC4 PAR EMBALADO 
 ESTRUTURA FIBROCIMENTO MADEIRA 
 7 x AC TRUNK CONNECTOR - CONECTOR CA HOYMILES 
 3 x AC TRUNK END CAP - TERMINAL ENDCAP HOYMILES 
 1 x AC TRUNK CONNECTOR UNLOCK TOOL - CHAVE DESBLOQUEIO CONECTOR CA 
 1 x HMS DISCONNECT TOOL-1PCS - CHAVE DESCONEXAO MICROINVERSOR 
 12 x CABO CA MULTIPOLAR 10AWG 
 1 x DTU-LITE-S(WIFI) - MONIT DTU-LITE S (ATÉ 25 MICROS)</t>
  </si>
  <si>
    <t>21 x MODULO FV 710WP BIFACIAL DUAL-GLASS TRINA TSM-NEG21C.20 
 6 x HMS-2000-4T - MICRO HOYMILES 2000W DTU EXTERNA 
 4 x CABO FOTOVOLTAICO 4MM² PRETO 
 24 x CABO FOTOVOLTAICO 4MM² VERMELHO 
 48 x CONECTOR MC4 PAR TRINA 
 ESTRUTURA FIBROCIMENTO MADEIRA 
 6 x AC TRUNK CONNECTOR - CONECTOR CA HOYMILES 
 2 x AC TRUNK END CAP - TERMINAL ENDCAP HOYMILES 
 1 x AC TRUNK CONNECTOR UNLOCK TOOL - CHAVE DESBLOQUEIO CONECTOR CA 
 1 x HMS DISCONNECT TOOL-1PCS - CHAVE DESCONEXAO MICROINVERSOR 
 12 x CABO CA MULTIPOLAR 10AWG 
 1 x DTU-LITE-S(WIFI) - MONIT DTU-LITE S (ATÉ 25 MICROS)</t>
  </si>
  <si>
    <t>27 x MODULO FV 570WP N-TYPE BIFACIAL DAH SOLAR DHN-72X16/DG 
 2 x INVERSOR SUNGROW SG6.0RS-L COM MONITORAMENTO 
 50 x CABO FOTOVOLTAICO 4MM² PRETO 
 100 x CABO FOTOVOLTAICO 4MM² VERMELHO 
 8 x CONECTOR MC4 PAR EMBALADO 
 ESTRUTURA FIBROCIMENTO MADEIRA</t>
  </si>
  <si>
    <t>27 x MODULO FV 570WP N-TYPE BIFACIAL DUAL GLASS DAS-DH144NA 
 2 x INVERSOR SUNGROW SG6.0RS-L COM MONITORAMENTO 
 50 x CABO FOTOVOLTAICO 4MM² PRETO 
 100 x CABO FOTOVOLTAICO 4MM² VERMELHO 
 8 x CONECTOR MC4 PAR EMBALADO 
 ESTRUTURA FIBROCIMENTO MADEIRA</t>
  </si>
  <si>
    <t>27 x MODULO FV 570WP N-TYPE BIFACIAL DAH SOLAR DHN-72X16/DG 
 2 x INVERSOR SOLIS 6KW S6-GR1P6K-S COM MONITORAMENTO 
 50 x CABO FOTOVOLTAICO 4MM² PRETO 
 100 x CABO FOTOVOLTAICO 4MM² VERMELHO 
 8 x CONECTOR MC4 PAR EMBALADO 
 ESTRUTURA FIBROCIMENTO MADEIRA</t>
  </si>
  <si>
    <t>27 x MODULO FV 570WP N-TYPE BIFACIAL DUAL GLASS DAS-DH144NA 
 2 x INVERSOR SOLIS 6KW S6-GR1P6K-S COM MONITORAMENTO 
 50 x CABO FOTOVOLTAICO 4MM² PRETO 
 100 x CABO FOTOVOLTAICO 4MM² VERMELHO 
 8 x CONECTOR MC4 PAR EMBALADO 
 ESTRUTURA FIBROCIMENTO MADEIRA</t>
  </si>
  <si>
    <t>27 x MODULO FV 570WP N-TYPE BIFACIAL DAH SOLAR DHN-72X16/DG 
 1 x INVERSOR SUNGROW SG12RT COM MONITORAMENTO 
 100 x CABO FOTOVOLTAICO 4MM² PRETO 
 100 x CABO FOTOVOLTAICO 4MM² VERMELHO 
 8 x CONECTOR MC4 PAR EMBALADO 
 ESTRUTURA FIBROCIMENTO MADEIRA</t>
  </si>
  <si>
    <t>27 x MODULO FV 570WP N-TYPE BIFACIAL DAH SOLAR DHN-72X16/DG 
 1 x INVERSOR SOLIS 12KW 380V S5-GR3P12K COM MONITORAMENTO 
 100 x CABO FOTOVOLTAICO 4MM² PRETO 
 100 x CABO FOTOVOLTAICO 4MM² VERMELHO 
 8 x CONECTOR MC4 PAR EMBALADO 
 ESTRUTURA FIBROCIMENTO MADEIRA</t>
  </si>
  <si>
    <t>27 x MODULO FV 570WP N-TYPE BIFACIAL DUAL GLASS DAS-DH144NA 
 1 x INVERSOR SUNGROW SG12RT COM MONITORAMENTO 
 100 x CABO FOTOVOLTAICO 4MM² PRETO 
 100 x CABO FOTOVOLTAICO 4MM² VERMELHO 
 8 x CONECTOR MC4 PAR EMBALADO 
 ESTRUTURA FIBROCIMENTO MADEIRA</t>
  </si>
  <si>
    <t>27 x MODULO FV 570WP N-TYPE BIFACIAL DUAL GLASS DAS-DH144NA 
 1 x INVERSOR SOLIS 12KW 380V S5-GR3P12K COM MONITORAMENTO 
 100 x CABO FOTOVOLTAICO 4MM² PRETO 
 100 x CABO FOTOVOLTAICO 4MM² VERMELHO 
 8 x CONECTOR MC4 PAR EMBALADO 
 ESTRUTURA FIBROCIMENTO MADEIRA</t>
  </si>
  <si>
    <t>27 x MODULO FV 570WP N-TYPE BIFACIAL DAH SOLAR DHN-72X16/DG 
 7 x HMS-2000-4T - MICRO HOYMILES 2000W DTU EXTERNA 
 4 x CABO FOTOVOLTAICO 4MM² PRETO 
 28 x CABO FOTOVOLTAICO 4MM² VERMELHO 
 56 x CONECTOR MC4 PAR EMBALADO 
 ESTRUTURA FIBROCIMENTO MADEIRA 
 7 x AC TRUNK CONNECTOR - CONECTOR CA HOYMILES 
 3 x AC TRUNK END CAP - TERMINAL ENDCAP HOYMILES 
 1 x AC TRUNK CONNECTOR UNLOCK TOOL - CHAVE DESBLOQUEIO CONECTOR CA 
 1 x HMS DISCONNECT TOOL-1PCS - CHAVE DESCONEXAO MICROINVERSOR 
 12 x CABO CA MULTIPOLAR 10AWG 
 1 x DTU-LITE-S(WIFI) - MONIT DTU-LITE S (ATÉ 25 MICROS)</t>
  </si>
  <si>
    <t>27 x MODULO FV 570WP N-TYPE BIFACIAL DUAL GLASS DAS-DH144NA 
 7 x HMS-2000-4T - MICRO HOYMILES 2000W DTU EXTERNA 
 4 x CABO FOTOVOLTAICO 4MM² PRETO 
 28 x CABO FOTOVOLTAICO 4MM² VERMELHO 
 56 x CONECTOR MC4 PAR EMBALADO 
 ESTRUTURA FIBROCIMENTO MADEIRA 
 7 x AC TRUNK CONNECTOR - CONECTOR CA HOYMILES 
 3 x AC TRUNK END CAP - TERMINAL ENDCAP HOYMILES 
 1 x AC TRUNK CONNECTOR UNLOCK TOOL - CHAVE DESBLOQUEIO CONECTOR CA 
 1 x HMS DISCONNECT TOOL-1PCS - CHAVE DESCONEXAO MICROINVERSOR 
 12 x CABO CA MULTIPOLAR 10AWG 
 1 x DTU-LITE-S(WIFI) - MONIT DTU-LITE S (ATÉ 25 MICROS)</t>
  </si>
  <si>
    <t>22 x MODULO FV 710WP BIFACIAL DUAL-GLASS TRINA TSM-NEG21C.20 
 6 x HMS-2000-4T - MICRO HOYMILES 2000W DTU EXTERNA 
 4 x CABO FOTOVOLTAICO 4MM² PRETO 
 24 x CABO FOTOVOLTAICO 4MM² VERMELHO 
 48 x CONECTOR MC4 PAR TRINA 
 ESTRUTURA FIBROCIMENTO MADEIRA 
 6 x AC TRUNK CONNECTOR - CONECTOR CA HOYMILES 
 2 x AC TRUNK END CAP - TERMINAL ENDCAP HOYMILES 
 1 x AC TRUNK CONNECTOR UNLOCK TOOL - CHAVE DESBLOQUEIO CONECTOR CA 
 1 x HMS DISCONNECT TOOL-1PCS - CHAVE DESCONEXAO MICROINVERSOR 
 12 x CABO CA MULTIPOLAR 10AWG 
 1 x DTU-LITE-S(WIFI) - MONIT DTU-LITE S (ATÉ 25 MICROS)</t>
  </si>
  <si>
    <t>28 x MODULO FV 570WP N-TYPE BIFACIAL DAH SOLAR DHN-72X16/DG 
 2 x INVERSOR SUNGROW SG6.0RS-L COM MONITORAMENTO 
 50 x CABO FOTOVOLTAICO 4MM² PRETO 
 100 x CABO FOTOVOLTAICO 4MM² VERMELHO 
 8 x CONECTOR MC4 PAR EMBALADO 
 ESTRUTURA FIBROCIMENTO MADEIRA</t>
  </si>
  <si>
    <t>28 x MODULO FV 570WP N-TYPE BIFACIAL DUAL GLASS DAS-DH144NA 
 2 x INVERSOR SUNGROW SG6.0RS-L COM MONITORAMENTO 
 50 x CABO FOTOVOLTAICO 4MM² PRETO 
 100 x CABO FOTOVOLTAICO 4MM² VERMELHO 
 8 x CONECTOR MC4 PAR EMBALADO 
 ESTRUTURA FIBROCIMENTO MADEIRA</t>
  </si>
  <si>
    <t>28 x MODULO FV 570WP N-TYPE BIFACIAL DAH SOLAR DHN-72X16/DG 
 2 x INVERSOR SOLIS 6KW S6-GR1P6K-S COM MONITORAMENTO 
 50 x CABO FOTOVOLTAICO 4MM² PRETO 
 100 x CABO FOTOVOLTAICO 4MM² VERMELHO 
 8 x CONECTOR MC4 PAR EMBALADO 
 ESTRUTURA FIBROCIMENTO MADEIRA</t>
  </si>
  <si>
    <t>28 x MODULO FV 570WP N-TYPE BIFACIAL DUAL GLASS DAS-DH144NA 
 2 x INVERSOR SOLIS 6KW S6-GR1P6K-S COM MONITORAMENTO 
 50 x CABO FOTOVOLTAICO 4MM² PRETO 
 100 x CABO FOTOVOLTAICO 4MM² VERMELHO 
 8 x CONECTOR MC4 PAR EMBALADO 
 ESTRUTURA FIBROCIMENTO MADEIRA</t>
  </si>
  <si>
    <t>28 x MODULO FV 570WP N-TYPE BIFACIAL DAH SOLAR DHN-72X16/DG 
 1 x INVERSOR SUNGROW SG12RT COM MONITORAMENTO 
 100 x CABO FOTOVOLTAICO 4MM² PRETO 
 100 x CABO FOTOVOLTAICO 4MM² VERMELHO 
 8 x CONECTOR MC4 PAR EMBALADO 
 ESTRUTURA FIBROCIMENTO MADEIRA</t>
  </si>
  <si>
    <t>28 x MODULO FV 570WP N-TYPE BIFACIAL DAH SOLAR DHN-72X16/DG 
 1 x INVERSOR SOLIS 12KW 380V S5-GR3P12K COM MONITORAMENTO 
 100 x CABO FOTOVOLTAICO 4MM² PRETO 
 100 x CABO FOTOVOLTAICO 4MM² VERMELHO 
 8 x CONECTOR MC4 PAR EMBALADO 
 ESTRUTURA FIBROCIMENTO MADEIRA</t>
  </si>
  <si>
    <t>28 x MODULO FV 570WP N-TYPE BIFACIAL DUAL GLASS DAS-DH144NA 
 1 x INVERSOR SUNGROW SG12RT COM MONITORAMENTO 
 100 x CABO FOTOVOLTAICO 4MM² PRETO 
 100 x CABO FOTOVOLTAICO 4MM² VERMELHO 
 8 x CONECTOR MC4 PAR EMBALADO 
 ESTRUTURA FIBROCIMENTO MADEIRA</t>
  </si>
  <si>
    <t>28 x MODULO FV 570WP N-TYPE BIFACIAL DUAL GLASS DAS-DH144NA 
 1 x INVERSOR SOLIS 12KW 380V S5-GR3P12K COM MONITORAMENTO 
 100 x CABO FOTOVOLTAICO 4MM² PRETO 
 100 x CABO FOTOVOLTAICO 4MM² VERMELHO 
 8 x CONECTOR MC4 PAR EMBALADO 
 ESTRUTURA FIBROCIMENTO MADEIRA</t>
  </si>
  <si>
    <t>28 x MODULO FV 570WP N-TYPE BIFACIAL DAH SOLAR DHN-72X16/DG 
 7 x HMS-2000-4T - MICRO HOYMILES 2000W DTU EXTERNA 
 4 x CABO FOTOVOLTAICO 4MM² PRETO 
 28 x CABO FOTOVOLTAICO 4MM² VERMELHO 
 56 x CONECTOR MC4 PAR EMBALADO 
 ESTRUTURA FIBROCIMENTO MADEIRA 
 7 x AC TRUNK CONNECTOR - CONECTOR CA HOYMILES 
 3 x AC TRUNK END CAP - TERMINAL ENDCAP HOYMILES 
 1 x AC TRUNK CONNECTOR UNLOCK TOOL - CHAVE DESBLOQUEIO CONECTOR CA 
 1 x HMS DISCONNECT TOOL-1PCS - CHAVE DESCONEXAO MICROINVERSOR 
 12 x CABO CA MULTIPOLAR 10AWG 
 1 x DTU-LITE-S(WIFI) - MONIT DTU-LITE S (ATÉ 25 MICROS)</t>
  </si>
  <si>
    <t>28 x MODULO FV 570WP N-TYPE BIFACIAL DUAL GLASS DAS-DH144NA 
 7 x HMS-2000-4T - MICRO HOYMILES 2000W DTU EXTERNA 
 4 x CABO FOTOVOLTAICO 4MM² PRETO 
 28 x CABO FOTOVOLTAICO 4MM² VERMELHO 
 56 x CONECTOR MC4 PAR EMBALADO 
 ESTRUTURA FIBROCIMENTO MADEIRA 
 7 x AC TRUNK CONNECTOR - CONECTOR CA HOYMILES 
 3 x AC TRUNK END CAP - TERMINAL ENDCAP HOYMILES 
 1 x AC TRUNK CONNECTOR UNLOCK TOOL - CHAVE DESBLOQUEIO CONECTOR CA 
 1 x HMS DISCONNECT TOOL-1PCS - CHAVE DESCONEXAO MICROINVERSOR 
 12 x CABO CA MULTIPOLAR 10AWG 
 1 x DTU-LITE-S(WIFI) - MONIT DTU-LITE S (ATÉ 25 MICROS)</t>
  </si>
  <si>
    <t>23 x MODULO FV 710WP BIFACIAL DUAL-GLASS TRINA TSM-NEG21C.20 
 6 x HMS-2000-4T - MICRO HOYMILES 2000W DTU EXTERNA 
 4 x CABO FOTOVOLTAICO 4MM² PRETO 
 24 x CABO FOTOVOLTAICO 4MM² VERMELHO 
 48 x CONECTOR MC4 PAR TRINA 
 ESTRUTURA FIBROCIMENTO MADEIRA 
 6 x AC TRUNK CONNECTOR - CONECTOR CA HOYMILES 
 2 x AC TRUNK END CAP - TERMINAL ENDCAP HOYMILES 
 1 x AC TRUNK CONNECTOR UNLOCK TOOL - CHAVE DESBLOQUEIO CONECTOR CA 
 1 x HMS DISCONNECT TOOL-1PCS - CHAVE DESCONEXAO MICROINVERSOR 
 12 x CABO CA MULTIPOLAR 10AWG 
 1 x DTU-LITE-S(WIFI) - MONIT DTU-LITE S (ATÉ 25 MICROS)</t>
  </si>
  <si>
    <t>29 x MODULO FV 570WP N-TYPE BIFACIAL DAH SOLAR DHN-72X16/DG 
 2 x INVERSOR SUNGROW SG6.0RS-L COM MONITORAMENTO 
 50 x CABO FOTOVOLTAICO 4MM² PRETO 
 100 x CABO FOTOVOLTAICO 4MM² VERMELHO 
 8 x CONECTOR MC4 PAR EMBALADO 
 ESTRUTURA FIBROCIMENTO MADEIRA</t>
  </si>
  <si>
    <t>29 x MODULO FV 570WP N-TYPE BIFACIAL DUAL GLASS DAS-DH144NA 
 2 x INVERSOR SUNGROW SG6.0RS-L COM MONITORAMENTO 
 50 x CABO FOTOVOLTAICO 4MM² PRETO 
 100 x CABO FOTOVOLTAICO 4MM² VERMELHO 
 8 x CONECTOR MC4 PAR EMBALADO 
 ESTRUTURA FIBROCIMENTO MADEIRA</t>
  </si>
  <si>
    <t>29 x MODULO FV 570WP N-TYPE BIFACIAL DAH SOLAR DHN-72X16/DG 
 2 x INVERSOR SOLIS 6KW S6-GR1P6K-S COM MONITORAMENTO 
 50 x CABO FOTOVOLTAICO 4MM² PRETO 
 100 x CABO FOTOVOLTAICO 4MM² VERMELHO 
 8 x CONECTOR MC4 PAR EMBALADO 
 ESTRUTURA FIBROCIMENTO MADEIRA</t>
  </si>
  <si>
    <t>29 x MODULO FV 570WP N-TYPE BIFACIAL DUAL GLASS DAS-DH144NA 
 2 x INVERSOR SOLIS 6KW S6-GR1P6K-S COM MONITORAMENTO 
 50 x CABO FOTOVOLTAICO 4MM² PRETO 
 100 x CABO FOTOVOLTAICO 4MM² VERMELHO 
 8 x CONECTOR MC4 PAR EMBALADO 
 ESTRUTURA FIBROCIMENTO MADEIRA</t>
  </si>
  <si>
    <t>29 x MODULO FV 570WP N-TYPE BIFACIAL DAH SOLAR DHN-72X16/DG 
 1 x INVERSOR SUNGROW SG12RT COM MONITORAMENTO 
 100 x CABO FOTOVOLTAICO 4MM² PRETO 
 100 x CABO FOTOVOLTAICO 4MM² VERMELHO 
 8 x CONECTOR MC4 PAR EMBALADO 
 ESTRUTURA FIBROCIMENTO MADEIRA</t>
  </si>
  <si>
    <t>29 x MODULO FV 570WP N-TYPE BIFACIAL DAH SOLAR DHN-72X16/DG 
 1 x INVERSOR SOLIS 12KW 380V S5-GR3P12K COM MONITORAMENTO 
 100 x CABO FOTOVOLTAICO 4MM² PRETO 
 100 x CABO FOTOVOLTAICO 4MM² VERMELHO 
 8 x CONECTOR MC4 PAR EMBALADO 
 ESTRUTURA FIBROCIMENTO MADEIRA</t>
  </si>
  <si>
    <t>29 x MODULO FV 570WP N-TYPE BIFACIAL DUAL GLASS DAS-DH144NA 
 1 x INVERSOR SUNGROW SG12RT COM MONITORAMENTO 
 100 x CABO FOTOVOLTAICO 4MM² PRETO 
 100 x CABO FOTOVOLTAICO 4MM² VERMELHO 
 8 x CONECTOR MC4 PAR EMBALADO 
 ESTRUTURA FIBROCIMENTO MADEIRA</t>
  </si>
  <si>
    <t>29 x MODULO FV 570WP N-TYPE BIFACIAL DUAL GLASS DAS-DH144NA 
 1 x INVERSOR SOLIS 12KW 380V S5-GR3P12K COM MONITORAMENTO 
 100 x CABO FOTOVOLTAICO 4MM² PRETO 
 100 x CABO FOTOVOLTAICO 4MM² VERMELHO 
 8 x CONECTOR MC4 PAR EMBALADO 
 ESTRUTURA FIBROCIMENTO MADEIRA</t>
  </si>
  <si>
    <t>15</t>
  </si>
  <si>
    <t>29 x MODULO FV 570WP N-TYPE BIFACIAL DAH SOLAR DHN-72X16/DG 
 8 x HMS-2000-4T - MICRO HOYMILES 2000W DTU EXTERNA 
 4 x CABO FOTOVOLTAICO 4MM² PRETO 
 32 x CABO FOTOVOLTAICO 4MM² VERMELHO 
 64 x CONECTOR MC4 PAR EMBALADO 
 ESTRUTURA FIBROCIMENTO MADEIRA 
 8 x AC TRUNK CONNECTOR - CONECTOR CA HOYMILES 
 3 x AC TRUNK END CAP - TERMINAL ENDCAP HOYMILES 
 1 x AC TRUNK CONNECTOR UNLOCK TOOL - CHAVE DESBLOQUEIO CONECTOR CA 
 1 x HMS DISCONNECT TOOL-1PCS - CHAVE DESCONEXAO MICROINVERSOR 
 15 x CABO CA MULTIPOLAR 10AWG 
 1 x DTU-LITE-S(WIFI) - MONIT DTU-LITE S (ATÉ 25 MICROS)</t>
  </si>
  <si>
    <t>29 x MODULO FV 570WP N-TYPE BIFACIAL DUAL GLASS DAS-DH144NA 
 8 x HMS-2000-4T - MICRO HOYMILES 2000W DTU EXTERNA 
 4 x CABO FOTOVOLTAICO 4MM² PRETO 
 32 x CABO FOTOVOLTAICO 4MM² VERMELHO 
 64 x CONECTOR MC4 PAR EMBALADO 
 ESTRUTURA FIBROCIMENTO MADEIRA 
 8 x AC TRUNK CONNECTOR - CONECTOR CA HOYMILES 
 3 x AC TRUNK END CAP - TERMINAL ENDCAP HOYMILES 
 1 x AC TRUNK CONNECTOR UNLOCK TOOL - CHAVE DESBLOQUEIO CONECTOR CA 
 1 x HMS DISCONNECT TOOL-1PCS - CHAVE DESCONEXAO MICROINVERSOR 
 15 x CABO CA MULTIPOLAR 10AWG 
 1 x DTU-LITE-S(WIFI) - MONIT DTU-LITE S (ATÉ 25 MICROS)</t>
  </si>
  <si>
    <t>24 x MODULO FV 710WP BIFACIAL DUAL-GLASS TRINA TSM-NEG21C.20 
 6 x HMS-2000-4T - MICRO HOYMILES 2000W DTU EXTERNA 
 4 x CABO FOTOVOLTAICO 4MM² PRETO 
 24 x CABO FOTOVOLTAICO 4MM² VERMELHO 
 48 x CONECTOR MC4 PAR TRINA 
 ESTRUTURA FIBROCIMENTO MADEIRA 
 6 x AC TRUNK CONNECTOR - CONECTOR CA HOYMILES 
 2 x AC TRUNK END CAP - TERMINAL ENDCAP HOYMILES 
 1 x AC TRUNK CONNECTOR UNLOCK TOOL - CHAVE DESBLOQUEIO CONECTOR CA 
 1 x HMS DISCONNECT TOOL-1PCS - CHAVE DESCONEXAO MICROINVERSOR 
 12 x CABO CA MULTIPOLAR 10AWG 
 1 x DTU-LITE-S(WIFI) - MONIT DTU-LITE S (ATÉ 25 MICROS)</t>
  </si>
  <si>
    <t>30 x MODULO FV 570WP N-TYPE BIFACIAL DAH SOLAR DHN-72X16/DG 
 2 x INVERSOR SUNGROW SG6.0RS-L COM MONITORAMENTO 
 50 x CABO FOTOVOLTAICO 4MM² PRETO 
 100 x CABO FOTOVOLTAICO 4MM² VERMELHO 
 8 x CONECTOR MC4 PAR EMBALADO 
 ESTRUTURA FIBROCIMENTO MADEIRA</t>
  </si>
  <si>
    <t>30 x MODULO FV 570WP N-TYPE BIFACIAL DUAL GLASS DAS-DH144NA 
 2 x INVERSOR SUNGROW SG6.0RS-L COM MONITORAMENTO 
 50 x CABO FOTOVOLTAICO 4MM² PRETO 
 100 x CABO FOTOVOLTAICO 4MM² VERMELHO 
 8 x CONECTOR MC4 PAR EMBALADO 
 ESTRUTURA FIBROCIMENTO MADEIRA</t>
  </si>
  <si>
    <t>30 x MODULO FV 570WP N-TYPE BIFACIAL DAH SOLAR DHN-72X16/DG 
 2 x INVERSOR SOLIS 6KW S6-GR1P6K-S COM MONITORAMENTO 
 50 x CABO FOTOVOLTAICO 4MM² PRETO 
 100 x CABO FOTOVOLTAICO 4MM² VERMELHO 
 8 x CONECTOR MC4 PAR EMBALADO 
 ESTRUTURA FIBROCIMENTO MADEIRA</t>
  </si>
  <si>
    <t>30 x MODULO FV 570WP N-TYPE BIFACIAL DUAL GLASS DAS-DH144NA 
 2 x INVERSOR SOLIS 6KW S6-GR1P6K-S COM MONITORAMENTO 
 50 x CABO FOTOVOLTAICO 4MM² PRETO 
 100 x CABO FOTOVOLTAICO 4MM² VERMELHO 
 8 x CONECTOR MC4 PAR EMBALADO 
 ESTRUTURA FIBROCIMENTO MADEIRA</t>
  </si>
  <si>
    <t>30 x MODULO FV 570WP N-TYPE BIFACIAL DAH SOLAR DHN-72X16/DG 
 1 x INVERSOR SOLIS 15KW 380V S5-GR3P15K COM MONITORAMENTO 
 100 x CABO FOTOVOLTAICO 4MM² PRETO 
 100 x CABO FOTOVOLTAICO 4MM² VERMELHO 
 8 x CONECTOR MC4 PAR EMBALADO 
 ESTRUTURA FIBROCIMENTO MADEIRA</t>
  </si>
  <si>
    <t>30 x MODULO FV 570WP N-TYPE BIFACIAL DUAL GLASS DAS-DH144NA 
 1 x INVERSOR SOLIS 15KW 380V S5-GR3P15K COM MONITORAMENTO 
 100 x CABO FOTOVOLTAICO 4MM² PRETO 
 100 x CABO FOTOVOLTAICO 4MM² VERMELHO 
 8 x CONECTOR MC4 PAR EMBALADO 
 ESTRUTURA FIBROCIMENTO MADEIRA</t>
  </si>
  <si>
    <t>30 x MODULO FV 570WP N-TYPE BIFACIAL DAH SOLAR DHN-72X16/DG 
 1 x INVERSOR SUNGROW SG15RT COM MONITORAMENTO 
 100 x CABO FOTOVOLTAICO 4MM² PRETO 
 100 x CABO FOTOVOLTAICO 4MM² VERMELHO 
 8 x CONECTOR MC4 PAR EMBALADO 
 ESTRUTURA FIBROCIMENTO MADEIRA</t>
  </si>
  <si>
    <t>30 x MODULO FV 570WP N-TYPE BIFACIAL DUAL GLASS DAS-DH144NA 
 1 x INVERSOR SUNGROW SG15RT COM MONITORAMENTO 
 100 x CABO FOTOVOLTAICO 4MM² PRETO 
 100 x CABO FOTOVOLTAICO 4MM² VERMELHO 
 8 x CONECTOR MC4 PAR EMBALADO 
 ESTRUTURA FIBROCIMENTO MADEIRA</t>
  </si>
  <si>
    <t>30 x MODULO FV 570WP N-TYPE BIFACIAL DAH SOLAR DHN-72X16/DG 
 1 x INVERSOR SUNGROW SG15CX-P2-LV AFCI 220V COM MONITORAMENTO 
 100 x CABO FOTOVOLTAICO 4MM² PRETO 
 100 x CABO FOTOVOLTAICO 4MM² VERMELHO 
 8 x CONECTOR MC4 PAR EMBALADO 
 ESTRUTURA FIBROCIMENTO MADEIRA</t>
  </si>
  <si>
    <t>30 x MODULO FV 570WP N-TYPE BIFACIAL DUAL GLASS DAS-DH144NA 
 1 x INVERSOR SUNGROW SG15CX-P2-LV AFCI 220V COM MONITORAMENTO 
 100 x CABO FOTOVOLTAICO 4MM² PRETO 
 100 x CABO FOTOVOLTAICO 4MM² VERMELHO 
 8 x CONECTOR MC4 PAR EMBALADO 
 ESTRUTURA FIBROCIMENTO MADEIRA</t>
  </si>
  <si>
    <t>30 x MODULO FV 570WP N-TYPE BIFACIAL DAH SOLAR DHN-72X16/DG 
 8 x HMS-2000-4T - MICRO HOYMILES 2000W DTU EXTERNA 
 4 x CABO FOTOVOLTAICO 4MM² PRETO 
 32 x CABO FOTOVOLTAICO 4MM² VERMELHO 
 64 x CONECTOR MC4 PAR EMBALADO 
 ESTRUTURA FIBROCIMENTO MADEIRA 
 8 x AC TRUNK CONNECTOR - CONECTOR CA HOYMILES 
 3 x AC TRUNK END CAP - TERMINAL ENDCAP HOYMILES 
 1 x AC TRUNK CONNECTOR UNLOCK TOOL - CHAVE DESBLOQUEIO CONECTOR CA 
 1 x HMS DISCONNECT TOOL-1PCS - CHAVE DESCONEXAO MICROINVERSOR 
 15 x CABO CA MULTIPOLAR 10AWG 
 1 x DTU-LITE-S(WIFI) - MONIT DTU-LITE S (ATÉ 25 MICROS)</t>
  </si>
  <si>
    <t>30 x MODULO FV 570WP N-TYPE BIFACIAL DUAL GLASS DAS-DH144NA 
 8 x HMS-2000-4T - MICRO HOYMILES 2000W DTU EXTERNA 
 4 x CABO FOTOVOLTAICO 4MM² PRETO 
 32 x CABO FOTOVOLTAICO 4MM² VERMELHO 
 64 x CONECTOR MC4 PAR EMBALADO 
 ESTRUTURA FIBROCIMENTO MADEIRA 
 8 x AC TRUNK CONNECTOR - CONECTOR CA HOYMILES 
 3 x AC TRUNK END CAP - TERMINAL ENDCAP HOYMILES 
 1 x AC TRUNK CONNECTOR UNLOCK TOOL - CHAVE DESBLOQUEIO CONECTOR CA 
 1 x HMS DISCONNECT TOOL-1PCS - CHAVE DESCONEXAO MICROINVERSOR 
 15 x CABO CA MULTIPOLAR 10AWG 
 1 x DTU-LITE-S(WIFI) - MONIT DTU-LITE S (ATÉ 25 MICROS)</t>
  </si>
  <si>
    <t>31 x MODULO FV 570WP N-TYPE BIFACIAL DAH SOLAR DHN-72X16/DG 
 1 x INVERSOR SOLIS 15KW 380V S5-GR3P15K COM MONITORAMENTO 
 100 x CABO FOTOVOLTAICO 4MM² PRETO 
 100 x CABO FOTOVOLTAICO 4MM² VERMELHO 
 8 x CONECTOR MC4 PAR EMBALADO 
 ESTRUTURA FIBROCIMENTO MADEIRA</t>
  </si>
  <si>
    <t>31 x MODULO FV 570WP N-TYPE BIFACIAL DUAL GLASS DAS-DH144NA 
 1 x INVERSOR SOLIS 15KW 380V S5-GR3P15K COM MONITORAMENTO 
 100 x CABO FOTOVOLTAICO 4MM² PRETO 
 100 x CABO FOTOVOLTAICO 4MM² VERMELHO 
 8 x CONECTOR MC4 PAR EMBALADO 
 ESTRUTURA FIBROCIMENTO MADEIRA</t>
  </si>
  <si>
    <t>31 x MODULO FV 570WP N-TYPE BIFACIAL DAH SOLAR DHN-72X16/DG 
 1 x INVERSOR SUNGROW SG15RT COM MONITORAMENTO 
 100 x CABO FOTOVOLTAICO 4MM² PRETO 
 100 x CABO FOTOVOLTAICO 4MM² VERMELHO 
 8 x CONECTOR MC4 PAR EMBALADO 
 ESTRUTURA FIBROCIMENTO MADEIRA</t>
  </si>
  <si>
    <t>31 x MODULO FV 570WP N-TYPE BIFACIAL DAH SOLAR DHN-72X16/DG 
 2 x INVERSOR SOLIS 7KW S6-GR1P7K2 COM MONITORAMENTO 
 50 x CABO FOTOVOLTAICO 4MM² PRETO 
 100 x CABO FOTOVOLTAICO 4MM² VERMELHO 
 12 x CONECTOR MC4 PAR EMBALADO 
 ESTRUTURA FIBROCIMENTO MADEIRA</t>
  </si>
  <si>
    <t>31 x MODULO FV 570WP N-TYPE BIFACIAL DUAL GLASS DAS-DH144NA 
 1 x INVERSOR SUNGROW SG15RT COM MONITORAMENTO 
 100 x CABO FOTOVOLTAICO 4MM² PRETO 
 100 x CABO FOTOVOLTAICO 4MM² VERMELHO 
 8 x CONECTOR MC4 PAR EMBALADO 
 ESTRUTURA FIBROCIMENTO MADEIRA</t>
  </si>
  <si>
    <t>31 x MODULO FV 570WP N-TYPE BIFACIAL DUAL GLASS DAS-DH144NA 
 2 x INVERSOR SOLIS 7KW S6-GR1P7K2 COM MONITORAMENTO 
 50 x CABO FOTOVOLTAICO 4MM² PRETO 
 100 x CABO FOTOVOLTAICO 4MM² VERMELHO 
 12 x CONECTOR MC4 PAR EMBALADO 
 ESTRUTURA FIBROCIMENTO MADEIRA</t>
  </si>
  <si>
    <t>31 x MODULO FV 570WP N-TYPE BIFACIAL DAH SOLAR DHN-72X16/DG 
 2 x INVERSOR SUNGROW SG8.0RS-L COM MONITORAMENTO 
 50 x CABO FOTOVOLTAICO 4MM² PRETO 
 100 x CABO FOTOVOLTAICO 4MM² VERMELHO 
 12 x CONECTOR MC4 PAR EMBALADO 
 ESTRUTURA FIBROCIMENTO MADEIRA</t>
  </si>
  <si>
    <t>31 x MODULO FV 570WP N-TYPE BIFACIAL DUAL GLASS DAS-DH144NA 
 2 x INVERSOR SUNGROW SG8.0RS-L COM MONITORAMENTO 
 50 x CABO FOTOVOLTAICO 4MM² PRETO 
 100 x CABO FOTOVOLTAICO 4MM² VERMELHO 
 12 x CONECTOR MC4 PAR EMBALADO 
 ESTRUTURA FIBROCIMENTO MADEIRA</t>
  </si>
  <si>
    <t>31 x MODULO FV 570WP N-TYPE BIFACIAL DAH SOLAR DHN-72X16/DG 
 1 x INVERSOR SOLIS 15KW 220V S5-GC15K-LV COM MONITORAMENTO 
 100 x CABO FOTOVOLTAICO 4MM² PRETO 
 100 x CABO FOTOVOLTAICO 4MM² VERMELHO 
 12 x CONECTOR MC4 PAR EMBALADO 
 ESTRUTURA FIBROCIMENTO MADEIRA</t>
  </si>
  <si>
    <t>31 x MODULO FV 570WP N-TYPE BIFACIAL DUAL GLASS DAS-DH144NA 
 1 x INVERSOR SOLIS 15KW 220V S5-GC15K-LV COM MONITORAMENTO 
 100 x CABO FOTOVOLTAICO 4MM² PRETO 
 100 x CABO FOTOVOLTAICO 4MM² VERMELHO 
 12 x CONECTOR MC4 PAR EMBALADO 
 ESTRUTURA FIBROCIMENTO MADEIRA</t>
  </si>
  <si>
    <t>31 x MODULO FV 570WP N-TYPE BIFACIAL DAH SOLAR DHN-72X16/DG 
 1 x INVERSOR SUNGROW SG15CX-P2-LV AFCI 220V COM MONITORAMENTO 
 100 x CABO FOTOVOLTAICO 4MM² PRETO 
 100 x CABO FOTOVOLTAICO 4MM² VERMELHO 
 8 x CONECTOR MC4 PAR EMBALADO 
 ESTRUTURA FIBROCIMENTO MADEIRA</t>
  </si>
  <si>
    <t>31 x MODULO FV 570WP N-TYPE BIFACIAL DUAL GLASS DAS-DH144NA 
 1 x INVERSOR SUNGROW SG15CX-P2-LV AFCI 220V COM MONITORAMENTO 
 100 x CABO FOTOVOLTAICO 4MM² PRETO 
 100 x CABO FOTOVOLTAICO 4MM² VERMELHO 
 8 x CONECTOR MC4 PAR EMBALADO 
 ESTRUTURA FIBROCIMENTO MADEIRA</t>
  </si>
  <si>
    <t>31 x MODULO FV 570WP N-TYPE BIFACIAL DAH SOLAR DHN-72X16/DG 
 8 x HMS-2000-4T - MICRO HOYMILES 2000W DTU EXTERNA 
 4 x CABO FOTOVOLTAICO 4MM² PRETO 
 32 x CABO FOTOVOLTAICO 4MM² VERMELHO 
 64 x CONECTOR MC4 PAR EMBALADO 
 ESTRUTURA FIBROCIMENTO MADEIRA 
 8 x AC TRUNK CONNECTOR - CONECTOR CA HOYMILES 
 3 x AC TRUNK END CAP - TERMINAL ENDCAP HOYMILES 
 1 x AC TRUNK CONNECTOR UNLOCK TOOL - CHAVE DESBLOQUEIO CONECTOR CA 
 1 x HMS DISCONNECT TOOL-1PCS - CHAVE DESCONEXAO MICROINVERSOR 
 15 x CABO CA MULTIPOLAR 10AWG 
 1 x DTU-LITE-S(WIFI) - MONIT DTU-LITE S (ATÉ 25 MICROS)</t>
  </si>
  <si>
    <t>31 x MODULO FV 570WP N-TYPE BIFACIAL DUAL GLASS DAS-DH144NA 
 8 x HMS-2000-4T - MICRO HOYMILES 2000W DTU EXTERNA 
 4 x CABO FOTOVOLTAICO 4MM² PRETO 
 32 x CABO FOTOVOLTAICO 4MM² VERMELHO 
 64 x CONECTOR MC4 PAR EMBALADO 
 ESTRUTURA FIBROCIMENTO MADEIRA 
 8 x AC TRUNK CONNECTOR - CONECTOR CA HOYMILES 
 3 x AC TRUNK END CAP - TERMINAL ENDCAP HOYMILES 
 1 x AC TRUNK CONNECTOR UNLOCK TOOL - CHAVE DESBLOQUEIO CONECTOR CA 
 1 x HMS DISCONNECT TOOL-1PCS - CHAVE DESCONEXAO MICROINVERSOR 
 15 x CABO CA MULTIPOLAR 10AWG 
 1 x DTU-LITE-S(WIFI) - MONIT DTU-LITE S (ATÉ 25 MICROS)</t>
  </si>
  <si>
    <t>25 x MODULO FV 710WP BIFACIAL DUAL-GLASS TRINA TSM-NEG21C.20 
 7 x HMS-2000-4T - MICRO HOYMILES 2000W DTU EXTERNA 
 4 x CABO FOTOVOLTAICO 4MM² PRETO 
 28 x CABO FOTOVOLTAICO 4MM² VERMELHO 
 56 x CONECTOR MC4 PAR TRINA 
 ESTRUTURA FIBROCIMENTO MADEIRA 
 7 x AC TRUNK CONNECTOR - CONECTOR CA HOYMILES 
 3 x AC TRUNK END CAP - TERMINAL ENDCAP HOYMILES 
 1 x AC TRUNK CONNECTOR UNLOCK TOOL - CHAVE DESBLOQUEIO CONECTOR CA 
 1 x HMS DISCONNECT TOOL-1PCS - CHAVE DESCONEXAO MICROINVERSOR 
 12 x CABO CA MULTIPOLAR 10AWG 
 1 x DTU-LITE-S(WIFI) - MONIT DTU-LITE S (ATÉ 25 MICROS)</t>
  </si>
  <si>
    <t>32 x MODULO FV 570WP N-TYPE BIFACIAL DAH SOLAR DHN-72X16/DG 
 1 x INVERSOR SOLIS 15KW 380V S5-GR3P15K COM MONITORAMENTO 
 100 x CABO FOTOVOLTAICO 4MM² PRETO 
 100 x CABO FOTOVOLTAICO 4MM² VERMELHO 
 8 x CONECTOR MC4 PAR EMBALADO 
 ESTRUTURA FIBROCIMENTO MADEIRA</t>
  </si>
  <si>
    <t>32 x MODULO FV 570WP N-TYPE BIFACIAL DUAL GLASS DAS-DH144NA 
 1 x INVERSOR SOLIS 15KW 380V S5-GR3P15K COM MONITORAMENTO 
 100 x CABO FOTOVOLTAICO 4MM² PRETO 
 100 x CABO FOTOVOLTAICO 4MM² VERMELHO 
 8 x CONECTOR MC4 PAR EMBALADO 
 ESTRUTURA FIBROCIMENTO MADEIRA</t>
  </si>
  <si>
    <t>32 x MODULO FV 570WP N-TYPE BIFACIAL DAH SOLAR DHN-72X16/DG 
 1 x INVERSOR SUNGROW SG15RT COM MONITORAMENTO 
 100 x CABO FOTOVOLTAICO 4MM² PRETO 
 100 x CABO FOTOVOLTAICO 4MM² VERMELHO 
 8 x CONECTOR MC4 PAR EMBALADO 
 ESTRUTURA FIBROCIMENTO MADEIRA</t>
  </si>
  <si>
    <t>32 x MODULO FV 570WP N-TYPE BIFACIAL DAH SOLAR DHN-72X16/DG 
 2 x INVERSOR SOLIS 7KW S6-GR1P7K2 COM MONITORAMENTO 
 50 x CABO FOTOVOLTAICO 4MM² PRETO 
 100 x CABO FOTOVOLTAICO 4MM² VERMELHO 
 12 x CONECTOR MC4 PAR EMBALADO 
 ESTRUTURA FIBROCIMENTO MADEIRA</t>
  </si>
  <si>
    <t>32 x MODULO FV 570WP N-TYPE BIFACIAL DUAL GLASS DAS-DH144NA 
 1 x INVERSOR SUNGROW SG15RT COM MONITORAMENTO 
 100 x CABO FOTOVOLTAICO 4MM² PRETO 
 100 x CABO FOTOVOLTAICO 4MM² VERMELHO 
 8 x CONECTOR MC4 PAR EMBALADO 
 ESTRUTURA FIBROCIMENTO MADEIRA</t>
  </si>
  <si>
    <t>32 x MODULO FV 570WP N-TYPE BIFACIAL DUAL GLASS DAS-DH144NA 
 2 x INVERSOR SOLIS 7KW S6-GR1P7K2 COM MONITORAMENTO 
 50 x CABO FOTOVOLTAICO 4MM² PRETO 
 100 x CABO FOTOVOLTAICO 4MM² VERMELHO 
 12 x CONECTOR MC4 PAR EMBALADO 
 ESTRUTURA FIBROCIMENTO MADEIRA</t>
  </si>
  <si>
    <t>32 x MODULO FV 570WP N-TYPE BIFACIAL DAH SOLAR DHN-72X16/DG 
 2 x INVERSOR SUNGROW SG8.0RS-L COM MONITORAMENTO 
 50 x CABO FOTOVOLTAICO 4MM² PRETO 
 100 x CABO FOTOVOLTAICO 4MM² VERMELHO 
 12 x CONECTOR MC4 PAR EMBALADO 
 ESTRUTURA FIBROCIMENTO MADEIRA</t>
  </si>
  <si>
    <t>32 x MODULO FV 570WP N-TYPE BIFACIAL DUAL GLASS DAS-DH144NA 
 2 x INVERSOR SUNGROW SG8.0RS-L COM MONITORAMENTO 
 50 x CABO FOTOVOLTAICO 4MM² PRETO 
 100 x CABO FOTOVOLTAICO 4MM² VERMELHO 
 12 x CONECTOR MC4 PAR EMBALADO 
 ESTRUTURA FIBROCIMENTO MADEIRA</t>
  </si>
  <si>
    <t>32 x MODULO FV 570WP N-TYPE BIFACIAL DAH SOLAR DHN-72X16/DG 
 1 x INVERSOR SOLIS 15KW 220V S5-GC15K-LV COM MONITORAMENTO 
 100 x CABO FOTOVOLTAICO 4MM² PRETO 
 100 x CABO FOTOVOLTAICO 4MM² VERMELHO 
 12 x CONECTOR MC4 PAR EMBALADO 
 ESTRUTURA FIBROCIMENTO MADEIRA</t>
  </si>
  <si>
    <t>32 x MODULO FV 570WP N-TYPE BIFACIAL DUAL GLASS DAS-DH144NA 
 1 x INVERSOR SOLIS 15KW 220V S5-GC15K-LV COM MONITORAMENTO 
 100 x CABO FOTOVOLTAICO 4MM² PRETO 
 100 x CABO FOTOVOLTAICO 4MM² VERMELHO 
 12 x CONECTOR MC4 PAR EMBALADO 
 ESTRUTURA FIBROCIMENTO MADEIRA</t>
  </si>
  <si>
    <t>32 x MODULO FV 570WP N-TYPE BIFACIAL DAH SOLAR DHN-72X16/DG 
 1 x INVERSOR SUNGROW SG15CX-P2-LV AFCI 220V COM MONITORAMENTO 
 100 x CABO FOTOVOLTAICO 4MM² PRETO 
 100 x CABO FOTOVOLTAICO 4MM² VERMELHO 
 8 x CONECTOR MC4 PAR EMBALADO 
 ESTRUTURA FIBROCIMENTO MADEIRA</t>
  </si>
  <si>
    <t>32 x MODULO FV 570WP N-TYPE BIFACIAL DUAL GLASS DAS-DH144NA 
 1 x INVERSOR SUNGROW SG15CX-P2-LV AFCI 220V COM MONITORAMENTO 
 100 x CABO FOTOVOLTAICO 4MM² PRETO 
 100 x CABO FOTOVOLTAICO 4MM² VERMELHO 
 8 x CONECTOR MC4 PAR EMBALADO 
 ESTRUTURA FIBROCIMENTO MADEIRA</t>
  </si>
  <si>
    <t>32 x MODULO FV 570WP N-TYPE BIFACIAL DAH SOLAR DHN-72X16/DG 
 8 x HMS-2000-4T - MICRO HOYMILES 2000W DTU EXTERNA 
 4 x CABO FOTOVOLTAICO 4MM² PRETO 
 32 x CABO FOTOVOLTAICO 4MM² VERMELHO 
 64 x CONECTOR MC4 PAR EMBALADO 
 ESTRUTURA FIBROCIMENTO MADEIRA 
 8 x AC TRUNK CONNECTOR - CONECTOR CA HOYMILES 
 3 x AC TRUNK END CAP - TERMINAL ENDCAP HOYMILES 
 1 x AC TRUNK CONNECTOR UNLOCK TOOL - CHAVE DESBLOQUEIO CONECTOR CA 
 1 x HMS DISCONNECT TOOL-1PCS - CHAVE DESCONEXAO MICROINVERSOR 
 15 x CABO CA MULTIPOLAR 10AWG 
 1 x DTU-LITE-S(WIFI) - MONIT DTU-LITE S (ATÉ 25 MICROS)</t>
  </si>
  <si>
    <t>32 x MODULO FV 570WP N-TYPE BIFACIAL DUAL GLASS DAS-DH144NA 
 8 x HMS-2000-4T - MICRO HOYMILES 2000W DTU EXTERNA 
 4 x CABO FOTOVOLTAICO 4MM² PRETO 
 32 x CABO FOTOVOLTAICO 4MM² VERMELHO 
 64 x CONECTOR MC4 PAR EMBALADO 
 ESTRUTURA FIBROCIMENTO MADEIRA 
 8 x AC TRUNK CONNECTOR - CONECTOR CA HOYMILES 
 3 x AC TRUNK END CAP - TERMINAL ENDCAP HOYMILES 
 1 x AC TRUNK CONNECTOR UNLOCK TOOL - CHAVE DESBLOQUEIO CONECTOR CA 
 1 x HMS DISCONNECT TOOL-1PCS - CHAVE DESCONEXAO MICROINVERSOR 
 15 x CABO CA MULTIPOLAR 10AWG 
 1 x DTU-LITE-S(WIFI) - MONIT DTU-LITE S (ATÉ 25 MICROS)</t>
  </si>
  <si>
    <t>26 x MODULO FV 710WP BIFACIAL DUAL-GLASS TRINA TSM-NEG21C.20 
 7 x HMS-2000-4T - MICRO HOYMILES 2000W DTU EXTERNA 
 4 x CABO FOTOVOLTAICO 4MM² PRETO 
 28 x CABO FOTOVOLTAICO 4MM² VERMELHO 
 56 x CONECTOR MC4 PAR TRINA 
 ESTRUTURA FIBROCIMENTO MADEIRA 
 7 x AC TRUNK CONNECTOR - CONECTOR CA HOYMILES 
 3 x AC TRUNK END CAP - TERMINAL ENDCAP HOYMILES 
 1 x AC TRUNK CONNECTOR UNLOCK TOOL - CHAVE DESBLOQUEIO CONECTOR CA 
 1 x HMS DISCONNECT TOOL-1PCS - CHAVE DESCONEXAO MICROINVERSOR 
 12 x CABO CA MULTIPOLAR 10AWG 
 1 x DTU-LITE-S(WIFI) - MONIT DTU-LITE S (ATÉ 25 MICROS)</t>
  </si>
  <si>
    <t>33 x MODULO FV 570WP N-TYPE BIFACIAL DAH SOLAR DHN-72X16/DG 
 1 x INVERSOR SOLIS 15KW 380V S5-GR3P15K COM MONITORAMENTO 
 100 x CABO FOTOVOLTAICO 4MM² PRETO 
 100 x CABO FOTOVOLTAICO 4MM² VERMELHO 
 8 x CONECTOR MC4 PAR EMBALADO 
 ESTRUTURA FIBROCIMENTO MADEIRA</t>
  </si>
  <si>
    <t>33 x MODULO FV 570WP N-TYPE BIFACIAL DUAL GLASS DAS-DH144NA 
 1 x INVERSOR SOLIS 15KW 380V S5-GR3P15K COM MONITORAMENTO 
 100 x CABO FOTOVOLTAICO 4MM² PRETO 
 100 x CABO FOTOVOLTAICO 4MM² VERMELHO 
 8 x CONECTOR MC4 PAR EMBALADO 
 ESTRUTURA FIBROCIMENTO MADEIRA</t>
  </si>
  <si>
    <t>33 x MODULO FV 570WP N-TYPE BIFACIAL DAH SOLAR DHN-72X16/DG 
 1 x INVERSOR SUNGROW SG15RT COM MONITORAMENTO 
 100 x CABO FOTOVOLTAICO 4MM² PRETO 
 100 x CABO FOTOVOLTAICO 4MM² VERMELHO 
 8 x CONECTOR MC4 PAR EMBALADO 
 ESTRUTURA FIBROCIMENTO MADEIRA</t>
  </si>
  <si>
    <t>33 x MODULO FV 570WP N-TYPE BIFACIAL DUAL GLASS DAS-DH144NA 
 1 x INVERSOR SUNGROW SG15RT COM MONITORAMENTO 
 100 x CABO FOTOVOLTAICO 4MM² PRETO 
 100 x CABO FOTOVOLTAICO 4MM² VERMELHO 
 8 x CONECTOR MC4 PAR EMBALADO 
 ESTRUTURA FIBROCIMENTO MADEIRA</t>
  </si>
  <si>
    <t>33 x MODULO FV 570WP N-TYPE BIFACIAL DAH SOLAR DHN-72X16/DG 
 1 x INVERSOR SOLIS 15KW 220V S5-GC15K-LV COM MONITORAMENTO 
 100 x CABO FOTOVOLTAICO 4MM² PRETO 
 100 x CABO FOTOVOLTAICO 4MM² VERMELHO 
 12 x CONECTOR MC4 PAR EMBALADO 
 ESTRUTURA FIBROCIMENTO MADEIRA</t>
  </si>
  <si>
    <t>33 x MODULO FV 570WP N-TYPE BIFACIAL DUAL GLASS DAS-DH144NA 
 1 x INVERSOR SOLIS 15KW 220V S5-GC15K-LV COM MONITORAMENTO 
 100 x CABO FOTOVOLTAICO 4MM² PRETO 
 100 x CABO FOTOVOLTAICO 4MM² VERMELHO 
 12 x CONECTOR MC4 PAR EMBALADO 
 ESTRUTURA FIBROCIMENTO MADEIRA</t>
  </si>
  <si>
    <t>33 x MODULO FV 570WP N-TYPE BIFACIAL DAH SOLAR DHN-72X16/DG 
 1 x INVERSOR SUNGROW SG15CX-P2-LV AFCI 220V COM MONITORAMENTO 
 100 x CABO FOTOVOLTAICO 4MM² PRETO 
 100 x CABO FOTOVOLTAICO 4MM² VERMELHO 
 8 x CONECTOR MC4 PAR EMBALADO 
 ESTRUTURA FIBROCIMENTO MADEIRA</t>
  </si>
  <si>
    <t>33 x MODULO FV 570WP N-TYPE BIFACIAL DUAL GLASS DAS-DH144NA 
 1 x INVERSOR SUNGROW SG15CX-P2-LV AFCI 220V COM MONITORAMENTO 
 100 x CABO FOTOVOLTAICO 4MM² PRETO 
 100 x CABO FOTOVOLTAICO 4MM² VERMELHO 
 8 x CONECTOR MC4 PAR EMBALADO 
 ESTRUTURA FIBROCIMENTO MADEIRA</t>
  </si>
  <si>
    <t>18</t>
  </si>
  <si>
    <t>33 x MODULO FV 570WP N-TYPE BIFACIAL DAH SOLAR DHN-72X16/DG 
 9 x HMS-2000-4T - MICRO HOYMILES 2000W DTU EXTERNA 
 4 x CABO FOTOVOLTAICO 4MM² PRETO 
 36 x CABO FOTOVOLTAICO 4MM² VERMELHO 
 72 x CONECTOR MC4 PAR EMBALADO 
 ESTRUTURA FIBROCIMENTO MADEIRA 
 9 x AC TRUNK CONNECTOR - CONECTOR CA HOYMILES 
 3 x AC TRUNK END CAP - TERMINAL ENDCAP HOYMILES 
 1 x AC TRUNK CONNECTOR UNLOCK TOOL - CHAVE DESBLOQUEIO CONECTOR CA 
 1 x HMS DISCONNECT TOOL-1PCS - CHAVE DESCONEXAO MICROINVERSOR 
 18 x CABO CA MULTIPOLAR 10AWG 
 1 x DTU-LITE-S(WIFI) - MONIT DTU-LITE S (ATÉ 25 MICROS)</t>
  </si>
  <si>
    <t>33 x MODULO FV 570WP N-TYPE BIFACIAL DUAL GLASS DAS-DH144NA 
 9 x HMS-2000-4T - MICRO HOYMILES 2000W DTU EXTERNA 
 4 x CABO FOTOVOLTAICO 4MM² PRETO 
 36 x CABO FOTOVOLTAICO 4MM² VERMELHO 
 72 x CONECTOR MC4 PAR EMBALADO 
 ESTRUTURA FIBROCIMENTO MADEIRA 
 9 x AC TRUNK CONNECTOR - CONECTOR CA HOYMILES 
 3 x AC TRUNK END CAP - TERMINAL ENDCAP HOYMILES 
 1 x AC TRUNK CONNECTOR UNLOCK TOOL - CHAVE DESBLOQUEIO CONECTOR CA 
 1 x HMS DISCONNECT TOOL-1PCS - CHAVE DESCONEXAO MICROINVERSOR 
 18 x CABO CA MULTIPOLAR 10AWG 
 1 x DTU-LITE-S(WIFI) - MONIT DTU-LITE S (ATÉ 25 MICROS)</t>
  </si>
  <si>
    <t>27 x MODULO FV 710WP BIFACIAL DUAL-GLASS TRINA TSM-NEG21C.20 
 7 x HMS-2000-4T - MICRO HOYMILES 2000W DTU EXTERNA 
 4 x CABO FOTOVOLTAICO 4MM² PRETO 
 28 x CABO FOTOVOLTAICO 4MM² VERMELHO 
 56 x CONECTOR MC4 PAR TRINA 
 ESTRUTURA FIBROCIMENTO MADEIRA 
 7 x AC TRUNK CONNECTOR - CONECTOR CA HOYMILES 
 3 x AC TRUNK END CAP - TERMINAL ENDCAP HOYMILES 
 1 x AC TRUNK CONNECTOR UNLOCK TOOL - CHAVE DESBLOQUEIO CONECTOR CA 
 1 x HMS DISCONNECT TOOL-1PCS - CHAVE DESCONEXAO MICROINVERSOR 
 12 x CABO CA MULTIPOLAR 10AWG 
 1 x DTU-LITE-S(WIFI) - MONIT DTU-LITE S (ATÉ 25 MICROS)</t>
  </si>
  <si>
    <t>34 x MODULO FV 570WP N-TYPE BIFACIAL DAH SOLAR DHN-72X16/DG 
 1 x INVERSOR SOLIS 15KW 380V S5-GR3P15K COM MONITORAMENTO 
 100 x CABO FOTOVOLTAICO 4MM² PRETO 
 100 x CABO FOTOVOLTAICO 4MM² VERMELHO 
 8 x CONECTOR MC4 PAR EMBALADO 
 ESTRUTURA FIBROCIMENTO MADEIRA</t>
  </si>
  <si>
    <t>34 x MODULO FV 570WP N-TYPE BIFACIAL DUAL GLASS DAS-DH144NA 
 1 x INVERSOR SOLIS 15KW 380V S5-GR3P15K COM MONITORAMENTO 
 100 x CABO FOTOVOLTAICO 4MM² PRETO 
 100 x CABO FOTOVOLTAICO 4MM² VERMELHO 
 8 x CONECTOR MC4 PAR EMBALADO 
 ESTRUTURA FIBROCIMENTO MADEIRA</t>
  </si>
  <si>
    <t>34 x MODULO FV 570WP N-TYPE BIFACIAL DAH SOLAR DHN-72X16/DG 
 1 x INVERSOR SUNGROW SG15RT COM MONITORAMENTO 
 100 x CABO FOTOVOLTAICO 4MM² PRETO 
 100 x CABO FOTOVOLTAICO 4MM² VERMELHO 
 8 x CONECTOR MC4 PAR EMBALADO 
 ESTRUTURA FIBROCIMENTO MADEIRA</t>
  </si>
  <si>
    <t>34 x MODULO FV 570WP N-TYPE BIFACIAL DUAL GLASS DAS-DH144NA 
 1 x INVERSOR SUNGROW SG15RT COM MONITORAMENTO 
 100 x CABO FOTOVOLTAICO 4MM² PRETO 
 100 x CABO FOTOVOLTAICO 4MM² VERMELHO 
 8 x CONECTOR MC4 PAR EMBALADO 
 ESTRUTURA FIBROCIMENTO MADEIRA</t>
  </si>
  <si>
    <t>34 x MODULO FV 570WP N-TYPE BIFACIAL DAH SOLAR DHN-72X16/DG 
 1 x INVERSOR SOLIS 15KW 220V S5-GC15K-LV COM MONITORAMENTO 
 100 x CABO FOTOVOLTAICO 4MM² PRETO 
 100 x CABO FOTOVOLTAICO 4MM² VERMELHO 
 12 x CONECTOR MC4 PAR EMBALADO 
 ESTRUTURA FIBROCIMENTO MADEIRA</t>
  </si>
  <si>
    <t>34 x MODULO FV 570WP N-TYPE BIFACIAL DUAL GLASS DAS-DH144NA 
 1 x INVERSOR SOLIS 15KW 220V S5-GC15K-LV COM MONITORAMENTO 
 100 x CABO FOTOVOLTAICO 4MM² PRETO 
 100 x CABO FOTOVOLTAICO 4MM² VERMELHO 
 12 x CONECTOR MC4 PAR EMBALADO 
 ESTRUTURA FIBROCIMENTO MADEIRA</t>
  </si>
  <si>
    <t>34 x MODULO FV 570WP N-TYPE BIFACIAL DAH SOLAR DHN-72X16/DG 
 1 x INVERSOR SUNGROW SG15CX-P2-LV AFCI 220V COM MONITORAMENTO 
 100 x CABO FOTOVOLTAICO 4MM² PRETO 
 100 x CABO FOTOVOLTAICO 4MM² VERMELHO 
 8 x CONECTOR MC4 PAR EMBALADO 
 ESTRUTURA FIBROCIMENTO MADEIRA</t>
  </si>
  <si>
    <t>34 x MODULO FV 570WP N-TYPE BIFACIAL DUAL GLASS DAS-DH144NA 
 1 x INVERSOR SUNGROW SG15CX-P2-LV AFCI 220V COM MONITORAMENTO 
 100 x CABO FOTOVOLTAICO 4MM² PRETO 
 100 x CABO FOTOVOLTAICO 4MM² VERMELHO 
 8 x CONECTOR MC4 PAR EMBALADO 
 ESTRUTURA FIBROCIMENTO MADEIRA</t>
  </si>
  <si>
    <t>34 x MODULO FV 570WP N-TYPE BIFACIAL DAH SOLAR DHN-72X16/DG 
 9 x HMS-2000-4T - MICRO HOYMILES 2000W DTU EXTERNA 
 4 x CABO FOTOVOLTAICO 4MM² PRETO 
 36 x CABO FOTOVOLTAICO 4MM² VERMELHO 
 72 x CONECTOR MC4 PAR EMBALADO 
 ESTRUTURA FIBROCIMENTO MADEIRA 
 9 x AC TRUNK CONNECTOR - CONECTOR CA HOYMILES 
 3 x AC TRUNK END CAP - TERMINAL ENDCAP HOYMILES 
 1 x AC TRUNK CONNECTOR UNLOCK TOOL - CHAVE DESBLOQUEIO CONECTOR CA 
 1 x HMS DISCONNECT TOOL-1PCS - CHAVE DESCONEXAO MICROINVERSOR 
 18 x CABO CA MULTIPOLAR 10AWG 
 1 x DTU-LITE-S(WIFI) - MONIT DTU-LITE S (ATÉ 25 MICROS)</t>
  </si>
  <si>
    <t>34 x MODULO FV 570WP N-TYPE BIFACIAL DUAL GLASS DAS-DH144NA 
 9 x HMS-2000-4T - MICRO HOYMILES 2000W DTU EXTERNA 
 4 x CABO FOTOVOLTAICO 4MM² PRETO 
 36 x CABO FOTOVOLTAICO 4MM² VERMELHO 
 72 x CONECTOR MC4 PAR EMBALADO 
 ESTRUTURA FIBROCIMENTO MADEIRA 
 9 x AC TRUNK CONNECTOR - CONECTOR CA HOYMILES 
 3 x AC TRUNK END CAP - TERMINAL ENDCAP HOYMILES 
 1 x AC TRUNK CONNECTOR UNLOCK TOOL - CHAVE DESBLOQUEIO CONECTOR CA 
 1 x HMS DISCONNECT TOOL-1PCS - CHAVE DESCONEXAO MICROINVERSOR 
 18 x CABO CA MULTIPOLAR 10AWG 
 1 x DTU-LITE-S(WIFI) - MONIT DTU-LITE S (ATÉ 25 MICROS)</t>
  </si>
  <si>
    <t>28 x MODULO FV 710WP BIFACIAL DUAL-GLASS TRINA TSM-NEG21C.20 
 7 x HMS-2000-4T - MICRO HOYMILES 2000W DTU EXTERNA 
 4 x CABO FOTOVOLTAICO 4MM² PRETO 
 28 x CABO FOTOVOLTAICO 4MM² VERMELHO 
 56 x CONECTOR MC4 PAR TRINA 
 ESTRUTURA FIBROCIMENTO MADEIRA 
 7 x AC TRUNK CONNECTOR - CONECTOR CA HOYMILES 
 3 x AC TRUNK END CAP - TERMINAL ENDCAP HOYMILES 
 1 x AC TRUNK CONNECTOR UNLOCK TOOL - CHAVE DESBLOQUEIO CONECTOR CA 
 1 x HMS DISCONNECT TOOL-1PCS - CHAVE DESCONEXAO MICROINVERSOR 
 12 x CABO CA MULTIPOLAR 10AWG 
 1 x DTU-LITE-S(WIFI) - MONIT DTU-LITE S (ATÉ 25 MICROS)</t>
  </si>
  <si>
    <t>35 x MODULO FV 570WP N-TYPE BIFACIAL DAH SOLAR DHN-72X16/DG 
 1 x INVERSOR SOLIS 15KW 380V S5-GR3P15K COM MONITORAMENTO 
 100 x CABO FOTOVOLTAICO 4MM² PRETO 
 100 x CABO FOTOVOLTAICO 4MM² VERMELHO 
 8 x CONECTOR MC4 PAR EMBALADO 
 ESTRUTURA FIBROCIMENTO MADEIRA</t>
  </si>
  <si>
    <t>35 x MODULO FV 570WP N-TYPE BIFACIAL DUAL GLASS DAS-DH144NA 
 1 x INVERSOR SOLIS 15KW 380V S5-GR3P15K COM MONITORAMENTO 
 100 x CABO FOTOVOLTAICO 4MM² PRETO 
 100 x CABO FOTOVOLTAICO 4MM² VERMELHO 
 8 x CONECTOR MC4 PAR EMBALADO 
 ESTRUTURA FIBROCIMENTO MADEIRA</t>
  </si>
  <si>
    <t>35 x MODULO FV 570WP N-TYPE BIFACIAL DAH SOLAR DHN-72X16/DG 
 1 x INVERSOR SUNGROW SG15RT COM MONITORAMENTO 
 100 x CABO FOTOVOLTAICO 4MM² PRETO 
 100 x CABO FOTOVOLTAICO 4MM² VERMELHO 
 8 x CONECTOR MC4 PAR EMBALADO 
 ESTRUTURA FIBROCIMENTO MADEIRA</t>
  </si>
  <si>
    <t>35 x MODULO FV 570WP N-TYPE BIFACIAL DUAL GLASS DAS-DH144NA 
 1 x INVERSOR SUNGROW SG15RT COM MONITORAMENTO 
 100 x CABO FOTOVOLTAICO 4MM² PRETO 
 100 x CABO FOTOVOLTAICO 4MM² VERMELHO 
 8 x CONECTOR MC4 PAR EMBALADO 
 ESTRUTURA FIBROCIMENTO MADEIRA</t>
  </si>
  <si>
    <t>35 x MODULO FV 570WP N-TYPE BIFACIAL DAH SOLAR DHN-72X16/DG 
 1 x INVERSOR SOLIS 15KW 220V S5-GC15K-LV COM MONITORAMENTO 
 100 x CABO FOTOVOLTAICO 4MM² PRETO 
 100 x CABO FOTOVOLTAICO 4MM² VERMELHO 
 12 x CONECTOR MC4 PAR EMBALADO 
 ESTRUTURA FIBROCIMENTO MADEIRA</t>
  </si>
  <si>
    <t>35 x MODULO FV 570WP N-TYPE BIFACIAL DUAL GLASS DAS-DH144NA 
 1 x INVERSOR SOLIS 15KW 220V S5-GC15K-LV COM MONITORAMENTO 
 100 x CABO FOTOVOLTAICO 4MM² PRETO 
 100 x CABO FOTOVOLTAICO 4MM² VERMELHO 
 12 x CONECTOR MC4 PAR EMBALADO 
 ESTRUTURA FIBROCIMENTO MADEIRA</t>
  </si>
  <si>
    <t>35 x MODULO FV 570WP N-TYPE BIFACIAL DAH SOLAR DHN-72X16/DG 
 1 x INVERSOR SUNGROW SG15CX-P2-LV AFCI 220V COM MONITORAMENTO 
 100 x CABO FOTOVOLTAICO 4MM² PRETO 
 100 x CABO FOTOVOLTAICO 4MM² VERMELHO 
 8 x CONECTOR MC4 PAR EMBALADO 
 ESTRUTURA FIBROCIMENTO MADEIRA</t>
  </si>
  <si>
    <t>35 x MODULO FV 570WP N-TYPE BIFACIAL DUAL GLASS DAS-DH144NA 
 1 x INVERSOR SUNGROW SG15CX-P2-LV AFCI 220V COM MONITORAMENTO 
 100 x CABO FOTOVOLTAICO 4MM² PRETO 
 100 x CABO FOTOVOLTAICO 4MM² VERMELHO 
 8 x CONECTOR MC4 PAR EMBALADO 
 ESTRUTURA FIBROCIMENTO MADEIRA</t>
  </si>
  <si>
    <t>35 x MODULO FV 570WP N-TYPE BIFACIAL DAH SOLAR DHN-72X16/DG 
 9 x HMS-2000-4T - MICRO HOYMILES 2000W DTU EXTERNA 
 4 x CABO FOTOVOLTAICO 4MM² PRETO 
 36 x CABO FOTOVOLTAICO 4MM² VERMELHO 
 72 x CONECTOR MC4 PAR EMBALADO 
 ESTRUTURA FIBROCIMENTO MADEIRA 
 9 x AC TRUNK CONNECTOR - CONECTOR CA HOYMILES 
 3 x AC TRUNK END CAP - TERMINAL ENDCAP HOYMILES 
 1 x AC TRUNK CONNECTOR UNLOCK TOOL - CHAVE DESBLOQUEIO CONECTOR CA 
 1 x HMS DISCONNECT TOOL-1PCS - CHAVE DESCONEXAO MICROINVERSOR 
 18 x CABO CA MULTIPOLAR 10AWG 
 1 x DTU-LITE-S(WIFI) - MONIT DTU-LITE S (ATÉ 25 MICROS)</t>
  </si>
  <si>
    <t>35 x MODULO FV 570WP N-TYPE BIFACIAL DUAL GLASS DAS-DH144NA 
 9 x HMS-2000-4T - MICRO HOYMILES 2000W DTU EXTERNA 
 4 x CABO FOTOVOLTAICO 4MM² PRETO 
 36 x CABO FOTOVOLTAICO 4MM² VERMELHO 
 72 x CONECTOR MC4 PAR EMBALADO 
 ESTRUTURA FIBROCIMENTO MADEIRA 
 9 x AC TRUNK CONNECTOR - CONECTOR CA HOYMILES 
 3 x AC TRUNK END CAP - TERMINAL ENDCAP HOYMILES 
 1 x AC TRUNK CONNECTOR UNLOCK TOOL - CHAVE DESBLOQUEIO CONECTOR CA 
 1 x HMS DISCONNECT TOOL-1PCS - CHAVE DESCONEXAO MICROINVERSOR 
 18 x CABO CA MULTIPOLAR 10AWG 
 1 x DTU-LITE-S(WIFI) - MONIT DTU-LITE S (ATÉ 25 MICROS)</t>
  </si>
  <si>
    <t>36 x MODULO FV 570WP N-TYPE BIFACIAL DAH SOLAR DHN-72X16/DG 
 1 x INVERSOR SOLIS 15KW 380V S5-GR3P15K COM MONITORAMENTO 
 100 x CABO FOTOVOLTAICO 4MM² PRETO 
 100 x CABO FOTOVOLTAICO 4MM² VERMELHO 
 8 x CONECTOR MC4 PAR EMBALADO 
 ESTRUTURA FIBROCIMENTO MADEIRA</t>
  </si>
  <si>
    <t>36 x MODULO FV 570WP N-TYPE BIFACIAL DUAL GLASS DAS-DH144NA 
 1 x INVERSOR SOLIS 15KW 380V S5-GR3P15K COM MONITORAMENTO 
 100 x CABO FOTOVOLTAICO 4MM² PRETO 
 100 x CABO FOTOVOLTAICO 4MM² VERMELHO 
 8 x CONECTOR MC4 PAR EMBALADO 
 ESTRUTURA FIBROCIMENTO MADEIRA</t>
  </si>
  <si>
    <t>36 x MODULO FV 570WP N-TYPE BIFACIAL DAH SOLAR DHN-72X16/DG 
 1 x INVERSOR SUNGROW SG15RT COM MONITORAMENTO 
 100 x CABO FOTOVOLTAICO 4MM² PRETO 
 100 x CABO FOTOVOLTAICO 4MM² VERMELHO 
 8 x CONECTOR MC4 PAR EMBALADO 
 ESTRUTURA FIBROCIMENTO MADEIRA</t>
  </si>
  <si>
    <t>36 x MODULO FV 570WP N-TYPE BIFACIAL DUAL GLASS DAS-DH144NA 
 1 x INVERSOR SUNGROW SG15RT COM MONITORAMENTO 
 100 x CABO FOTOVOLTAICO 4MM² PRETO 
 100 x CABO FOTOVOLTAICO 4MM² VERMELHO 
 8 x CONECTOR MC4 PAR EMBALADO 
 ESTRUTURA FIBROCIMENTO MADEIRA</t>
  </si>
  <si>
    <t>36 x MODULO FV 570WP N-TYPE BIFACIAL DAH SOLAR DHN-72X16/DG 
 1 x INVERSOR SOLIS 15KW 220V S5-GC15K-LV COM MONITORAMENTO 
 100 x CABO FOTOVOLTAICO 4MM² PRETO 
 100 x CABO FOTOVOLTAICO 4MM² VERMELHO 
 12 x CONECTOR MC4 PAR EMBALADO 
 ESTRUTURA FIBROCIMENTO MADEIRA</t>
  </si>
  <si>
    <t>36 x MODULO FV 570WP N-TYPE BIFACIAL DUAL GLASS DAS-DH144NA 
 1 x INVERSOR SOLIS 15KW 220V S5-GC15K-LV COM MONITORAMENTO 
 100 x CABO FOTOVOLTAICO 4MM² PRETO 
 100 x CABO FOTOVOLTAICO 4MM² VERMELHO 
 12 x CONECTOR MC4 PAR EMBALADO 
 ESTRUTURA FIBROCIMENTO MADEIRA</t>
  </si>
  <si>
    <t>36 x MODULO FV 570WP N-TYPE BIFACIAL DAH SOLAR DHN-72X16/DG 
 1 x INVERSOR SUNGROW SG15CX-P2-LV AFCI 220V COM MONITORAMENTO 
 100 x CABO FOTOVOLTAICO 4MM² PRETO 
 100 x CABO FOTOVOLTAICO 4MM² VERMELHO 
 8 x CONECTOR MC4 PAR EMBALADO 
 ESTRUTURA FIBROCIMENTO MADEIRA</t>
  </si>
  <si>
    <t>36 x MODULO FV 570WP N-TYPE BIFACIAL DUAL GLASS DAS-DH144NA 
 1 x INVERSOR SUNGROW SG15CX-P2-LV AFCI 220V COM MONITORAMENTO 
 100 x CABO FOTOVOLTAICO 4MM² PRETO 
 100 x CABO FOTOVOLTAICO 4MM² VERMELHO 
 8 x CONECTOR MC4 PAR EMBALADO 
 ESTRUTURA FIBROCIMENTO MADEIRA</t>
  </si>
  <si>
    <t>36 x MODULO FV 570WP N-TYPE BIFACIAL DAH SOLAR DHN-72X16/DG 
 9 x HMS-2000-4T - MICRO HOYMILES 2000W DTU EXTERNA 
 4 x CABO FOTOVOLTAICO 4MM² PRETO 
 36 x CABO FOTOVOLTAICO 4MM² VERMELHO 
 72 x CONECTOR MC4 PAR EMBALADO 
 ESTRUTURA FIBROCIMENTO MADEIRA 
 9 x AC TRUNK CONNECTOR - CONECTOR CA HOYMILES 
 3 x AC TRUNK END CAP - TERMINAL ENDCAP HOYMILES 
 1 x AC TRUNK CONNECTOR UNLOCK TOOL - CHAVE DESBLOQUEIO CONECTOR CA 
 1 x HMS DISCONNECT TOOL-1PCS - CHAVE DESCONEXAO MICROINVERSOR 
 18 x CABO CA MULTIPOLAR 10AWG 
 1 x DTU-LITE-S(WIFI) - MONIT DTU-LITE S (ATÉ 25 MICROS)</t>
  </si>
  <si>
    <t>36 x MODULO FV 570WP N-TYPE BIFACIAL DUAL GLASS DAS-DH144NA 
 9 x HMS-2000-4T - MICRO HOYMILES 2000W DTU EXTERNA 
 4 x CABO FOTOVOLTAICO 4MM² PRETO 
 36 x CABO FOTOVOLTAICO 4MM² VERMELHO 
 72 x CONECTOR MC4 PAR EMBALADO 
 ESTRUTURA FIBROCIMENTO MADEIRA 
 9 x AC TRUNK CONNECTOR - CONECTOR CA HOYMILES 
 3 x AC TRUNK END CAP - TERMINAL ENDCAP HOYMILES 
 1 x AC TRUNK CONNECTOR UNLOCK TOOL - CHAVE DESBLOQUEIO CONECTOR CA 
 1 x HMS DISCONNECT TOOL-1PCS - CHAVE DESCONEXAO MICROINVERSOR 
 18 x CABO CA MULTIPOLAR 10AWG 
 1 x DTU-LITE-S(WIFI) - MONIT DTU-LITE S (ATÉ 25 MICROS)</t>
  </si>
  <si>
    <t>29 x MODULO FV 710WP BIFACIAL DUAL-GLASS TRINA TSM-NEG21C.20 
 8 x HMS-2000-4T - MICRO HOYMILES 2000W DTU EXTERNA 
 4 x CABO FOTOVOLTAICO 4MM² PRETO 
 32 x CABO FOTOVOLTAICO 4MM² VERMELHO 
 64 x CONECTOR MC4 PAR TRINA 
 ESTRUTURA FIBROCIMENTO MADEIRA 
 8 x AC TRUNK CONNECTOR - CONECTOR CA HOYMILES 
 3 x AC TRUNK END CAP - TERMINAL ENDCAP HOYMILES 
 1 x AC TRUNK CONNECTOR UNLOCK TOOL - CHAVE DESBLOQUEIO CONECTOR CA 
 1 x HMS DISCONNECT TOOL-1PCS - CHAVE DESCONEXAO MICROINVERSOR 
 15 x CABO CA MULTIPOLAR 10AWG 
 1 x DTU-LITE-S(WIFI) - MONIT DTU-LITE S (ATÉ 25 MICROS)</t>
  </si>
  <si>
    <t>37 x MODULO FV 570WP N-TYPE BIFACIAL DAH SOLAR DHN-72X16/DG 
 1 x INVERSOR SUNGROW SG15RT COM MONITORAMENTO 
 100 x CABO FOTOVOLTAICO 4MM² PRETO 
 100 x CABO FOTOVOLTAICO 4MM² VERMELHO 
 8 x CONECTOR MC4 PAR EMBALADO 
 ESTRUTURA FIBROCIMENTO MADEIRA</t>
  </si>
  <si>
    <t>37 x MODULO FV 570WP N-TYPE BIFACIAL DUAL GLASS DAS-DH144NA 
 1 x INVERSOR SUNGROW SG15RT COM MONITORAMENTO 
 100 x CABO FOTOVOLTAICO 4MM² PRETO 
 100 x CABO FOTOVOLTAICO 4MM² VERMELHO 
 8 x CONECTOR MC4 PAR EMBALADO 
 ESTRUTURA FIBROCIMENTO MADEIRA</t>
  </si>
  <si>
    <t>37 x MODULO FV 570WP N-TYPE BIFACIAL DAH SOLAR DHN-72X16/DG 
 1 x INVERSOR SOLIS 17KW 380V S5-GR3P17K COM MONITORAMENTO 
 100 x CABO FOTOVOLTAICO 4MM² PRETO 
 100 x CABO FOTOVOLTAICO 4MM² VERMELHO 
 8 x CONECTOR MC4 PAR EMBALADO 
 ESTRUTURA FIBROCIMENTO MADEIRA</t>
  </si>
  <si>
    <t>37 x MODULO FV 570WP N-TYPE BIFACIAL DUAL GLASS DAS-DH144NA 
 1 x INVERSOR SOLIS 17KW 380V S5-GR3P17K COM MONITORAMENTO 
 100 x CABO FOTOVOLTAICO 4MM² PRETO 
 100 x CABO FOTOVOLTAICO 4MM² VERMELHO 
 8 x CONECTOR MC4 PAR EMBALADO 
 ESTRUTURA FIBROCIMENTO MADEIRA</t>
  </si>
  <si>
    <t>37 x MODULO FV 570WP N-TYPE BIFACIAL DAH SOLAR DHN-72X16/DG 
 1 x INVERSOR SOLIS 20KW 220V S5-GC20K-LV COM MONITORAMENTO 
 100 x CABO FOTOVOLTAICO 4MM² PRETO 
 100 x CABO FOTOVOLTAICO 4MM² VERMELHO 
 12 x CONECTOR MC4 PAR EMBALADO 
 ESTRUTURA FIBROCIMENTO MADEIRA</t>
  </si>
  <si>
    <t>37 x MODULO FV 570WP N-TYPE BIFACIAL DUAL GLASS DAS-DH144NA 
 1 x INVERSOR SOLIS 20KW 220V S5-GC20K-LV COM MONITORAMENTO 
 100 x CABO FOTOVOLTAICO 4MM² PRETO 
 100 x CABO FOTOVOLTAICO 4MM² VERMELHO 
 12 x CONECTOR MC4 PAR EMBALADO 
 ESTRUTURA FIBROCIMENTO MADEIRA</t>
  </si>
  <si>
    <t>37 x MODULO FV 570WP N-TYPE BIFACIAL DAH SOLAR DHN-72X16/DG 
 10 x HMS-2000-4T - MICRO HOYMILES 2000W DTU EXTERNA 
 4 x CABO FOTOVOLTAICO 4MM² PRETO 
 40 x CABO FOTOVOLTAICO 4MM² VERMELHO 
 80 x CONECTOR MC4 PAR EMBALADO 
 ESTRUTURA FIBROCIMENTO MADEIRA 
 10 x AC TRUNK CONNECTOR - CONECTOR CA HOYMILES 
 4 x AC TRUNK END CAP - TERMINAL ENDCAP HOYMILES 
 1 x AC TRUNK CONNECTOR UNLOCK TOOL - CHAVE DESBLOQUEIO CONECTOR CA 
 1 x HMS DISCONNECT TOOL-1PCS - CHAVE DESCONEXAO MICROINVERSOR 
 18 x CABO CA MULTIPOLAR 10AWG 
 1 x DTU-LITE-S(WIFI) - MONIT DTU-LITE S (ATÉ 25 MICROS)</t>
  </si>
  <si>
    <t>37 x MODULO FV 570WP N-TYPE BIFACIAL DUAL GLASS DAS-DH144NA 
 10 x HMS-2000-4T - MICRO HOYMILES 2000W DTU EXTERNA 
 4 x CABO FOTOVOLTAICO 4MM² PRETO 
 40 x CABO FOTOVOLTAICO 4MM² VERMELHO 
 80 x CONECTOR MC4 PAR EMBALADO 
 ESTRUTURA FIBROCIMENTO MADEIRA 
 10 x AC TRUNK CONNECTOR - CONECTOR CA HOYMILES 
 4 x AC TRUNK END CAP - TERMINAL ENDCAP HOYMILES 
 1 x AC TRUNK CONNECTOR UNLOCK TOOL - CHAVE DESBLOQUEIO CONECTOR CA 
 1 x HMS DISCONNECT TOOL-1PCS - CHAVE DESCONEXAO MICROINVERSOR 
 18 x CABO CA MULTIPOLAR 10AWG 
 1 x DTU-LITE-S(WIFI) - MONIT DTU-LITE S (ATÉ 25 MICROS)</t>
  </si>
  <si>
    <t>30 x MODULO FV 710WP BIFACIAL DUAL-GLASS TRINA TSM-NEG21C.20 
 8 x HMS-2000-4T - MICRO HOYMILES 2000W DTU EXTERNA 
 4 x CABO FOTOVOLTAICO 4MM² PRETO 
 32 x CABO FOTOVOLTAICO 4MM² VERMELHO 
 64 x CONECTOR MC4 PAR TRINA 
 ESTRUTURA FIBROCIMENTO MADEIRA 
 8 x AC TRUNK CONNECTOR - CONECTOR CA HOYMILES 
 3 x AC TRUNK END CAP - TERMINAL ENDCAP HOYMILES 
 1 x AC TRUNK CONNECTOR UNLOCK TOOL - CHAVE DESBLOQUEIO CONECTOR CA 
 1 x HMS DISCONNECT TOOL-1PCS - CHAVE DESCONEXAO MICROINVERSOR 
 15 x CABO CA MULTIPOLAR 10AWG 
 1 x DTU-LITE-S(WIFI) - MONIT DTU-LITE S (ATÉ 25 MICROS)</t>
  </si>
  <si>
    <t>38 x MODULO FV 570WP N-TYPE BIFACIAL DAH SOLAR DHN-72X16/DG 
 1 x INVERSOR SUNGROW SG20RT COM MONITORAMENTO 
 100 x CABO FOTOVOLTAICO 4MM² PRETO 
 100 x CABO FOTOVOLTAICO 4MM² VERMELHO 
 8 x CONECTOR MC4 PAR EMBALADO 
 ESTRUTURA FIBROCIMENTO MADEIRA</t>
  </si>
  <si>
    <t>38 x MODULO FV 570WP N-TYPE BIFACIAL DAH SOLAR DHN-72X16/DG 
 1 x INVERSOR SOLIS 17KW 380V S5-GR3P17K COM MONITORAMENTO 
 100 x CABO FOTOVOLTAICO 4MM² PRETO 
 100 x CABO FOTOVOLTAICO 4MM² VERMELHO 
 8 x CONECTOR MC4 PAR EMBALADO 
 ESTRUTURA FIBROCIMENTO MADEIRA</t>
  </si>
  <si>
    <t>38 x MODULO FV 570WP N-TYPE BIFACIAL DUAL GLASS DAS-DH144NA 
 1 x INVERSOR SUNGROW SG20RT COM MONITORAMENTO 
 100 x CABO FOTOVOLTAICO 4MM² PRETO 
 100 x CABO FOTOVOLTAICO 4MM² VERMELHO 
 8 x CONECTOR MC4 PAR EMBALADO 
 ESTRUTURA FIBROCIMENTO MADEIRA</t>
  </si>
  <si>
    <t>38 x MODULO FV 570WP N-TYPE BIFACIAL DUAL GLASS DAS-DH144NA 
 1 x INVERSOR SOLIS 17KW 380V S5-GR3P17K COM MONITORAMENTO 
 100 x CABO FOTOVOLTAICO 4MM² PRETO 
 100 x CABO FOTOVOLTAICO 4MM² VERMELHO 
 8 x CONECTOR MC4 PAR EMBALADO 
 ESTRUTURA FIBROCIMENTO MADEIRA</t>
  </si>
  <si>
    <t>38 x MODULO FV 570WP N-TYPE BIFACIAL DAH SOLAR DHN-72X16/DG 
 1 x INVERSOR SOLIS 20KW 220V S5-GC20K-LV COM MONITORAMENTO 
 100 x CABO FOTOVOLTAICO 4MM² PRETO 
 100 x CABO FOTOVOLTAICO 4MM² VERMELHO 
 12 x CONECTOR MC4 PAR EMBALADO 
 ESTRUTURA FIBROCIMENTO MADEIRA</t>
  </si>
  <si>
    <t>38 x MODULO FV 570WP N-TYPE BIFACIAL DUAL GLASS DAS-DH144NA 
 1 x INVERSOR SOLIS 20KW 220V S5-GC20K-LV COM MONITORAMENTO 
 100 x CABO FOTOVOLTAICO 4MM² PRETO 
 100 x CABO FOTOVOLTAICO 4MM² VERMELHO 
 12 x CONECTOR MC4 PAR EMBALADO 
 ESTRUTURA FIBROCIMENTO MADEIRA</t>
  </si>
  <si>
    <t>38 x MODULO FV 570WP N-TYPE BIFACIAL DAH SOLAR DHN-72X16/DG 
 1 x INVERSOR SUNGROW SG20CX-P2-LV AFCI 220V COM MONITORAMENTO 
 100 x CABO FOTOVOLTAICO 4MM² PRETO 
 100 x CABO FOTOVOLTAICO 4MM² VERMELHO 
 8 x CONECTOR MC4 PAR EMBALADO 
 ESTRUTURA FIBROCIMENTO MADEIRA</t>
  </si>
  <si>
    <t>38 x MODULO FV 570WP N-TYPE BIFACIAL DUAL GLASS DAS-DH144NA 
 1 x INVERSOR SUNGROW SG20CX-P2-LV AFCI 220V COM MONITORAMENTO 
 100 x CABO FOTOVOLTAICO 4MM² PRETO 
 100 x CABO FOTOVOLTAICO 4MM² VERMELHO 
 8 x CONECTOR MC4 PAR EMBALADO 
 ESTRUTURA FIBROCIMENTO MADEIRA</t>
  </si>
  <si>
    <t>38 x MODULO FV 570WP N-TYPE BIFACIAL DAH SOLAR DHN-72X16/DG 
 10 x HMS-2000-4T - MICRO HOYMILES 2000W DTU EXTERNA 
 4 x CABO FOTOVOLTAICO 4MM² PRETO 
 40 x CABO FOTOVOLTAICO 4MM² VERMELHO 
 80 x CONECTOR MC4 PAR EMBALADO 
 ESTRUTURA FIBROCIMENTO MADEIRA 
 10 x AC TRUNK CONNECTOR - CONECTOR CA HOYMILES 
 4 x AC TRUNK END CAP - TERMINAL ENDCAP HOYMILES 
 1 x AC TRUNK CONNECTOR UNLOCK TOOL - CHAVE DESBLOQUEIO CONECTOR CA 
 1 x HMS DISCONNECT TOOL-1PCS - CHAVE DESCONEXAO MICROINVERSOR 
 18 x CABO CA MULTIPOLAR 10AWG 
 1 x DTU-LITE-S(WIFI) - MONIT DTU-LITE S (ATÉ 25 MICROS)</t>
  </si>
  <si>
    <t>38 x MODULO FV 570WP N-TYPE BIFACIAL DUAL GLASS DAS-DH144NA 
 10 x HMS-2000-4T - MICRO HOYMILES 2000W DTU EXTERNA 
 4 x CABO FOTOVOLTAICO 4MM² PRETO 
 40 x CABO FOTOVOLTAICO 4MM² VERMELHO 
 80 x CONECTOR MC4 PAR EMBALADO 
 ESTRUTURA FIBROCIMENTO MADEIRA 
 10 x AC TRUNK CONNECTOR - CONECTOR CA HOYMILES 
 4 x AC TRUNK END CAP - TERMINAL ENDCAP HOYMILES 
 1 x AC TRUNK CONNECTOR UNLOCK TOOL - CHAVE DESBLOQUEIO CONECTOR CA 
 1 x HMS DISCONNECT TOOL-1PCS - CHAVE DESCONEXAO MICROINVERSOR 
 18 x CABO CA MULTIPOLAR 10AWG 
 1 x DTU-LITE-S(WIFI) - MONIT DTU-LITE S (ATÉ 25 MICROS)</t>
  </si>
  <si>
    <t>31 x MODULO FV 710WP BIFACIAL DUAL-GLASS TRINA TSM-NEG21C.20 
 8 x HMS-2000-4T - MICRO HOYMILES 2000W DTU EXTERNA 
 4 x CABO FOTOVOLTAICO 4MM² PRETO 
 32 x CABO FOTOVOLTAICO 4MM² VERMELHO 
 64 x CONECTOR MC4 PAR TRINA 
 ESTRUTURA FIBROCIMENTO MADEIRA 
 8 x AC TRUNK CONNECTOR - CONECTOR CA HOYMILES 
 3 x AC TRUNK END CAP - TERMINAL ENDCAP HOYMILES 
 1 x AC TRUNK CONNECTOR UNLOCK TOOL - CHAVE DESBLOQUEIO CONECTOR CA 
 1 x HMS DISCONNECT TOOL-1PCS - CHAVE DESCONEXAO MICROINVERSOR 
 15 x CABO CA MULTIPOLAR 10AWG 
 1 x DTU-LITE-S(WIFI) - MONIT DTU-LITE S (ATÉ 25 MICROS)</t>
  </si>
  <si>
    <t>39 x MODULO FV 570WP N-TYPE BIFACIAL DAH SOLAR DHN-72X16/DG 
 1 x INVERSOR SUNGROW SG20RT COM MONITORAMENTO 
 100 x CABO FOTOVOLTAICO 4MM² PRETO 
 100 x CABO FOTOVOLTAICO 4MM² VERMELHO 
 8 x CONECTOR MC4 PAR EMBALADO 
 ESTRUTURA FIBROCIMENTO MADEIRA</t>
  </si>
  <si>
    <t>39 x MODULO FV 570WP N-TYPE BIFACIAL DAH SOLAR DHN-72X16/DG 
 1 x INVERSOR SOLIS 17KW 380V S5-GR3P17K COM MONITORAMENTO 
 100 x CABO FOTOVOLTAICO 4MM² PRETO 
 100 x CABO FOTOVOLTAICO 4MM² VERMELHO 
 8 x CONECTOR MC4 PAR EMBALADO 
 ESTRUTURA FIBROCIMENTO MADEIRA</t>
  </si>
  <si>
    <t>39 x MODULO FV 570WP N-TYPE BIFACIAL DUAL GLASS DAS-DH144NA 
 1 x INVERSOR SUNGROW SG20RT COM MONITORAMENTO 
 100 x CABO FOTOVOLTAICO 4MM² PRETO 
 100 x CABO FOTOVOLTAICO 4MM² VERMELHO 
 8 x CONECTOR MC4 PAR EMBALADO 
 ESTRUTURA FIBROCIMENTO MADEIRA</t>
  </si>
  <si>
    <t>39 x MODULO FV 570WP N-TYPE BIFACIAL DUAL GLASS DAS-DH144NA 
 1 x INVERSOR SOLIS 17KW 380V S5-GR3P17K COM MONITORAMENTO 
 100 x CABO FOTOVOLTAICO 4MM² PRETO 
 100 x CABO FOTOVOLTAICO 4MM² VERMELHO 
 8 x CONECTOR MC4 PAR EMBALADO 
 ESTRUTURA FIBROCIMENTO MADEIRA</t>
  </si>
  <si>
    <t>39 x MODULO FV 570WP N-TYPE BIFACIAL DAH SOLAR DHN-72X16/DG 
 1 x INVERSOR SOLIS 20KW 220V S5-GC20K-LV COM MONITORAMENTO 
 100 x CABO FOTOVOLTAICO 4MM² PRETO 
 100 x CABO FOTOVOLTAICO 4MM² VERMELHO 
 12 x CONECTOR MC4 PAR EMBALADO 
 ESTRUTURA FIBROCIMENTO MADEIRA</t>
  </si>
  <si>
    <t>39 x MODULO FV 570WP N-TYPE BIFACIAL DUAL GLASS DAS-DH144NA 
 1 x INVERSOR SOLIS 20KW 220V S5-GC20K-LV COM MONITORAMENTO 
 100 x CABO FOTOVOLTAICO 4MM² PRETO 
 100 x CABO FOTOVOLTAICO 4MM² VERMELHO 
 12 x CONECTOR MC4 PAR EMBALADO 
 ESTRUTURA FIBROCIMENTO MADEIRA</t>
  </si>
  <si>
    <t>39 x MODULO FV 570WP N-TYPE BIFACIAL DAH SOLAR DHN-72X16/DG 
 1 x INVERSOR SUNGROW SG20CX-P2-LV AFCI 220V COM MONITORAMENTO 
 100 x CABO FOTOVOLTAICO 4MM² PRETO 
 100 x CABO FOTOVOLTAICO 4MM² VERMELHO 
 8 x CONECTOR MC4 PAR EMBALADO 
 ESTRUTURA FIBROCIMENTO MADEIRA</t>
  </si>
  <si>
    <t>39 x MODULO FV 570WP N-TYPE BIFACIAL DUAL GLASS DAS-DH144NA 
 1 x INVERSOR SUNGROW SG20CX-P2-LV AFCI 220V COM MONITORAMENTO 
 100 x CABO FOTOVOLTAICO 4MM² PRETO 
 100 x CABO FOTOVOLTAICO 4MM² VERMELHO 
 8 x CONECTOR MC4 PAR EMBALADO 
 ESTRUTURA FIBROCIMENTO MADEIRA</t>
  </si>
  <si>
    <t>39 x MODULO FV 570WP N-TYPE BIFACIAL DAH SOLAR DHN-72X16/DG 
 10 x HMS-2000-4T - MICRO HOYMILES 2000W DTU EXTERNA 
 4 x CABO FOTOVOLTAICO 4MM² PRETO 
 40 x CABO FOTOVOLTAICO 4MM² VERMELHO 
 80 x CONECTOR MC4 PAR EMBALADO 
 ESTRUTURA FIBROCIMENTO MADEIRA 
 10 x AC TRUNK CONNECTOR - CONECTOR CA HOYMILES 
 4 x AC TRUNK END CAP - TERMINAL ENDCAP HOYMILES 
 1 x AC TRUNK CONNECTOR UNLOCK TOOL - CHAVE DESBLOQUEIO CONECTOR CA 
 1 x HMS DISCONNECT TOOL-1PCS - CHAVE DESCONEXAO MICROINVERSOR 
 18 x CABO CA MULTIPOLAR 10AWG 
 1 x DTU-LITE-S(WIFI) - MONIT DTU-LITE S (ATÉ 25 MICROS)</t>
  </si>
  <si>
    <t>39 x MODULO FV 570WP N-TYPE BIFACIAL DUAL GLASS DAS-DH144NA 
 10 x HMS-2000-4T - MICRO HOYMILES 2000W DTU EXTERNA 
 4 x CABO FOTOVOLTAICO 4MM² PRETO 
 40 x CABO FOTOVOLTAICO 4MM² VERMELHO 
 80 x CONECTOR MC4 PAR EMBALADO 
 ESTRUTURA FIBROCIMENTO MADEIRA 
 10 x AC TRUNK CONNECTOR - CONECTOR CA HOYMILES 
 4 x AC TRUNK END CAP - TERMINAL ENDCAP HOYMILES 
 1 x AC TRUNK CONNECTOR UNLOCK TOOL - CHAVE DESBLOQUEIO CONECTOR CA 
 1 x HMS DISCONNECT TOOL-1PCS - CHAVE DESCONEXAO MICROINVERSOR 
 18 x CABO CA MULTIPOLAR 10AWG 
 1 x DTU-LITE-S(WIFI) - MONIT DTU-LITE S (ATÉ 25 MICROS)</t>
  </si>
  <si>
    <t>32 x MODULO FV 710WP BIFACIAL DUAL-GLASS TRINA TSM-NEG21C.20 
 8 x HMS-2000-4T - MICRO HOYMILES 2000W DTU EXTERNA 
 4 x CABO FOTOVOLTAICO 4MM² PRETO 
 32 x CABO FOTOVOLTAICO 4MM² VERMELHO 
 64 x CONECTOR MC4 PAR TRINA 
 ESTRUTURA FIBROCIMENTO MADEIRA 
 8 x AC TRUNK CONNECTOR - CONECTOR CA HOYMILES 
 3 x AC TRUNK END CAP - TERMINAL ENDCAP HOYMILES 
 1 x AC TRUNK CONNECTOR UNLOCK TOOL - CHAVE DESBLOQUEIO CONECTOR CA 
 1 x HMS DISCONNECT TOOL-1PCS - CHAVE DESCONEXAO MICROINVERSOR 
 15 x CABO CA MULTIPOLAR 10AWG 
 1 x DTU-LITE-S(WIFI) - MONIT DTU-LITE S (ATÉ 25 MICROS)</t>
  </si>
  <si>
    <t>40 x MODULO FV 570WP N-TYPE BIFACIAL DAH SOLAR DHN-72X16/DG 
 1 x INVERSOR SUNGROW SG20RT COM MONITORAMENTO 
 100 x CABO FOTOVOLTAICO 4MM² PRETO 
 100 x CABO FOTOVOLTAICO 4MM² VERMELHO 
 8 x CONECTOR MC4 PAR EMBALADO 
 ESTRUTURA FIBROCIMENTO MADEIRA</t>
  </si>
  <si>
    <t>40 x MODULO FV 570WP N-TYPE BIFACIAL DAH SOLAR DHN-72X16/DG 
 1 x INVERSOR SOLIS 17KW 380V S5-GR3P17K COM MONITORAMENTO 
 100 x CABO FOTOVOLTAICO 4MM² PRETO 
 100 x CABO FOTOVOLTAICO 4MM² VERMELHO 
 8 x CONECTOR MC4 PAR EMBALADO 
 ESTRUTURA FIBROCIMENTO MADEIRA</t>
  </si>
  <si>
    <t>40 x MODULO FV 570WP N-TYPE BIFACIAL DUAL GLASS DAS-DH144NA 
 1 x INVERSOR SUNGROW SG20RT COM MONITORAMENTO 
 100 x CABO FOTOVOLTAICO 4MM² PRETO 
 100 x CABO FOTOVOLTAICO 4MM² VERMELHO 
 8 x CONECTOR MC4 PAR EMBALADO 
 ESTRUTURA FIBROCIMENTO MADEIRA</t>
  </si>
  <si>
    <t>40 x MODULO FV 570WP N-TYPE BIFACIAL DUAL GLASS DAS-DH144NA 
 1 x INVERSOR SOLIS 17KW 380V S5-GR3P17K COM MONITORAMENTO 
 100 x CABO FOTOVOLTAICO 4MM² PRETO 
 100 x CABO FOTOVOLTAICO 4MM² VERMELHO 
 8 x CONECTOR MC4 PAR EMBALADO 
 ESTRUTURA FIBROCIMENTO MADEIRA</t>
  </si>
  <si>
    <t>40 x MODULO FV 570WP N-TYPE BIFACIAL DAH SOLAR DHN-72X16/DG 
 1 x INVERSOR SOLIS 20KW 220V S5-GC20K-LV COM MONITORAMENTO 
 100 x CABO FOTOVOLTAICO 4MM² PRETO 
 100 x CABO FOTOVOLTAICO 4MM² VERMELHO 
 12 x CONECTOR MC4 PAR EMBALADO 
 ESTRUTURA FIBROCIMENTO MADEIRA</t>
  </si>
  <si>
    <t>40 x MODULO FV 570WP N-TYPE BIFACIAL DUAL GLASS DAS-DH144NA 
 1 x INVERSOR SOLIS 20KW 220V S5-GC20K-LV COM MONITORAMENTO 
 100 x CABO FOTOVOLTAICO 4MM² PRETO 
 100 x CABO FOTOVOLTAICO 4MM² VERMELHO 
 12 x CONECTOR MC4 PAR EMBALADO 
 ESTRUTURA FIBROCIMENTO MADEIRA</t>
  </si>
  <si>
    <t>40 x MODULO FV 570WP N-TYPE BIFACIAL DAH SOLAR DHN-72X16/DG 
 1 x INVERSOR SUNGROW SG20CX-P2-LV AFCI 220V COM MONITORAMENTO 
 100 x CABO FOTOVOLTAICO 4MM² PRETO 
 100 x CABO FOTOVOLTAICO 4MM² VERMELHO 
 8 x CONECTOR MC4 PAR EMBALADO 
 ESTRUTURA FIBROCIMENTO MADEIRA</t>
  </si>
  <si>
    <t>40 x MODULO FV 570WP N-TYPE BIFACIAL DUAL GLASS DAS-DH144NA 
 1 x INVERSOR SUNGROW SG20CX-P2-LV AFCI 220V COM MONITORAMENTO 
 100 x CABO FOTOVOLTAICO 4MM² PRETO 
 100 x CABO FOTOVOLTAICO 4MM² VERMELHO 
 8 x CONECTOR MC4 PAR EMBALADO 
 ESTRUTURA FIBROCIMENTO MADEIRA</t>
  </si>
  <si>
    <t>40 x MODULO FV 570WP N-TYPE BIFACIAL DAH SOLAR DHN-72X16/DG 
 10 x HMS-2000-4T - MICRO HOYMILES 2000W DTU EXTERNA 
 4 x CABO FOTOVOLTAICO 4MM² PRETO 
 40 x CABO FOTOVOLTAICO 4MM² VERMELHO 
 80 x CONECTOR MC4 PAR EMBALADO 
 ESTRUTURA FIBROCIMENTO MADEIRA 
 10 x AC TRUNK CONNECTOR - CONECTOR CA HOYMILES 
 4 x AC TRUNK END CAP - TERMINAL ENDCAP HOYMILES 
 1 x AC TRUNK CONNECTOR UNLOCK TOOL - CHAVE DESBLOQUEIO CONECTOR CA 
 1 x HMS DISCONNECT TOOL-1PCS - CHAVE DESCONEXAO MICROINVERSOR 
 18 x CABO CA MULTIPOLAR 10AWG 
 1 x DTU-LITE-S(WIFI) - MONIT DTU-LITE S (ATÉ 25 MICROS)</t>
  </si>
  <si>
    <t>40 x MODULO FV 570WP N-TYPE BIFACIAL DUAL GLASS DAS-DH144NA 
 10 x HMS-2000-4T - MICRO HOYMILES 2000W DTU EXTERNA 
 4 x CABO FOTOVOLTAICO 4MM² PRETO 
 40 x CABO FOTOVOLTAICO 4MM² VERMELHO 
 80 x CONECTOR MC4 PAR EMBALADO 
 ESTRUTURA FIBROCIMENTO MADEIRA 
 10 x AC TRUNK CONNECTOR - CONECTOR CA HOYMILES 
 4 x AC TRUNK END CAP - TERMINAL ENDCAP HOYMILES 
 1 x AC TRUNK CONNECTOR UNLOCK TOOL - CHAVE DESBLOQUEIO CONECTOR CA 
 1 x HMS DISCONNECT TOOL-1PCS - CHAVE DESCONEXAO MICROINVERSOR 
 18 x CABO CA MULTIPOLAR 10AWG 
 1 x DTU-LITE-S(WIFI) - MONIT DTU-LITE S (ATÉ 25 MICROS)</t>
  </si>
  <si>
    <t>41 x MODULO FV 570WP N-TYPE BIFACIAL DAH SOLAR DHN-72X16/DG 
 1 x INVERSOR SUNGROW SG20RT COM MONITORAMENTO 
 100 x CABO FOTOVOLTAICO 4MM² PRETO 
 100 x CABO FOTOVOLTAICO 4MM² VERMELHO 
 8 x CONECTOR MC4 PAR EMBALADO 
 ESTRUTURA FIBROCIMENTO MADEIRA</t>
  </si>
  <si>
    <t>41 x MODULO FV 570WP N-TYPE BIFACIAL DAH SOLAR DHN-72X16/DG 
 1 x INVERSOR SOLIS 17KW 380V S5-GR3P17K COM MONITORAMENTO 
 100 x CABO FOTOVOLTAICO 4MM² PRETO 
 100 x CABO FOTOVOLTAICO 4MM² VERMELHO 
 8 x CONECTOR MC4 PAR EMBALADO 
 ESTRUTURA FIBROCIMENTO MADEIRA</t>
  </si>
  <si>
    <t>41 x MODULO FV 570WP N-TYPE BIFACIAL DUAL GLASS DAS-DH144NA 
 1 x INVERSOR SUNGROW SG20RT COM MONITORAMENTO 
 100 x CABO FOTOVOLTAICO 4MM² PRETO 
 100 x CABO FOTOVOLTAICO 4MM² VERMELHO 
 8 x CONECTOR MC4 PAR EMBALADO 
 ESTRUTURA FIBROCIMENTO MADEIRA</t>
  </si>
  <si>
    <t>41 x MODULO FV 570WP N-TYPE BIFACIAL DUAL GLASS DAS-DH144NA 
 1 x INVERSOR SOLIS 17KW 380V S5-GR3P17K COM MONITORAMENTO 
 100 x CABO FOTOVOLTAICO 4MM² PRETO 
 100 x CABO FOTOVOLTAICO 4MM² VERMELHO 
 8 x CONECTOR MC4 PAR EMBALADO 
 ESTRUTURA FIBROCIMENTO MADEIRA</t>
  </si>
  <si>
    <t>41 x MODULO FV 570WP N-TYPE BIFACIAL DAH SOLAR DHN-72X16/DG 
 1 x INVERSOR SOLIS 20KW 220V S5-GC20K-LV COM MONITORAMENTO 
 100 x CABO FOTOVOLTAICO 4MM² PRETO 
 100 x CABO FOTOVOLTAICO 4MM² VERMELHO 
 12 x CONECTOR MC4 PAR EMBALADO 
 ESTRUTURA FIBROCIMENTO MADEIRA</t>
  </si>
  <si>
    <t>41 x MODULO FV 570WP N-TYPE BIFACIAL DUAL GLASS DAS-DH144NA 
 1 x INVERSOR SOLIS 20KW 220V S5-GC20K-LV COM MONITORAMENTO 
 100 x CABO FOTOVOLTAICO 4MM² PRETO 
 100 x CABO FOTOVOLTAICO 4MM² VERMELHO 
 12 x CONECTOR MC4 PAR EMBALADO 
 ESTRUTURA FIBROCIMENTO MADEIRA</t>
  </si>
  <si>
    <t>41 x MODULO FV 570WP N-TYPE BIFACIAL DAH SOLAR DHN-72X16/DG 
 1 x INVERSOR SUNGROW SG20CX-P2-LV AFCI 220V COM MONITORAMENTO 
 100 x CABO FOTOVOLTAICO 4MM² PRETO 
 100 x CABO FOTOVOLTAICO 4MM² VERMELHO 
 8 x CONECTOR MC4 PAR EMBALADO 
 ESTRUTURA FIBROCIMENTO MADEIRA</t>
  </si>
  <si>
    <t>41 x MODULO FV 570WP N-TYPE BIFACIAL DUAL GLASS DAS-DH144NA 
 1 x INVERSOR SUNGROW SG20CX-P2-LV AFCI 220V COM MONITORAMENTO 
 100 x CABO FOTOVOLTAICO 4MM² PRETO 
 100 x CABO FOTOVOLTAICO 4MM² VERMELHO 
 8 x CONECTOR MC4 PAR EMBALADO 
 ESTRUTURA FIBROCIMENTO MADEIRA</t>
  </si>
  <si>
    <t>21</t>
  </si>
  <si>
    <t>41 x MODULO FV 570WP N-TYPE BIFACIAL DAH SOLAR DHN-72X16/DG 
 11 x HMS-2000-4T - MICRO HOYMILES 2000W DTU EXTERNA 
 4 x CABO FOTOVOLTAICO 4MM² PRETO 
 44 x CABO FOTOVOLTAICO 4MM² VERMELHO 
 88 x CONECTOR MC4 PAR EMBALADO 
 ESTRUTURA FIBROCIMENTO MADEIRA 
 11 x AC TRUNK CONNECTOR - CONECTOR CA HOYMILES 
 4 x AC TRUNK END CAP - TERMINAL ENDCAP HOYMILES 
 1 x AC TRUNK CONNECTOR UNLOCK TOOL - CHAVE DESBLOQUEIO CONECTOR CA 
 1 x HMS DISCONNECT TOOL-1PCS - CHAVE DESCONEXAO MICROINVERSOR 
 21 x CABO CA MULTIPOLAR 10AWG 
 1 x DTU-LITE-S(WIFI) - MONIT DTU-LITE S (ATÉ 25 MICROS)</t>
  </si>
  <si>
    <t>41 x MODULO FV 570WP N-TYPE BIFACIAL DUAL GLASS DAS-DH144NA 
 11 x HMS-2000-4T - MICRO HOYMILES 2000W DTU EXTERNA 
 4 x CABO FOTOVOLTAICO 4MM² PRETO 
 44 x CABO FOTOVOLTAICO 4MM² VERMELHO 
 88 x CONECTOR MC4 PAR EMBALADO 
 ESTRUTURA FIBROCIMENTO MADEIRA 
 11 x AC TRUNK CONNECTOR - CONECTOR CA HOYMILES 
 4 x AC TRUNK END CAP - TERMINAL ENDCAP HOYMILES 
 1 x AC TRUNK CONNECTOR UNLOCK TOOL - CHAVE DESBLOQUEIO CONECTOR CA 
 1 x HMS DISCONNECT TOOL-1PCS - CHAVE DESCONEXAO MICROINVERSOR 
 21 x CABO CA MULTIPOLAR 10AWG 
 1 x DTU-LITE-S(WIFI) - MONIT DTU-LITE S (ATÉ 25 MICROS)</t>
  </si>
  <si>
    <t>33 x MODULO FV 710WP BIFACIAL DUAL-GLASS TRINA TSM-NEG21C.20 
 9 x HMS-2000-4T - MICRO HOYMILES 2000W DTU EXTERNA 
 4 x CABO FOTOVOLTAICO 4MM² PRETO 
 36 x CABO FOTOVOLTAICO 4MM² VERMELHO 
 72 x CONECTOR MC4 PAR TRINA 
 ESTRUTURA FIBROCIMENTO MADEIRA 
 9 x AC TRUNK CONNECTOR - CONECTOR CA HOYMILES 
 3 x AC TRUNK END CAP - TERMINAL ENDCAP HOYMILES 
 1 x AC TRUNK CONNECTOR UNLOCK TOOL - CHAVE DESBLOQUEIO CONECTOR CA 
 1 x HMS DISCONNECT TOOL-1PCS - CHAVE DESCONEXAO MICROINVERSOR 
 18 x CABO CA MULTIPOLAR 10AWG 
 1 x DTU-LITE-S(WIFI) - MONIT DTU-LITE S (ATÉ 25 MICROS)</t>
  </si>
  <si>
    <t>42 x MODULO FV 570WP N-TYPE BIFACIAL DAH SOLAR DHN-72X16/DG 
 1 x INVERSOR SOLIS 20KW 380V S5-GR3P20K COM MONITORAMENTO 
 100 x CABO FOTOVOLTAICO 4MM² PRETO 
 100 x CABO FOTOVOLTAICO 4MM² VERMELHO 
 8 x CONECTOR MC4 PAR EMBALADO 
 ESTRUTURA FIBROCIMENTO MADEIRA</t>
  </si>
  <si>
    <t>42 x MODULO FV 570WP N-TYPE BIFACIAL DUAL GLASS DAS-DH144NA 
 1 x INVERSOR SOLIS 20KW 380V S5-GR3P20K COM MONITORAMENTO 
 100 x CABO FOTOVOLTAICO 4MM² PRETO 
 100 x CABO FOTOVOLTAICO 4MM² VERMELHO 
 8 x CONECTOR MC4 PAR EMBALADO 
 ESTRUTURA FIBROCIMENTO MADEIRA</t>
  </si>
  <si>
    <t>42 x MODULO FV 570WP N-TYPE BIFACIAL DAH SOLAR DHN-72X16/DG 
 1 x INVERSOR SUNGROW SG20RT COM MONITORAMENTO 
 100 x CABO FOTOVOLTAICO 4MM² PRETO 
 100 x CABO FOTOVOLTAICO 4MM² VERMELHO 
 8 x CONECTOR MC4 PAR EMBALADO 
 ESTRUTURA FIBROCIMENTO MADEIRA</t>
  </si>
  <si>
    <t>42 x MODULO FV 570WP N-TYPE BIFACIAL DUAL GLASS DAS-DH144NA 
 1 x INVERSOR SUNGROW SG20RT COM MONITORAMENTO 
 100 x CABO FOTOVOLTAICO 4MM² PRETO 
 100 x CABO FOTOVOLTAICO 4MM² VERMELHO 
 8 x CONECTOR MC4 PAR EMBALADO 
 ESTRUTURA FIBROCIMENTO MADEIRA</t>
  </si>
  <si>
    <t>42 x MODULO FV 570WP N-TYPE BIFACIAL DAH SOLAR DHN-72X16/DG 
 1 x INVERSOR SOLIS 20KW 220V S5-GC20K-LV COM MONITORAMENTO 
 100 x CABO FOTOVOLTAICO 4MM² PRETO 
 100 x CABO FOTOVOLTAICO 4MM² VERMELHO 
 12 x CONECTOR MC4 PAR EMBALADO 
 ESTRUTURA FIBROCIMENTO MADEIRA</t>
  </si>
  <si>
    <t>42 x MODULO FV 570WP N-TYPE BIFACIAL DUAL GLASS DAS-DH144NA 
 1 x INVERSOR SOLIS 20KW 220V S5-GC20K-LV COM MONITORAMENTO 
 100 x CABO FOTOVOLTAICO 4MM² PRETO 
 100 x CABO FOTOVOLTAICO 4MM² VERMELHO 
 12 x CONECTOR MC4 PAR EMBALADO 
 ESTRUTURA FIBROCIMENTO MADEIRA</t>
  </si>
  <si>
    <t>42 x MODULO FV 570WP N-TYPE BIFACIAL DAH SOLAR DHN-72X16/DG 
 1 x INVERSOR SUNGROW SG20CX-P2-LV AFCI 220V COM MONITORAMENTO 
 100 x CABO FOTOVOLTAICO 4MM² PRETO 
 100 x CABO FOTOVOLTAICO 4MM² VERMELHO 
 8 x CONECTOR MC4 PAR EMBALADO 
 ESTRUTURA FIBROCIMENTO MADEIRA</t>
  </si>
  <si>
    <t>42 x MODULO FV 570WP N-TYPE BIFACIAL DUAL GLASS DAS-DH144NA 
 1 x INVERSOR SUNGROW SG20CX-P2-LV AFCI 220V COM MONITORAMENTO 
 100 x CABO FOTOVOLTAICO 4MM² PRETO 
 100 x CABO FOTOVOLTAICO 4MM² VERMELHO 
 8 x CONECTOR MC4 PAR EMBALADO 
 ESTRUTURA FIBROCIMENTO MADEIRA</t>
  </si>
  <si>
    <t>42 x MODULO FV 570WP N-TYPE BIFACIAL DAH SOLAR DHN-72X16/DG 
 11 x HMS-2000-4T - MICRO HOYMILES 2000W DTU EXTERNA 
 4 x CABO FOTOVOLTAICO 4MM² PRETO 
 44 x CABO FOTOVOLTAICO 4MM² VERMELHO 
 88 x CONECTOR MC4 PAR EMBALADO 
 ESTRUTURA FIBROCIMENTO MADEIRA 
 11 x AC TRUNK CONNECTOR - CONECTOR CA HOYMILES 
 4 x AC TRUNK END CAP - TERMINAL ENDCAP HOYMILES 
 1 x AC TRUNK CONNECTOR UNLOCK TOOL - CHAVE DESBLOQUEIO CONECTOR CA 
 1 x HMS DISCONNECT TOOL-1PCS - CHAVE DESCONEXAO MICROINVERSOR 
 21 x CABO CA MULTIPOLAR 10AWG 
 1 x DTU-LITE-S(WIFI) - MONIT DTU-LITE S (ATÉ 25 MICROS)</t>
  </si>
  <si>
    <t>42 x MODULO FV 570WP N-TYPE BIFACIAL DUAL GLASS DAS-DH144NA 
 11 x HMS-2000-4T - MICRO HOYMILES 2000W DTU EXTERNA 
 4 x CABO FOTOVOLTAICO 4MM² PRETO 
 44 x CABO FOTOVOLTAICO 4MM² VERMELHO 
 88 x CONECTOR MC4 PAR EMBALADO 
 ESTRUTURA FIBROCIMENTO MADEIRA 
 11 x AC TRUNK CONNECTOR - CONECTOR CA HOYMILES 
 4 x AC TRUNK END CAP - TERMINAL ENDCAP HOYMILES 
 1 x AC TRUNK CONNECTOR UNLOCK TOOL - CHAVE DESBLOQUEIO CONECTOR CA 
 1 x HMS DISCONNECT TOOL-1PCS - CHAVE DESCONEXAO MICROINVERSOR 
 21 x CABO CA MULTIPOLAR 10AWG 
 1 x DTU-LITE-S(WIFI) - MONIT DTU-LITE S (ATÉ 25 MICROS)</t>
  </si>
  <si>
    <t>34 x MODULO FV 710WP BIFACIAL DUAL-GLASS TRINA TSM-NEG21C.20 
 9 x HMS-2000-4T - MICRO HOYMILES 2000W DTU EXTERNA 
 4 x CABO FOTOVOLTAICO 4MM² PRETO 
 36 x CABO FOTOVOLTAICO 4MM² VERMELHO 
 72 x CONECTOR MC4 PAR TRINA 
 ESTRUTURA FIBROCIMENTO MADEIRA 
 9 x AC TRUNK CONNECTOR - CONECTOR CA HOYMILES 
 3 x AC TRUNK END CAP - TERMINAL ENDCAP HOYMILES 
 1 x AC TRUNK CONNECTOR UNLOCK TOOL - CHAVE DESBLOQUEIO CONECTOR CA 
 1 x HMS DISCONNECT TOOL-1PCS - CHAVE DESCONEXAO MICROINVERSOR 
 18 x CABO CA MULTIPOLAR 10AWG 
 1 x DTU-LITE-S(WIFI) - MONIT DTU-LITE S (ATÉ 25 MICROS)</t>
  </si>
  <si>
    <t>43 x MODULO FV 570WP N-TYPE BIFACIAL DAH SOLAR DHN-72X16/DG 
 1 x INVERSOR SOLIS 20KW 380V S5-GR3P20K COM MONITORAMENTO 
 100 x CABO FOTOVOLTAICO 4MM² PRETO 
 100 x CABO FOTOVOLTAICO 4MM² VERMELHO 
 8 x CONECTOR MC4 PAR EMBALADO 
 ESTRUTURA FIBROCIMENTO MADEIRA</t>
  </si>
  <si>
    <t>43 x MODULO FV 570WP N-TYPE BIFACIAL DUAL GLASS DAS-DH144NA 
 1 x INVERSOR SOLIS 20KW 380V S5-GR3P20K COM MONITORAMENTO 
 100 x CABO FOTOVOLTAICO 4MM² PRETO 
 100 x CABO FOTOVOLTAICO 4MM² VERMELHO 
 8 x CONECTOR MC4 PAR EMBALADO 
 ESTRUTURA FIBROCIMENTO MADEIRA</t>
  </si>
  <si>
    <t>43 x MODULO FV 570WP N-TYPE BIFACIAL DAH SOLAR DHN-72X16/DG 
 1 x INVERSOR SUNGROW SG20RT COM MONITORAMENTO 
 100 x CABO FOTOVOLTAICO 4MM² PRETO 
 100 x CABO FOTOVOLTAICO 4MM² VERMELHO 
 8 x CONECTOR MC4 PAR EMBALADO 
 ESTRUTURA FIBROCIMENTO MADEIRA</t>
  </si>
  <si>
    <t>43 x MODULO FV 570WP N-TYPE BIFACIAL DUAL GLASS DAS-DH144NA 
 1 x INVERSOR SUNGROW SG20RT COM MONITORAMENTO 
 100 x CABO FOTOVOLTAICO 4MM² PRETO 
 100 x CABO FOTOVOLTAICO 4MM² VERMELHO 
 8 x CONECTOR MC4 PAR EMBALADO 
 ESTRUTURA FIBROCIMENTO MADEIRA</t>
  </si>
  <si>
    <t>43 x MODULO FV 570WP N-TYPE BIFACIAL DAH SOLAR DHN-72X16/DG 
 1 x INVERSOR SOLIS 20KW 220V S5-GC20K-LV COM MONITORAMENTO 
 100 x CABO FOTOVOLTAICO 4MM² PRETO 
 100 x CABO FOTOVOLTAICO 4MM² VERMELHO 
 12 x CONECTOR MC4 PAR EMBALADO 
 ESTRUTURA FIBROCIMENTO MADEIRA</t>
  </si>
  <si>
    <t>43 x MODULO FV 570WP N-TYPE BIFACIAL DUAL GLASS DAS-DH144NA 
 1 x INVERSOR SOLIS 20KW 220V S5-GC20K-LV COM MONITORAMENTO 
 100 x CABO FOTOVOLTAICO 4MM² PRETO 
 100 x CABO FOTOVOLTAICO 4MM² VERMELHO 
 12 x CONECTOR MC4 PAR EMBALADO 
 ESTRUTURA FIBROCIMENTO MADEIRA</t>
  </si>
  <si>
    <t>43 x MODULO FV 570WP N-TYPE BIFACIAL DAH SOLAR DHN-72X16/DG 
 1 x INVERSOR SUNGROW SG20CX-P2-LV AFCI 220V COM MONITORAMENTO 
 100 x CABO FOTOVOLTAICO 4MM² PRETO 
 100 x CABO FOTOVOLTAICO 4MM² VERMELHO 
 8 x CONECTOR MC4 PAR EMBALADO 
 ESTRUTURA FIBROCIMENTO MADEIRA</t>
  </si>
  <si>
    <t>43 x MODULO FV 570WP N-TYPE BIFACIAL DUAL GLASS DAS-DH144NA 
 1 x INVERSOR SUNGROW SG20CX-P2-LV AFCI 220V COM MONITORAMENTO 
 100 x CABO FOTOVOLTAICO 4MM² PRETO 
 100 x CABO FOTOVOLTAICO 4MM² VERMELHO 
 8 x CONECTOR MC4 PAR EMBALADO 
 ESTRUTURA FIBROCIMENTO MADEIRA</t>
  </si>
  <si>
    <t>43 x MODULO FV 570WP N-TYPE BIFACIAL DAH SOLAR DHN-72X16/DG 
 11 x HMS-2000-4T - MICRO HOYMILES 2000W DTU EXTERNA 
 4 x CABO FOTOVOLTAICO 4MM² PRETO 
 44 x CABO FOTOVOLTAICO 4MM² VERMELHO 
 88 x CONECTOR MC4 PAR EMBALADO 
 ESTRUTURA FIBROCIMENTO MADEIRA 
 11 x AC TRUNK CONNECTOR - CONECTOR CA HOYMILES 
 4 x AC TRUNK END CAP - TERMINAL ENDCAP HOYMILES 
 1 x AC TRUNK CONNECTOR UNLOCK TOOL - CHAVE DESBLOQUEIO CONECTOR CA 
 1 x HMS DISCONNECT TOOL-1PCS - CHAVE DESCONEXAO MICROINVERSOR 
 21 x CABO CA MULTIPOLAR 10AWG 
 1 x DTU-LITE-S(WIFI) - MONIT DTU-LITE S (ATÉ 25 MICROS)</t>
  </si>
  <si>
    <t>43 x MODULO FV 570WP N-TYPE BIFACIAL DUAL GLASS DAS-DH144NA 
 11 x HMS-2000-4T - MICRO HOYMILES 2000W DTU EXTERNA 
 4 x CABO FOTOVOLTAICO 4MM² PRETO 
 44 x CABO FOTOVOLTAICO 4MM² VERMELHO 
 88 x CONECTOR MC4 PAR EMBALADO 
 ESTRUTURA FIBROCIMENTO MADEIRA 
 11 x AC TRUNK CONNECTOR - CONECTOR CA HOYMILES 
 4 x AC TRUNK END CAP - TERMINAL ENDCAP HOYMILES 
 1 x AC TRUNK CONNECTOR UNLOCK TOOL - CHAVE DESBLOQUEIO CONECTOR CA 
 1 x HMS DISCONNECT TOOL-1PCS - CHAVE DESCONEXAO MICROINVERSOR 
 21 x CABO CA MULTIPOLAR 10AWG 
 1 x DTU-LITE-S(WIFI) - MONIT DTU-LITE S (ATÉ 25 MICROS)</t>
  </si>
  <si>
    <t>35 x MODULO FV 710WP BIFACIAL DUAL-GLASS TRINA TSM-NEG21C.20 
 9 x HMS-2000-4T - MICRO HOYMILES 2000W DTU EXTERNA 
 4 x CABO FOTOVOLTAICO 4MM² PRETO 
 36 x CABO FOTOVOLTAICO 4MM² VERMELHO 
 72 x CONECTOR MC4 PAR TRINA 
 ESTRUTURA FIBROCIMENTO MADEIRA 
 9 x AC TRUNK CONNECTOR - CONECTOR CA HOYMILES 
 3 x AC TRUNK END CAP - TERMINAL ENDCAP HOYMILES 
 1 x AC TRUNK CONNECTOR UNLOCK TOOL - CHAVE DESBLOQUEIO CONECTOR CA 
 1 x HMS DISCONNECT TOOL-1PCS - CHAVE DESCONEXAO MICROINVERSOR 
 18 x CABO CA MULTIPOLAR 10AWG 
 1 x DTU-LITE-S(WIFI) - MONIT DTU-LITE S (ATÉ 25 MICROS)</t>
  </si>
  <si>
    <t>44 x MODULO FV 570WP N-TYPE BIFACIAL DAH SOLAR DHN-72X16/DG 
 1 x INVERSOR SOLIS 20KW 380V S5-GR3P20K COM MONITORAMENTO 
 100 x CABO FOTOVOLTAICO 4MM² PRETO 
 100 x CABO FOTOVOLTAICO 4MM² VERMELHO 
 8 x CONECTOR MC4 PAR EMBALADO 
 ESTRUTURA FIBROCIMENTO MADEIRA</t>
  </si>
  <si>
    <t>44 x MODULO FV 570WP N-TYPE BIFACIAL DUAL GLASS DAS-DH144NA 
 1 x INVERSOR SOLIS 20KW 380V S5-GR3P20K COM MONITORAMENTO 
 100 x CABO FOTOVOLTAICO 4MM² PRETO 
 100 x CABO FOTOVOLTAICO 4MM² VERMELHO 
 8 x CONECTOR MC4 PAR EMBALADO 
 ESTRUTURA FIBROCIMENTO MADEIRA</t>
  </si>
  <si>
    <t>44 x MODULO FV 570WP N-TYPE BIFACIAL DAH SOLAR DHN-72X16/DG 
 1 x INVERSOR SUNGROW SG20RT COM MONITORAMENTO 
 100 x CABO FOTOVOLTAICO 4MM² PRETO 
 100 x CABO FOTOVOLTAICO 4MM² VERMELHO 
 8 x CONECTOR MC4 PAR EMBALADO 
 ESTRUTURA FIBROCIMENTO MADEIRA</t>
  </si>
  <si>
    <t>44 x MODULO FV 570WP N-TYPE BIFACIAL DUAL GLASS DAS-DH144NA 
 1 x INVERSOR SUNGROW SG20RT COM MONITORAMENTO 
 100 x CABO FOTOVOLTAICO 4MM² PRETO 
 100 x CABO FOTOVOLTAICO 4MM² VERMELHO 
 8 x CONECTOR MC4 PAR EMBALADO 
 ESTRUTURA FIBROCIMENTO MADEIRA</t>
  </si>
  <si>
    <t>44 x MODULO FV 570WP N-TYPE BIFACIAL DAH SOLAR DHN-72X16/DG 
 1 x INVERSOR SOLIS 20KW 220V S5-GC20K-LV COM MONITORAMENTO 
 100 x CABO FOTOVOLTAICO 4MM² PRETO 
 100 x CABO FOTOVOLTAICO 4MM² VERMELHO 
 12 x CONECTOR MC4 PAR EMBALADO 
 ESTRUTURA FIBROCIMENTO MADEIRA</t>
  </si>
  <si>
    <t>44 x MODULO FV 570WP N-TYPE BIFACIAL DUAL GLASS DAS-DH144NA 
 1 x INVERSOR SOLIS 20KW 220V S5-GC20K-LV COM MONITORAMENTO 
 100 x CABO FOTOVOLTAICO 4MM² PRETO 
 100 x CABO FOTOVOLTAICO 4MM² VERMELHO 
 12 x CONECTOR MC4 PAR EMBALADO 
 ESTRUTURA FIBROCIMENTO MADEIRA</t>
  </si>
  <si>
    <t>44 x MODULO FV 570WP N-TYPE BIFACIAL DAH SOLAR DHN-72X16/DG 
 1 x INVERSOR SUNGROW SG20CX-P2-LV AFCI 220V COM MONITORAMENTO 
 100 x CABO FOTOVOLTAICO 4MM² PRETO 
 100 x CABO FOTOVOLTAICO 4MM² VERMELHO 
 8 x CONECTOR MC4 PAR EMBALADO 
 ESTRUTURA FIBROCIMENTO MADEIRA</t>
  </si>
  <si>
    <t>44 x MODULO FV 570WP N-TYPE BIFACIAL DUAL GLASS DAS-DH144NA 
 1 x INVERSOR SUNGROW SG20CX-P2-LV AFCI 220V COM MONITORAMENTO 
 100 x CABO FOTOVOLTAICO 4MM² PRETO 
 100 x CABO FOTOVOLTAICO 4MM² VERMELHO 
 8 x CONECTOR MC4 PAR EMBALADO 
 ESTRUTURA FIBROCIMENTO MADEIRA</t>
  </si>
  <si>
    <t>44 x MODULO FV 570WP N-TYPE BIFACIAL DAH SOLAR DHN-72X16/DG 
 11 x HMS-2000-4T - MICRO HOYMILES 2000W DTU EXTERNA 
 4 x CABO FOTOVOLTAICO 4MM² PRETO 
 44 x CABO FOTOVOLTAICO 4MM² VERMELHO 
 88 x CONECTOR MC4 PAR EMBALADO 
 ESTRUTURA FIBROCIMENTO MADEIRA 
 11 x AC TRUNK CONNECTOR - CONECTOR CA HOYMILES 
 4 x AC TRUNK END CAP - TERMINAL ENDCAP HOYMILES 
 1 x AC TRUNK CONNECTOR UNLOCK TOOL - CHAVE DESBLOQUEIO CONECTOR CA 
 1 x HMS DISCONNECT TOOL-1PCS - CHAVE DESCONEXAO MICROINVERSOR 
 21 x CABO CA MULTIPOLAR 10AWG 
 1 x DTU-LITE-S(WIFI) - MONIT DTU-LITE S (ATÉ 25 MICROS)</t>
  </si>
  <si>
    <t>44 x MODULO FV 570WP N-TYPE BIFACIAL DUAL GLASS DAS-DH144NA 
 11 x HMS-2000-4T - MICRO HOYMILES 2000W DTU EXTERNA 
 4 x CABO FOTOVOLTAICO 4MM² PRETO 
 44 x CABO FOTOVOLTAICO 4MM² VERMELHO 
 88 x CONECTOR MC4 PAR EMBALADO 
 ESTRUTURA FIBROCIMENTO MADEIRA 
 11 x AC TRUNK CONNECTOR - CONECTOR CA HOYMILES 
 4 x AC TRUNK END CAP - TERMINAL ENDCAP HOYMILES 
 1 x AC TRUNK CONNECTOR UNLOCK TOOL - CHAVE DESBLOQUEIO CONECTOR CA 
 1 x HMS DISCONNECT TOOL-1PCS - CHAVE DESCONEXAO MICROINVERSOR 
 21 x CABO CA MULTIPOLAR 10AWG 
 1 x DTU-LITE-S(WIFI) - MONIT DTU-LITE S (ATÉ 25 MICROS)</t>
  </si>
  <si>
    <t>36 x MODULO FV 710WP BIFACIAL DUAL-GLASS TRINA TSM-NEG21C.20 
 9 x HMS-2000-4T - MICRO HOYMILES 2000W DTU EXTERNA 
 4 x CABO FOTOVOLTAICO 4MM² PRETO 
 36 x CABO FOTOVOLTAICO 4MM² VERMELHO 
 72 x CONECTOR MC4 PAR TRINA 
 ESTRUTURA FIBROCIMENTO MADEIRA 
 9 x AC TRUNK CONNECTOR - CONECTOR CA HOYMILES 
 3 x AC TRUNK END CAP - TERMINAL ENDCAP HOYMILES 
 1 x AC TRUNK CONNECTOR UNLOCK TOOL - CHAVE DESBLOQUEIO CONECTOR CA 
 1 x HMS DISCONNECT TOOL-1PCS - CHAVE DESCONEXAO MICROINVERSOR 
 18 x CABO CA MULTIPOLAR 10AWG 
 1 x DTU-LITE-S(WIFI) - MONIT DTU-LITE S (ATÉ 25 MICROS)</t>
  </si>
  <si>
    <t>45 x MODULO FV 570WP N-TYPE BIFACIAL DAH SOLAR DHN-72X16/DG 
 1 x INVERSOR SOLIS 20KW 380V S5-GR3P20K COM MONITORAMENTO 
 100 x CABO FOTOVOLTAICO 4MM² PRETO 
 100 x CABO FOTOVOLTAICO 4MM² VERMELHO 
 8 x CONECTOR MC4 PAR EMBALADO 
 ESTRUTURA FIBROCIMENTO MADEIRA</t>
  </si>
  <si>
    <t>45 x MODULO FV 570WP N-TYPE BIFACIAL DUAL GLASS DAS-DH144NA 
 1 x INVERSOR SOLIS 20KW 380V S5-GR3P20K COM MONITORAMENTO 
 100 x CABO FOTOVOLTAICO 4MM² PRETO 
 100 x CABO FOTOVOLTAICO 4MM² VERMELHO 
 8 x CONECTOR MC4 PAR EMBALADO 
 ESTRUTURA FIBROCIMENTO MADEIRA</t>
  </si>
  <si>
    <t>45 x MODULO FV 570WP N-TYPE BIFACIAL DAH SOLAR DHN-72X16/DG 
 1 x INVERSOR SUNGROW SG20RT COM MONITORAMENTO 
 100 x CABO FOTOVOLTAICO 4MM² PRETO 
 100 x CABO FOTOVOLTAICO 4MM² VERMELHO 
 8 x CONECTOR MC4 PAR EMBALADO 
 ESTRUTURA FIBROCIMENTO MADEIRA</t>
  </si>
  <si>
    <t>45 x MODULO FV 570WP N-TYPE BIFACIAL DUAL GLASS DAS-DH144NA 
 1 x INVERSOR SUNGROW SG20RT COM MONITORAMENTO 
 100 x CABO FOTOVOLTAICO 4MM² PRETO 
 100 x CABO FOTOVOLTAICO 4MM² VERMELHO 
 8 x CONECTOR MC4 PAR EMBALADO 
 ESTRUTURA FIBROCIMENTO MADEIRA</t>
  </si>
  <si>
    <t>45 x MODULO FV 570WP N-TYPE BIFACIAL DAH SOLAR DHN-72X16/DG 
 1 x INVERSOR SOLIS 20KW 220V S5-GC20K-LV COM MONITORAMENTO 
 100 x CABO FOTOVOLTAICO 4MM² PRETO 
 100 x CABO FOTOVOLTAICO 4MM² VERMELHO 
 12 x CONECTOR MC4 PAR EMBALADO 
 ESTRUTURA FIBROCIMENTO MADEIRA</t>
  </si>
  <si>
    <t>45 x MODULO FV 570WP N-TYPE BIFACIAL DUAL GLASS DAS-DH144NA 
 1 x INVERSOR SOLIS 20KW 220V S5-GC20K-LV COM MONITORAMENTO 
 100 x CABO FOTOVOLTAICO 4MM² PRETO 
 100 x CABO FOTOVOLTAICO 4MM² VERMELHO 
 12 x CONECTOR MC4 PAR EMBALADO 
 ESTRUTURA FIBROCIMENTO MADEIRA</t>
  </si>
  <si>
    <t>45 x MODULO FV 570WP N-TYPE BIFACIAL DAH SOLAR DHN-72X16/DG 
 1 x INVERSOR SUNGROW SG20CX-P2-LV AFCI 220V COM MONITORAMENTO 
 100 x CABO FOTOVOLTAICO 4MM² PRETO 
 100 x CABO FOTOVOLTAICO 4MM² VERMELHO 
 8 x CONECTOR MC4 PAR EMBALADO 
 ESTRUTURA FIBROCIMENTO MADEIRA</t>
  </si>
  <si>
    <t>45 x MODULO FV 570WP N-TYPE BIFACIAL DUAL GLASS DAS-DH144NA 
 1 x INVERSOR SUNGROW SG20CX-P2-LV AFCI 220V COM MONITORAMENTO 
 100 x CABO FOTOVOLTAICO 4MM² PRETO 
 100 x CABO FOTOVOLTAICO 4MM² VERMELHO 
 8 x CONECTOR MC4 PAR EMBALADO 
 ESTRUTURA FIBROCIMENTO MADEIRA</t>
  </si>
  <si>
    <t>24</t>
  </si>
  <si>
    <t>45 x MODULO FV 570WP N-TYPE BIFACIAL DAH SOLAR DHN-72X16/DG 
 12 x HMS-2000-4T - MICRO HOYMILES 2000W DTU EXTERNA 
 4 x CABO FOTOVOLTAICO 4MM² PRETO 
 48 x CABO FOTOVOLTAICO 4MM² VERMELHO 
 96 x CONECTOR MC4 PAR EMBALADO 
 ESTRUTURA FIBROCIMENTO MADEIRA 
 12 x AC TRUNK CONNECTOR - CONECTOR CA HOYMILES 
 4 x AC TRUNK END CAP - TERMINAL ENDCAP HOYMILES 
 1 x AC TRUNK CONNECTOR UNLOCK TOOL - CHAVE DESBLOQUEIO CONECTOR CA 
 1 x HMS DISCONNECT TOOL-1PCS - CHAVE DESCONEXAO MICROINVERSOR 
 24 x CABO CA MULTIPOLAR 10AWG 
 1 x DTU-LITE-S(WIFI) - MONIT DTU-LITE S (ATÉ 25 MICROS)</t>
  </si>
  <si>
    <t>45 x MODULO FV 570WP N-TYPE BIFACIAL DUAL GLASS DAS-DH144NA 
 12 x HMS-2000-4T - MICRO HOYMILES 2000W DTU EXTERNA 
 4 x CABO FOTOVOLTAICO 4MM² PRETO 
 48 x CABO FOTOVOLTAICO 4MM² VERMELHO 
 96 x CONECTOR MC4 PAR EMBALADO 
 ESTRUTURA FIBROCIMENTO MADEIRA 
 12 x AC TRUNK CONNECTOR - CONECTOR CA HOYMILES 
 4 x AC TRUNK END CAP - TERMINAL ENDCAP HOYMILES 
 1 x AC TRUNK CONNECTOR UNLOCK TOOL - CHAVE DESBLOQUEIO CONECTOR CA 
 1 x HMS DISCONNECT TOOL-1PCS - CHAVE DESCONEXAO MICROINVERSOR 
 24 x CABO CA MULTIPOLAR 10AWG 
 1 x DTU-LITE-S(WIFI) - MONIT DTU-LITE S (ATÉ 25 MICROS)</t>
  </si>
  <si>
    <t>46 x MODULO FV 570WP N-TYPE BIFACIAL DAH SOLAR DHN-72X16/DG 
 1 x INVERSOR SOLIS 20KW 380V S5-GR3P20K COM MONITORAMENTO 
 100 x CABO FOTOVOLTAICO 4MM² PRETO 
 100 x CABO FOTOVOLTAICO 4MM² VERMELHO 
 8 x CONECTOR MC4 PAR EMBALADO 
 ESTRUTURA FIBROCIMENTO MADEIRA</t>
  </si>
  <si>
    <t>46 x MODULO FV 570WP N-TYPE BIFACIAL DUAL GLASS DAS-DH144NA 
 1 x INVERSOR SOLIS 20KW 380V S5-GR3P20K COM MONITORAMENTO 
 100 x CABO FOTOVOLTAICO 4MM² PRETO 
 100 x CABO FOTOVOLTAICO 4MM² VERMELHO 
 8 x CONECTOR MC4 PAR EMBALADO 
 ESTRUTURA FIBROCIMENTO MADEIRA</t>
  </si>
  <si>
    <t>46 x MODULO FV 570WP N-TYPE BIFACIAL DAH SOLAR DHN-72X16/DG 
 1 x INVERSOR SUNGROW SG20RT COM MONITORAMENTO 
 100 x CABO FOTOVOLTAICO 4MM² PRETO 
 100 x CABO FOTOVOLTAICO 4MM² VERMELHO 
 8 x CONECTOR MC4 PAR EMBALADO 
 ESTRUTURA FIBROCIMENTO MADEIRA</t>
  </si>
  <si>
    <t>46 x MODULO FV 570WP N-TYPE BIFACIAL DUAL GLASS DAS-DH144NA 
 1 x INVERSOR SUNGROW SG20RT COM MONITORAMENTO 
 100 x CABO FOTOVOLTAICO 4MM² PRETO 
 100 x CABO FOTOVOLTAICO 4MM² VERMELHO 
 8 x CONECTOR MC4 PAR EMBALADO 
 ESTRUTURA FIBROCIMENTO MADEIRA</t>
  </si>
  <si>
    <t>46 x MODULO FV 570WP N-TYPE BIFACIAL DAH SOLAR DHN-72X16/DG 
 1 x INVERSOR SOLIS 20KW 220V S5-GC20K-LV COM MONITORAMENTO 
 100 x CABO FOTOVOLTAICO 4MM² PRETO 
 100 x CABO FOTOVOLTAICO 4MM² VERMELHO 
 12 x CONECTOR MC4 PAR EMBALADO 
 ESTRUTURA FIBROCIMENTO MADEIRA</t>
  </si>
  <si>
    <t>46 x MODULO FV 570WP N-TYPE BIFACIAL DUAL GLASS DAS-DH144NA 
 1 x INVERSOR SOLIS 20KW 220V S5-GC20K-LV COM MONITORAMENTO 
 100 x CABO FOTOVOLTAICO 4MM² PRETO 
 100 x CABO FOTOVOLTAICO 4MM² VERMELHO 
 12 x CONECTOR MC4 PAR EMBALADO 
 ESTRUTURA FIBROCIMENTO MADEIRA</t>
  </si>
  <si>
    <t>46 x MODULO FV 570WP N-TYPE BIFACIAL DAH SOLAR DHN-72X16/DG 
 1 x INVERSOR SUNGROW SG20CX-P2-LV AFCI 220V COM MONITORAMENTO 
 100 x CABO FOTOVOLTAICO 4MM² PRETO 
 100 x CABO FOTOVOLTAICO 4MM² VERMELHO 
 8 x CONECTOR MC4 PAR EMBALADO 
 ESTRUTURA FIBROCIMENTO MADEIRA</t>
  </si>
  <si>
    <t>46 x MODULO FV 570WP N-TYPE BIFACIAL DUAL GLASS DAS-DH144NA 
 1 x INVERSOR SUNGROW SG20CX-P2-LV AFCI 220V COM MONITORAMENTO 
 100 x CABO FOTOVOLTAICO 4MM² PRETO 
 100 x CABO FOTOVOLTAICO 4MM² VERMELHO 
 8 x CONECTOR MC4 PAR EMBALADO 
 ESTRUTURA FIBROCIMENTO MADEIRA</t>
  </si>
  <si>
    <t>46 x MODULO FV 570WP N-TYPE BIFACIAL DAH SOLAR DHN-72X16/DG 
 12 x HMS-2000-4T - MICRO HOYMILES 2000W DTU EXTERNA 
 4 x CABO FOTOVOLTAICO 4MM² PRETO 
 48 x CABO FOTOVOLTAICO 4MM² VERMELHO 
 96 x CONECTOR MC4 PAR EMBALADO 
 ESTRUTURA FIBROCIMENTO MADEIRA 
 12 x AC TRUNK CONNECTOR - CONECTOR CA HOYMILES 
 4 x AC TRUNK END CAP - TERMINAL ENDCAP HOYMILES 
 1 x AC TRUNK CONNECTOR UNLOCK TOOL - CHAVE DESBLOQUEIO CONECTOR CA 
 1 x HMS DISCONNECT TOOL-1PCS - CHAVE DESCONEXAO MICROINVERSOR 
 24 x CABO CA MULTIPOLAR 10AWG 
 1 x DTU-LITE-S(WIFI) - MONIT DTU-LITE S (ATÉ 25 MICROS)</t>
  </si>
  <si>
    <t>46 x MODULO FV 570WP N-TYPE BIFACIAL DUAL GLASS DAS-DH144NA 
 12 x HMS-2000-4T - MICRO HOYMILES 2000W DTU EXTERNA 
 4 x CABO FOTOVOLTAICO 4MM² PRETO 
 48 x CABO FOTOVOLTAICO 4MM² VERMELHO 
 96 x CONECTOR MC4 PAR EMBALADO 
 ESTRUTURA FIBROCIMENTO MADEIRA 
 12 x AC TRUNK CONNECTOR - CONECTOR CA HOYMILES 
 4 x AC TRUNK END CAP - TERMINAL ENDCAP HOYMILES 
 1 x AC TRUNK CONNECTOR UNLOCK TOOL - CHAVE DESBLOQUEIO CONECTOR CA 
 1 x HMS DISCONNECT TOOL-1PCS - CHAVE DESCONEXAO MICROINVERSOR 
 24 x CABO CA MULTIPOLAR 10AWG 
 1 x DTU-LITE-S(WIFI) - MONIT DTU-LITE S (ATÉ 25 MICROS)</t>
  </si>
  <si>
    <t>37 x MODULO FV 710WP BIFACIAL DUAL-GLASS TRINA TSM-NEG21C.20 
 10 x HMS-2000-4T - MICRO HOYMILES 2000W DTU EXTERNA 
 4 x CABO FOTOVOLTAICO 4MM² PRETO 
 40 x CABO FOTOVOLTAICO 4MM² VERMELHO 
 80 x CONECTOR MC4 PAR TRINA 
 ESTRUTURA FIBROCIMENTO MADEIRA 
 10 x AC TRUNK CONNECTOR - CONECTOR CA HOYMILES 
 4 x AC TRUNK END CAP - TERMINAL ENDCAP HOYMILES 
 1 x AC TRUNK CONNECTOR UNLOCK TOOL - CHAVE DESBLOQUEIO CONECTOR CA 
 1 x HMS DISCONNECT TOOL-1PCS - CHAVE DESCONEXAO MICROINVERSOR 
 18 x CABO CA MULTIPOLAR 10AWG 
 1 x DTU-LITE-S(WIFI) - MONIT DTU-LITE S (ATÉ 25 MICROS)</t>
  </si>
  <si>
    <t>47 x MODULO FV 570WP N-TYPE BIFACIAL DAH SOLAR DHN-72X16/DG 
 1 x INVERSOR SOLIS 20KW 380V S5-GR3P20K COM MONITORAMENTO 
 100 x CABO FOTOVOLTAICO 4MM² PRETO 
 100 x CABO FOTOVOLTAICO 4MM² VERMELHO 
 8 x CONECTOR MC4 PAR EMBALADO 
 ESTRUTURA FIBROCIMENTO MADEIRA</t>
  </si>
  <si>
    <t>47 x MODULO FV 570WP N-TYPE BIFACIAL DUAL GLASS DAS-DH144NA 
 1 x INVERSOR SOLIS 20KW 380V S5-GR3P20K COM MONITORAMENTO 
 100 x CABO FOTOVOLTAICO 4MM² PRETO 
 100 x CABO FOTOVOLTAICO 4MM² VERMELHO 
 8 x CONECTOR MC4 PAR EMBALADO 
 ESTRUTURA FIBROCIMENTO MADEIRA</t>
  </si>
  <si>
    <t>47 x MODULO FV 570WP N-TYPE BIFACIAL DAH SOLAR DHN-72X16/DG 
 1 x INVERSOR SUNGROW SG20RT COM MONITORAMENTO 
 100 x CABO FOTOVOLTAICO 4MM² PRETO 
 100 x CABO FOTOVOLTAICO 4MM² VERMELHO 
 8 x CONECTOR MC4 PAR EMBALADO 
 ESTRUTURA FIBROCIMENTO MADEIRA</t>
  </si>
  <si>
    <t>47 x MODULO FV 570WP N-TYPE BIFACIAL DUAL GLASS DAS-DH144NA 
 1 x INVERSOR SUNGROW SG20RT COM MONITORAMENTO 
 100 x CABO FOTOVOLTAICO 4MM² PRETO 
 100 x CABO FOTOVOLTAICO 4MM² VERMELHO 
 8 x CONECTOR MC4 PAR EMBALADO 
 ESTRUTURA FIBROCIMENTO MADEIRA</t>
  </si>
  <si>
    <t>47 x MODULO FV 570WP N-TYPE BIFACIAL DAH SOLAR DHN-72X16/DG 
 1 x INVERSOR SOLIS 20KW 220V S5-GC20K-LV COM MONITORAMENTO 
 100 x CABO FOTOVOLTAICO 4MM² PRETO 
 100 x CABO FOTOVOLTAICO 4MM² VERMELHO 
 12 x CONECTOR MC4 PAR EMBALADO 
 ESTRUTURA FIBROCIMENTO MADEIRA</t>
  </si>
  <si>
    <t>47 x MODULO FV 570WP N-TYPE BIFACIAL DUAL GLASS DAS-DH144NA 
 1 x INVERSOR SOLIS 20KW 220V S5-GC20K-LV COM MONITORAMENTO 
 100 x CABO FOTOVOLTAICO 4MM² PRETO 
 100 x CABO FOTOVOLTAICO 4MM² VERMELHO 
 12 x CONECTOR MC4 PAR EMBALADO 
 ESTRUTURA FIBROCIMENTO MADEIRA</t>
  </si>
  <si>
    <t>47 x MODULO FV 570WP N-TYPE BIFACIAL DAH SOLAR DHN-72X16/DG 
 1 x INVERSOR SUNGROW SG20CX-P2-LV AFCI 220V COM MONITORAMENTO 
 100 x CABO FOTOVOLTAICO 4MM² PRETO 
 100 x CABO FOTOVOLTAICO 4MM² VERMELHO 
 8 x CONECTOR MC4 PAR EMBALADO 
 ESTRUTURA FIBROCIMENTO MADEIRA</t>
  </si>
  <si>
    <t>47 x MODULO FV 570WP N-TYPE BIFACIAL DUAL GLASS DAS-DH144NA 
 1 x INVERSOR SUNGROW SG20CX-P2-LV AFCI 220V COM MONITORAMENTO 
 100 x CABO FOTOVOLTAICO 4MM² PRETO 
 100 x CABO FOTOVOLTAICO 4MM² VERMELHO 
 8 x CONECTOR MC4 PAR EMBALADO 
 ESTRUTURA FIBROCIMENTO MADEIRA</t>
  </si>
  <si>
    <t>47 x MODULO FV 570WP N-TYPE BIFACIAL DAH SOLAR DHN-72X16/DG 
 12 x HMS-2000-4T - MICRO HOYMILES 2000W DTU EXTERNA 
 4 x CABO FOTOVOLTAICO 4MM² PRETO 
 48 x CABO FOTOVOLTAICO 4MM² VERMELHO 
 96 x CONECTOR MC4 PAR EMBALADO 
 ESTRUTURA FIBROCIMENTO MADEIRA 
 12 x AC TRUNK CONNECTOR - CONECTOR CA HOYMILES 
 4 x AC TRUNK END CAP - TERMINAL ENDCAP HOYMILES 
 1 x AC TRUNK CONNECTOR UNLOCK TOOL - CHAVE DESBLOQUEIO CONECTOR CA 
 1 x HMS DISCONNECT TOOL-1PCS - CHAVE DESCONEXAO MICROINVERSOR 
 24 x CABO CA MULTIPOLAR 10AWG 
 1 x DTU-LITE-S(WIFI) - MONIT DTU-LITE S (ATÉ 25 MICROS)</t>
  </si>
  <si>
    <t>47 x MODULO FV 570WP N-TYPE BIFACIAL DUAL GLASS DAS-DH144NA 
 12 x HMS-2000-4T - MICRO HOYMILES 2000W DTU EXTERNA 
 4 x CABO FOTOVOLTAICO 4MM² PRETO 
 48 x CABO FOTOVOLTAICO 4MM² VERMELHO 
 96 x CONECTOR MC4 PAR EMBALADO 
 ESTRUTURA FIBROCIMENTO MADEIRA 
 12 x AC TRUNK CONNECTOR - CONECTOR CA HOYMILES 
 4 x AC TRUNK END CAP - TERMINAL ENDCAP HOYMILES 
 1 x AC TRUNK CONNECTOR UNLOCK TOOL - CHAVE DESBLOQUEIO CONECTOR CA 
 1 x HMS DISCONNECT TOOL-1PCS - CHAVE DESCONEXAO MICROINVERSOR 
 24 x CABO CA MULTIPOLAR 10AWG 
 1 x DTU-LITE-S(WIFI) - MONIT DTU-LITE S (ATÉ 25 MICROS)</t>
  </si>
  <si>
    <t>38 x MODULO FV 710WP BIFACIAL DUAL-GLASS TRINA TSM-NEG21C.20 
 10 x HMS-2000-4T - MICRO HOYMILES 2000W DTU EXTERNA 
 4 x CABO FOTOVOLTAICO 4MM² PRETO 
 40 x CABO FOTOVOLTAICO 4MM² VERMELHO 
 80 x CONECTOR MC4 PAR TRINA 
 ESTRUTURA FIBROCIMENTO MADEIRA 
 10 x AC TRUNK CONNECTOR - CONECTOR CA HOYMILES 
 4 x AC TRUNK END CAP - TERMINAL ENDCAP HOYMILES 
 1 x AC TRUNK CONNECTOR UNLOCK TOOL - CHAVE DESBLOQUEIO CONECTOR CA 
 1 x HMS DISCONNECT TOOL-1PCS - CHAVE DESCONEXAO MICROINVERSOR 
 18 x CABO CA MULTIPOLAR 10AWG 
 1 x DTU-LITE-S(WIFI) - MONIT DTU-LITE S (ATÉ 25 MICROS)</t>
  </si>
  <si>
    <t>48 x MODULO FV 570WP N-TYPE BIFACIAL DAH SOLAR DHN-72X16/DG 
 1 x INVERSOR SOLIS 20KW 380V S5-GR3P20K COM MONITORAMENTO 
 100 x CABO FOTOVOLTAICO 4MM² PRETO 
 100 x CABO FOTOVOLTAICO 4MM² VERMELHO 
 8 x CONECTOR MC4 PAR EMBALADO 
 ESTRUTURA FIBROCIMENTO MADEIRA</t>
  </si>
  <si>
    <t>48 x MODULO FV 570WP N-TYPE BIFACIAL DUAL GLASS DAS-DH144NA 
 1 x INVERSOR SOLIS 20KW 380V S5-GR3P20K COM MONITORAMENTO 
 100 x CABO FOTOVOLTAICO 4MM² PRETO 
 100 x CABO FOTOVOLTAICO 4MM² VERMELHO 
 8 x CONECTOR MC4 PAR EMBALADO 
 ESTRUTURA FIBROCIMENTO MADEIRA</t>
  </si>
  <si>
    <t>48 x MODULO FV 570WP N-TYPE BIFACIAL DAH SOLAR DHN-72X16/DG 
 1 x INVERSOR SUNGROW SG20RT COM MONITORAMENTO 
 100 x CABO FOTOVOLTAICO 4MM² PRETO 
 100 x CABO FOTOVOLTAICO 4MM² VERMELHO 
 8 x CONECTOR MC4 PAR EMBALADO 
 ESTRUTURA FIBROCIMENTO MADEIRA</t>
  </si>
  <si>
    <t>48 x MODULO FV 570WP N-TYPE BIFACIAL DUAL GLASS DAS-DH144NA 
 1 x INVERSOR SUNGROW SG20RT COM MONITORAMENTO 
 100 x CABO FOTOVOLTAICO 4MM² PRETO 
 100 x CABO FOTOVOLTAICO 4MM² VERMELHO 
 8 x CONECTOR MC4 PAR EMBALADO 
 ESTRUTURA FIBROCIMENTO MADEIRA</t>
  </si>
  <si>
    <t>48 x MODULO FV 570WP N-TYPE BIFACIAL DAH SOLAR DHN-72X16/DG 
 1 x INVERSOR SOLIS 20KW 220V S5-GC20K-LV COM MONITORAMENTO 
 100 x CABO FOTOVOLTAICO 4MM² PRETO 
 100 x CABO FOTOVOLTAICO 4MM² VERMELHO 
 12 x CONECTOR MC4 PAR EMBALADO 
 ESTRUTURA FIBROCIMENTO MADEIRA</t>
  </si>
  <si>
    <t>48 x MODULO FV 570WP N-TYPE BIFACIAL DUAL GLASS DAS-DH144NA 
 1 x INVERSOR SOLIS 20KW 220V S5-GC20K-LV COM MONITORAMENTO 
 100 x CABO FOTOVOLTAICO 4MM² PRETO 
 100 x CABO FOTOVOLTAICO 4MM² VERMELHO 
 12 x CONECTOR MC4 PAR EMBALADO 
 ESTRUTURA FIBROCIMENTO MADEIRA</t>
  </si>
  <si>
    <t>48 x MODULO FV 570WP N-TYPE BIFACIAL DAH SOLAR DHN-72X16/DG 
 1 x INVERSOR SUNGROW SG20CX-P2-LV AFCI 220V COM MONITORAMENTO 
 100 x CABO FOTOVOLTAICO 4MM² PRETO 
 100 x CABO FOTOVOLTAICO 4MM² VERMELHO 
 8 x CONECTOR MC4 PAR EMBALADO 
 ESTRUTURA FIBROCIMENTO MADEIRA</t>
  </si>
  <si>
    <t>48 x MODULO FV 570WP N-TYPE BIFACIAL DUAL GLASS DAS-DH144NA 
 1 x INVERSOR SUNGROW SG20CX-P2-LV AFCI 220V COM MONITORAMENTO 
 100 x CABO FOTOVOLTAICO 4MM² PRETO 
 100 x CABO FOTOVOLTAICO 4MM² VERMELHO 
 8 x CONECTOR MC4 PAR EMBALADO 
 ESTRUTURA FIBROCIMENTO MADEIRA</t>
  </si>
  <si>
    <t>48 x MODULO FV 570WP N-TYPE BIFACIAL DAH SOLAR DHN-72X16/DG 
 12 x HMS-2000-4T - MICRO HOYMILES 2000W DTU EXTERNA 
 4 x CABO FOTOVOLTAICO 4MM² PRETO 
 48 x CABO FOTOVOLTAICO 4MM² VERMELHO 
 96 x CONECTOR MC4 PAR EMBALADO 
 ESTRUTURA FIBROCIMENTO MADEIRA 
 12 x AC TRUNK CONNECTOR - CONECTOR CA HOYMILES 
 4 x AC TRUNK END CAP - TERMINAL ENDCAP HOYMILES 
 1 x AC TRUNK CONNECTOR UNLOCK TOOL - CHAVE DESBLOQUEIO CONECTOR CA 
 1 x HMS DISCONNECT TOOL-1PCS - CHAVE DESCONEXAO MICROINVERSOR 
 24 x CABO CA MULTIPOLAR 10AWG 
 1 x DTU-LITE-S(WIFI) - MONIT DTU-LITE S (ATÉ 25 MICROS)</t>
  </si>
  <si>
    <t>48 x MODULO FV 570WP N-TYPE BIFACIAL DUAL GLASS DAS-DH144NA 
 12 x HMS-2000-4T - MICRO HOYMILES 2000W DTU EXTERNA 
 4 x CABO FOTOVOLTAICO 4MM² PRETO 
 48 x CABO FOTOVOLTAICO 4MM² VERMELHO 
 96 x CONECTOR MC4 PAR EMBALADO 
 ESTRUTURA FIBROCIMENTO MADEIRA 
 12 x AC TRUNK CONNECTOR - CONECTOR CA HOYMILES 
 4 x AC TRUNK END CAP - TERMINAL ENDCAP HOYMILES 
 1 x AC TRUNK CONNECTOR UNLOCK TOOL - CHAVE DESBLOQUEIO CONECTOR CA 
 1 x HMS DISCONNECT TOOL-1PCS - CHAVE DESCONEXAO MICROINVERSOR 
 24 x CABO CA MULTIPOLAR 10AWG 
 1 x DTU-LITE-S(WIFI) - MONIT DTU-LITE S (ATÉ 25 MICROS)</t>
  </si>
  <si>
    <t>39 x MODULO FV 710WP BIFACIAL DUAL-GLASS TRINA TSM-NEG21C.20 
 10 x HMS-2000-4T - MICRO HOYMILES 2000W DTU EXTERNA 
 4 x CABO FOTOVOLTAICO 4MM² PRETO 
 40 x CABO FOTOVOLTAICO 4MM² VERMELHO 
 80 x CONECTOR MC4 PAR TRINA 
 ESTRUTURA FIBROCIMENTO MADEIRA 
 10 x AC TRUNK CONNECTOR - CONECTOR CA HOYMILES 
 4 x AC TRUNK END CAP - TERMINAL ENDCAP HOYMILES 
 1 x AC TRUNK CONNECTOR UNLOCK TOOL - CHAVE DESBLOQUEIO CONECTOR CA 
 1 x HMS DISCONNECT TOOL-1PCS - CHAVE DESCONEXAO MICROINVERSOR 
 18 x CABO CA MULTIPOLAR 10AWG 
 1 x DTU-LITE-S(WIFI) - MONIT DTU-LITE S (ATÉ 25 MICROS)</t>
  </si>
  <si>
    <t>49 x MODULO FV 570WP N-TYPE BIFACIAL DAH SOLAR DHN-72X16/DG 
 1 x INVERSOR SUNGROW SG20RT COM MONITORAMENTO 
 100 x CABO FOTOVOLTAICO 4MM² PRETO 
 100 x CABO FOTOVOLTAICO 4MM² VERMELHO 
 8 x CONECTOR MC4 PAR EMBALADO 
 ESTRUTURA FIBROCIMENTO MADEIRA</t>
  </si>
  <si>
    <t>49 x MODULO FV 570WP N-TYPE BIFACIAL DUAL GLASS DAS-DH144NA 
 1 x INVERSOR SUNGROW SG20RT COM MONITORAMENTO 
 100 x CABO FOTOVOLTAICO 4MM² PRETO 
 100 x CABO FOTOVOLTAICO 4MM² VERMELHO 
 8 x CONECTOR MC4 PAR EMBALADO 
 ESTRUTURA FIBROCIMENTO MADEIRA</t>
  </si>
  <si>
    <t>49 x MODULO FV 570WP N-TYPE BIFACIAL DAH SOLAR DHN-72X16/DG 
 1 x INVERSOR SOLIS 25KW 380V S5-GC25K COM MONITORAMENTO 
 100 x CABO FOTOVOLTAICO 4MM² PRETO 
 100 x CABO FOTOVOLTAICO 4MM² VERMELHO 
 12 x CONECTOR MC4 PAR EMBALADO 
 ESTRUTURA FIBROCIMENTO MADEIRA</t>
  </si>
  <si>
    <t>49 x MODULO FV 570WP N-TYPE BIFACIAL DUAL GLASS DAS-DH144NA 
 1 x INVERSOR SOLIS 25KW 380V S5-GC25K COM MONITORAMENTO 
 100 x CABO FOTOVOLTAICO 4MM² PRETO 
 100 x CABO FOTOVOLTAICO 4MM² VERMELHO 
 12 x CONECTOR MC4 PAR EMBALADO 
 ESTRUTURA FIBROCIMENTO MADEIRA</t>
  </si>
  <si>
    <t>49 x MODULO FV 570WP N-TYPE BIFACIAL DAH SOLAR DHN-72X16/DG 
 1 x INVERSOR SOLIS 25KW 220V S5-GC25K-LV COM MONITORAMENTO 
 100 x CABO FOTOVOLTAICO 4MM² PRETO 
 100 x CABO FOTOVOLTAICO 4MM² VERMELHO 
 16 x CONECTOR MC4 PAR EMBALADO 
 ESTRUTURA FIBROCIMENTO MADEIRA</t>
  </si>
  <si>
    <t>49 x MODULO FV 570WP N-TYPE BIFACIAL DUAL GLASS DAS-DH144NA 
 1 x INVERSOR SOLIS 25KW 220V S5-GC25K-LV COM MONITORAMENTO 
 100 x CABO FOTOVOLTAICO 4MM² PRETO 
 100 x CABO FOTOVOLTAICO 4MM² VERMELHO 
 16 x CONECTOR MC4 PAR EMBALADO 
 ESTRUTURA FIBROCIMENTO MADEIRA</t>
  </si>
  <si>
    <t>49 x MODULO FV 570WP N-TYPE BIFACIAL DAH SOLAR DHN-72X16/DG 
 1 x INVERSOR SUNGROW SG20CX-P2-LV AFCI 220V COM MONITORAMENTO 
 100 x CABO FOTOVOLTAICO 4MM² PRETO 
 100 x CABO FOTOVOLTAICO 4MM² VERMELHO 
 8 x CONECTOR MC4 PAR EMBALADO 
 ESTRUTURA FIBROCIMENTO MADEIRA</t>
  </si>
  <si>
    <t>49 x MODULO FV 570WP N-TYPE BIFACIAL DUAL GLASS DAS-DH144NA 
 1 x INVERSOR SUNGROW SG20CX-P2-LV AFCI 220V COM MONITORAMENTO 
 100 x CABO FOTOVOLTAICO 4MM² PRETO 
 100 x CABO FOTOVOLTAICO 4MM² VERMELHO 
 8 x CONECTOR MC4 PAR EMBALADO 
 ESTRUTURA FIBROCIMENTO MADEIRA</t>
  </si>
  <si>
    <t>49 x MODULO FV 570WP N-TYPE BIFACIAL DAH SOLAR DHN-72X16/DG 
 13 x HMS-2000-4T - MICRO HOYMILES 2000W DTU EXTERNA 
 4 x CABO FOTOVOLTAICO 4MM² PRETO 
 52 x CABO FOTOVOLTAICO 4MM² VERMELHO 
 104 x CONECTOR MC4 PAR EMBALADO 
 ESTRUTURA FIBROCIMENTO MADEIRA 
 13 x AC TRUNK CONNECTOR - CONECTOR CA HOYMILES 
 5 x AC TRUNK END CAP - TERMINAL ENDCAP HOYMILES 
 1 x AC TRUNK CONNECTOR UNLOCK TOOL - CHAVE DESBLOQUEIO CONECTOR CA 
 1 x HMS DISCONNECT TOOL-1PCS - CHAVE DESCONEXAO MICROINVERSOR 
 24 x CABO CA MULTIPOLAR 10AWG 
 1 x DTU-LITE-S(WIFI) - MONIT DTU-LITE S (ATÉ 25 MICROS)</t>
  </si>
  <si>
    <t>49 x MODULO FV 570WP N-TYPE BIFACIAL DUAL GLASS DAS-DH144NA 
 13 x HMS-2000-4T - MICRO HOYMILES 2000W DTU EXTERNA 
 4 x CABO FOTOVOLTAICO 4MM² PRETO 
 52 x CABO FOTOVOLTAICO 4MM² VERMELHO 
 104 x CONECTOR MC4 PAR EMBALADO 
 ESTRUTURA FIBROCIMENTO MADEIRA 
 13 x AC TRUNK CONNECTOR - CONECTOR CA HOYMILES 
 5 x AC TRUNK END CAP - TERMINAL ENDCAP HOYMILES 
 1 x AC TRUNK CONNECTOR UNLOCK TOOL - CHAVE DESBLOQUEIO CONECTOR CA 
 1 x HMS DISCONNECT TOOL-1PCS - CHAVE DESCONEXAO MICROINVERSOR 
 24 x CABO CA MULTIPOLAR 10AWG 
 1 x DTU-LITE-S(WIFI) - MONIT DTU-LITE S (ATÉ 25 MICROS)</t>
  </si>
  <si>
    <t>40 x MODULO FV 710WP BIFACIAL DUAL-GLASS TRINA TSM-NEG21C.20 
 10 x HMS-2000-4T - MICRO HOYMILES 2000W DTU EXTERNA 
 4 x CABO FOTOVOLTAICO 4MM² PRETO 
 40 x CABO FOTOVOLTAICO 4MM² VERMELHO 
 80 x CONECTOR MC4 PAR TRINA 
 ESTRUTURA FIBROCIMENTO MADEIRA 
 10 x AC TRUNK CONNECTOR - CONECTOR CA HOYMILES 
 4 x AC TRUNK END CAP - TERMINAL ENDCAP HOYMILES 
 1 x AC TRUNK CONNECTOR UNLOCK TOOL - CHAVE DESBLOQUEIO CONECTOR CA 
 1 x HMS DISCONNECT TOOL-1PCS - CHAVE DESCONEXAO MICROINVERSOR 
 18 x CABO CA MULTIPOLAR 10AWG 
 1 x DTU-LITE-S(WIFI) - MONIT DTU-LITE S (ATÉ 25 MICROS)</t>
  </si>
  <si>
    <t>50 x MODULO FV 570WP N-TYPE BIFACIAL DAH SOLAR DHN-72X16/DG 
 1 x INVERSOR SOLIS 25KW 380V S5-GC25K COM MONITORAMENTO 
 100 x CABO FOTOVOLTAICO 4MM² PRETO 
 100 x CABO FOTOVOLTAICO 4MM² VERMELHO 
 12 x CONECTOR MC4 PAR EMBALADO 
 ESTRUTURA FIBROCIMENTO MADEIRA</t>
  </si>
  <si>
    <t>50 x MODULO FV 570WP N-TYPE BIFACIAL DAH SOLAR DHN-72X16/DG 
 1 x INVERSOR SUNGROW SG25CX-P2 AFCI 380V COM MONITORAMENTO 
 100 x CABO FOTOVOLTAICO 4MM² PRETO 
 100 x CABO FOTOVOLTAICO 4MM² VERMELHO 
 12 x CONECTOR MC4 PAR EMBALADO 
 ESTRUTURA FIBROCIMENTO MADEIRA</t>
  </si>
  <si>
    <t>50 x MODULO FV 570WP N-TYPE BIFACIAL DUAL GLASS DAS-DH144NA 
 1 x INVERSOR SOLIS 25KW 380V S5-GC25K COM MONITORAMENTO 
 100 x CABO FOTOVOLTAICO 4MM² PRETO 
 100 x CABO FOTOVOLTAICO 4MM² VERMELHO 
 12 x CONECTOR MC4 PAR EMBALADO 
 ESTRUTURA FIBROCIMENTO MADEIRA</t>
  </si>
  <si>
    <t>50 x MODULO FV 570WP N-TYPE BIFACIAL DUAL GLASS DAS-DH144NA 
 1 x INVERSOR SUNGROW SG25CX-P2 AFCI 380V COM MONITORAMENTO 
 100 x CABO FOTOVOLTAICO 4MM² PRETO 
 100 x CABO FOTOVOLTAICO 4MM² VERMELHO 
 12 x CONECTOR MC4 PAR EMBALADO 
 ESTRUTURA FIBROCIMENTO MADEIRA</t>
  </si>
  <si>
    <t>50 x MODULO FV 570WP N-TYPE BIFACIAL DAH SOLAR DHN-72X16/DG 
 1 x INVERSOR SOLIS 25KW 220V S5-GC25K-LV COM MONITORAMENTO 
 100 x CABO FOTOVOLTAICO 4MM² PRETO 
 100 x CABO FOTOVOLTAICO 4MM² VERMELHO 
 16 x CONECTOR MC4 PAR EMBALADO 
 ESTRUTURA FIBROCIMENTO MADEIRA</t>
  </si>
  <si>
    <t>50 x MODULO FV 570WP N-TYPE BIFACIAL DUAL GLASS DAS-DH144NA 
 1 x INVERSOR SOLIS 25KW 220V S5-GC25K-LV COM MONITORAMENTO 
 100 x CABO FOTOVOLTAICO 4MM² PRETO 
 100 x CABO FOTOVOLTAICO 4MM² VERMELHO 
 16 x CONECTOR MC4 PAR EMBALADO 
 ESTRUTURA FIBROCIMENTO MADEIRA</t>
  </si>
  <si>
    <t>50 x MODULO FV 570WP N-TYPE BIFACIAL DAH SOLAR DHN-72X16/DG 
 1 x INVERSOR SUNGROW SG25CX-P2-LV AFCI 220V COM MONITORAMENTO 
 100 x CABO FOTOVOLTAICO 4MM² PRETO 
 100 x CABO FOTOVOLTAICO 4MM² VERMELHO 
 10 x CONECTOR MC4 PAR EMBALADO 
 ESTRUTURA FIBROCIMENTO MADEIRA</t>
  </si>
  <si>
    <t>50 x MODULO FV 570WP N-TYPE BIFACIAL DUAL GLASS DAS-DH144NA 
 1 x INVERSOR SUNGROW SG25CX-P2-LV AFCI 220V COM MONITORAMENTO 
 100 x CABO FOTOVOLTAICO 4MM² PRETO 
 100 x CABO FOTOVOLTAICO 4MM² VERMELHO 
 10 x CONECTOR MC4 PAR EMBALADO 
 ESTRUTURA FIBROCIMENTO MADEIRA</t>
  </si>
  <si>
    <t>50 x MODULO FV 570WP N-TYPE BIFACIAL DAH SOLAR DHN-72X16/DG 
 13 x HMS-2000-4T - MICRO HOYMILES 2000W DTU EXTERNA 
 4 x CABO FOTOVOLTAICO 4MM² PRETO 
 52 x CABO FOTOVOLTAICO 4MM² VERMELHO 
 104 x CONECTOR MC4 PAR EMBALADO 
 ESTRUTURA FIBROCIMENTO MADEIRA 
 13 x AC TRUNK CONNECTOR - CONECTOR CA HOYMILES 
 5 x AC TRUNK END CAP - TERMINAL ENDCAP HOYMILES 
 1 x AC TRUNK CONNECTOR UNLOCK TOOL - CHAVE DESBLOQUEIO CONECTOR CA 
 1 x HMS DISCONNECT TOOL-1PCS - CHAVE DESCONEXAO MICROINVERSOR 
 24 x CABO CA MULTIPOLAR 10AWG 
 1 x DTU-LITE-S(WIFI) - MONIT DTU-LITE S (ATÉ 25 MICROS)</t>
  </si>
  <si>
    <t>50 x MODULO FV 570WP N-TYPE BIFACIAL DUAL GLASS DAS-DH144NA 
 13 x HMS-2000-4T - MICRO HOYMILES 2000W DTU EXTERNA 
 4 x CABO FOTOVOLTAICO 4MM² PRETO 
 52 x CABO FOTOVOLTAICO 4MM² VERMELHO 
 104 x CONECTOR MC4 PAR EMBALADO 
 ESTRUTURA FIBROCIMENTO MADEIRA 
 13 x AC TRUNK CONNECTOR - CONECTOR CA HOYMILES 
 5 x AC TRUNK END CAP - TERMINAL ENDCAP HOYMILES 
 1 x AC TRUNK CONNECTOR UNLOCK TOOL - CHAVE DESBLOQUEIO CONECTOR CA 
 1 x HMS DISCONNECT TOOL-1PCS - CHAVE DESCONEXAO MICROINVERSOR 
 24 x CABO CA MULTIPOLAR 10AWG 
 1 x DTU-LITE-S(WIFI) - MONIT DTU-LITE S (ATÉ 25 MICROS)</t>
  </si>
  <si>
    <t>51 x MODULO FV 570WP N-TYPE BIFACIAL DAH SOLAR DHN-72X16/DG 
 1 x INVERSOR SOLIS 25KW 380V S5-GC25K COM MONITORAMENTO 
 100 x CABO FOTOVOLTAICO 4MM² PRETO 
 100 x CABO FOTOVOLTAICO 4MM² VERMELHO 
 12 x CONECTOR MC4 PAR EMBALADO 
 ESTRUTURA FIBROCIMENTO MADEIRA</t>
  </si>
  <si>
    <t>51 x MODULO FV 570WP N-TYPE BIFACIAL DAH SOLAR DHN-72X16/DG 
 1 x INVERSOR SUNGROW SG25CX-P2 AFCI 380V COM MONITORAMENTO 
 100 x CABO FOTOVOLTAICO 4MM² PRETO 
 100 x CABO FOTOVOLTAICO 4MM² VERMELHO 
 12 x CONECTOR MC4 PAR EMBALADO 
 ESTRUTURA FIBROCIMENTO MADEIRA</t>
  </si>
  <si>
    <t>51 x MODULO FV 570WP N-TYPE BIFACIAL DUAL GLASS DAS-DH144NA 
 1 x INVERSOR SOLIS 25KW 380V S5-GC25K COM MONITORAMENTO 
 100 x CABO FOTOVOLTAICO 4MM² PRETO 
 100 x CABO FOTOVOLTAICO 4MM² VERMELHO 
 12 x CONECTOR MC4 PAR EMBALADO 
 ESTRUTURA FIBROCIMENTO MADEIRA</t>
  </si>
  <si>
    <t>51 x MODULO FV 570WP N-TYPE BIFACIAL DUAL GLASS DAS-DH144NA 
 1 x INVERSOR SUNGROW SG25CX-P2 AFCI 380V COM MONITORAMENTO 
 100 x CABO FOTOVOLTAICO 4MM² PRETO 
 100 x CABO FOTOVOLTAICO 4MM² VERMELHO 
 12 x CONECTOR MC4 PAR EMBALADO 
 ESTRUTURA FIBROCIMENTO MADEIRA</t>
  </si>
  <si>
    <t>51 x MODULO FV 570WP N-TYPE BIFACIAL DAH SOLAR DHN-72X16/DG 
 1 x INVERSOR SOLIS 25KW 220V S5-GC25K-LV COM MONITORAMENTO 
 100 x CABO FOTOVOLTAICO 4MM² PRETO 
 100 x CABO FOTOVOLTAICO 4MM² VERMELHO 
 16 x CONECTOR MC4 PAR EMBALADO 
 ESTRUTURA FIBROCIMENTO MADEIRA</t>
  </si>
  <si>
    <t>51 x MODULO FV 570WP N-TYPE BIFACIAL DUAL GLASS DAS-DH144NA 
 1 x INVERSOR SOLIS 25KW 220V S5-GC25K-LV COM MONITORAMENTO 
 100 x CABO FOTOVOLTAICO 4MM² PRETO 
 100 x CABO FOTOVOLTAICO 4MM² VERMELHO 
 16 x CONECTOR MC4 PAR EMBALADO 
 ESTRUTURA FIBROCIMENTO MADEIRA</t>
  </si>
  <si>
    <t>51 x MODULO FV 570WP N-TYPE BIFACIAL DAH SOLAR DHN-72X16/DG 
 1 x INVERSOR SUNGROW SG25CX-P2-LV AFCI 220V COM MONITORAMENTO 
 100 x CABO FOTOVOLTAICO 4MM² PRETO 
 100 x CABO FOTOVOLTAICO 4MM² VERMELHO 
 10 x CONECTOR MC4 PAR EMBALADO 
 ESTRUTURA FIBROCIMENTO MADEIRA</t>
  </si>
  <si>
    <t>51 x MODULO FV 570WP N-TYPE BIFACIAL DUAL GLASS DAS-DH144NA 
 1 x INVERSOR SUNGROW SG25CX-P2-LV AFCI 220V COM MONITORAMENTO 
 100 x CABO FOTOVOLTAICO 4MM² PRETO 
 100 x CABO FOTOVOLTAICO 4MM² VERMELHO 
 10 x CONECTOR MC4 PAR EMBALADO 
 ESTRUTURA FIBROCIMENTO MADEIRA</t>
  </si>
  <si>
    <t>51 x MODULO FV 570WP N-TYPE BIFACIAL DAH SOLAR DHN-72X16/DG 
 13 x HMS-2000-4T - MICRO HOYMILES 2000W DTU EXTERNA 
 4 x CABO FOTOVOLTAICO 4MM² PRETO 
 52 x CABO FOTOVOLTAICO 4MM² VERMELHO 
 104 x CONECTOR MC4 PAR EMBALADO 
 ESTRUTURA FIBROCIMENTO MADEIRA 
 13 x AC TRUNK CONNECTOR - CONECTOR CA HOYMILES 
 5 x AC TRUNK END CAP - TERMINAL ENDCAP HOYMILES 
 1 x AC TRUNK CONNECTOR UNLOCK TOOL - CHAVE DESBLOQUEIO CONECTOR CA 
 1 x HMS DISCONNECT TOOL-1PCS - CHAVE DESCONEXAO MICROINVERSOR 
 24 x CABO CA MULTIPOLAR 10AWG 
 1 x DTU-LITE-S(WIFI) - MONIT DTU-LITE S (ATÉ 25 MICROS)</t>
  </si>
  <si>
    <t>51 x MODULO FV 570WP N-TYPE BIFACIAL DUAL GLASS DAS-DH144NA 
 13 x HMS-2000-4T - MICRO HOYMILES 2000W DTU EXTERNA 
 4 x CABO FOTOVOLTAICO 4MM² PRETO 
 52 x CABO FOTOVOLTAICO 4MM² VERMELHO 
 104 x CONECTOR MC4 PAR EMBALADO 
 ESTRUTURA FIBROCIMENTO MADEIRA 
 13 x AC TRUNK CONNECTOR - CONECTOR CA HOYMILES 
 5 x AC TRUNK END CAP - TERMINAL ENDCAP HOYMILES 
 1 x AC TRUNK CONNECTOR UNLOCK TOOL - CHAVE DESBLOQUEIO CONECTOR CA 
 1 x HMS DISCONNECT TOOL-1PCS - CHAVE DESCONEXAO MICROINVERSOR 
 24 x CABO CA MULTIPOLAR 10AWG 
 1 x DTU-LITE-S(WIFI) - MONIT DTU-LITE S (ATÉ 25 MICROS)</t>
  </si>
  <si>
    <t>41 x MODULO FV 710WP BIFACIAL DUAL-GLASS TRINA TSM-NEG21C.20 
 11 x HMS-2000-4T - MICRO HOYMILES 2000W DTU EXTERNA 
 4 x CABO FOTOVOLTAICO 4MM² PRETO 
 44 x CABO FOTOVOLTAICO 4MM² VERMELHO 
 88 x CONECTOR MC4 PAR TRINA 
 ESTRUTURA FIBROCIMENTO MADEIRA 
 11 x AC TRUNK CONNECTOR - CONECTOR CA HOYMILES 
 4 x AC TRUNK END CAP - TERMINAL ENDCAP HOYMILES 
 1 x AC TRUNK CONNECTOR UNLOCK TOOL - CHAVE DESBLOQUEIO CONECTOR CA 
 1 x HMS DISCONNECT TOOL-1PCS - CHAVE DESCONEXAO MICROINVERSOR 
 21 x CABO CA MULTIPOLAR 10AWG 
 1 x DTU-LITE-S(WIFI) - MONIT DTU-LITE S (ATÉ 25 MICROS)</t>
  </si>
  <si>
    <t>52 x MODULO FV 570WP N-TYPE BIFACIAL DAH SOLAR DHN-72X16/DG 
 1 x INVERSOR SOLIS 25KW 380V S5-GC25K COM MONITORAMENTO 
 100 x CABO FOTOVOLTAICO 4MM² PRETO 
 100 x CABO FOTOVOLTAICO 4MM² VERMELHO 
 12 x CONECTOR MC4 PAR EMBALADO 
 ESTRUTURA FIBROCIMENTO MADEIRA</t>
  </si>
  <si>
    <t>52 x MODULO FV 570WP N-TYPE BIFACIAL DAH SOLAR DHN-72X16/DG 
 1 x INVERSOR SUNGROW SG25CX-P2 AFCI 380V COM MONITORAMENTO 
 100 x CABO FOTOVOLTAICO 4MM² PRETO 
 100 x CABO FOTOVOLTAICO 4MM² VERMELHO 
 12 x CONECTOR MC4 PAR EMBALADO 
 ESTRUTURA FIBROCIMENTO MADEIRA</t>
  </si>
  <si>
    <t>52 x MODULO FV 570WP N-TYPE BIFACIAL DUAL GLASS DAS-DH144NA 
 1 x INVERSOR SOLIS 25KW 380V S5-GC25K COM MONITORAMENTO 
 100 x CABO FOTOVOLTAICO 4MM² PRETO 
 100 x CABO FOTOVOLTAICO 4MM² VERMELHO 
 12 x CONECTOR MC4 PAR EMBALADO 
 ESTRUTURA FIBROCIMENTO MADEIRA</t>
  </si>
  <si>
    <t>52 x MODULO FV 570WP N-TYPE BIFACIAL DUAL GLASS DAS-DH144NA 
 1 x INVERSOR SUNGROW SG25CX-P2 AFCI 380V COM MONITORAMENTO 
 100 x CABO FOTOVOLTAICO 4MM² PRETO 
 100 x CABO FOTOVOLTAICO 4MM² VERMELHO 
 12 x CONECTOR MC4 PAR EMBALADO 
 ESTRUTURA FIBROCIMENTO MADEIRA</t>
  </si>
  <si>
    <t>52 x MODULO FV 570WP N-TYPE BIFACIAL DAH SOLAR DHN-72X16/DG 
 1 x INVERSOR SOLIS 25KW 220V S5-GC25K-LV COM MONITORAMENTO 
 100 x CABO FOTOVOLTAICO 4MM² PRETO 
 100 x CABO FOTOVOLTAICO 4MM² VERMELHO 
 16 x CONECTOR MC4 PAR EMBALADO 
 ESTRUTURA FIBROCIMENTO MADEIRA</t>
  </si>
  <si>
    <t>52 x MODULO FV 570WP N-TYPE BIFACIAL DUAL GLASS DAS-DH144NA 
 1 x INVERSOR SOLIS 25KW 220V S5-GC25K-LV COM MONITORAMENTO 
 100 x CABO FOTOVOLTAICO 4MM² PRETO 
 100 x CABO FOTOVOLTAICO 4MM² VERMELHO 
 16 x CONECTOR MC4 PAR EMBALADO 
 ESTRUTURA FIBROCIMENTO MADEIRA</t>
  </si>
  <si>
    <t>52 x MODULO FV 570WP N-TYPE BIFACIAL DAH SOLAR DHN-72X16/DG 
 1 x INVERSOR SUNGROW SG25CX-P2-LV AFCI 220V COM MONITORAMENTO 
 100 x CABO FOTOVOLTAICO 4MM² PRETO 
 100 x CABO FOTOVOLTAICO 4MM² VERMELHO 
 10 x CONECTOR MC4 PAR EMBALADO 
 ESTRUTURA FIBROCIMENTO MADEIRA</t>
  </si>
  <si>
    <t>52 x MODULO FV 570WP N-TYPE BIFACIAL DUAL GLASS DAS-DH144NA 
 1 x INVERSOR SUNGROW SG25CX-P2-LV AFCI 220V COM MONITORAMENTO 
 100 x CABO FOTOVOLTAICO 4MM² PRETO 
 100 x CABO FOTOVOLTAICO 4MM² VERMELHO 
 10 x CONECTOR MC4 PAR EMBALADO 
 ESTRUTURA FIBROCIMENTO MADEIRA</t>
  </si>
  <si>
    <t>52 x MODULO FV 570WP N-TYPE BIFACIAL DAH SOLAR DHN-72X16/DG 
 13 x HMS-2000-4T - MICRO HOYMILES 2000W DTU EXTERNA 
 4 x CABO FOTOVOLTAICO 4MM² PRETO 
 52 x CABO FOTOVOLTAICO 4MM² VERMELHO 
 104 x CONECTOR MC4 PAR EMBALADO 
 ESTRUTURA FIBROCIMENTO MADEIRA 
 13 x AC TRUNK CONNECTOR - CONECTOR CA HOYMILES 
 5 x AC TRUNK END CAP - TERMINAL ENDCAP HOYMILES 
 1 x AC TRUNK CONNECTOR UNLOCK TOOL - CHAVE DESBLOQUEIO CONECTOR CA 
 1 x HMS DISCONNECT TOOL-1PCS - CHAVE DESCONEXAO MICROINVERSOR 
 24 x CABO CA MULTIPOLAR 10AWG 
 1 x DTU-LITE-S(WIFI) - MONIT DTU-LITE S (ATÉ 25 MICROS)</t>
  </si>
  <si>
    <t>52 x MODULO FV 570WP N-TYPE BIFACIAL DUAL GLASS DAS-DH144NA 
 13 x HMS-2000-4T - MICRO HOYMILES 2000W DTU EXTERNA 
 4 x CABO FOTOVOLTAICO 4MM² PRETO 
 52 x CABO FOTOVOLTAICO 4MM² VERMELHO 
 104 x CONECTOR MC4 PAR EMBALADO 
 ESTRUTURA FIBROCIMENTO MADEIRA 
 13 x AC TRUNK CONNECTOR - CONECTOR CA HOYMILES 
 5 x AC TRUNK END CAP - TERMINAL ENDCAP HOYMILES 
 1 x AC TRUNK CONNECTOR UNLOCK TOOL - CHAVE DESBLOQUEIO CONECTOR CA 
 1 x HMS DISCONNECT TOOL-1PCS - CHAVE DESCONEXAO MICROINVERSOR 
 24 x CABO CA MULTIPOLAR 10AWG 
 1 x DTU-LITE-S(WIFI) - MONIT DTU-LITE S (ATÉ 25 MICROS)</t>
  </si>
  <si>
    <t>42 x MODULO FV 710WP BIFACIAL DUAL-GLASS TRINA TSM-NEG21C.20 
 11 x HMS-2000-4T - MICRO HOYMILES 2000W DTU EXTERNA 
 4 x CABO FOTOVOLTAICO 4MM² PRETO 
 44 x CABO FOTOVOLTAICO 4MM² VERMELHO 
 88 x CONECTOR MC4 PAR TRINA 
 ESTRUTURA FIBROCIMENTO MADEIRA 
 11 x AC TRUNK CONNECTOR - CONECTOR CA HOYMILES 
 4 x AC TRUNK END CAP - TERMINAL ENDCAP HOYMILES 
 1 x AC TRUNK CONNECTOR UNLOCK TOOL - CHAVE DESBLOQUEIO CONECTOR CA 
 1 x HMS DISCONNECT TOOL-1PCS - CHAVE DESCONEXAO MICROINVERSOR 
 21 x CABO CA MULTIPOLAR 10AWG 
 1 x DTU-LITE-S(WIFI) - MONIT DTU-LITE S (ATÉ 25 MICROS)</t>
  </si>
  <si>
    <t>53 x MODULO FV 570WP N-TYPE BIFACIAL DAH SOLAR DHN-72X16/DG 
 1 x INVERSOR SOLIS 25KW 380V S5-GC25K COM MONITORAMENTO 
 100 x CABO FOTOVOLTAICO 4MM² PRETO 
 100 x CABO FOTOVOLTAICO 4MM² VERMELHO 
 12 x CONECTOR MC4 PAR EMBALADO 
 ESTRUTURA FIBROCIMENTO MADEIRA</t>
  </si>
  <si>
    <t>53 x MODULO FV 570WP N-TYPE BIFACIAL DAH SOLAR DHN-72X16/DG 
 1 x INVERSOR SUNGROW SG25CX-P2 AFCI 380V COM MONITORAMENTO 
 100 x CABO FOTOVOLTAICO 4MM² PRETO 
 100 x CABO FOTOVOLTAICO 4MM² VERMELHO 
 12 x CONECTOR MC4 PAR EMBALADO 
 ESTRUTURA FIBROCIMENTO MADEIRA</t>
  </si>
  <si>
    <t>53 x MODULO FV 570WP N-TYPE BIFACIAL DUAL GLASS DAS-DH144NA 
 1 x INVERSOR SOLIS 25KW 380V S5-GC25K COM MONITORAMENTO 
 100 x CABO FOTOVOLTAICO 4MM² PRETO 
 100 x CABO FOTOVOLTAICO 4MM² VERMELHO 
 12 x CONECTOR MC4 PAR EMBALADO 
 ESTRUTURA FIBROCIMENTO MADEIRA</t>
  </si>
  <si>
    <t>53 x MODULO FV 570WP N-TYPE BIFACIAL DUAL GLASS DAS-DH144NA 
 1 x INVERSOR SUNGROW SG25CX-P2 AFCI 380V COM MONITORAMENTO 
 100 x CABO FOTOVOLTAICO 4MM² PRETO 
 100 x CABO FOTOVOLTAICO 4MM² VERMELHO 
 12 x CONECTOR MC4 PAR EMBALADO 
 ESTRUTURA FIBROCIMENTO MADEIRA</t>
  </si>
  <si>
    <t>53 x MODULO FV 570WP N-TYPE BIFACIAL DAH SOLAR DHN-72X16/DG 
 1 x INVERSOR SOLIS 25KW 220V S5-GC25K-LV COM MONITORAMENTO 
 100 x CABO FOTOVOLTAICO 4MM² PRETO 
 100 x CABO FOTOVOLTAICO 4MM² VERMELHO 
 16 x CONECTOR MC4 PAR EMBALADO 
 ESTRUTURA FIBROCIMENTO MADEIRA</t>
  </si>
  <si>
    <t>53 x MODULO FV 570WP N-TYPE BIFACIAL DUAL GLASS DAS-DH144NA 
 1 x INVERSOR SOLIS 25KW 220V S5-GC25K-LV COM MONITORAMENTO 
 100 x CABO FOTOVOLTAICO 4MM² PRETO 
 100 x CABO FOTOVOLTAICO 4MM² VERMELHO 
 16 x CONECTOR MC4 PAR EMBALADO 
 ESTRUTURA FIBROCIMENTO MADEIRA</t>
  </si>
  <si>
    <t>53 x MODULO FV 570WP N-TYPE BIFACIAL DAH SOLAR DHN-72X16/DG 
 1 x INVERSOR SUNGROW SG25CX-P2-LV AFCI 220V COM MONITORAMENTO 
 100 x CABO FOTOVOLTAICO 4MM² PRETO 
 100 x CABO FOTOVOLTAICO 4MM² VERMELHO 
 10 x CONECTOR MC4 PAR EMBALADO 
 ESTRUTURA FIBROCIMENTO MADEIRA</t>
  </si>
  <si>
    <t>53 x MODULO FV 570WP N-TYPE BIFACIAL DUAL GLASS DAS-DH144NA 
 1 x INVERSOR SUNGROW SG25CX-P2-LV AFCI 220V COM MONITORAMENTO 
 100 x CABO FOTOVOLTAICO 4MM² PRETO 
 100 x CABO FOTOVOLTAICO 4MM² VERMELHO 
 10 x CONECTOR MC4 PAR EMBALADO 
 ESTRUTURA FIBROCIMENTO MADEIRA</t>
  </si>
  <si>
    <t>27</t>
  </si>
  <si>
    <t>53 x MODULO FV 570WP N-TYPE BIFACIAL DAH SOLAR DHN-72X16/DG 
 14 x HMS-2000-4T - MICRO HOYMILES 2000W DTU EXTERNA 
 4 x CABO FOTOVOLTAICO 4MM² PRETO 
 56 x CABO FOTOVOLTAICO 4MM² VERMELHO 
 112 x CONECTOR MC4 PAR EMBALADO 
 ESTRUTURA FIBROCIMENTO MADEIRA 
 14 x AC TRUNK CONNECTOR - CONECTOR CA HOYMILES 
 5 x AC TRUNK END CAP - TERMINAL ENDCAP HOYMILES 
 1 x AC TRUNK CONNECTOR UNLOCK TOOL - CHAVE DESBLOQUEIO CONECTOR CA 
 1 x HMS DISCONNECT TOOL-1PCS - CHAVE DESCONEXAO MICROINVERSOR 
 27 x CABO CA MULTIPOLAR 10AWG 
 1 x DTU-LITE-S(WIFI) - MONIT DTU-LITE S (ATÉ 25 MICROS)</t>
  </si>
  <si>
    <t>53 x MODULO FV 570WP N-TYPE BIFACIAL DUAL GLASS DAS-DH144NA 
 14 x HMS-2000-4T - MICRO HOYMILES 2000W DTU EXTERNA 
 4 x CABO FOTOVOLTAICO 4MM² PRETO 
 56 x CABO FOTOVOLTAICO 4MM² VERMELHO 
 112 x CONECTOR MC4 PAR EMBALADO 
 ESTRUTURA FIBROCIMENTO MADEIRA 
 14 x AC TRUNK CONNECTOR - CONECTOR CA HOYMILES 
 5 x AC TRUNK END CAP - TERMINAL ENDCAP HOYMILES 
 1 x AC TRUNK CONNECTOR UNLOCK TOOL - CHAVE DESBLOQUEIO CONECTOR CA 
 1 x HMS DISCONNECT TOOL-1PCS - CHAVE DESCONEXAO MICROINVERSOR 
 27 x CABO CA MULTIPOLAR 10AWG 
 1 x DTU-LITE-S(WIFI) - MONIT DTU-LITE S (ATÉ 25 MICROS)</t>
  </si>
  <si>
    <t>43 x MODULO FV 710WP BIFACIAL DUAL-GLASS TRINA TSM-NEG21C.20 
 11 x HMS-2000-4T - MICRO HOYMILES 2000W DTU EXTERNA 
 4 x CABO FOTOVOLTAICO 4MM² PRETO 
 44 x CABO FOTOVOLTAICO 4MM² VERMELHO 
 88 x CONECTOR MC4 PAR TRINA 
 ESTRUTURA FIBROCIMENTO MADEIRA 
 11 x AC TRUNK CONNECTOR - CONECTOR CA HOYMILES 
 4 x AC TRUNK END CAP - TERMINAL ENDCAP HOYMILES 
 1 x AC TRUNK CONNECTOR UNLOCK TOOL - CHAVE DESBLOQUEIO CONECTOR CA 
 1 x HMS DISCONNECT TOOL-1PCS - CHAVE DESCONEXAO MICROINVERSOR 
 21 x CABO CA MULTIPOLAR 10AWG 
 1 x DTU-LITE-S(WIFI) - MONIT DTU-LITE S (ATÉ 25 MICROS)</t>
  </si>
  <si>
    <t>54 x MODULO FV 570WP N-TYPE BIFACIAL DAH SOLAR DHN-72X16/DG 
 1 x INVERSOR SOLIS 25KW 380V S5-GC25K COM MONITORAMENTO 
 100 x CABO FOTOVOLTAICO 4MM² PRETO 
 100 x CABO FOTOVOLTAICO 4MM² VERMELHO 
 12 x CONECTOR MC4 PAR EMBALADO 
 ESTRUTURA FIBROCIMENTO MADEIRA</t>
  </si>
  <si>
    <t>54 x MODULO FV 570WP N-TYPE BIFACIAL DAH SOLAR DHN-72X16/DG 
 1 x INVERSOR SUNGROW SG25CX-P2 AFCI 380V COM MONITORAMENTO 
 100 x CABO FOTOVOLTAICO 4MM² PRETO 
 100 x CABO FOTOVOLTAICO 4MM² VERMELHO 
 12 x CONECTOR MC4 PAR EMBALADO 
 ESTRUTURA FIBROCIMENTO MADEIRA</t>
  </si>
  <si>
    <t>54 x MODULO FV 570WP N-TYPE BIFACIAL DUAL GLASS DAS-DH144NA 
 1 x INVERSOR SOLIS 25KW 380V S5-GC25K COM MONITORAMENTO 
 100 x CABO FOTOVOLTAICO 4MM² PRETO 
 100 x CABO FOTOVOLTAICO 4MM² VERMELHO 
 12 x CONECTOR MC4 PAR EMBALADO 
 ESTRUTURA FIBROCIMENTO MADEIRA</t>
  </si>
  <si>
    <t>54 x MODULO FV 570WP N-TYPE BIFACIAL DUAL GLASS DAS-DH144NA 
 1 x INVERSOR SUNGROW SG25CX-P2 AFCI 380V COM MONITORAMENTO 
 100 x CABO FOTOVOLTAICO 4MM² PRETO 
 100 x CABO FOTOVOLTAICO 4MM² VERMELHO 
 12 x CONECTOR MC4 PAR EMBALADO 
 ESTRUTURA FIBROCIMENTO MADEIRA</t>
  </si>
  <si>
    <t>54 x MODULO FV 570WP N-TYPE BIFACIAL DAH SOLAR DHN-72X16/DG 
 1 x INVERSOR SOLIS 25KW 220V S5-GC25K-LV COM MONITORAMENTO 
 100 x CABO FOTOVOLTAICO 4MM² PRETO 
 100 x CABO FOTOVOLTAICO 4MM² VERMELHO 
 16 x CONECTOR MC4 PAR EMBALADO 
 ESTRUTURA FIBROCIMENTO MADEIRA</t>
  </si>
  <si>
    <t>54 x MODULO FV 570WP N-TYPE BIFACIAL DUAL GLASS DAS-DH144NA 
 1 x INVERSOR SOLIS 25KW 220V S5-GC25K-LV COM MONITORAMENTO 
 100 x CABO FOTOVOLTAICO 4MM² PRETO 
 100 x CABO FOTOVOLTAICO 4MM² VERMELHO 
 16 x CONECTOR MC4 PAR EMBALADO 
 ESTRUTURA FIBROCIMENTO MADEIRA</t>
  </si>
  <si>
    <t>54 x MODULO FV 570WP N-TYPE BIFACIAL DAH SOLAR DHN-72X16/DG 
 1 x INVERSOR SUNGROW SG25CX-P2-LV AFCI 220V COM MONITORAMENTO 
 100 x CABO FOTOVOLTAICO 4MM² PRETO 
 100 x CABO FOTOVOLTAICO 4MM² VERMELHO 
 10 x CONECTOR MC4 PAR EMBALADO 
 ESTRUTURA FIBROCIMENTO MADEIRA</t>
  </si>
  <si>
    <t>54 x MODULO FV 570WP N-TYPE BIFACIAL DUAL GLASS DAS-DH144NA 
 1 x INVERSOR SUNGROW SG25CX-P2-LV AFCI 220V COM MONITORAMENTO 
 100 x CABO FOTOVOLTAICO 4MM² PRETO 
 100 x CABO FOTOVOLTAICO 4MM² VERMELHO 
 10 x CONECTOR MC4 PAR EMBALADO 
 ESTRUTURA FIBROCIMENTO MADEIRA</t>
  </si>
  <si>
    <t>54 x MODULO FV 570WP N-TYPE BIFACIAL DAH SOLAR DHN-72X16/DG 
 14 x HMS-2000-4T - MICRO HOYMILES 2000W DTU EXTERNA 
 4 x CABO FOTOVOLTAICO 4MM² PRETO 
 56 x CABO FOTOVOLTAICO 4MM² VERMELHO 
 112 x CONECTOR MC4 PAR EMBALADO 
 ESTRUTURA FIBROCIMENTO MADEIRA 
 14 x AC TRUNK CONNECTOR - CONECTOR CA HOYMILES 
 5 x AC TRUNK END CAP - TERMINAL ENDCAP HOYMILES 
 1 x AC TRUNK CONNECTOR UNLOCK TOOL - CHAVE DESBLOQUEIO CONECTOR CA 
 1 x HMS DISCONNECT TOOL-1PCS - CHAVE DESCONEXAO MICROINVERSOR 
 27 x CABO CA MULTIPOLAR 10AWG 
 1 x DTU-LITE-S(WIFI) - MONIT DTU-LITE S (ATÉ 25 MICROS)</t>
  </si>
  <si>
    <t>54 x MODULO FV 570WP N-TYPE BIFACIAL DUAL GLASS DAS-DH144NA 
 14 x HMS-2000-4T - MICRO HOYMILES 2000W DTU EXTERNA 
 4 x CABO FOTOVOLTAICO 4MM² PRETO 
 56 x CABO FOTOVOLTAICO 4MM² VERMELHO 
 112 x CONECTOR MC4 PAR EMBALADO 
 ESTRUTURA FIBROCIMENTO MADEIRA 
 14 x AC TRUNK CONNECTOR - CONECTOR CA HOYMILES 
 5 x AC TRUNK END CAP - TERMINAL ENDCAP HOYMILES 
 1 x AC TRUNK CONNECTOR UNLOCK TOOL - CHAVE DESBLOQUEIO CONECTOR CA 
 1 x HMS DISCONNECT TOOL-1PCS - CHAVE DESCONEXAO MICROINVERSOR 
 27 x CABO CA MULTIPOLAR 10AWG 
 1 x DTU-LITE-S(WIFI) - MONIT DTU-LITE S (ATÉ 25 MICROS)</t>
  </si>
  <si>
    <t>44 x MODULO FV 710WP BIFACIAL DUAL-GLASS TRINA TSM-NEG21C.20 
 11 x HMS-2000-4T - MICRO HOYMILES 2000W DTU EXTERNA 
 4 x CABO FOTOVOLTAICO 4MM² PRETO 
 44 x CABO FOTOVOLTAICO 4MM² VERMELHO 
 88 x CONECTOR MC4 PAR TRINA 
 ESTRUTURA FIBROCIMENTO MADEIRA 
 11 x AC TRUNK CONNECTOR - CONECTOR CA HOYMILES 
 4 x AC TRUNK END CAP - TERMINAL ENDCAP HOYMILES 
 1 x AC TRUNK CONNECTOR UNLOCK TOOL - CHAVE DESBLOQUEIO CONECTOR CA 
 1 x HMS DISCONNECT TOOL-1PCS - CHAVE DESCONEXAO MICROINVERSOR 
 21 x CABO CA MULTIPOLAR 10AWG 
 1 x DTU-LITE-S(WIFI) - MONIT DTU-LITE S (ATÉ 25 MICROS)</t>
  </si>
  <si>
    <t>55 x MODULO FV 570WP N-TYPE BIFACIAL DAH SOLAR DHN-72X16/DG 
 1 x INVERSOR SOLIS 25KW 380V S5-GC25K COM MONITORAMENTO 
 100 x CABO FOTOVOLTAICO 4MM² PRETO 
 100 x CABO FOTOVOLTAICO 4MM² VERMELHO 
 12 x CONECTOR MC4 PAR EMBALADO 
 ESTRUTURA FIBROCIMENTO MADEIRA</t>
  </si>
  <si>
    <t>55 x MODULO FV 570WP N-TYPE BIFACIAL DAH SOLAR DHN-72X16/DG 
 1 x INVERSOR SUNGROW SG25CX-P2 AFCI 380V COM MONITORAMENTO 
 100 x CABO FOTOVOLTAICO 4MM² PRETO 
 100 x CABO FOTOVOLTAICO 4MM² VERMELHO 
 12 x CONECTOR MC4 PAR EMBALADO 
 ESTRUTURA FIBROCIMENTO MADEIRA</t>
  </si>
  <si>
    <t>55 x MODULO FV 570WP N-TYPE BIFACIAL DUAL GLASS DAS-DH144NA 
 1 x INVERSOR SOLIS 25KW 380V S5-GC25K COM MONITORAMENTO 
 100 x CABO FOTOVOLTAICO 4MM² PRETO 
 100 x CABO FOTOVOLTAICO 4MM² VERMELHO 
 12 x CONECTOR MC4 PAR EMBALADO 
 ESTRUTURA FIBROCIMENTO MADEIRA</t>
  </si>
  <si>
    <t>55 x MODULO FV 570WP N-TYPE BIFACIAL DUAL GLASS DAS-DH144NA 
 1 x INVERSOR SUNGROW SG25CX-P2 AFCI 380V COM MONITORAMENTO 
 100 x CABO FOTOVOLTAICO 4MM² PRETO 
 100 x CABO FOTOVOLTAICO 4MM² VERMELHO 
 12 x CONECTOR MC4 PAR EMBALADO 
 ESTRUTURA FIBROCIMENTO MADEIRA</t>
  </si>
  <si>
    <t>55 x MODULO FV 570WP N-TYPE BIFACIAL DAH SOLAR DHN-72X16/DG 
 1 x INVERSOR SOLIS 25KW 220V S5-GC25K-LV COM MONITORAMENTO 
 100 x CABO FOTOVOLTAICO 4MM² PRETO 
 100 x CABO FOTOVOLTAICO 4MM² VERMELHO 
 16 x CONECTOR MC4 PAR EMBALADO 
 ESTRUTURA FIBROCIMENTO MADEIRA</t>
  </si>
  <si>
    <t>55 x MODULO FV 570WP N-TYPE BIFACIAL DUAL GLASS DAS-DH144NA 
 1 x INVERSOR SOLIS 25KW 220V S5-GC25K-LV COM MONITORAMENTO 
 100 x CABO FOTOVOLTAICO 4MM² PRETO 
 100 x CABO FOTOVOLTAICO 4MM² VERMELHO 
 16 x CONECTOR MC4 PAR EMBALADO 
 ESTRUTURA FIBROCIMENTO MADEIRA</t>
  </si>
  <si>
    <t>55 x MODULO FV 570WP N-TYPE BIFACIAL DAH SOLAR DHN-72X16/DG 
 1 x INVERSOR SUNGROW SG25CX-P2-LV AFCI 220V COM MONITORAMENTO 
 100 x CABO FOTOVOLTAICO 4MM² PRETO 
 100 x CABO FOTOVOLTAICO 4MM² VERMELHO 
 10 x CONECTOR MC4 PAR EMBALADO 
 ESTRUTURA FIBROCIMENTO MADEIRA</t>
  </si>
  <si>
    <t>55 x MODULO FV 570WP N-TYPE BIFACIAL DUAL GLASS DAS-DH144NA 
 1 x INVERSOR SUNGROW SG25CX-P2-LV AFCI 220V COM MONITORAMENTO 
 100 x CABO FOTOVOLTAICO 4MM² PRETO 
 100 x CABO FOTOVOLTAICO 4MM² VERMELHO 
 10 x CONECTOR MC4 PAR EMBALADO 
 ESTRUTURA FIBROCIMENTO MADEIRA</t>
  </si>
  <si>
    <t>55 x MODULO FV 570WP N-TYPE BIFACIAL DAH SOLAR DHN-72X16/DG 
 14 x HMS-2000-4T - MICRO HOYMILES 2000W DTU EXTERNA 
 4 x CABO FOTOVOLTAICO 4MM² PRETO 
 56 x CABO FOTOVOLTAICO 4MM² VERMELHO 
 112 x CONECTOR MC4 PAR EMBALADO 
 ESTRUTURA FIBROCIMENTO MADEIRA 
 14 x AC TRUNK CONNECTOR - CONECTOR CA HOYMILES 
 5 x AC TRUNK END CAP - TERMINAL ENDCAP HOYMILES 
 1 x AC TRUNK CONNECTOR UNLOCK TOOL - CHAVE DESBLOQUEIO CONECTOR CA 
 1 x HMS DISCONNECT TOOL-1PCS - CHAVE DESCONEXAO MICROINVERSOR 
 27 x CABO CA MULTIPOLAR 10AWG 
 1 x DTU-LITE-S(WIFI) - MONIT DTU-LITE S (ATÉ 25 MICROS)</t>
  </si>
  <si>
    <t>55 x MODULO FV 570WP N-TYPE BIFACIAL DUAL GLASS DAS-DH144NA 
 14 x HMS-2000-4T - MICRO HOYMILES 2000W DTU EXTERNA 
 4 x CABO FOTOVOLTAICO 4MM² PRETO 
 56 x CABO FOTOVOLTAICO 4MM² VERMELHO 
 112 x CONECTOR MC4 PAR EMBALADO 
 ESTRUTURA FIBROCIMENTO MADEIRA 
 14 x AC TRUNK CONNECTOR - CONECTOR CA HOYMILES 
 5 x AC TRUNK END CAP - TERMINAL ENDCAP HOYMILES 
 1 x AC TRUNK CONNECTOR UNLOCK TOOL - CHAVE DESBLOQUEIO CONECTOR CA 
 1 x HMS DISCONNECT TOOL-1PCS - CHAVE DESCONEXAO MICROINVERSOR 
 27 x CABO CA MULTIPOLAR 10AWG 
 1 x DTU-LITE-S(WIFI) - MONIT DTU-LITE S (ATÉ 25 MICROS)</t>
  </si>
  <si>
    <t>56 x MODULO FV 570WP N-TYPE BIFACIAL DAH SOLAR DHN-72X16/DG 
 1 x INVERSOR SOLIS 25KW 380V S5-GC25K COM MONITORAMENTO 
 100 x CABO FOTOVOLTAICO 4MM² PRETO 
 100 x CABO FOTOVOLTAICO 4MM² VERMELHO 
 12 x CONECTOR MC4 PAR EMBALADO 
 ESTRUTURA FIBROCIMENTO MADEIRA</t>
  </si>
  <si>
    <t>56 x MODULO FV 570WP N-TYPE BIFACIAL DAH SOLAR DHN-72X16/DG 
 1 x INVERSOR SUNGROW SG25CX-P2 AFCI 380V COM MONITORAMENTO 
 100 x CABO FOTOVOLTAICO 4MM² PRETO 
 100 x CABO FOTOVOLTAICO 4MM² VERMELHO 
 12 x CONECTOR MC4 PAR EMBALADO 
 ESTRUTURA FIBROCIMENTO MADEIRA</t>
  </si>
  <si>
    <t>56 x MODULO FV 570WP N-TYPE BIFACIAL DUAL GLASS DAS-DH144NA 
 1 x INVERSOR SOLIS 25KW 380V S5-GC25K COM MONITORAMENTO 
 100 x CABO FOTOVOLTAICO 4MM² PRETO 
 100 x CABO FOTOVOLTAICO 4MM² VERMELHO 
 12 x CONECTOR MC4 PAR EMBALADO 
 ESTRUTURA FIBROCIMENTO MADEIRA</t>
  </si>
  <si>
    <t>56 x MODULO FV 570WP N-TYPE BIFACIAL DUAL GLASS DAS-DH144NA 
 1 x INVERSOR SUNGROW SG25CX-P2 AFCI 380V COM MONITORAMENTO 
 100 x CABO FOTOVOLTAICO 4MM² PRETO 
 100 x CABO FOTOVOLTAICO 4MM² VERMELHO 
 12 x CONECTOR MC4 PAR EMBALADO 
 ESTRUTURA FIBROCIMENTO MADEIRA</t>
  </si>
  <si>
    <t>56 x MODULO FV 570WP N-TYPE BIFACIAL DAH SOLAR DHN-72X16/DG 
 1 x INVERSOR SOLIS 25KW 220V S5-GC25K-LV COM MONITORAMENTO 
 100 x CABO FOTOVOLTAICO 4MM² PRETO 
 100 x CABO FOTOVOLTAICO 4MM² VERMELHO 
 16 x CONECTOR MC4 PAR EMBALADO 
 ESTRUTURA FIBROCIMENTO MADEIRA</t>
  </si>
  <si>
    <t>56 x MODULO FV 570WP N-TYPE BIFACIAL DUAL GLASS DAS-DH144NA 
 1 x INVERSOR SOLIS 25KW 220V S5-GC25K-LV COM MONITORAMENTO 
 100 x CABO FOTOVOLTAICO 4MM² PRETO 
 100 x CABO FOTOVOLTAICO 4MM² VERMELHO 
 16 x CONECTOR MC4 PAR EMBALADO 
 ESTRUTURA FIBROCIMENTO MADEIRA</t>
  </si>
  <si>
    <t>56 x MODULO FV 570WP N-TYPE BIFACIAL DAH SOLAR DHN-72X16/DG 
 1 x INVERSOR SUNGROW SG25CX-P2-LV AFCI 220V COM MONITORAMENTO 
 100 x CABO FOTOVOLTAICO 4MM² PRETO 
 100 x CABO FOTOVOLTAICO 4MM² VERMELHO 
 10 x CONECTOR MC4 PAR EMBALADO 
 ESTRUTURA FIBROCIMENTO MADEIRA</t>
  </si>
  <si>
    <t>56 x MODULO FV 570WP N-TYPE BIFACIAL DUAL GLASS DAS-DH144NA 
 1 x INVERSOR SUNGROW SG25CX-P2-LV AFCI 220V COM MONITORAMENTO 
 100 x CABO FOTOVOLTAICO 4MM² PRETO 
 100 x CABO FOTOVOLTAICO 4MM² VERMELHO 
 10 x CONECTOR MC4 PAR EMBALADO 
 ESTRUTURA FIBROCIMENTO MADEIRA</t>
  </si>
  <si>
    <t>56 x MODULO FV 570WP N-TYPE BIFACIAL DAH SOLAR DHN-72X16/DG 
 14 x HMS-2000-4T - MICRO HOYMILES 2000W DTU EXTERNA 
 4 x CABO FOTOVOLTAICO 4MM² PRETO 
 56 x CABO FOTOVOLTAICO 4MM² VERMELHO 
 112 x CONECTOR MC4 PAR EMBALADO 
 ESTRUTURA FIBROCIMENTO MADEIRA 
 14 x AC TRUNK CONNECTOR - CONECTOR CA HOYMILES 
 5 x AC TRUNK END CAP - TERMINAL ENDCAP HOYMILES 
 1 x AC TRUNK CONNECTOR UNLOCK TOOL - CHAVE DESBLOQUEIO CONECTOR CA 
 1 x HMS DISCONNECT TOOL-1PCS - CHAVE DESCONEXAO MICROINVERSOR 
 27 x CABO CA MULTIPOLAR 10AWG 
 1 x DTU-LITE-S(WIFI) - MONIT DTU-LITE S (ATÉ 25 MICROS)</t>
  </si>
  <si>
    <t>56 x MODULO FV 570WP N-TYPE BIFACIAL DUAL GLASS DAS-DH144NA 
 14 x HMS-2000-4T - MICRO HOYMILES 2000W DTU EXTERNA 
 4 x CABO FOTOVOLTAICO 4MM² PRETO 
 56 x CABO FOTOVOLTAICO 4MM² VERMELHO 
 112 x CONECTOR MC4 PAR EMBALADO 
 ESTRUTURA FIBROCIMENTO MADEIRA 
 14 x AC TRUNK CONNECTOR - CONECTOR CA HOYMILES 
 5 x AC TRUNK END CAP - TERMINAL ENDCAP HOYMILES 
 1 x AC TRUNK CONNECTOR UNLOCK TOOL - CHAVE DESBLOQUEIO CONECTOR CA 
 1 x HMS DISCONNECT TOOL-1PCS - CHAVE DESCONEXAO MICROINVERSOR 
 27 x CABO CA MULTIPOLAR 10AWG 
 1 x DTU-LITE-S(WIFI) - MONIT DTU-LITE S (ATÉ 25 MICROS)</t>
  </si>
  <si>
    <t>45 x MODULO FV 710WP BIFACIAL DUAL-GLASS TRINA TSM-NEG21C.20 
 12 x HMS-2000-4T - MICRO HOYMILES 2000W DTU EXTERNA 
 4 x CABO FOTOVOLTAICO 4MM² PRETO 
 48 x CABO FOTOVOLTAICO 4MM² VERMELHO 
 96 x CONECTOR MC4 PAR TRINA 
 ESTRUTURA FIBROCIMENTO MADEIRA 
 12 x AC TRUNK CONNECTOR - CONECTOR CA HOYMILES 
 4 x AC TRUNK END CAP - TERMINAL ENDCAP HOYMILES 
 1 x AC TRUNK CONNECTOR UNLOCK TOOL - CHAVE DESBLOQUEIO CONECTOR CA 
 1 x HMS DISCONNECT TOOL-1PCS - CHAVE DESCONEXAO MICROINVERSOR 
 24 x CABO CA MULTIPOLAR 10AWG 
 1 x DTU-LITE-S(WIFI) - MONIT DTU-LITE S (ATÉ 25 MICROS)</t>
  </si>
  <si>
    <t>57 x MODULO FV 570WP N-TYPE BIFACIAL DAH SOLAR DHN-72X16/DG 
 1 x INVERSOR SOLIS 25KW 380V S5-GC25K COM MONITORAMENTO 
 100 x CABO FOTOVOLTAICO 4MM² PRETO 
 100 x CABO FOTOVOLTAICO 4MM² VERMELHO 
 12 x CONECTOR MC4 PAR EMBALADO 
 ESTRUTURA FIBROCIMENTO MADEIRA</t>
  </si>
  <si>
    <t>57 x MODULO FV 570WP N-TYPE BIFACIAL DAH SOLAR DHN-72X16/DG 
 1 x INVERSOR SUNGROW SG25CX-P2 AFCI 380V COM MONITORAMENTO 
 100 x CABO FOTOVOLTAICO 4MM² PRETO 
 100 x CABO FOTOVOLTAICO 4MM² VERMELHO 
 12 x CONECTOR MC4 PAR EMBALADO 
 ESTRUTURA FIBROCIMENTO MADEIRA</t>
  </si>
  <si>
    <t>57 x MODULO FV 570WP N-TYPE BIFACIAL DUAL GLASS DAS-DH144NA 
 1 x INVERSOR SOLIS 25KW 380V S5-GC25K COM MONITORAMENTO 
 100 x CABO FOTOVOLTAICO 4MM² PRETO 
 100 x CABO FOTOVOLTAICO 4MM² VERMELHO 
 12 x CONECTOR MC4 PAR EMBALADO 
 ESTRUTURA FIBROCIMENTO MADEIRA</t>
  </si>
  <si>
    <t>57 x MODULO FV 570WP N-TYPE BIFACIAL DUAL GLASS DAS-DH144NA 
 1 x INVERSOR SUNGROW SG25CX-P2 AFCI 380V COM MONITORAMENTO 
 100 x CABO FOTOVOLTAICO 4MM² PRETO 
 100 x CABO FOTOVOLTAICO 4MM² VERMELHO 
 12 x CONECTOR MC4 PAR EMBALADO 
 ESTRUTURA FIBROCIMENTO MADEIRA</t>
  </si>
  <si>
    <t>57 x MODULO FV 570WP N-TYPE BIFACIAL DAH SOLAR DHN-72X16/DG 
 1 x INVERSOR SOLIS 25KW 220V S5-GC25K-LV COM MONITORAMENTO 
 100 x CABO FOTOVOLTAICO 4MM² PRETO 
 100 x CABO FOTOVOLTAICO 4MM² VERMELHO 
 16 x CONECTOR MC4 PAR EMBALADO 
 ESTRUTURA FIBROCIMENTO MADEIRA</t>
  </si>
  <si>
    <t>57 x MODULO FV 570WP N-TYPE BIFACIAL DUAL GLASS DAS-DH144NA 
 1 x INVERSOR SOLIS 25KW 220V S5-GC25K-LV COM MONITORAMENTO 
 100 x CABO FOTOVOLTAICO 4MM² PRETO 
 100 x CABO FOTOVOLTAICO 4MM² VERMELHO 
 16 x CONECTOR MC4 PAR EMBALADO 
 ESTRUTURA FIBROCIMENTO MADEIRA</t>
  </si>
  <si>
    <t>57 x MODULO FV 570WP N-TYPE BIFACIAL DAH SOLAR DHN-72X16/DG 
 1 x INVERSOR SUNGROW SG25CX-P2-LV AFCI 220V COM MONITORAMENTO 
 100 x CABO FOTOVOLTAICO 4MM² PRETO 
 100 x CABO FOTOVOLTAICO 4MM² VERMELHO 
 10 x CONECTOR MC4 PAR EMBALADO 
 ESTRUTURA FIBROCIMENTO MADEIRA</t>
  </si>
  <si>
    <t>57 x MODULO FV 570WP N-TYPE BIFACIAL DUAL GLASS DAS-DH144NA 
 1 x INVERSOR SUNGROW SG25CX-P2-LV AFCI 220V COM MONITORAMENTO 
 100 x CABO FOTOVOLTAICO 4MM² PRETO 
 100 x CABO FOTOVOLTAICO 4MM² VERMELHO 
 10 x CONECTOR MC4 PAR EMBALADO 
 ESTRUTURA FIBROCIMENTO MADEIRA</t>
  </si>
  <si>
    <t>30</t>
  </si>
  <si>
    <t>57 x MODULO FV 570WP N-TYPE BIFACIAL DAH SOLAR DHN-72X16/DG 
 15 x HMS-2000-4T - MICRO HOYMILES 2000W DTU EXTERNA 
 4 x CABO FOTOVOLTAICO 4MM² PRETO 
 60 x CABO FOTOVOLTAICO 4MM² VERMELHO 
 120 x CONECTOR MC4 PAR EMBALADO 
 ESTRUTURA FIBROCIMENTO MADEIRA 
 15 x AC TRUNK CONNECTOR - CONECTOR CA HOYMILES 
 5 x AC TRUNK END CAP - TERMINAL ENDCAP HOYMILES 
 1 x AC TRUNK CONNECTOR UNLOCK TOOL - CHAVE DESBLOQUEIO CONECTOR CA 
 1 x HMS DISCONNECT TOOL-1PCS - CHAVE DESCONEXAO MICROINVERSOR 
 30 x CABO CA MULTIPOLAR 10AWG 
 1 x DTU-LITE-S(WIFI) - MONIT DTU-LITE S (ATÉ 25 MICROS)</t>
  </si>
  <si>
    <t>57 x MODULO FV 570WP N-TYPE BIFACIAL DUAL GLASS DAS-DH144NA 
 15 x HMS-2000-4T - MICRO HOYMILES 2000W DTU EXTERNA 
 4 x CABO FOTOVOLTAICO 4MM² PRETO 
 60 x CABO FOTOVOLTAICO 4MM² VERMELHO 
 120 x CONECTOR MC4 PAR EMBALADO 
 ESTRUTURA FIBROCIMENTO MADEIRA 
 15 x AC TRUNK CONNECTOR - CONECTOR CA HOYMILES 
 5 x AC TRUNK END CAP - TERMINAL ENDCAP HOYMILES 
 1 x AC TRUNK CONNECTOR UNLOCK TOOL - CHAVE DESBLOQUEIO CONECTOR CA 
 1 x HMS DISCONNECT TOOL-1PCS - CHAVE DESCONEXAO MICROINVERSOR 
 30 x CABO CA MULTIPOLAR 10AWG 
 1 x DTU-LITE-S(WIFI) - MONIT DTU-LITE S (ATÉ 25 MICROS)</t>
  </si>
  <si>
    <t>46 x MODULO FV 710WP BIFACIAL DUAL-GLASS TRINA TSM-NEG21C.20 
 12 x HMS-2000-4T - MICRO HOYMILES 2000W DTU EXTERNA 
 4 x CABO FOTOVOLTAICO 4MM² PRETO 
 48 x CABO FOTOVOLTAICO 4MM² VERMELHO 
 96 x CONECTOR MC4 PAR TRINA 
 ESTRUTURA FIBROCIMENTO MADEIRA 
 12 x AC TRUNK CONNECTOR - CONECTOR CA HOYMILES 
 4 x AC TRUNK END CAP - TERMINAL ENDCAP HOYMILES 
 1 x AC TRUNK CONNECTOR UNLOCK TOOL - CHAVE DESBLOQUEIO CONECTOR CA 
 1 x HMS DISCONNECT TOOL-1PCS - CHAVE DESCONEXAO MICROINVERSOR 
 24 x CABO CA MULTIPOLAR 10AWG 
 1 x DTU-LITE-S(WIFI) - MONIT DTU-LITE S (ATÉ 25 MICROS)</t>
  </si>
  <si>
    <t>58 x MODULO FV 570WP N-TYPE BIFACIAL DAH SOLAR DHN-72X16/DG 
 1 x INVERSOR SOLIS 25KW 380V S5-GC25K COM MONITORAMENTO 
 100 x CABO FOTOVOLTAICO 4MM² PRETO 
 100 x CABO FOTOVOLTAICO 4MM² VERMELHO 
 12 x CONECTOR MC4 PAR EMBALADO 
 ESTRUTURA FIBROCIMENTO MADEIRA</t>
  </si>
  <si>
    <t>58 x MODULO FV 570WP N-TYPE BIFACIAL DAH SOLAR DHN-72X16/DG 
 1 x INVERSOR SUNGROW SG25CX-P2 AFCI 380V COM MONITORAMENTO 
 100 x CABO FOTOVOLTAICO 4MM² PRETO 
 100 x CABO FOTOVOLTAICO 4MM² VERMELHO 
 12 x CONECTOR MC4 PAR EMBALADO 
 ESTRUTURA FIBROCIMENTO MADEIRA</t>
  </si>
  <si>
    <t>58 x MODULO FV 570WP N-TYPE BIFACIAL DUAL GLASS DAS-DH144NA 
 1 x INVERSOR SOLIS 25KW 380V S5-GC25K COM MONITORAMENTO 
 100 x CABO FOTOVOLTAICO 4MM² PRETO 
 100 x CABO FOTOVOLTAICO 4MM² VERMELHO 
 12 x CONECTOR MC4 PAR EMBALADO 
 ESTRUTURA FIBROCIMENTO MADEIRA</t>
  </si>
  <si>
    <t>58 x MODULO FV 570WP N-TYPE BIFACIAL DUAL GLASS DAS-DH144NA 
 1 x INVERSOR SUNGROW SG25CX-P2 AFCI 380V COM MONITORAMENTO 
 100 x CABO FOTOVOLTAICO 4MM² PRETO 
 100 x CABO FOTOVOLTAICO 4MM² VERMELHO 
 12 x CONECTOR MC4 PAR EMBALADO 
 ESTRUTURA FIBROCIMENTO MADEIRA</t>
  </si>
  <si>
    <t>58 x MODULO FV 570WP N-TYPE BIFACIAL DAH SOLAR DHN-72X16/DG 
 1 x INVERSOR SOLIS 25KW 220V S5-GC25K-LV COM MONITORAMENTO 
 100 x CABO FOTOVOLTAICO 4MM² PRETO 
 100 x CABO FOTOVOLTAICO 4MM² VERMELHO 
 16 x CONECTOR MC4 PAR EMBALADO 
 ESTRUTURA FIBROCIMENTO MADEIRA</t>
  </si>
  <si>
    <t>58 x MODULO FV 570WP N-TYPE BIFACIAL DUAL GLASS DAS-DH144NA 
 1 x INVERSOR SOLIS 25KW 220V S5-GC25K-LV COM MONITORAMENTO 
 100 x CABO FOTOVOLTAICO 4MM² PRETO 
 100 x CABO FOTOVOLTAICO 4MM² VERMELHO 
 16 x CONECTOR MC4 PAR EMBALADO 
 ESTRUTURA FIBROCIMENTO MADEIRA</t>
  </si>
  <si>
    <t>58 x MODULO FV 570WP N-TYPE BIFACIAL DAH SOLAR DHN-72X16/DG 
 1 x INVERSOR SUNGROW SG25CX-P2-LV AFCI 220V COM MONITORAMENTO 
 100 x CABO FOTOVOLTAICO 4MM² PRETO 
 100 x CABO FOTOVOLTAICO 4MM² VERMELHO 
 10 x CONECTOR MC4 PAR EMBALADO 
 ESTRUTURA FIBROCIMENTO MADEIRA</t>
  </si>
  <si>
    <t>58 x MODULO FV 570WP N-TYPE BIFACIAL DUAL GLASS DAS-DH144NA 
 1 x INVERSOR SUNGROW SG25CX-P2-LV AFCI 220V COM MONITORAMENTO 
 100 x CABO FOTOVOLTAICO 4MM² PRETO 
 100 x CABO FOTOVOLTAICO 4MM² VERMELHO 
 10 x CONECTOR MC4 PAR EMBALADO 
 ESTRUTURA FIBROCIMENTO MADEIRA</t>
  </si>
  <si>
    <t>58 x MODULO FV 570WP N-TYPE BIFACIAL DAH SOLAR DHN-72X16/DG 
 15 x HMS-2000-4T - MICRO HOYMILES 2000W DTU EXTERNA 
 4 x CABO FOTOVOLTAICO 4MM² PRETO 
 60 x CABO FOTOVOLTAICO 4MM² VERMELHO 
 120 x CONECTOR MC4 PAR EMBALADO 
 ESTRUTURA FIBROCIMENTO MADEIRA 
 15 x AC TRUNK CONNECTOR - CONECTOR CA HOYMILES 
 5 x AC TRUNK END CAP - TERMINAL ENDCAP HOYMILES 
 1 x AC TRUNK CONNECTOR UNLOCK TOOL - CHAVE DESBLOQUEIO CONECTOR CA 
 1 x HMS DISCONNECT TOOL-1PCS - CHAVE DESCONEXAO MICROINVERSOR 
 30 x CABO CA MULTIPOLAR 10AWG 
 1 x DTU-LITE-S(WIFI) - MONIT DTU-LITE S (ATÉ 25 MICROS)</t>
  </si>
  <si>
    <t>58 x MODULO FV 570WP N-TYPE BIFACIAL DUAL GLASS DAS-DH144NA 
 15 x HMS-2000-4T - MICRO HOYMILES 2000W DTU EXTERNA 
 4 x CABO FOTOVOLTAICO 4MM² PRETO 
 60 x CABO FOTOVOLTAICO 4MM² VERMELHO 
 120 x CONECTOR MC4 PAR EMBALADO 
 ESTRUTURA FIBROCIMENTO MADEIRA 
 15 x AC TRUNK CONNECTOR - CONECTOR CA HOYMILES 
 5 x AC TRUNK END CAP - TERMINAL ENDCAP HOYMILES 
 1 x AC TRUNK CONNECTOR UNLOCK TOOL - CHAVE DESBLOQUEIO CONECTOR CA 
 1 x HMS DISCONNECT TOOL-1PCS - CHAVE DESCONEXAO MICROINVERSOR 
 30 x CABO CA MULTIPOLAR 10AWG 
 1 x DTU-LITE-S(WIFI) - MONIT DTU-LITE S (ATÉ 25 MICROS)</t>
  </si>
  <si>
    <t>47 x MODULO FV 710WP BIFACIAL DUAL-GLASS TRINA TSM-NEG21C.20 
 12 x HMS-2000-4T - MICRO HOYMILES 2000W DTU EXTERNA 
 4 x CABO FOTOVOLTAICO 4MM² PRETO 
 48 x CABO FOTOVOLTAICO 4MM² VERMELHO 
 96 x CONECTOR MC4 PAR TRINA 
 ESTRUTURA FIBROCIMENTO MADEIRA 
 12 x AC TRUNK CONNECTOR - CONECTOR CA HOYMILES 
 4 x AC TRUNK END CAP - TERMINAL ENDCAP HOYMILES 
 1 x AC TRUNK CONNECTOR UNLOCK TOOL - CHAVE DESBLOQUEIO CONECTOR CA 
 1 x HMS DISCONNECT TOOL-1PCS - CHAVE DESCONEXAO MICROINVERSOR 
 24 x CABO CA MULTIPOLAR 10AWG 
 1 x DTU-LITE-S(WIFI) - MONIT DTU-LITE S (ATÉ 25 MICROS)</t>
  </si>
  <si>
    <t>59 x MODULO FV 570WP N-TYPE BIFACIAL DAH SOLAR DHN-72X16/DG 
 1 x INVERSOR SOLIS 25KW 380V S5-GC25K COM MONITORAMENTO 
 100 x CABO FOTOVOLTAICO 4MM² PRETO 
 100 x CABO FOTOVOLTAICO 4MM² VERMELHO 
 12 x CONECTOR MC4 PAR EMBALADO 
 ESTRUTURA FIBROCIMENTO MADEIRA</t>
  </si>
  <si>
    <t>59 x MODULO FV 570WP N-TYPE BIFACIAL DAH SOLAR DHN-72X16/DG 
 1 x INVERSOR SUNGROW SG25CX-P2 AFCI 380V COM MONITORAMENTO 
 100 x CABO FOTOVOLTAICO 4MM² PRETO 
 100 x CABO FOTOVOLTAICO 4MM² VERMELHO 
 12 x CONECTOR MC4 PAR EMBALADO 
 ESTRUTURA FIBROCIMENTO MADEIRA</t>
  </si>
  <si>
    <t>59 x MODULO FV 570WP N-TYPE BIFACIAL DUAL GLASS DAS-DH144NA 
 1 x INVERSOR SOLIS 25KW 380V S5-GC25K COM MONITORAMENTO 
 100 x CABO FOTOVOLTAICO 4MM² PRETO 
 100 x CABO FOTOVOLTAICO 4MM² VERMELHO 
 12 x CONECTOR MC4 PAR EMBALADO 
 ESTRUTURA FIBROCIMENTO MADEIRA</t>
  </si>
  <si>
    <t>59 x MODULO FV 570WP N-TYPE BIFACIAL DUAL GLASS DAS-DH144NA 
 1 x INVERSOR SUNGROW SG25CX-P2 AFCI 380V COM MONITORAMENTO 
 100 x CABO FOTOVOLTAICO 4MM² PRETO 
 100 x CABO FOTOVOLTAICO 4MM² VERMELHO 
 12 x CONECTOR MC4 PAR EMBALADO 
 ESTRUTURA FIBROCIMENTO MADEIRA</t>
  </si>
  <si>
    <t>59 x MODULO FV 570WP N-TYPE BIFACIAL DAH SOLAR DHN-72X16/DG 
 1 x INVERSOR SOLIS 25KW 220V S5-GC25K-LV COM MONITORAMENTO 
 100 x CABO FOTOVOLTAICO 4MM² PRETO 
 100 x CABO FOTOVOLTAICO 4MM² VERMELHO 
 16 x CONECTOR MC4 PAR EMBALADO 
 ESTRUTURA FIBROCIMENTO MADEIRA</t>
  </si>
  <si>
    <t>59 x MODULO FV 570WP N-TYPE BIFACIAL DUAL GLASS DAS-DH144NA 
 1 x INVERSOR SOLIS 25KW 220V S5-GC25K-LV COM MONITORAMENTO 
 100 x CABO FOTOVOLTAICO 4MM² PRETO 
 100 x CABO FOTOVOLTAICO 4MM² VERMELHO 
 16 x CONECTOR MC4 PAR EMBALADO 
 ESTRUTURA FIBROCIMENTO MADEIRA</t>
  </si>
  <si>
    <t>59 x MODULO FV 570WP N-TYPE BIFACIAL DAH SOLAR DHN-72X16/DG 
 1 x INVERSOR SUNGROW SG25CX-P2-LV AFCI 220V COM MONITORAMENTO 
 100 x CABO FOTOVOLTAICO 4MM² PRETO 
 100 x CABO FOTOVOLTAICO 4MM² VERMELHO 
 10 x CONECTOR MC4 PAR EMBALADO 
 ESTRUTURA FIBROCIMENTO MADEIRA</t>
  </si>
  <si>
    <t>59 x MODULO FV 570WP N-TYPE BIFACIAL DUAL GLASS DAS-DH144NA 
 1 x INVERSOR SUNGROW SG25CX-P2-LV AFCI 220V COM MONITORAMENTO 
 100 x CABO FOTOVOLTAICO 4MM² PRETO 
 100 x CABO FOTOVOLTAICO 4MM² VERMELHO 
 10 x CONECTOR MC4 PAR EMBALADO 
 ESTRUTURA FIBROCIMENTO MADEIRA</t>
  </si>
  <si>
    <t>59 x MODULO FV 570WP N-TYPE BIFACIAL DAH SOLAR DHN-72X16/DG 
 15 x HMS-2000-4T - MICRO HOYMILES 2000W DTU EXTERNA 
 4 x CABO FOTOVOLTAICO 4MM² PRETO 
 60 x CABO FOTOVOLTAICO 4MM² VERMELHO 
 120 x CONECTOR MC4 PAR EMBALADO 
 ESTRUTURA FIBROCIMENTO MADEIRA 
 15 x AC TRUNK CONNECTOR - CONECTOR CA HOYMILES 
 5 x AC TRUNK END CAP - TERMINAL ENDCAP HOYMILES 
 1 x AC TRUNK CONNECTOR UNLOCK TOOL - CHAVE DESBLOQUEIO CONECTOR CA 
 1 x HMS DISCONNECT TOOL-1PCS - CHAVE DESCONEXAO MICROINVERSOR 
 30 x CABO CA MULTIPOLAR 10AWG 
 1 x DTU-LITE-S(WIFI) - MONIT DTU-LITE S (ATÉ 25 MICROS)</t>
  </si>
  <si>
    <t>59 x MODULO FV 570WP N-TYPE BIFACIAL DUAL GLASS DAS-DH144NA 
 15 x HMS-2000-4T - MICRO HOYMILES 2000W DTU EXTERNA 
 4 x CABO FOTOVOLTAICO 4MM² PRETO 
 60 x CABO FOTOVOLTAICO 4MM² VERMELHO 
 120 x CONECTOR MC4 PAR EMBALADO 
 ESTRUTURA FIBROCIMENTO MADEIRA 
 15 x AC TRUNK CONNECTOR - CONECTOR CA HOYMILES 
 5 x AC TRUNK END CAP - TERMINAL ENDCAP HOYMILES 
 1 x AC TRUNK CONNECTOR UNLOCK TOOL - CHAVE DESBLOQUEIO CONECTOR CA 
 1 x HMS DISCONNECT TOOL-1PCS - CHAVE DESCONEXAO MICROINVERSOR 
 30 x CABO CA MULTIPOLAR 10AWG 
 1 x DTU-LITE-S(WIFI) - MONIT DTU-LITE S (ATÉ 25 MICROS)</t>
  </si>
  <si>
    <t>48 x MODULO FV 710WP BIFACIAL DUAL-GLASS TRINA TSM-NEG21C.20 
 12 x HMS-2000-4T - MICRO HOYMILES 2000W DTU EXTERNA 
 4 x CABO FOTOVOLTAICO 4MM² PRETO 
 48 x CABO FOTOVOLTAICO 4MM² VERMELHO 
 96 x CONECTOR MC4 PAR TRINA 
 ESTRUTURA FIBROCIMENTO MADEIRA 
 12 x AC TRUNK CONNECTOR - CONECTOR CA HOYMILES 
 4 x AC TRUNK END CAP - TERMINAL ENDCAP HOYMILES 
 1 x AC TRUNK CONNECTOR UNLOCK TOOL - CHAVE DESBLOQUEIO CONECTOR CA 
 1 x HMS DISCONNECT TOOL-1PCS - CHAVE DESCONEXAO MICROINVERSOR 
 24 x CABO CA MULTIPOLAR 10AWG 
 1 x DTU-LITE-S(WIFI) - MONIT DTU-LITE S (ATÉ 25 MICROS)</t>
  </si>
  <si>
    <t>60 x MODULO FV 570WP N-TYPE BIFACIAL DAH SOLAR DHN-72X16/DG 
 1 x INVERSOR SOLIS 25KW 380V S5-GC25K COM MONITORAMENTO 
 100 x CABO FOTOVOLTAICO 4MM² PRETO 
 100 x CABO FOTOVOLTAICO 4MM² VERMELHO 
 12 x CONECTOR MC4 PAR EMBALADO 
 ESTRUTURA FIBROCIMENTO MADEIRA</t>
  </si>
  <si>
    <t>60 x MODULO FV 570WP N-TYPE BIFACIAL DAH SOLAR DHN-72X16/DG 
 1 x INVERSOR SUNGROW SG25CX-P2 AFCI 380V COM MONITORAMENTO 
 100 x CABO FOTOVOLTAICO 4MM² PRETO 
 100 x CABO FOTOVOLTAICO 4MM² VERMELHO 
 12 x CONECTOR MC4 PAR EMBALADO 
 ESTRUTURA FIBROCIMENTO MADEIRA</t>
  </si>
  <si>
    <t>60 x MODULO FV 570WP N-TYPE BIFACIAL DUAL GLASS DAS-DH144NA 
 1 x INVERSOR SOLIS 25KW 380V S5-GC25K COM MONITORAMENTO 
 100 x CABO FOTOVOLTAICO 4MM² PRETO 
 100 x CABO FOTOVOLTAICO 4MM² VERMELHO 
 12 x CONECTOR MC4 PAR EMBALADO 
 ESTRUTURA FIBROCIMENTO MADEIRA</t>
  </si>
  <si>
    <t>60 x MODULO FV 570WP N-TYPE BIFACIAL DUAL GLASS DAS-DH144NA 
 1 x INVERSOR SUNGROW SG25CX-P2 AFCI 380V COM MONITORAMENTO 
 100 x CABO FOTOVOLTAICO 4MM² PRETO 
 100 x CABO FOTOVOLTAICO 4MM² VERMELHO 
 12 x CONECTOR MC4 PAR EMBALADO 
 ESTRUTURA FIBROCIMENTO MADEIRA</t>
  </si>
  <si>
    <t>60 x MODULO FV 570WP N-TYPE BIFACIAL DAH SOLAR DHN-72X16/DG 
 1 x INVERSOR SOLIS 25KW 220V S5-GC25K-LV COM MONITORAMENTO 
 100 x CABO FOTOVOLTAICO 4MM² PRETO 
 100 x CABO FOTOVOLTAICO 4MM² VERMELHO 
 16 x CONECTOR MC4 PAR EMBALADO 
 ESTRUTURA FIBROCIMENTO MADEIRA</t>
  </si>
  <si>
    <t>60 x MODULO FV 570WP N-TYPE BIFACIAL DUAL GLASS DAS-DH144NA 
 1 x INVERSOR SOLIS 25KW 220V S5-GC25K-LV COM MONITORAMENTO 
 100 x CABO FOTOVOLTAICO 4MM² PRETO 
 100 x CABO FOTOVOLTAICO 4MM² VERMELHO 
 16 x CONECTOR MC4 PAR EMBALADO 
 ESTRUTURA FIBROCIMENTO MADEIRA</t>
  </si>
  <si>
    <t>60 x MODULO FV 570WP N-TYPE BIFACIAL DAH SOLAR DHN-72X16/DG 
 1 x INVERSOR SUNGROW SG25CX-P2-LV AFCI 220V COM MONITORAMENTO 
 100 x CABO FOTOVOLTAICO 4MM² PRETO 
 100 x CABO FOTOVOLTAICO 4MM² VERMELHO 
 10 x CONECTOR MC4 PAR EMBALADO 
 ESTRUTURA FIBROCIMENTO MADEIRA</t>
  </si>
  <si>
    <t>60 x MODULO FV 570WP N-TYPE BIFACIAL DUAL GLASS DAS-DH144NA 
 1 x INVERSOR SUNGROW SG25CX-P2-LV AFCI 220V COM MONITORAMENTO 
 100 x CABO FOTOVOLTAICO 4MM² PRETO 
 100 x CABO FOTOVOLTAICO 4MM² VERMELHO 
 10 x CONECTOR MC4 PAR EMBALADO 
 ESTRUTURA FIBROCIMENTO MADEIRA</t>
  </si>
  <si>
    <t>60 x MODULO FV 570WP N-TYPE BIFACIAL DAH SOLAR DHN-72X16/DG 
 15 x HMS-2000-4T - MICRO HOYMILES 2000W DTU EXTERNA 
 4 x CABO FOTOVOLTAICO 4MM² PRETO 
 60 x CABO FOTOVOLTAICO 4MM² VERMELHO 
 120 x CONECTOR MC4 PAR EMBALADO 
 ESTRUTURA FIBROCIMENTO MADEIRA 
 15 x AC TRUNK CONNECTOR - CONECTOR CA HOYMILES 
 5 x AC TRUNK END CAP - TERMINAL ENDCAP HOYMILES 
 1 x AC TRUNK CONNECTOR UNLOCK TOOL - CHAVE DESBLOQUEIO CONECTOR CA 
 1 x HMS DISCONNECT TOOL-1PCS - CHAVE DESCONEXAO MICROINVERSOR 
 30 x CABO CA MULTIPOLAR 10AWG 
 1 x DTU-LITE-S(WIFI) - MONIT DTU-LITE S (ATÉ 25 MICROS)</t>
  </si>
  <si>
    <t>60 x MODULO FV 570WP N-TYPE BIFACIAL DUAL GLASS DAS-DH144NA 
 15 x HMS-2000-4T - MICRO HOYMILES 2000W DTU EXTERNA 
 4 x CABO FOTOVOLTAICO 4MM² PRETO 
 60 x CABO FOTOVOLTAICO 4MM² VERMELHO 
 120 x CONECTOR MC4 PAR EMBALADO 
 ESTRUTURA FIBROCIMENTO MADEIRA 
 15 x AC TRUNK CONNECTOR - CONECTOR CA HOYMILES 
 5 x AC TRUNK END CAP - TERMINAL ENDCAP HOYMILES 
 1 x AC TRUNK CONNECTOR UNLOCK TOOL - CHAVE DESBLOQUEIO CONECTOR CA 
 1 x HMS DISCONNECT TOOL-1PCS - CHAVE DESCONEXAO MICROINVERSOR 
 30 x CABO CA MULTIPOLAR 10AWG 
 1 x DTU-LITE-S(WIFI) - MONIT DTU-LITE S (ATÉ 25 MICROS)</t>
  </si>
  <si>
    <t>61 x MODULO FV 570WP N-TYPE BIFACIAL DAH SOLAR DHN-72X16/DG 
 1 x INVERSOR SUNGROW SG25CX-P2 AFCI 380V COM MONITORAMENTO 
 100 x CABO FOTOVOLTAICO 4MM² PRETO 
 100 x CABO FOTOVOLTAICO 4MM² VERMELHO 
 12 x CONECTOR MC4 PAR EMBALADO 
 ESTRUTURA FIBROCIMENTO MADEIRA</t>
  </si>
  <si>
    <t>61 x MODULO FV 570WP N-TYPE BIFACIAL DUAL GLASS DAS-DH144NA 
 1 x INVERSOR SUNGROW SG25CX-P2 AFCI 380V COM MONITORAMENTO 
 100 x CABO FOTOVOLTAICO 4MM² PRETO 
 100 x CABO FOTOVOLTAICO 4MM² VERMELHO 
 12 x CONECTOR MC4 PAR EMBALADO 
 ESTRUTURA FIBROCIMENTO MADEIRA</t>
  </si>
  <si>
    <t>61 x MODULO FV 570WP N-TYPE BIFACIAL DAH SOLAR DHN-72X16/DG 
 1 x INVERSOR SUNGROW SG25CX-P2-LV AFCI 220V COM MONITORAMENTO 
 100 x CABO FOTOVOLTAICO 4MM² PRETO 
 100 x CABO FOTOVOLTAICO 4MM² VERMELHO 
 10 x CONECTOR MC4 PAR EMBALADO 
 ESTRUTURA FIBROCIMENTO MADEIRA</t>
  </si>
  <si>
    <t>61 x MODULO FV 570WP N-TYPE BIFACIAL DUAL GLASS DAS-DH144NA 
 1 x INVERSOR SUNGROW SG25CX-P2-LV AFCI 220V COM MONITORAMENTO 
 100 x CABO FOTOVOLTAICO 4MM² PRETO 
 100 x CABO FOTOVOLTAICO 4MM² VERMELHO 
 10 x CONECTOR MC4 PAR EMBALADO 
 ESTRUTURA FIBROCIMENTO MADEIRA</t>
  </si>
  <si>
    <t>61 x MODULO FV 570WP N-TYPE BIFACIAL DAH SOLAR DHN-72X16/DG 
 16 x HMS-2000-4T - MICRO HOYMILES 2000W DTU EXTERNA 
 4 x CABO FOTOVOLTAICO 4MM² PRETO 
 64 x CABO FOTOVOLTAICO 4MM² VERMELHO 
 128 x CONECTOR MC4 PAR EMBALADO 
 ESTRUTURA FIBROCIMENTO MADEIRA 
 16 x AC TRUNK CONNECTOR - CONECTOR CA HOYMILES 
 6 x AC TRUNK END CAP - TERMINAL ENDCAP HOYMILES 
 1 x AC TRUNK CONNECTOR UNLOCK TOOL - CHAVE DESBLOQUEIO CONECTOR CA 
 1 x HMS DISCONNECT TOOL-1PCS - CHAVE DESCONEXAO MICROINVERSOR 
 30 x CABO CA MULTIPOLAR 10AWG 
 1 x DTU-LITE-S(WIFI) - MONIT DTU-LITE S (ATÉ 25 MICROS)</t>
  </si>
  <si>
    <t>61 x MODULO FV 570WP N-TYPE BIFACIAL DUAL GLASS DAS-DH144NA 
 16 x HMS-2000-4T - MICRO HOYMILES 2000W DTU EXTERNA 
 4 x CABO FOTOVOLTAICO 4MM² PRETO 
 64 x CABO FOTOVOLTAICO 4MM² VERMELHO 
 128 x CONECTOR MC4 PAR EMBALADO 
 ESTRUTURA FIBROCIMENTO MADEIRA 
 16 x AC TRUNK CONNECTOR - CONECTOR CA HOYMILES 
 6 x AC TRUNK END CAP - TERMINAL ENDCAP HOYMILES 
 1 x AC TRUNK CONNECTOR UNLOCK TOOL - CHAVE DESBLOQUEIO CONECTOR CA 
 1 x HMS DISCONNECT TOOL-1PCS - CHAVE DESCONEXAO MICROINVERSOR 
 30 x CABO CA MULTIPOLAR 10AWG 
 1 x DTU-LITE-S(WIFI) - MONIT DTU-LITE S (ATÉ 25 MICROS)</t>
  </si>
  <si>
    <t>49 x MODULO FV 710WP BIFACIAL DUAL-GLASS TRINA TSM-NEG21C.20 
 13 x HMS-2000-4T - MICRO HOYMILES 2000W DTU EXTERNA 
 4 x CABO FOTOVOLTAICO 4MM² PRETO 
 52 x CABO FOTOVOLTAICO 4MM² VERMELHO 
 104 x CONECTOR MC4 PAR TRINA 
 ESTRUTURA FIBROCIMENTO MADEIRA 
 13 x AC TRUNK CONNECTOR - CONECTOR CA HOYMILES 
 5 x AC TRUNK END CAP - TERMINAL ENDCAP HOYMILES 
 1 x AC TRUNK CONNECTOR UNLOCK TOOL - CHAVE DESBLOQUEIO CONECTOR CA 
 1 x HMS DISCONNECT TOOL-1PCS - CHAVE DESCONEXAO MICROINVERSOR 
 24 x CABO CA MULTIPOLAR 10AWG 
 1 x DTU-LITE-S(WIFI) - MONIT DTU-LITE S (ATÉ 25 MICROS)</t>
  </si>
  <si>
    <t>62 x MODULO FV 570WP N-TYPE BIFACIAL DAH SOLAR DHN-72X16/DG 
 1 x INVERSOR SUNGROW SG25CX-P2 AFCI 380V COM MONITORAMENTO 
 100 x CABO FOTOVOLTAICO 4MM² PRETO 
 100 x CABO FOTOVOLTAICO 4MM² VERMELHO 
 12 x CONECTOR MC4 PAR EMBALADO 
 ESTRUTURA FIBROCIMENTO MADEIRA</t>
  </si>
  <si>
    <t>62 x MODULO FV 570WP N-TYPE BIFACIAL DUAL GLASS DAS-DH144NA 
 1 x INVERSOR SUNGROW SG25CX-P2 AFCI 380V COM MONITORAMENTO 
 100 x CABO FOTOVOLTAICO 4MM² PRETO 
 100 x CABO FOTOVOLTAICO 4MM² VERMELHO 
 12 x CONECTOR MC4 PAR EMBALADO 
 ESTRUTURA FIBROCIMENTO MADEIRA</t>
  </si>
  <si>
    <t>62 x MODULO FV 570WP N-TYPE BIFACIAL DAH SOLAR DHN-72X16/DG 
 1 x INVERSOR SOLIS 30KW 380V S5-GC30K COM MONITORAMENTO 
 100 x CABO FOTOVOLTAICO 4MM² PRETO 
 100 x CABO FOTOVOLTAICO 4MM² VERMELHO 
 12 x CONECTOR MC4 PAR EMBALADO 
 ESTRUTURA FIBROCIMENTO MADEIRA</t>
  </si>
  <si>
    <t>62 x MODULO FV 570WP N-TYPE BIFACIAL DUAL GLASS DAS-DH144NA 
 1 x INVERSOR SOLIS 30KW 380V S5-GC30K COM MONITORAMENTO 
 100 x CABO FOTOVOLTAICO 4MM² PRETO 
 100 x CABO FOTOVOLTAICO 4MM² VERMELHO 
 12 x CONECTOR MC4 PAR EMBALADO 
 ESTRUTURA FIBROCIMENTO MADEIRA</t>
  </si>
  <si>
    <t>62 x MODULO FV 570WP N-TYPE BIFACIAL DAH SOLAR DHN-72X16/DG 
 1 x INVERSOR SOLIS 30KW 220V S5-GC30K-LV COM MONITORAMENTO 
 100 x CABO FOTOVOLTAICO 4MM² PRETO 
 100 x CABO FOTOVOLTAICO 4MM² VERMELHO 
 16 x CONECTOR MC4 PAR EMBALADO 
 ESTRUTURA FIBROCIMENTO MADEIRA</t>
  </si>
  <si>
    <t>62 x MODULO FV 570WP N-TYPE BIFACIAL DUAL GLASS DAS-DH144NA 
 1 x INVERSOR SOLIS 30KW 220V S5-GC30K-LV COM MONITORAMENTO 
 100 x CABO FOTOVOLTAICO 4MM² PRETO 
 100 x CABO FOTOVOLTAICO 4MM² VERMELHO 
 16 x CONECTOR MC4 PAR EMBALADO 
 ESTRUTURA FIBROCIMENTO MADEIRA</t>
  </si>
  <si>
    <t>62 x MODULO FV 570WP N-TYPE BIFACIAL DAH SOLAR DHN-72X16/DG 
 16 x HMS-2000-4T - MICRO HOYMILES 2000W DTU EXTERNA 
 4 x CABO FOTOVOLTAICO 4MM² PRETO 
 64 x CABO FOTOVOLTAICO 4MM² VERMELHO 
 128 x CONECTOR MC4 PAR EMBALADO 
 ESTRUTURA FIBROCIMENTO MADEIRA 
 16 x AC TRUNK CONNECTOR - CONECTOR CA HOYMILES 
 6 x AC TRUNK END CAP - TERMINAL ENDCAP HOYMILES 
 1 x AC TRUNK CONNECTOR UNLOCK TOOL - CHAVE DESBLOQUEIO CONECTOR CA 
 1 x HMS DISCONNECT TOOL-1PCS - CHAVE DESCONEXAO MICROINVERSOR 
 30 x CABO CA MULTIPOLAR 10AWG 
 1 x DTU-LITE-S(WIFI) - MONIT DTU-LITE S (ATÉ 25 MICROS)</t>
  </si>
  <si>
    <t>62 x MODULO FV 570WP N-TYPE BIFACIAL DUAL GLASS DAS-DH144NA 
 16 x HMS-2000-4T - MICRO HOYMILES 2000W DTU EXTERNA 
 4 x CABO FOTOVOLTAICO 4MM² PRETO 
 64 x CABO FOTOVOLTAICO 4MM² VERMELHO 
 128 x CONECTOR MC4 PAR EMBALADO 
 ESTRUTURA FIBROCIMENTO MADEIRA 
 16 x AC TRUNK CONNECTOR - CONECTOR CA HOYMILES 
 6 x AC TRUNK END CAP - TERMINAL ENDCAP HOYMILES 
 1 x AC TRUNK CONNECTOR UNLOCK TOOL - CHAVE DESBLOQUEIO CONECTOR CA 
 1 x HMS DISCONNECT TOOL-1PCS - CHAVE DESCONEXAO MICROINVERSOR 
 30 x CABO CA MULTIPOLAR 10AWG 
 1 x DTU-LITE-S(WIFI) - MONIT DTU-LITE S (ATÉ 25 MICROS)</t>
  </si>
  <si>
    <t>50 x MODULO FV 710WP BIFACIAL DUAL-GLASS TRINA TSM-NEG21C.20 
 13 x HMS-2000-4T - MICRO HOYMILES 2000W DTU EXTERNA 
 4 x CABO FOTOVOLTAICO 4MM² PRETO 
 52 x CABO FOTOVOLTAICO 4MM² VERMELHO 
 104 x CONECTOR MC4 PAR TRINA 
 ESTRUTURA FIBROCIMENTO MADEIRA 
 13 x AC TRUNK CONNECTOR - CONECTOR CA HOYMILES 
 5 x AC TRUNK END CAP - TERMINAL ENDCAP HOYMILES 
 1 x AC TRUNK CONNECTOR UNLOCK TOOL - CHAVE DESBLOQUEIO CONECTOR CA 
 1 x HMS DISCONNECT TOOL-1PCS - CHAVE DESCONEXAO MICROINVERSOR 
 24 x CABO CA MULTIPOLAR 10AWG 
 1 x DTU-LITE-S(WIFI) - MONIT DTU-LITE S (ATÉ 25 MICROS)</t>
  </si>
  <si>
    <t>63 x MODULO FV 570WP N-TYPE BIFACIAL DAH SOLAR DHN-72X16/DG 
 1 x INVERSOR SOLIS 30KW 380V S5-GC30K COM MONITORAMENTO 
 100 x CABO FOTOVOLTAICO 4MM² PRETO 
 100 x CABO FOTOVOLTAICO 4MM² VERMELHO 
 12 x CONECTOR MC4 PAR EMBALADO 
 ESTRUTURA FIBROCIMENTO MADEIRA</t>
  </si>
  <si>
    <t>63 x MODULO FV 570WP N-TYPE BIFACIAL DUAL GLASS DAS-DH144NA 
 1 x INVERSOR SOLIS 30KW 380V S5-GC30K COM MONITORAMENTO 
 100 x CABO FOTOVOLTAICO 4MM² PRETO 
 100 x CABO FOTOVOLTAICO 4MM² VERMELHO 
 12 x CONECTOR MC4 PAR EMBALADO 
 ESTRUTURA FIBROCIMENTO MADEIRA</t>
  </si>
  <si>
    <t>63 x MODULO FV 570WP N-TYPE BIFACIAL DAH SOLAR DHN-72X16/DG 
 1 x INVERSOR SOLIS 30KW 220V S5-GC30K-LV COM MONITORAMENTO 
 100 x CABO FOTOVOLTAICO 4MM² PRETO 
 100 x CABO FOTOVOLTAICO 4MM² VERMELHO 
 16 x CONECTOR MC4 PAR EMBALADO 
 ESTRUTURA FIBROCIMENTO MADEIRA</t>
  </si>
  <si>
    <t>63 x MODULO FV 570WP N-TYPE BIFACIAL DUAL GLASS DAS-DH144NA 
 1 x INVERSOR SOLIS 30KW 220V S5-GC30K-LV COM MONITORAMENTO 
 100 x CABO FOTOVOLTAICO 4MM² PRETO 
 100 x CABO FOTOVOLTAICO 4MM² VERMELHO 
 16 x CONECTOR MC4 PAR EMBALADO 
 ESTRUTURA FIBROCIMENTO MADEIRA</t>
  </si>
  <si>
    <t>63 x MODULO FV 570WP N-TYPE BIFACIAL DAH SOLAR DHN-72X16/DG 
 16 x HMS-2000-4T - MICRO HOYMILES 2000W DTU EXTERNA 
 4 x CABO FOTOVOLTAICO 4MM² PRETO 
 64 x CABO FOTOVOLTAICO 4MM² VERMELHO 
 128 x CONECTOR MC4 PAR EMBALADO 
 ESTRUTURA FIBROCIMENTO MADEIRA 
 16 x AC TRUNK CONNECTOR - CONECTOR CA HOYMILES 
 6 x AC TRUNK END CAP - TERMINAL ENDCAP HOYMILES 
 1 x AC TRUNK CONNECTOR UNLOCK TOOL - CHAVE DESBLOQUEIO CONECTOR CA 
 1 x HMS DISCONNECT TOOL-1PCS - CHAVE DESCONEXAO MICROINVERSOR 
 30 x CABO CA MULTIPOLAR 10AWG 
 1 x DTU-LITE-S(WIFI) - MONIT DTU-LITE S (ATÉ 25 MICROS)</t>
  </si>
  <si>
    <t>63 x MODULO FV 570WP N-TYPE BIFACIAL DUAL GLASS DAS-DH144NA 
 16 x HMS-2000-4T - MICRO HOYMILES 2000W DTU EXTERNA 
 4 x CABO FOTOVOLTAICO 4MM² PRETO 
 64 x CABO FOTOVOLTAICO 4MM² VERMELHO 
 128 x CONECTOR MC4 PAR EMBALADO 
 ESTRUTURA FIBROCIMENTO MADEIRA 
 16 x AC TRUNK CONNECTOR - CONECTOR CA HOYMILES 
 6 x AC TRUNK END CAP - TERMINAL ENDCAP HOYMILES 
 1 x AC TRUNK CONNECTOR UNLOCK TOOL - CHAVE DESBLOQUEIO CONECTOR CA 
 1 x HMS DISCONNECT TOOL-1PCS - CHAVE DESCONEXAO MICROINVERSOR 
 30 x CABO CA MULTIPOLAR 10AWG 
 1 x DTU-LITE-S(WIFI) - MONIT DTU-LITE S (ATÉ 25 MICROS)</t>
  </si>
  <si>
    <t>51 x MODULO FV 710WP BIFACIAL DUAL-GLASS TRINA TSM-NEG21C.20 
 13 x HMS-2000-4T - MICRO HOYMILES 2000W DTU EXTERNA 
 4 x CABO FOTOVOLTAICO 4MM² PRETO 
 52 x CABO FOTOVOLTAICO 4MM² VERMELHO 
 104 x CONECTOR MC4 PAR TRINA 
 ESTRUTURA FIBROCIMENTO MADEIRA 
 13 x AC TRUNK CONNECTOR - CONECTOR CA HOYMILES 
 5 x AC TRUNK END CAP - TERMINAL ENDCAP HOYMILES 
 1 x AC TRUNK CONNECTOR UNLOCK TOOL - CHAVE DESBLOQUEIO CONECTOR CA 
 1 x HMS DISCONNECT TOOL-1PCS - CHAVE DESCONEXAO MICROINVERSOR 
 24 x CABO CA MULTIPOLAR 10AWG 
 1 x DTU-LITE-S(WIFI) - MONIT DTU-LITE S (ATÉ 25 MICROS)</t>
  </si>
  <si>
    <t>64 x MODULO FV 570WP N-TYPE BIFACIAL DAH SOLAR DHN-72X16/DG 
 1 x INVERSOR SOLIS 30KW 380V S5-GC30K COM MONITORAMENTO 
 100 x CABO FOTOVOLTAICO 4MM² PRETO 
 100 x CABO FOTOVOLTAICO 4MM² VERMELHO 
 12 x CONECTOR MC4 PAR EMBALADO 
 ESTRUTURA FIBROCIMENTO MADEIRA</t>
  </si>
  <si>
    <t>64 x MODULO FV 570WP N-TYPE BIFACIAL DUAL GLASS DAS-DH144NA 
 1 x INVERSOR SOLIS 30KW 380V S5-GC30K COM MONITORAMENTO 
 100 x CABO FOTOVOLTAICO 4MM² PRETO 
 100 x CABO FOTOVOLTAICO 4MM² VERMELHO 
 12 x CONECTOR MC4 PAR EMBALADO 
 ESTRUTURA FIBROCIMENTO MADEIRA</t>
  </si>
  <si>
    <t>64 x MODULO FV 570WP N-TYPE BIFACIAL DAH SOLAR DHN-72X16/DG 
 1 x INVERSOR SUNGROW SG30CX-P2 AFCI 380V COM MONITORAMENTO 
 100 x CABO FOTOVOLTAICO 4MM² PRETO 
 100 x CABO FOTOVOLTAICO 4MM² VERMELHO 
 16 x CONECTOR MC4 PAR EMBALADO 
 ESTRUTURA FIBROCIMENTO MADEIRA</t>
  </si>
  <si>
    <t>64 x MODULO FV 570WP N-TYPE BIFACIAL DUAL GLASS DAS-DH144NA 
 1 x INVERSOR SUNGROW SG30CX-P2 AFCI 380V COM MONITORAMENTO 
 100 x CABO FOTOVOLTAICO 4MM² PRETO 
 100 x CABO FOTOVOLTAICO 4MM² VERMELHO 
 16 x CONECTOR MC4 PAR EMBALADO 
 ESTRUTURA FIBROCIMENTO MADEIRA</t>
  </si>
  <si>
    <t>64 x MODULO FV 570WP N-TYPE BIFACIAL DAH SOLAR DHN-72X16/DG 
 1 x INVERSOR SOLIS 30KW 220V S5-GC30K-LV COM MONITORAMENTO 
 100 x CABO FOTOVOLTAICO 4MM² PRETO 
 100 x CABO FOTOVOLTAICO 4MM² VERMELHO 
 16 x CONECTOR MC4 PAR EMBALADO 
 ESTRUTURA FIBROCIMENTO MADEIRA</t>
  </si>
  <si>
    <t>64 x MODULO FV 570WP N-TYPE BIFACIAL DUAL GLASS DAS-DH144NA 
 1 x INVERSOR SOLIS 30KW 220V S5-GC30K-LV COM MONITORAMENTO 
 100 x CABO FOTOVOLTAICO 4MM² PRETO 
 100 x CABO FOTOVOLTAICO 4MM² VERMELHO 
 16 x CONECTOR MC4 PAR EMBALADO 
 ESTRUTURA FIBROCIMENTO MADEIRA</t>
  </si>
  <si>
    <t>64 x MODULO FV 570WP N-TYPE BIFACIAL DAH SOLAR DHN-72X16/DG 
 16 x HMS-2000-4T - MICRO HOYMILES 2000W DTU EXTERNA 
 4 x CABO FOTOVOLTAICO 4MM² PRETO 
 64 x CABO FOTOVOLTAICO 4MM² VERMELHO 
 128 x CONECTOR MC4 PAR EMBALADO 
 ESTRUTURA FIBROCIMENTO MADEIRA 
 16 x AC TRUNK CONNECTOR - CONECTOR CA HOYMILES 
 6 x AC TRUNK END CAP - TERMINAL ENDCAP HOYMILES 
 1 x AC TRUNK CONNECTOR UNLOCK TOOL - CHAVE DESBLOQUEIO CONECTOR CA 
 1 x HMS DISCONNECT TOOL-1PCS - CHAVE DESCONEXAO MICROINVERSOR 
 30 x CABO CA MULTIPOLAR 10AWG 
 1 x DTU-LITE-S(WIFI) - MONIT DTU-LITE S (ATÉ 25 MICROS)</t>
  </si>
  <si>
    <t>64 x MODULO FV 570WP N-TYPE BIFACIAL DUAL GLASS DAS-DH144NA 
 16 x HMS-2000-4T - MICRO HOYMILES 2000W DTU EXTERNA 
 4 x CABO FOTOVOLTAICO 4MM² PRETO 
 64 x CABO FOTOVOLTAICO 4MM² VERMELHO 
 128 x CONECTOR MC4 PAR EMBALADO 
 ESTRUTURA FIBROCIMENTO MADEIRA 
 16 x AC TRUNK CONNECTOR - CONECTOR CA HOYMILES 
 6 x AC TRUNK END CAP - TERMINAL ENDCAP HOYMILES 
 1 x AC TRUNK CONNECTOR UNLOCK TOOL - CHAVE DESBLOQUEIO CONECTOR CA 
 1 x HMS DISCONNECT TOOL-1PCS - CHAVE DESCONEXAO MICROINVERSOR 
 30 x CABO CA MULTIPOLAR 10AWG 
 1 x DTU-LITE-S(WIFI) - MONIT DTU-LITE S (ATÉ 25 MICROS)</t>
  </si>
  <si>
    <t>52 x MODULO FV 710WP BIFACIAL DUAL-GLASS TRINA TSM-NEG21C.20 
 13 x HMS-2000-4T - MICRO HOYMILES 2000W DTU EXTERNA 
 4 x CABO FOTOVOLTAICO 4MM² PRETO 
 52 x CABO FOTOVOLTAICO 4MM² VERMELHO 
 104 x CONECTOR MC4 PAR TRINA 
 ESTRUTURA FIBROCIMENTO MADEIRA 
 13 x AC TRUNK CONNECTOR - CONECTOR CA HOYMILES 
 5 x AC TRUNK END CAP - TERMINAL ENDCAP HOYMILES 
 1 x AC TRUNK CONNECTOR UNLOCK TOOL - CHAVE DESBLOQUEIO CONECTOR CA 
 1 x HMS DISCONNECT TOOL-1PCS - CHAVE DESCONEXAO MICROINVERSOR 
 24 x CABO CA MULTIPOLAR 10AWG 
 1 x DTU-LITE-S(WIFI) - MONIT DTU-LITE S (ATÉ 25 MICROS)</t>
  </si>
  <si>
    <t>65 x MODULO FV 570WP N-TYPE BIFACIAL DAH SOLAR DHN-72X16/DG 
 1 x INVERSOR SOLIS 30KW 380V S5-GC30K COM MONITORAMENTO 
 100 x CABO FOTOVOLTAICO 4MM² PRETO 
 100 x CABO FOTOVOLTAICO 4MM² VERMELHO 
 12 x CONECTOR MC4 PAR EMBALADO 
 ESTRUTURA FIBROCIMENTO MADEIRA</t>
  </si>
  <si>
    <t>65 x MODULO FV 570WP N-TYPE BIFACIAL DUAL GLASS DAS-DH144NA 
 1 x INVERSOR SOLIS 30KW 380V S5-GC30K COM MONITORAMENTO 
 100 x CABO FOTOVOLTAICO 4MM² PRETO 
 100 x CABO FOTOVOLTAICO 4MM² VERMELHO 
 12 x CONECTOR MC4 PAR EMBALADO 
 ESTRUTURA FIBROCIMENTO MADEIRA</t>
  </si>
  <si>
    <t>65 x MODULO FV 570WP N-TYPE BIFACIAL DAH SOLAR DHN-72X16/DG 
 1 x INVERSOR SUNGROW SG30CX-P2 AFCI 380V COM MONITORAMENTO 
 100 x CABO FOTOVOLTAICO 4MM² PRETO 
 100 x CABO FOTOVOLTAICO 4MM² VERMELHO 
 16 x CONECTOR MC4 PAR EMBALADO 
 ESTRUTURA FIBROCIMENTO MADEIRA</t>
  </si>
  <si>
    <t>65 x MODULO FV 570WP N-TYPE BIFACIAL DUAL GLASS DAS-DH144NA 
 1 x INVERSOR SUNGROW SG30CX-P2 AFCI 380V COM MONITORAMENTO 
 100 x CABO FOTOVOLTAICO 4MM² PRETO 
 100 x CABO FOTOVOLTAICO 4MM² VERMELHO 
 16 x CONECTOR MC4 PAR EMBALADO 
 ESTRUTURA FIBROCIMENTO MADEIRA</t>
  </si>
  <si>
    <t>65 x MODULO FV 570WP N-TYPE BIFACIAL DAH SOLAR DHN-72X16/DG 
 1 x INVERSOR SOLIS 30KW 220V S5-GC30K-LV COM MONITORAMENTO 
 100 x CABO FOTOVOLTAICO 4MM² PRETO 
 100 x CABO FOTOVOLTAICO 4MM² VERMELHO 
 16 x CONECTOR MC4 PAR EMBALADO 
 ESTRUTURA FIBROCIMENTO MADEIRA</t>
  </si>
  <si>
    <t>65 x MODULO FV 570WP N-TYPE BIFACIAL DUAL GLASS DAS-DH144NA 
 1 x INVERSOR SOLIS 30KW 220V S5-GC30K-LV COM MONITORAMENTO 
 100 x CABO FOTOVOLTAICO 4MM² PRETO 
 100 x CABO FOTOVOLTAICO 4MM² VERMELHO 
 16 x CONECTOR MC4 PAR EMBALADO 
 ESTRUTURA FIBROCIMENTO MADEIRA</t>
  </si>
  <si>
    <t>33</t>
  </si>
  <si>
    <t>65 x MODULO FV 570WP N-TYPE BIFACIAL DAH SOLAR DHN-72X16/DG 
 17 x HMS-2000-4T - MICRO HOYMILES 2000W DTU EXTERNA 
 4 x CABO FOTOVOLTAICO 4MM² PRETO 
 68 x CABO FOTOVOLTAICO 4MM² VERMELHO 
 136 x CONECTOR MC4 PAR EMBALADO 
 ESTRUTURA FIBROCIMENTO MADEIRA 
 17 x AC TRUNK CONNECTOR - CONECTOR CA HOYMILES 
 6 x AC TRUNK END CAP - TERMINAL ENDCAP HOYMILES 
 1 x AC TRUNK CONNECTOR UNLOCK TOOL - CHAVE DESBLOQUEIO CONECTOR CA 
 1 x HMS DISCONNECT TOOL-1PCS - CHAVE DESCONEXAO MICROINVERSOR 
 33 x CABO CA MULTIPOLAR 10AWG 
 1 x DTU-LITE-S(WIFI) - MONIT DTU-LITE S (ATÉ 25 MICROS)</t>
  </si>
  <si>
    <t>65 x MODULO FV 570WP N-TYPE BIFACIAL DUAL GLASS DAS-DH144NA 
 17 x HMS-2000-4T - MICRO HOYMILES 2000W DTU EXTERNA 
 4 x CABO FOTOVOLTAICO 4MM² PRETO 
 68 x CABO FOTOVOLTAICO 4MM² VERMELHO 
 136 x CONECTOR MC4 PAR EMBALADO 
 ESTRUTURA FIBROCIMENTO MADEIRA 
 17 x AC TRUNK CONNECTOR - CONECTOR CA HOYMILES 
 6 x AC TRUNK END CAP - TERMINAL ENDCAP HOYMILES 
 1 x AC TRUNK CONNECTOR UNLOCK TOOL - CHAVE DESBLOQUEIO CONECTOR CA 
 1 x HMS DISCONNECT TOOL-1PCS - CHAVE DESCONEXAO MICROINVERSOR 
 33 x CABO CA MULTIPOLAR 10AWG 
 1 x DTU-LITE-S(WIFI) - MONIT DTU-LITE S (ATÉ 25 MICROS)</t>
  </si>
  <si>
    <t>66 x MODULO FV 570WP N-TYPE BIFACIAL DAH SOLAR DHN-72X16/DG 
 1 x INVERSOR SOLIS 30KW 380V S5-GC30K COM MONITORAMENTO 
 100 x CABO FOTOVOLTAICO 4MM² PRETO 
 100 x CABO FOTOVOLTAICO 4MM² VERMELHO 
 12 x CONECTOR MC4 PAR EMBALADO 
 ESTRUTURA FIBROCIMENTO MADEIRA</t>
  </si>
  <si>
    <t>66 x MODULO FV 570WP N-TYPE BIFACIAL DUAL GLASS DAS-DH144NA 
 1 x INVERSOR SOLIS 30KW 380V S5-GC30K COM MONITORAMENTO 
 100 x CABO FOTOVOLTAICO 4MM² PRETO 
 100 x CABO FOTOVOLTAICO 4MM² VERMELHO 
 12 x CONECTOR MC4 PAR EMBALADO 
 ESTRUTURA FIBROCIMENTO MADEIRA</t>
  </si>
  <si>
    <t>66 x MODULO FV 570WP N-TYPE BIFACIAL DAH SOLAR DHN-72X16/DG 
 1 x INVERSOR SUNGROW SG30CX-P2 AFCI 380V COM MONITORAMENTO 
 100 x CABO FOTOVOLTAICO 4MM² PRETO 
 100 x CABO FOTOVOLTAICO 4MM² VERMELHO 
 16 x CONECTOR MC4 PAR EMBALADO 
 ESTRUTURA FIBROCIMENTO MADEIRA</t>
  </si>
  <si>
    <t>66 x MODULO FV 570WP N-TYPE BIFACIAL DUAL GLASS DAS-DH144NA 
 1 x INVERSOR SUNGROW SG30CX-P2 AFCI 380V COM MONITORAMENTO 
 100 x CABO FOTOVOLTAICO 4MM² PRETO 
 100 x CABO FOTOVOLTAICO 4MM² VERMELHO 
 16 x CONECTOR MC4 PAR EMBALADO 
 ESTRUTURA FIBROCIMENTO MADEIRA</t>
  </si>
  <si>
    <t>66 x MODULO FV 570WP N-TYPE BIFACIAL DAH SOLAR DHN-72X16/DG 
 1 x INVERSOR SOLIS 30KW 220V S5-GC30K-LV COM MONITORAMENTO 
 100 x CABO FOTOVOLTAICO 4MM² PRETO 
 100 x CABO FOTOVOLTAICO 4MM² VERMELHO 
 16 x CONECTOR MC4 PAR EMBALADO 
 ESTRUTURA FIBROCIMENTO MADEIRA</t>
  </si>
  <si>
    <t>66 x MODULO FV 570WP N-TYPE BIFACIAL DUAL GLASS DAS-DH144NA 
 1 x INVERSOR SOLIS 30KW 220V S5-GC30K-LV COM MONITORAMENTO 
 100 x CABO FOTOVOLTAICO 4MM² PRETO 
 100 x CABO FOTOVOLTAICO 4MM² VERMELHO 
 16 x CONECTOR MC4 PAR EMBALADO 
 ESTRUTURA FIBROCIMENTO MADEIRA</t>
  </si>
  <si>
    <t>66 x MODULO FV 570WP N-TYPE BIFACIAL DAH SOLAR DHN-72X16/DG 
 17 x HMS-2000-4T - MICRO HOYMILES 2000W DTU EXTERNA 
 4 x CABO FOTOVOLTAICO 4MM² PRETO 
 68 x CABO FOTOVOLTAICO 4MM² VERMELHO 
 136 x CONECTOR MC4 PAR EMBALADO 
 ESTRUTURA FIBROCIMENTO MADEIRA 
 17 x AC TRUNK CONNECTOR - CONECTOR CA HOYMILES 
 6 x AC TRUNK END CAP - TERMINAL ENDCAP HOYMILES 
 1 x AC TRUNK CONNECTOR UNLOCK TOOL - CHAVE DESBLOQUEIO CONECTOR CA 
 1 x HMS DISCONNECT TOOL-1PCS - CHAVE DESCONEXAO MICROINVERSOR 
 33 x CABO CA MULTIPOLAR 10AWG 
 1 x DTU-LITE-S(WIFI) - MONIT DTU-LITE S (ATÉ 25 MICROS)</t>
  </si>
  <si>
    <t>66 x MODULO FV 570WP N-TYPE BIFACIAL DUAL GLASS DAS-DH144NA 
 17 x HMS-2000-4T - MICRO HOYMILES 2000W DTU EXTERNA 
 4 x CABO FOTOVOLTAICO 4MM² PRETO 
 68 x CABO FOTOVOLTAICO 4MM² VERMELHO 
 136 x CONECTOR MC4 PAR EMBALADO 
 ESTRUTURA FIBROCIMENTO MADEIRA 
 17 x AC TRUNK CONNECTOR - CONECTOR CA HOYMILES 
 6 x AC TRUNK END CAP - TERMINAL ENDCAP HOYMILES 
 1 x AC TRUNK CONNECTOR UNLOCK TOOL - CHAVE DESBLOQUEIO CONECTOR CA 
 1 x HMS DISCONNECT TOOL-1PCS - CHAVE DESCONEXAO MICROINVERSOR 
 33 x CABO CA MULTIPOLAR 10AWG 
 1 x DTU-LITE-S(WIFI) - MONIT DTU-LITE S (ATÉ 25 MICROS)</t>
  </si>
  <si>
    <t>53 x MODULO FV 710WP BIFACIAL DUAL-GLASS TRINA TSM-NEG21C.20 
 14 x HMS-2000-4T - MICRO HOYMILES 2000W DTU EXTERNA 
 4 x CABO FOTOVOLTAICO 4MM² PRETO 
 56 x CABO FOTOVOLTAICO 4MM² VERMELHO 
 112 x CONECTOR MC4 PAR TRINA 
 ESTRUTURA FIBROCIMENTO MADEIRA 
 14 x AC TRUNK CONNECTOR - CONECTOR CA HOYMILES 
 5 x AC TRUNK END CAP - TERMINAL ENDCAP HOYMILES 
 1 x AC TRUNK CONNECTOR UNLOCK TOOL - CHAVE DESBLOQUEIO CONECTOR CA 
 1 x HMS DISCONNECT TOOL-1PCS - CHAVE DESCONEXAO MICROINVERSOR 
 27 x CABO CA MULTIPOLAR 10AWG 
 1 x DTU-LITE-S(WIFI) - MONIT DTU-LITE S (ATÉ 25 MICROS)</t>
  </si>
  <si>
    <t>67 x MODULO FV 570WP N-TYPE BIFACIAL DAH SOLAR DHN-72X16/DG 
 1 x INVERSOR SOLIS 30KW 380V S5-GC30K COM MONITORAMENTO 
 100 x CABO FOTOVOLTAICO 4MM² PRETO 
 100 x CABO FOTOVOLTAICO 4MM² VERMELHO 
 12 x CONECTOR MC4 PAR EMBALADO 
 ESTRUTURA FIBROCIMENTO MADEIRA</t>
  </si>
  <si>
    <t>67 x MODULO FV 570WP N-TYPE BIFACIAL DUAL GLASS DAS-DH144NA 
 1 x INVERSOR SOLIS 30KW 380V S5-GC30K COM MONITORAMENTO 
 100 x CABO FOTOVOLTAICO 4MM² PRETO 
 100 x CABO FOTOVOLTAICO 4MM² VERMELHO 
 12 x CONECTOR MC4 PAR EMBALADO 
 ESTRUTURA FIBROCIMENTO MADEIRA</t>
  </si>
  <si>
    <t>67 x MODULO FV 570WP N-TYPE BIFACIAL DAH SOLAR DHN-72X16/DG 
 1 x INVERSOR SUNGROW SG30CX-P2 AFCI 380V COM MONITORAMENTO 
 100 x CABO FOTOVOLTAICO 4MM² PRETO 
 100 x CABO FOTOVOLTAICO 4MM² VERMELHO 
 16 x CONECTOR MC4 PAR EMBALADO 
 ESTRUTURA FIBROCIMENTO MADEIRA</t>
  </si>
  <si>
    <t>67 x MODULO FV 570WP N-TYPE BIFACIAL DUAL GLASS DAS-DH144NA 
 1 x INVERSOR SUNGROW SG30CX-P2 AFCI 380V COM MONITORAMENTO 
 100 x CABO FOTOVOLTAICO 4MM² PRETO 
 100 x CABO FOTOVOLTAICO 4MM² VERMELHO 
 16 x CONECTOR MC4 PAR EMBALADO 
 ESTRUTURA FIBROCIMENTO MADEIRA</t>
  </si>
  <si>
    <t>67 x MODULO FV 570WP N-TYPE BIFACIAL DAH SOLAR DHN-72X16/DG 
 1 x INVERSOR SOLIS 30KW 220V S5-GC30K-LV COM MONITORAMENTO 
 100 x CABO FOTOVOLTAICO 4MM² PRETO 
 100 x CABO FOTOVOLTAICO 4MM² VERMELHO 
 16 x CONECTOR MC4 PAR EMBALADO 
 ESTRUTURA FIBROCIMENTO MADEIRA</t>
  </si>
  <si>
    <t>67 x MODULO FV 570WP N-TYPE BIFACIAL DUAL GLASS DAS-DH144NA 
 1 x INVERSOR SOLIS 30KW 220V S5-GC30K-LV COM MONITORAMENTO 
 100 x CABO FOTOVOLTAICO 4MM² PRETO 
 100 x CABO FOTOVOLTAICO 4MM² VERMELHO 
 16 x CONECTOR MC4 PAR EMBALADO 
 ESTRUTURA FIBROCIMENTO MADEIRA</t>
  </si>
  <si>
    <t>67 x MODULO FV 570WP N-TYPE BIFACIAL DAH SOLAR DHN-72X16/DG 
 17 x HMS-2000-4T - MICRO HOYMILES 2000W DTU EXTERNA 
 4 x CABO FOTOVOLTAICO 4MM² PRETO 
 68 x CABO FOTOVOLTAICO 4MM² VERMELHO 
 136 x CONECTOR MC4 PAR EMBALADO 
 ESTRUTURA FIBROCIMENTO MADEIRA 
 17 x AC TRUNK CONNECTOR - CONECTOR CA HOYMILES 
 6 x AC TRUNK END CAP - TERMINAL ENDCAP HOYMILES 
 1 x AC TRUNK CONNECTOR UNLOCK TOOL - CHAVE DESBLOQUEIO CONECTOR CA 
 1 x HMS DISCONNECT TOOL-1PCS - CHAVE DESCONEXAO MICROINVERSOR 
 33 x CABO CA MULTIPOLAR 10AWG 
 1 x DTU-LITE-S(WIFI) - MONIT DTU-LITE S (ATÉ 25 MICROS)</t>
  </si>
  <si>
    <t>67 x MODULO FV 570WP N-TYPE BIFACIAL DUAL GLASS DAS-DH144NA 
 17 x HMS-2000-4T - MICRO HOYMILES 2000W DTU EXTERNA 
 4 x CABO FOTOVOLTAICO 4MM² PRETO 
 68 x CABO FOTOVOLTAICO 4MM² VERMELHO 
 136 x CONECTOR MC4 PAR EMBALADO 
 ESTRUTURA FIBROCIMENTO MADEIRA 
 17 x AC TRUNK CONNECTOR - CONECTOR CA HOYMILES 
 6 x AC TRUNK END CAP - TERMINAL ENDCAP HOYMILES 
 1 x AC TRUNK CONNECTOR UNLOCK TOOL - CHAVE DESBLOQUEIO CONECTOR CA 
 1 x HMS DISCONNECT TOOL-1PCS - CHAVE DESCONEXAO MICROINVERSOR 
 33 x CABO CA MULTIPOLAR 10AWG 
 1 x DTU-LITE-S(WIFI) - MONIT DTU-LITE S (ATÉ 25 MICROS)</t>
  </si>
  <si>
    <t>54 x MODULO FV 710WP BIFACIAL DUAL-GLASS TRINA TSM-NEG21C.20 
 14 x HMS-2000-4T - MICRO HOYMILES 2000W DTU EXTERNA 
 4 x CABO FOTOVOLTAICO 4MM² PRETO 
 56 x CABO FOTOVOLTAICO 4MM² VERMELHO 
 112 x CONECTOR MC4 PAR TRINA 
 ESTRUTURA FIBROCIMENTO MADEIRA 
 14 x AC TRUNK CONNECTOR - CONECTOR CA HOYMILES 
 5 x AC TRUNK END CAP - TERMINAL ENDCAP HOYMILES 
 1 x AC TRUNK CONNECTOR UNLOCK TOOL - CHAVE DESBLOQUEIO CONECTOR CA 
 1 x HMS DISCONNECT TOOL-1PCS - CHAVE DESCONEXAO MICROINVERSOR 
 27 x CABO CA MULTIPOLAR 10AWG 
 1 x DTU-LITE-S(WIFI) - MONIT DTU-LITE S (ATÉ 25 MICROS)</t>
  </si>
  <si>
    <t>68 x MODULO FV 570WP N-TYPE BIFACIAL DAH SOLAR DHN-72X16/DG 
 1 x INVERSOR SOLIS 30KW 380V S5-GC30K COM MONITORAMENTO 
 100 x CABO FOTOVOLTAICO 4MM² PRETO 
 100 x CABO FOTOVOLTAICO 4MM² VERMELHO 
 12 x CONECTOR MC4 PAR EMBALADO 
 ESTRUTURA FIBROCIMENTO MADEIRA</t>
  </si>
  <si>
    <t>68 x MODULO FV 570WP N-TYPE BIFACIAL DUAL GLASS DAS-DH144NA 
 1 x INVERSOR SOLIS 30KW 380V S5-GC30K COM MONITORAMENTO 
 100 x CABO FOTOVOLTAICO 4MM² PRETO 
 100 x CABO FOTOVOLTAICO 4MM² VERMELHO 
 12 x CONECTOR MC4 PAR EMBALADO 
 ESTRUTURA FIBROCIMENTO MADEIRA</t>
  </si>
  <si>
    <t>68 x MODULO FV 570WP N-TYPE BIFACIAL DAH SOLAR DHN-72X16/DG 
 1 x INVERSOR SUNGROW SG30CX-P2 AFCI 380V COM MONITORAMENTO 
 100 x CABO FOTOVOLTAICO 4MM² PRETO 
 100 x CABO FOTOVOLTAICO 4MM² VERMELHO 
 16 x CONECTOR MC4 PAR EMBALADO 
 ESTRUTURA FIBROCIMENTO MADEIRA</t>
  </si>
  <si>
    <t>68 x MODULO FV 570WP N-TYPE BIFACIAL DUAL GLASS DAS-DH144NA 
 1 x INVERSOR SUNGROW SG30CX-P2 AFCI 380V COM MONITORAMENTO 
 100 x CABO FOTOVOLTAICO 4MM² PRETO 
 100 x CABO FOTOVOLTAICO 4MM² VERMELHO 
 16 x CONECTOR MC4 PAR EMBALADO 
 ESTRUTURA FIBROCIMENTO MADEIRA</t>
  </si>
  <si>
    <t>68 x MODULO FV 570WP N-TYPE BIFACIAL DAH SOLAR DHN-72X16/DG 
 1 x INVERSOR SOLIS 30KW 220V S5-GC30K-LV COM MONITORAMENTO 
 100 x CABO FOTOVOLTAICO 4MM² PRETO 
 100 x CABO FOTOVOLTAICO 4MM² VERMELHO 
 16 x CONECTOR MC4 PAR EMBALADO 
 ESTRUTURA FIBROCIMENTO MADEIRA</t>
  </si>
  <si>
    <t>68 x MODULO FV 570WP N-TYPE BIFACIAL DUAL GLASS DAS-DH144NA 
 1 x INVERSOR SOLIS 30KW 220V S5-GC30K-LV COM MONITORAMENTO 
 100 x CABO FOTOVOLTAICO 4MM² PRETO 
 100 x CABO FOTOVOLTAICO 4MM² VERMELHO 
 16 x CONECTOR MC4 PAR EMBALADO 
 ESTRUTURA FIBROCIMENTO MADEIRA</t>
  </si>
  <si>
    <t>68 x MODULO FV 570WP N-TYPE BIFACIAL DAH SOLAR DHN-72X16/DG 
 17 x HMS-2000-4T - MICRO HOYMILES 2000W DTU EXTERNA 
 4 x CABO FOTOVOLTAICO 4MM² PRETO 
 68 x CABO FOTOVOLTAICO 4MM² VERMELHO 
 136 x CONECTOR MC4 PAR EMBALADO 
 ESTRUTURA FIBROCIMENTO MADEIRA 
 17 x AC TRUNK CONNECTOR - CONECTOR CA HOYMILES 
 6 x AC TRUNK END CAP - TERMINAL ENDCAP HOYMILES 
 1 x AC TRUNK CONNECTOR UNLOCK TOOL - CHAVE DESBLOQUEIO CONECTOR CA 
 1 x HMS DISCONNECT TOOL-1PCS - CHAVE DESCONEXAO MICROINVERSOR 
 33 x CABO CA MULTIPOLAR 10AWG 
 1 x DTU-LITE-S(WIFI) - MONIT DTU-LITE S (ATÉ 25 MICROS)</t>
  </si>
  <si>
    <t>68 x MODULO FV 570WP N-TYPE BIFACIAL DUAL GLASS DAS-DH144NA 
 17 x HMS-2000-4T - MICRO HOYMILES 2000W DTU EXTERNA 
 4 x CABO FOTOVOLTAICO 4MM² PRETO 
 68 x CABO FOTOVOLTAICO 4MM² VERMELHO 
 136 x CONECTOR MC4 PAR EMBALADO 
 ESTRUTURA FIBROCIMENTO MADEIRA 
 17 x AC TRUNK CONNECTOR - CONECTOR CA HOYMILES 
 6 x AC TRUNK END CAP - TERMINAL ENDCAP HOYMILES 
 1 x AC TRUNK CONNECTOR UNLOCK TOOL - CHAVE DESBLOQUEIO CONECTOR CA 
 1 x HMS DISCONNECT TOOL-1PCS - CHAVE DESCONEXAO MICROINVERSOR 
 33 x CABO CA MULTIPOLAR 10AWG 
 1 x DTU-LITE-S(WIFI) - MONIT DTU-LITE S (ATÉ 25 MICROS)</t>
  </si>
  <si>
    <t>55 x MODULO FV 710WP BIFACIAL DUAL-GLASS TRINA TSM-NEG21C.20 
 14 x HMS-2000-4T - MICRO HOYMILES 2000W DTU EXTERNA 
 4 x CABO FOTOVOLTAICO 4MM² PRETO 
 56 x CABO FOTOVOLTAICO 4MM² VERMELHO 
 112 x CONECTOR MC4 PAR TRINA 
 ESTRUTURA FIBROCIMENTO MADEIRA 
 14 x AC TRUNK CONNECTOR - CONECTOR CA HOYMILES 
 5 x AC TRUNK END CAP - TERMINAL ENDCAP HOYMILES 
 1 x AC TRUNK CONNECTOR UNLOCK TOOL - CHAVE DESBLOQUEIO CONECTOR CA 
 1 x HMS DISCONNECT TOOL-1PCS - CHAVE DESCONEXAO MICROINVERSOR 
 27 x CABO CA MULTIPOLAR 10AWG 
 1 x DTU-LITE-S(WIFI) - MONIT DTU-LITE S (ATÉ 25 MICROS)</t>
  </si>
  <si>
    <t>69 x MODULO FV 570WP N-TYPE BIFACIAL DAH SOLAR DHN-72X16/DG 
 1 x INVERSOR SOLIS 30KW 380V S5-GC30K COM MONITORAMENTO 
 100 x CABO FOTOVOLTAICO 4MM² PRETO 
 100 x CABO FOTOVOLTAICO 4MM² VERMELHO 
 12 x CONECTOR MC4 PAR EMBALADO 
 ESTRUTURA FIBROCIMENTO MADEIRA</t>
  </si>
  <si>
    <t>69 x MODULO FV 570WP N-TYPE BIFACIAL DUAL GLASS DAS-DH144NA 
 1 x INVERSOR SOLIS 30KW 380V S5-GC30K COM MONITORAMENTO 
 100 x CABO FOTOVOLTAICO 4MM² PRETO 
 100 x CABO FOTOVOLTAICO 4MM² VERMELHO 
 12 x CONECTOR MC4 PAR EMBALADO 
 ESTRUTURA FIBROCIMENTO MADEIRA</t>
  </si>
  <si>
    <t>69 x MODULO FV 570WP N-TYPE BIFACIAL DAH SOLAR DHN-72X16/DG 
 1 x INVERSOR SUNGROW SG30CX-P2 AFCI 380V COM MONITORAMENTO 
 100 x CABO FOTOVOLTAICO 4MM² PRETO 
 100 x CABO FOTOVOLTAICO 4MM² VERMELHO 
 16 x CONECTOR MC4 PAR EMBALADO 
 ESTRUTURA FIBROCIMENTO MADEIRA</t>
  </si>
  <si>
    <t>69 x MODULO FV 570WP N-TYPE BIFACIAL DUAL GLASS DAS-DH144NA 
 1 x INVERSOR SUNGROW SG30CX-P2 AFCI 380V COM MONITORAMENTO 
 100 x CABO FOTOVOLTAICO 4MM² PRETO 
 100 x CABO FOTOVOLTAICO 4MM² VERMELHO 
 16 x CONECTOR MC4 PAR EMBALADO 
 ESTRUTURA FIBROCIMENTO MADEIRA</t>
  </si>
  <si>
    <t>69 x MODULO FV 570WP N-TYPE BIFACIAL DAH SOLAR DHN-72X16/DG 
 1 x INVERSOR SOLIS 30KW 220V S5-GC30K-LV COM MONITORAMENTO 
 100 x CABO FOTOVOLTAICO 4MM² PRETO 
 100 x CABO FOTOVOLTAICO 4MM² VERMELHO 
 16 x CONECTOR MC4 PAR EMBALADO 
 ESTRUTURA FIBROCIMENTO MADEIRA</t>
  </si>
  <si>
    <t>69 x MODULO FV 570WP N-TYPE BIFACIAL DUAL GLASS DAS-DH144NA 
 1 x INVERSOR SOLIS 30KW 220V S5-GC30K-LV COM MONITORAMENTO 
 100 x CABO FOTOVOLTAICO 4MM² PRETO 
 100 x CABO FOTOVOLTAICO 4MM² VERMELHO 
 16 x CONECTOR MC4 PAR EMBALADO 
 ESTRUTURA FIBROCIMENTO MADEIRA</t>
  </si>
  <si>
    <t>36</t>
  </si>
  <si>
    <t>69 x MODULO FV 570WP N-TYPE BIFACIAL DAH SOLAR DHN-72X16/DG 
 18 x HMS-2000-4T - MICRO HOYMILES 2000W DTU EXTERNA 
 4 x CABO FOTOVOLTAICO 4MM² PRETO 
 72 x CABO FOTOVOLTAICO 4MM² VERMELHO 
 144 x CONECTOR MC4 PAR EMBALADO 
 ESTRUTURA FIBROCIMENTO MADEIRA 
 18 x AC TRUNK CONNECTOR - CONECTOR CA HOYMILES 
 6 x AC TRUNK END CAP - TERMINAL ENDCAP HOYMILES 
 1 x AC TRUNK CONNECTOR UNLOCK TOOL - CHAVE DESBLOQUEIO CONECTOR CA 
 1 x HMS DISCONNECT TOOL-1PCS - CHAVE DESCONEXAO MICROINVERSOR 
 36 x CABO CA MULTIPOLAR 10AWG 
 1 x DTU-LITE-S(WIFI) - MONIT DTU-LITE S (ATÉ 25 MICROS)</t>
  </si>
  <si>
    <t>69 x MODULO FV 570WP N-TYPE BIFACIAL DUAL GLASS DAS-DH144NA 
 18 x HMS-2000-4T - MICRO HOYMILES 2000W DTU EXTERNA 
 4 x CABO FOTOVOLTAICO 4MM² PRETO 
 72 x CABO FOTOVOLTAICO 4MM² VERMELHO 
 144 x CONECTOR MC4 PAR EMBALADO 
 ESTRUTURA FIBROCIMENTO MADEIRA 
 18 x AC TRUNK CONNECTOR - CONECTOR CA HOYMILES 
 6 x AC TRUNK END CAP - TERMINAL ENDCAP HOYMILES 
 1 x AC TRUNK CONNECTOR UNLOCK TOOL - CHAVE DESBLOQUEIO CONECTOR CA 
 1 x HMS DISCONNECT TOOL-1PCS - CHAVE DESCONEXAO MICROINVERSOR 
 36 x CABO CA MULTIPOLAR 10AWG 
 1 x DTU-LITE-S(WIFI) - MONIT DTU-LITE S (ATÉ 25 MICROS)</t>
  </si>
  <si>
    <t>56 x MODULO FV 710WP BIFACIAL DUAL-GLASS TRINA TSM-NEG21C.20 
 14 x HMS-2000-4T - MICRO HOYMILES 2000W DTU EXTERNA 
 4 x CABO FOTOVOLTAICO 4MM² PRETO 
 56 x CABO FOTOVOLTAICO 4MM² VERMELHO 
 112 x CONECTOR MC4 PAR TRINA 
 ESTRUTURA FIBROCIMENTO MADEIRA 
 14 x AC TRUNK CONNECTOR - CONECTOR CA HOYMILES 
 5 x AC TRUNK END CAP - TERMINAL ENDCAP HOYMILES 
 1 x AC TRUNK CONNECTOR UNLOCK TOOL - CHAVE DESBLOQUEIO CONECTOR CA 
 1 x HMS DISCONNECT TOOL-1PCS - CHAVE DESCONEXAO MICROINVERSOR 
 27 x CABO CA MULTIPOLAR 10AWG 
 1 x DTU-LITE-S(WIFI) - MONIT DTU-LITE S (ATÉ 25 MICROS)</t>
  </si>
  <si>
    <t>70 x MODULO FV 570WP N-TYPE BIFACIAL DAH SOLAR DHN-72X16/DG 
 1 x INVERSOR SOLIS 30KW 380V S5-GC30K COM MONITORAMENTO 
 100 x CABO FOTOVOLTAICO 4MM² PRETO 
 100 x CABO FOTOVOLTAICO 4MM² VERMELHO 
 12 x CONECTOR MC4 PAR EMBALADO 
 ESTRUTURA FIBROCIMENTO MADEIRA</t>
  </si>
  <si>
    <t>70 x MODULO FV 570WP N-TYPE BIFACIAL DUAL GLASS DAS-DH144NA 
 1 x INVERSOR SOLIS 30KW 380V S5-GC30K COM MONITORAMENTO 
 100 x CABO FOTOVOLTAICO 4MM² PRETO 
 100 x CABO FOTOVOLTAICO 4MM² VERMELHO 
 12 x CONECTOR MC4 PAR EMBALADO 
 ESTRUTURA FIBROCIMENTO MADEIRA</t>
  </si>
  <si>
    <t>70 x MODULO FV 570WP N-TYPE BIFACIAL DAH SOLAR DHN-72X16/DG 
 1 x INVERSOR SUNGROW SG30CX-P2 AFCI 380V COM MONITORAMENTO 
 100 x CABO FOTOVOLTAICO 4MM² PRETO 
 100 x CABO FOTOVOLTAICO 4MM² VERMELHO 
 16 x CONECTOR MC4 PAR EMBALADO 
 ESTRUTURA FIBROCIMENTO MADEIRA</t>
  </si>
  <si>
    <t>70 x MODULO FV 570WP N-TYPE BIFACIAL DUAL GLASS DAS-DH144NA 
 1 x INVERSOR SUNGROW SG30CX-P2 AFCI 380V COM MONITORAMENTO 
 100 x CABO FOTOVOLTAICO 4MM² PRETO 
 100 x CABO FOTOVOLTAICO 4MM² VERMELHO 
 16 x CONECTOR MC4 PAR EMBALADO 
 ESTRUTURA FIBROCIMENTO MADEIRA</t>
  </si>
  <si>
    <t>70 x MODULO FV 570WP N-TYPE BIFACIAL DAH SOLAR DHN-72X16/DG 
 1 x INVERSOR SOLIS 30KW 220V S5-GC30K-LV COM MONITORAMENTO 
 100 x CABO FOTOVOLTAICO 4MM² PRETO 
 100 x CABO FOTOVOLTAICO 4MM² VERMELHO 
 16 x CONECTOR MC4 PAR EMBALADO 
 ESTRUTURA FIBROCIMENTO MADEIRA</t>
  </si>
  <si>
    <t>70 x MODULO FV 570WP N-TYPE BIFACIAL DUAL GLASS DAS-DH144NA 
 1 x INVERSOR SOLIS 30KW 220V S5-GC30K-LV COM MONITORAMENTO 
 100 x CABO FOTOVOLTAICO 4MM² PRETO 
 100 x CABO FOTOVOLTAICO 4MM² VERMELHO 
 16 x CONECTOR MC4 PAR EMBALADO 
 ESTRUTURA FIBROCIMENTO MADEIRA</t>
  </si>
  <si>
    <t>70 x MODULO FV 570WP N-TYPE BIFACIAL DAH SOLAR DHN-72X16/DG 
 18 x HMS-2000-4T - MICRO HOYMILES 2000W DTU EXTERNA 
 4 x CABO FOTOVOLTAICO 4MM² PRETO 
 72 x CABO FOTOVOLTAICO 4MM² VERMELHO 
 144 x CONECTOR MC4 PAR EMBALADO 
 ESTRUTURA FIBROCIMENTO MADEIRA 
 18 x AC TRUNK CONNECTOR - CONECTOR CA HOYMILES 
 6 x AC TRUNK END CAP - TERMINAL ENDCAP HOYMILES 
 1 x AC TRUNK CONNECTOR UNLOCK TOOL - CHAVE DESBLOQUEIO CONECTOR CA 
 1 x HMS DISCONNECT TOOL-1PCS - CHAVE DESCONEXAO MICROINVERSOR 
 36 x CABO CA MULTIPOLAR 10AWG 
 1 x DTU-LITE-S(WIFI) - MONIT DTU-LITE S (ATÉ 25 MICROS)</t>
  </si>
  <si>
    <t>70 x MODULO FV 570WP N-TYPE BIFACIAL DUAL GLASS DAS-DH144NA 
 18 x HMS-2000-4T - MICRO HOYMILES 2000W DTU EXTERNA 
 4 x CABO FOTOVOLTAICO 4MM² PRETO 
 72 x CABO FOTOVOLTAICO 4MM² VERMELHO 
 144 x CONECTOR MC4 PAR EMBALADO 
 ESTRUTURA FIBROCIMENTO MADEIRA 
 18 x AC TRUNK CONNECTOR - CONECTOR CA HOYMILES 
 6 x AC TRUNK END CAP - TERMINAL ENDCAP HOYMILES 
 1 x AC TRUNK CONNECTOR UNLOCK TOOL - CHAVE DESBLOQUEIO CONECTOR CA 
 1 x HMS DISCONNECT TOOL-1PCS - CHAVE DESCONEXAO MICROINVERSOR 
 36 x CABO CA MULTIPOLAR 10AWG 
 1 x DTU-LITE-S(WIFI) - MONIT DTU-LITE S (ATÉ 25 MICROS)</t>
  </si>
  <si>
    <t>71 x MODULO FV 570WP N-TYPE BIFACIAL DAH SOLAR DHN-72X16/DG 
 1 x INVERSOR SOLIS 30KW 380V S5-GC30K COM MONITORAMENTO 
 100 x CABO FOTOVOLTAICO 4MM² PRETO 
 100 x CABO FOTOVOLTAICO 4MM² VERMELHO 
 12 x CONECTOR MC4 PAR EMBALADO 
 ESTRUTURA FIBROCIMENTO MADEIRA</t>
  </si>
  <si>
    <t>71 x MODULO FV 570WP N-TYPE BIFACIAL DUAL GLASS DAS-DH144NA 
 1 x INVERSOR SOLIS 30KW 380V S5-GC30K COM MONITORAMENTO 
 100 x CABO FOTOVOLTAICO 4MM² PRETO 
 100 x CABO FOTOVOLTAICO 4MM² VERMELHO 
 12 x CONECTOR MC4 PAR EMBALADO 
 ESTRUTURA FIBROCIMENTO MADEIRA</t>
  </si>
  <si>
    <t>71 x MODULO FV 570WP N-TYPE BIFACIAL DAH SOLAR DHN-72X16/DG 
 1 x INVERSOR SUNGROW SG30CX-P2 AFCI 380V COM MONITORAMENTO 
 100 x CABO FOTOVOLTAICO 4MM² PRETO 
 100 x CABO FOTOVOLTAICO 4MM² VERMELHO 
 16 x CONECTOR MC4 PAR EMBALADO 
 ESTRUTURA FIBROCIMENTO MADEIRA</t>
  </si>
  <si>
    <t>71 x MODULO FV 570WP N-TYPE BIFACIAL DUAL GLASS DAS-DH144NA 
 1 x INVERSOR SUNGROW SG30CX-P2 AFCI 380V COM MONITORAMENTO 
 100 x CABO FOTOVOLTAICO 4MM² PRETO 
 100 x CABO FOTOVOLTAICO 4MM² VERMELHO 
 16 x CONECTOR MC4 PAR EMBALADO 
 ESTRUTURA FIBROCIMENTO MADEIRA</t>
  </si>
  <si>
    <t>71 x MODULO FV 570WP N-TYPE BIFACIAL DAH SOLAR DHN-72X16/DG 
 1 x INVERSOR SOLIS 30KW 220V S5-GC30K-LV COM MONITORAMENTO 
 100 x CABO FOTOVOLTAICO 4MM² PRETO 
 100 x CABO FOTOVOLTAICO 4MM² VERMELHO 
 16 x CONECTOR MC4 PAR EMBALADO 
 ESTRUTURA FIBROCIMENTO MADEIRA</t>
  </si>
  <si>
    <t>71 x MODULO FV 570WP N-TYPE BIFACIAL DUAL GLASS DAS-DH144NA 
 1 x INVERSOR SOLIS 30KW 220V S5-GC30K-LV COM MONITORAMENTO 
 100 x CABO FOTOVOLTAICO 4MM² PRETO 
 100 x CABO FOTOVOLTAICO 4MM² VERMELHO 
 16 x CONECTOR MC4 PAR EMBALADO 
 ESTRUTURA FIBROCIMENTO MADEIRA</t>
  </si>
  <si>
    <t>57 x MODULO FV 710WP BIFACIAL DUAL-GLASS TRINA TSM-NEG21C.20 
 15 x HMS-2000-4T - MICRO HOYMILES 2000W DTU EXTERNA 
 4 x CABO FOTOVOLTAICO 4MM² PRETO 
 60 x CABO FOTOVOLTAICO 4MM² VERMELHO 
 120 x CONECTOR MC4 PAR TRINA 
 ESTRUTURA FIBROCIMENTO MADEIRA 
 15 x AC TRUNK CONNECTOR - CONECTOR CA HOYMILES 
 5 x AC TRUNK END CAP - TERMINAL ENDCAP HOYMILES 
 1 x AC TRUNK CONNECTOR UNLOCK TOOL - CHAVE DESBLOQUEIO CONECTOR CA 
 1 x HMS DISCONNECT TOOL-1PCS - CHAVE DESCONEXAO MICROINVERSOR 
 30 x CABO CA MULTIPOLAR 10AWG 
 1 x DTU-LITE-S(WIFI) - MONIT DTU-LITE S (ATÉ 25 MICROS)</t>
  </si>
  <si>
    <t>71 x MODULO FV 570WP N-TYPE BIFACIAL DAH SOLAR DHN-72X16/DG 
 18 x HMS-2000-4T - MICRO HOYMILES 2000W DTU EXTERNA 
 4 x CABO FOTOVOLTAICO 4MM² PRETO 
 72 x CABO FOTOVOLTAICO 4MM² VERMELHO 
 144 x CONECTOR MC4 PAR EMBALADO 
 ESTRUTURA FIBROCIMENTO MADEIRA 
 18 x AC TRUNK CONNECTOR - CONECTOR CA HOYMILES 
 6 x AC TRUNK END CAP - TERMINAL ENDCAP HOYMILES 
 1 x AC TRUNK CONNECTOR UNLOCK TOOL - CHAVE DESBLOQUEIO CONECTOR CA 
 1 x HMS DISCONNECT TOOL-1PCS - CHAVE DESCONEXAO MICROINVERSOR 
 36 x CABO CA MULTIPOLAR 10AWG 
 1 x DTU-LITE-S(WIFI) - MONIT DTU-LITE S (ATÉ 25 MICROS)</t>
  </si>
  <si>
    <t>71 x MODULO FV 570WP N-TYPE BIFACIAL DUAL GLASS DAS-DH144NA 
 18 x HMS-2000-4T - MICRO HOYMILES 2000W DTU EXTERNA 
 4 x CABO FOTOVOLTAICO 4MM² PRETO 
 72 x CABO FOTOVOLTAICO 4MM² VERMELHO 
 144 x CONECTOR MC4 PAR EMBALADO 
 ESTRUTURA FIBROCIMENTO MADEIRA 
 18 x AC TRUNK CONNECTOR - CONECTOR CA HOYMILES 
 6 x AC TRUNK END CAP - TERMINAL ENDCAP HOYMILES 
 1 x AC TRUNK CONNECTOR UNLOCK TOOL - CHAVE DESBLOQUEIO CONECTOR CA 
 1 x HMS DISCONNECT TOOL-1PCS - CHAVE DESCONEXAO MICROINVERSOR 
 36 x CABO CA MULTIPOLAR 10AWG 
 1 x DTU-LITE-S(WIFI) - MONIT DTU-LITE S (ATÉ 25 MICROS)</t>
  </si>
  <si>
    <t>72 x MODULO FV 570WP N-TYPE BIFACIAL DAH SOLAR DHN-72X16/DG 
 1 x INVERSOR SOLIS 30KW 380V S5-GC30K COM MONITORAMENTO 
 100 x CABO FOTOVOLTAICO 4MM² PRETO 
 100 x CABO FOTOVOLTAICO 4MM² VERMELHO 
 12 x CONECTOR MC4 PAR EMBALADO 
 ESTRUTURA FIBROCIMENTO MADEIRA</t>
  </si>
  <si>
    <t>72 x MODULO FV 570WP N-TYPE BIFACIAL DUAL GLASS DAS-DH144NA 
 1 x INVERSOR SOLIS 30KW 380V S5-GC30K COM MONITORAMENTO 
 100 x CABO FOTOVOLTAICO 4MM² PRETO 
 100 x CABO FOTOVOLTAICO 4MM² VERMELHO 
 12 x CONECTOR MC4 PAR EMBALADO 
 ESTRUTURA FIBROCIMENTO MADEIRA</t>
  </si>
  <si>
    <t>72 x MODULO FV 570WP N-TYPE BIFACIAL DAH SOLAR DHN-72X16/DG 
 1 x INVERSOR SUNGROW SG30CX-P2 AFCI 380V COM MONITORAMENTO 
 100 x CABO FOTOVOLTAICO 4MM² PRETO 
 100 x CABO FOTOVOLTAICO 4MM² VERMELHO 
 16 x CONECTOR MC4 PAR EMBALADO 
 ESTRUTURA FIBROCIMENTO MADEIRA</t>
  </si>
  <si>
    <t>72 x MODULO FV 570WP N-TYPE BIFACIAL DUAL GLASS DAS-DH144NA 
 1 x INVERSOR SUNGROW SG30CX-P2 AFCI 380V COM MONITORAMENTO 
 100 x CABO FOTOVOLTAICO 4MM² PRETO 
 100 x CABO FOTOVOLTAICO 4MM² VERMELHO 
 16 x CONECTOR MC4 PAR EMBALADO 
 ESTRUTURA FIBROCIMENTO MADEIRA</t>
  </si>
  <si>
    <t>72 x MODULO FV 570WP N-TYPE BIFACIAL DAH SOLAR DHN-72X16/DG 
 1 x INVERSOR SOLIS 30KW 220V S5-GC30K-LV COM MONITORAMENTO 
 100 x CABO FOTOVOLTAICO 4MM² PRETO 
 100 x CABO FOTOVOLTAICO 4MM² VERMELHO 
 16 x CONECTOR MC4 PAR EMBALADO 
 ESTRUTURA FIBROCIMENTO MADEIRA</t>
  </si>
  <si>
    <t>72 x MODULO FV 570WP N-TYPE BIFACIAL DUAL GLASS DAS-DH144NA 
 1 x INVERSOR SOLIS 30KW 220V S5-GC30K-LV COM MONITORAMENTO 
 100 x CABO FOTOVOLTAICO 4MM² PRETO 
 100 x CABO FOTOVOLTAICO 4MM² VERMELHO 
 16 x CONECTOR MC4 PAR EMBALADO 
 ESTRUTURA FIBROCIMENTO MADEIRA</t>
  </si>
  <si>
    <t>72 x MODULO FV 570WP N-TYPE BIFACIAL DAH SOLAR DHN-72X16/DG 
 18 x HMS-2000-4T - MICRO HOYMILES 2000W DTU EXTERNA 
 4 x CABO FOTOVOLTAICO 4MM² PRETO 
 72 x CABO FOTOVOLTAICO 4MM² VERMELHO 
 144 x CONECTOR MC4 PAR EMBALADO 
 ESTRUTURA FIBROCIMENTO MADEIRA 
 18 x AC TRUNK CONNECTOR - CONECTOR CA HOYMILES 
 6 x AC TRUNK END CAP - TERMINAL ENDCAP HOYMILES 
 1 x AC TRUNK CONNECTOR UNLOCK TOOL - CHAVE DESBLOQUEIO CONECTOR CA 
 1 x HMS DISCONNECT TOOL-1PCS - CHAVE DESCONEXAO MICROINVERSOR 
 36 x CABO CA MULTIPOLAR 10AWG 
 1 x DTU-LITE-S(WIFI) - MONIT DTU-LITE S (ATÉ 25 MICROS)</t>
  </si>
  <si>
    <t>72 x MODULO FV 570WP N-TYPE BIFACIAL DUAL GLASS DAS-DH144NA 
 18 x HMS-2000-4T - MICRO HOYMILES 2000W DTU EXTERNA 
 4 x CABO FOTOVOLTAICO 4MM² PRETO 
 72 x CABO FOTOVOLTAICO 4MM² VERMELHO 
 144 x CONECTOR MC4 PAR EMBALADO 
 ESTRUTURA FIBROCIMENTO MADEIRA 
 18 x AC TRUNK CONNECTOR - CONECTOR CA HOYMILES 
 6 x AC TRUNK END CAP - TERMINAL ENDCAP HOYMILES 
 1 x AC TRUNK CONNECTOR UNLOCK TOOL - CHAVE DESBLOQUEIO CONECTOR CA 
 1 x HMS DISCONNECT TOOL-1PCS - CHAVE DESCONEXAO MICROINVERSOR 
 36 x CABO CA MULTIPOLAR 10AWG 
 1 x DTU-LITE-S(WIFI) - MONIT DTU-LITE S (ATÉ 25 MICROS)</t>
  </si>
  <si>
    <t>58 x MODULO FV 710WP BIFACIAL DUAL-GLASS TRINA TSM-NEG21C.20 
 15 x HMS-2000-4T - MICRO HOYMILES 2000W DTU EXTERNA 
 4 x CABO FOTOVOLTAICO 4MM² PRETO 
 60 x CABO FOTOVOLTAICO 4MM² VERMELHO 
 120 x CONECTOR MC4 PAR TRINA 
 ESTRUTURA FIBROCIMENTO MADEIRA 
 15 x AC TRUNK CONNECTOR - CONECTOR CA HOYMILES 
 5 x AC TRUNK END CAP - TERMINAL ENDCAP HOYMILES 
 1 x AC TRUNK CONNECTOR UNLOCK TOOL - CHAVE DESBLOQUEIO CONECTOR CA 
 1 x HMS DISCONNECT TOOL-1PCS - CHAVE DESCONEXAO MICROINVERSOR 
 30 x CABO CA MULTIPOLAR 10AWG 
 1 x DTU-LITE-S(WIFI) - MONIT DTU-LITE S (ATÉ 25 MICROS)</t>
  </si>
  <si>
    <t>73 x MODULO FV 570WP N-TYPE BIFACIAL DAH SOLAR DHN-72X16/DG 
 1 x INVERSOR SOLIS 30KW 380V S5-GC30K COM MONITORAMENTO 
 100 x CABO FOTOVOLTAICO 4MM² PRETO 
 100 x CABO FOTOVOLTAICO 4MM² VERMELHO 
 12 x CONECTOR MC4 PAR EMBALADO 
 ESTRUTURA FIBROCIMENTO MADEIRA</t>
  </si>
  <si>
    <t>73 x MODULO FV 570WP N-TYPE BIFACIAL DUAL GLASS DAS-DH144NA 
 1 x INVERSOR SOLIS 30KW 380V S5-GC30K COM MONITORAMENTO 
 100 x CABO FOTOVOLTAICO 4MM² PRETO 
 100 x CABO FOTOVOLTAICO 4MM² VERMELHO 
 12 x CONECTOR MC4 PAR EMBALADO 
 ESTRUTURA FIBROCIMENTO MADEIRA</t>
  </si>
  <si>
    <t>73 x MODULO FV 570WP N-TYPE BIFACIAL DAH SOLAR DHN-72X16/DG 
 1 x INVERSOR SUNGROW SG30CX-P2 AFCI 380V COM MONITORAMENTO 
 100 x CABO FOTOVOLTAICO 4MM² PRETO 
 100 x CABO FOTOVOLTAICO 4MM² VERMELHO 
 16 x CONECTOR MC4 PAR EMBALADO 
 ESTRUTURA FIBROCIMENTO MADEIRA</t>
  </si>
  <si>
    <t>73 x MODULO FV 570WP N-TYPE BIFACIAL DUAL GLASS DAS-DH144NA 
 1 x INVERSOR SUNGROW SG30CX-P2 AFCI 380V COM MONITORAMENTO 
 100 x CABO FOTOVOLTAICO 4MM² PRETO 
 100 x CABO FOTOVOLTAICO 4MM² VERMELHO 
 16 x CONECTOR MC4 PAR EMBALADO 
 ESTRUTURA FIBROCIMENTO MADEIRA</t>
  </si>
  <si>
    <t>73 x MODULO FV 570WP N-TYPE BIFACIAL DAH SOLAR DHN-72X16/DG 
 1 x INVERSOR SOLIS 30KW 220V S5-GC30K-LV COM MONITORAMENTO 
 100 x CABO FOTOVOLTAICO 4MM² PRETO 
 100 x CABO FOTOVOLTAICO 4MM² VERMELHO 
 16 x CONECTOR MC4 PAR EMBALADO 
 ESTRUTURA FIBROCIMENTO MADEIRA</t>
  </si>
  <si>
    <t>73 x MODULO FV 570WP N-TYPE BIFACIAL DUAL GLASS DAS-DH144NA 
 1 x INVERSOR SOLIS 30KW 220V S5-GC30K-LV COM MONITORAMENTO 
 100 x CABO FOTOVOLTAICO 4MM² PRETO 
 100 x CABO FOTOVOLTAICO 4MM² VERMELHO 
 16 x CONECTOR MC4 PAR EMBALADO 
 ESTRUTURA FIBROCIMENTO MADEIRA</t>
  </si>
  <si>
    <t>73 x MODULO FV 570WP N-TYPE BIFACIAL DAH SOLAR DHN-72X16/DG 
 19 x HMS-2000-4T - MICRO HOYMILES 2000W DTU EXTERNA 
 4 x CABO FOTOVOLTAICO 4MM² PRETO 
 76 x CABO FOTOVOLTAICO 4MM² VERMELHO 
 152 x CONECTOR MC4 PAR EMBALADO 
 ESTRUTURA FIBROCIMENTO MADEIRA 
 19 x AC TRUNK CONNECTOR - CONECTOR CA HOYMILES 
 7 x AC TRUNK END CAP - TERMINAL ENDCAP HOYMILES 
 1 x AC TRUNK CONNECTOR UNLOCK TOOL - CHAVE DESBLOQUEIO CONECTOR CA 
 1 x HMS DISCONNECT TOOL-1PCS - CHAVE DESCONEXAO MICROINVERSOR 
 36 x CABO CA MULTIPOLAR 10AWG 
 1 x DTU-LITE-S(WIFI) - MONIT DTU-LITE S (ATÉ 25 MICROS)</t>
  </si>
  <si>
    <t>73 x MODULO FV 570WP N-TYPE BIFACIAL DUAL GLASS DAS-DH144NA 
 19 x HMS-2000-4T - MICRO HOYMILES 2000W DTU EXTERNA 
 4 x CABO FOTOVOLTAICO 4MM² PRETO 
 76 x CABO FOTOVOLTAICO 4MM² VERMELHO 
 152 x CONECTOR MC4 PAR EMBALADO 
 ESTRUTURA FIBROCIMENTO MADEIRA 
 19 x AC TRUNK CONNECTOR - CONECTOR CA HOYMILES 
 7 x AC TRUNK END CAP - TERMINAL ENDCAP HOYMILES 
 1 x AC TRUNK CONNECTOR UNLOCK TOOL - CHAVE DESBLOQUEIO CONECTOR CA 
 1 x HMS DISCONNECT TOOL-1PCS - CHAVE DESCONEXAO MICROINVERSOR 
 36 x CABO CA MULTIPOLAR 10AWG 
 1 x DTU-LITE-S(WIFI) - MONIT DTU-LITE S (ATÉ 25 MICROS)</t>
  </si>
  <si>
    <t>59 x MODULO FV 710WP BIFACIAL DUAL-GLASS TRINA TSM-NEG21C.20 
 15 x HMS-2000-4T - MICRO HOYMILES 2000W DTU EXTERNA 
 4 x CABO FOTOVOLTAICO 4MM² PRETO 
 60 x CABO FOTOVOLTAICO 4MM² VERMELHO 
 120 x CONECTOR MC4 PAR TRINA 
 ESTRUTURA FIBROCIMENTO MADEIRA 
 15 x AC TRUNK CONNECTOR - CONECTOR CA HOYMILES 
 5 x AC TRUNK END CAP - TERMINAL ENDCAP HOYMILES 
 1 x AC TRUNK CONNECTOR UNLOCK TOOL - CHAVE DESBLOQUEIO CONECTOR CA 
 1 x HMS DISCONNECT TOOL-1PCS - CHAVE DESCONEXAO MICROINVERSOR 
 30 x CABO CA MULTIPOLAR 10AWG 
 1 x DTU-LITE-S(WIFI) - MONIT DTU-LITE S (ATÉ 25 MICROS)</t>
  </si>
  <si>
    <t>74 x MODULO FV 570WP N-TYPE BIFACIAL DAH SOLAR DHN-72X16/DG 
 1 x INVERSOR SUNGROW SG30CX-P2 AFCI 380V COM MONITORAMENTO 
 100 x CABO FOTOVOLTAICO 4MM² PRETO 
 100 x CABO FOTOVOLTAICO 4MM² VERMELHO 
 16 x CONECTOR MC4 PAR EMBALADO 
 ESTRUTURA FIBROCIMENTO MADEIRA</t>
  </si>
  <si>
    <t>74 x MODULO FV 570WP N-TYPE BIFACIAL DUAL GLASS DAS-DH144NA 
 1 x INVERSOR SUNGROW SG30CX-P2 AFCI 380V COM MONITORAMENTO 
 100 x CABO FOTOVOLTAICO 4MM² PRETO 
 100 x CABO FOTOVOLTAICO 4MM² VERMELHO 
 16 x CONECTOR MC4 PAR EMBALADO 
 ESTRUTURA FIBROCIMENTO MADEIRA</t>
  </si>
  <si>
    <t>74 x MODULO FV 570WP N-TYPE BIFACIAL DAH SOLAR DHN-72X16/DG 
 1 x INVERSOR SOLIS 37,5KW 380V S5-GC37.5K COM MONITORAMENTO 
 200 x CABO FOTOVOLTAICO 4MM² PRETO 
 200 x CABO FOTOVOLTAICO 4MM² VERMELHO 
 16 x CONECTOR MC4 PAR EMBALADO 
 ESTRUTURA FIBROCIMENTO MADEIRA</t>
  </si>
  <si>
    <t>74 x MODULO FV 570WP N-TYPE BIFACIAL DUAL GLASS DAS-DH144NA 
 1 x INVERSOR SOLIS 37,5KW 380V S5-GC37.5K COM MONITORAMENTO 
 200 x CABO FOTOVOLTAICO 4MM² PRETO 
 200 x CABO FOTOVOLTAICO 4MM² VERMELHO 
 16 x CONECTOR MC4 PAR EMBALADO 
 ESTRUTURA FIBROCIMENTO MADEIRA</t>
  </si>
  <si>
    <t>74 x MODULO FV 570WP N-TYPE BIFACIAL DAH SOLAR DHN-72X16/DG 
 1 x INVERSOR SOLIS 37,5KW 220V S5-GC37.5K-LV COM MONITORAMENTO 
 200 x CABO FOTOVOLTAICO 4MM² PRETO 
 200 x CABO FOTOVOLTAICO 4MM² VERMELHO 
 16 x CONECTOR MC4 PAR EMBALADO 
 ESTRUTURA FIBROCIMENTO MADEIRA</t>
  </si>
  <si>
    <t>74 x MODULO FV 570WP N-TYPE BIFACIAL DUAL GLASS DAS-DH144NA 
 1 x INVERSOR SOLIS 37,5KW 220V S5-GC37.5K-LV COM MONITORAMENTO 
 200 x CABO FOTOVOLTAICO 4MM² PRETO 
 200 x CABO FOTOVOLTAICO 4MM² VERMELHO 
 16 x CONECTOR MC4 PAR EMBALADO 
 ESTRUTURA FIBROCIMENTO MADEIRA</t>
  </si>
  <si>
    <t>74 x MODULO FV 570WP N-TYPE BIFACIAL DAH SOLAR DHN-72X16/DG 
 19 x HMS-2000-4T - MICRO HOYMILES 2000W DTU EXTERNA 
 4 x CABO FOTOVOLTAICO 4MM² PRETO 
 76 x CABO FOTOVOLTAICO 4MM² VERMELHO 
 152 x CONECTOR MC4 PAR EMBALADO 
 ESTRUTURA FIBROCIMENTO MADEIRA 
 19 x AC TRUNK CONNECTOR - CONECTOR CA HOYMILES 
 7 x AC TRUNK END CAP - TERMINAL ENDCAP HOYMILES 
 1 x AC TRUNK CONNECTOR UNLOCK TOOL - CHAVE DESBLOQUEIO CONECTOR CA 
 1 x HMS DISCONNECT TOOL-1PCS - CHAVE DESCONEXAO MICROINVERSOR 
 36 x CABO CA MULTIPOLAR 10AWG 
 1 x DTU-LITE-S(WIFI) - MONIT DTU-LITE S (ATÉ 25 MICROS)</t>
  </si>
  <si>
    <t>74 x MODULO FV 570WP N-TYPE BIFACIAL DUAL GLASS DAS-DH144NA 
 19 x HMS-2000-4T - MICRO HOYMILES 2000W DTU EXTERNA 
 4 x CABO FOTOVOLTAICO 4MM² PRETO 
 76 x CABO FOTOVOLTAICO 4MM² VERMELHO 
 152 x CONECTOR MC4 PAR EMBALADO 
 ESTRUTURA FIBROCIMENTO MADEIRA 
 19 x AC TRUNK CONNECTOR - CONECTOR CA HOYMILES 
 7 x AC TRUNK END CAP - TERMINAL ENDCAP HOYMILES 
 1 x AC TRUNK CONNECTOR UNLOCK TOOL - CHAVE DESBLOQUEIO CONECTOR CA 
 1 x HMS DISCONNECT TOOL-1PCS - CHAVE DESCONEXAO MICROINVERSOR 
 36 x CABO CA MULTIPOLAR 10AWG 
 1 x DTU-LITE-S(WIFI) - MONIT DTU-LITE S (ATÉ 25 MICROS)</t>
  </si>
  <si>
    <t>60 x MODULO FV 710WP BIFACIAL DUAL-GLASS TRINA TSM-NEG21C.20 
 15 x HMS-2000-4T - MICRO HOYMILES 2000W DTU EXTERNA 
 4 x CABO FOTOVOLTAICO 4MM² PRETO 
 60 x CABO FOTOVOLTAICO 4MM² VERMELHO 
 120 x CONECTOR MC4 PAR TRINA 
 ESTRUTURA FIBROCIMENTO MADEIRA 
 15 x AC TRUNK CONNECTOR - CONECTOR CA HOYMILES 
 5 x AC TRUNK END CAP - TERMINAL ENDCAP HOYMILES 
 1 x AC TRUNK CONNECTOR UNLOCK TOOL - CHAVE DESBLOQUEIO CONECTOR CA 
 1 x HMS DISCONNECT TOOL-1PCS - CHAVE DESCONEXAO MICROINVERSOR 
 30 x CABO CA MULTIPOLAR 10AWG 
 1 x DTU-LITE-S(WIFI) - MONIT DTU-LITE S (ATÉ 25 MICROS)</t>
  </si>
  <si>
    <t>75 x MODULO FV 570WP N-TYPE BIFACIAL DAH SOLAR DHN-72X16/DG 
 1 x INVERSOR SUNGROW SG30CX-P2 AFCI 380V COM MONITORAMENTO 
 100 x CABO FOTOVOLTAICO 4MM² PRETO 
 100 x CABO FOTOVOLTAICO 4MM² VERMELHO 
 16 x CONECTOR MC4 PAR EMBALADO 
 ESTRUTURA FIBROCIMENTO MADEIRA</t>
  </si>
  <si>
    <t>75 x MODULO FV 570WP N-TYPE BIFACIAL DUAL GLASS DAS-DH144NA 
 1 x INVERSOR SUNGROW SG30CX-P2 AFCI 380V COM MONITORAMENTO 
 100 x CABO FOTOVOLTAICO 4MM² PRETO 
 100 x CABO FOTOVOLTAICO 4MM² VERMELHO 
 16 x CONECTOR MC4 PAR EMBALADO 
 ESTRUTURA FIBROCIMENTO MADEIRA</t>
  </si>
  <si>
    <t>75 x MODULO FV 570WP N-TYPE BIFACIAL DAH SOLAR DHN-72X16/DG 
 1 x INVERSOR SOLIS 37,5KW 380V S5-GC37.5K COM MONITORAMENTO 
 200 x CABO FOTOVOLTAICO 4MM² PRETO 
 200 x CABO FOTOVOLTAICO 4MM² VERMELHO 
 16 x CONECTOR MC4 PAR EMBALADO 
 ESTRUTURA FIBROCIMENTO MADEIRA</t>
  </si>
  <si>
    <t>75 x MODULO FV 570WP N-TYPE BIFACIAL DUAL GLASS DAS-DH144NA 
 1 x INVERSOR SOLIS 37,5KW 380V S5-GC37.5K COM MONITORAMENTO 
 200 x CABO FOTOVOLTAICO 4MM² PRETO 
 200 x CABO FOTOVOLTAICO 4MM² VERMELHO 
 16 x CONECTOR MC4 PAR EMBALADO 
 ESTRUTURA FIBROCIMENTO MADEIRA</t>
  </si>
  <si>
    <t>75 x MODULO FV 570WP N-TYPE BIFACIAL DAH SOLAR DHN-72X16/DG 
 1 x INVERSOR SOLIS 37,5KW 220V S5-GC37.5K-LV COM MONITORAMENTO 
 200 x CABO FOTOVOLTAICO 4MM² PRETO 
 200 x CABO FOTOVOLTAICO 4MM² VERMELHO 
 16 x CONECTOR MC4 PAR EMBALADO 
 ESTRUTURA FIBROCIMENTO MADEIRA</t>
  </si>
  <si>
    <t>75 x MODULO FV 570WP N-TYPE BIFACIAL DUAL GLASS DAS-DH144NA 
 1 x INVERSOR SOLIS 37,5KW 220V S5-GC37.5K-LV COM MONITORAMENTO 
 200 x CABO FOTOVOLTAICO 4MM² PRETO 
 200 x CABO FOTOVOLTAICO 4MM² VERMELHO 
 16 x CONECTOR MC4 PAR EMBALADO 
 ESTRUTURA FIBROCIMENTO MADEIRA</t>
  </si>
  <si>
    <t>75 x MODULO FV 570WP N-TYPE BIFACIAL DAH SOLAR DHN-72X16/DG 
 19 x HMS-2000-4T - MICRO HOYMILES 2000W DTU EXTERNA 
 4 x CABO FOTOVOLTAICO 4MM² PRETO 
 76 x CABO FOTOVOLTAICO 4MM² VERMELHO 
 152 x CONECTOR MC4 PAR EMBALADO 
 ESTRUTURA FIBROCIMENTO MADEIRA 
 19 x AC TRUNK CONNECTOR - CONECTOR CA HOYMILES 
 7 x AC TRUNK END CAP - TERMINAL ENDCAP HOYMILES 
 1 x AC TRUNK CONNECTOR UNLOCK TOOL - CHAVE DESBLOQUEIO CONECTOR CA 
 1 x HMS DISCONNECT TOOL-1PCS - CHAVE DESCONEXAO MICROINVERSOR 
 36 x CABO CA MULTIPOLAR 10AWG 
 1 x DTU-LITE-S(WIFI) - MONIT DTU-LITE S (ATÉ 25 MICROS)</t>
  </si>
  <si>
    <t>75 x MODULO FV 570WP N-TYPE BIFACIAL DUAL GLASS DAS-DH144NA 
 19 x HMS-2000-4T - MICRO HOYMILES 2000W DTU EXTERNA 
 4 x CABO FOTOVOLTAICO 4MM² PRETO 
 76 x CABO FOTOVOLTAICO 4MM² VERMELHO 
 152 x CONECTOR MC4 PAR EMBALADO 
 ESTRUTURA FIBROCIMENTO MADEIRA 
 19 x AC TRUNK CONNECTOR - CONECTOR CA HOYMILES 
 7 x AC TRUNK END CAP - TERMINAL ENDCAP HOYMILES 
 1 x AC TRUNK CONNECTOR UNLOCK TOOL - CHAVE DESBLOQUEIO CONECTOR CA 
 1 x HMS DISCONNECT TOOL-1PCS - CHAVE DESCONEXAO MICROINVERSOR 
 36 x CABO CA MULTIPOLAR 10AWG 
 1 x DTU-LITE-S(WIFI) - MONIT DTU-LITE S (ATÉ 25 MICROS)</t>
  </si>
  <si>
    <t>61 x MODULO FV 710WP BIFACIAL DUAL-GLASS TRINA TSM-NEG21C.20 
 16 x HMS-2000-4T - MICRO HOYMILES 2000W DTU EXTERNA 
 4 x CABO FOTOVOLTAICO 4MM² PRETO 
 64 x CABO FOTOVOLTAICO 4MM² VERMELHO 
 128 x CONECTOR MC4 PAR TRINA 
 ESTRUTURA FIBROCIMENTO MADEIRA 
 16 x AC TRUNK CONNECTOR - CONECTOR CA HOYMILES 
 6 x AC TRUNK END CAP - TERMINAL ENDCAP HOYMILES 
 1 x AC TRUNK CONNECTOR UNLOCK TOOL - CHAVE DESBLOQUEIO CONECTOR CA 
 1 x HMS DISCONNECT TOOL-1PCS - CHAVE DESCONEXAO MICROINVERSOR 
 30 x CABO CA MULTIPOLAR 10AWG 
 1 x DTU-LITE-S(WIFI) - MONIT DTU-LITE S (ATÉ 25 MICROS)</t>
  </si>
  <si>
    <t>76 x MODULO FV 570WP N-TYPE BIFACIAL DAH SOLAR DHN-72X16/DG 
 1 x INVERSOR SUNGROW SG36CX-P2 AFCI 380V COM MONITORAMENTO 
 200 x CABO FOTOVOLTAICO 4MM² PRETO 
 200 x CABO FOTOVOLTAICO 4MM² VERMELHO 
 16 x CONECTOR MC4 PAR EMBALADO 
 ESTRUTURA FIBROCIMENTO MADEIRA</t>
  </si>
  <si>
    <t>76 x MODULO FV 570WP N-TYPE BIFACIAL DUAL GLASS DAS-DH144NA 
 1 x INVERSOR SUNGROW SG36CX-P2 AFCI 380V COM MONITORAMENTO 
 200 x CABO FOTOVOLTAICO 4MM² PRETO 
 200 x CABO FOTOVOLTAICO 4MM² VERMELHO 
 16 x CONECTOR MC4 PAR EMBALADO 
 ESTRUTURA FIBROCIMENTO MADEIRA</t>
  </si>
  <si>
    <t>76 x MODULO FV 570WP N-TYPE BIFACIAL DAH SOLAR DHN-72X16/DG 
 1 x INVERSOR SOLIS 37,5KW 380V S5-GC37.5K COM MONITORAMENTO 
 200 x CABO FOTOVOLTAICO 4MM² PRETO 
 200 x CABO FOTOVOLTAICO 4MM² VERMELHO 
 16 x CONECTOR MC4 PAR EMBALADO 
 ESTRUTURA FIBROCIMENTO MADEIRA</t>
  </si>
  <si>
    <t>76 x MODULO FV 570WP N-TYPE BIFACIAL DUAL GLASS DAS-DH144NA 
 1 x INVERSOR SOLIS 37,5KW 380V S5-GC37.5K COM MONITORAMENTO 
 200 x CABO FOTOVOLTAICO 4MM² PRETO 
 200 x CABO FOTOVOLTAICO 4MM² VERMELHO 
 16 x CONECTOR MC4 PAR EMBALADO 
 ESTRUTURA FIBROCIMENTO MADEIRA</t>
  </si>
  <si>
    <t>76 x MODULO FV 570WP N-TYPE BIFACIAL DAH SOLAR DHN-72X16/DG 
 1 x INVERSOR SOLIS 37,5KW 220V S5-GC37.5K-LV COM MONITORAMENTO 
 200 x CABO FOTOVOLTAICO 4MM² PRETO 
 200 x CABO FOTOVOLTAICO 4MM² VERMELHO 
 16 x CONECTOR MC4 PAR EMBALADO 
 ESTRUTURA FIBROCIMENTO MADEIRA</t>
  </si>
  <si>
    <t>76 x MODULO FV 570WP N-TYPE BIFACIAL DUAL GLASS DAS-DH144NA 
 1 x INVERSOR SOLIS 37,5KW 220V S5-GC37.5K-LV COM MONITORAMENTO 
 200 x CABO FOTOVOLTAICO 4MM² PRETO 
 200 x CABO FOTOVOLTAICO 4MM² VERMELHO 
 16 x CONECTOR MC4 PAR EMBALADO 
 ESTRUTURA FIBROCIMENTO MADEIRA</t>
  </si>
  <si>
    <t>76 x MODULO FV 570WP N-TYPE BIFACIAL DAH SOLAR DHN-72X16/DG 
 19 x HMS-2000-4T - MICRO HOYMILES 2000W DTU EXTERNA 
 4 x CABO FOTOVOLTAICO 4MM² PRETO 
 76 x CABO FOTOVOLTAICO 4MM² VERMELHO 
 152 x CONECTOR MC4 PAR EMBALADO 
 ESTRUTURA FIBROCIMENTO MADEIRA 
 19 x AC TRUNK CONNECTOR - CONECTOR CA HOYMILES 
 7 x AC TRUNK END CAP - TERMINAL ENDCAP HOYMILES 
 1 x AC TRUNK CONNECTOR UNLOCK TOOL - CHAVE DESBLOQUEIO CONECTOR CA 
 1 x HMS DISCONNECT TOOL-1PCS - CHAVE DESCONEXAO MICROINVERSOR 
 36 x CABO CA MULTIPOLAR 10AWG 
 1 x DTU-LITE-S(WIFI) - MONIT DTU-LITE S (ATÉ 25 MICROS)</t>
  </si>
  <si>
    <t>76 x MODULO FV 570WP N-TYPE BIFACIAL DUAL GLASS DAS-DH144NA 
 19 x HMS-2000-4T - MICRO HOYMILES 2000W DTU EXTERNA 
 4 x CABO FOTOVOLTAICO 4MM² PRETO 
 76 x CABO FOTOVOLTAICO 4MM² VERMELHO 
 152 x CONECTOR MC4 PAR EMBALADO 
 ESTRUTURA FIBROCIMENTO MADEIRA 
 19 x AC TRUNK CONNECTOR - CONECTOR CA HOYMILES 
 7 x AC TRUNK END CAP - TERMINAL ENDCAP HOYMILES 
 1 x AC TRUNK CONNECTOR UNLOCK TOOL - CHAVE DESBLOQUEIO CONECTOR CA 
 1 x HMS DISCONNECT TOOL-1PCS - CHAVE DESCONEXAO MICROINVERSOR 
 36 x CABO CA MULTIPOLAR 10AWG 
 1 x DTU-LITE-S(WIFI) - MONIT DTU-LITE S (ATÉ 25 MICROS)</t>
  </si>
  <si>
    <t>77 x MODULO FV 570WP N-TYPE BIFACIAL DAH SOLAR DHN-72X16/DG 
 1 x INVERSOR SUNGROW SG36CX-P2 AFCI 380V COM MONITORAMENTO 
 200 x CABO FOTOVOLTAICO 4MM² PRETO 
 200 x CABO FOTOVOLTAICO 4MM² VERMELHO 
 16 x CONECTOR MC4 PAR EMBALADO 
 ESTRUTURA FIBROCIMENTO MADEIRA</t>
  </si>
  <si>
    <t>77 x MODULO FV 570WP N-TYPE BIFACIAL DUAL GLASS DAS-DH144NA 
 1 x INVERSOR SUNGROW SG36CX-P2 AFCI 380V COM MONITORAMENTO 
 200 x CABO FOTOVOLTAICO 4MM² PRETO 
 200 x CABO FOTOVOLTAICO 4MM² VERMELHO 
 16 x CONECTOR MC4 PAR EMBALADO 
 ESTRUTURA FIBROCIMENTO MADEIRA</t>
  </si>
  <si>
    <t>77 x MODULO FV 570WP N-TYPE BIFACIAL DAH SOLAR DHN-72X16/DG 
 1 x INVERSOR SOLIS 37,5KW 380V S5-GC37.5K COM MONITORAMENTO 
 200 x CABO FOTOVOLTAICO 4MM² PRETO 
 200 x CABO FOTOVOLTAICO 4MM² VERMELHO 
 16 x CONECTOR MC4 PAR EMBALADO 
 ESTRUTURA FIBROCIMENTO MADEIRA</t>
  </si>
  <si>
    <t>77 x MODULO FV 570WP N-TYPE BIFACIAL DUAL GLASS DAS-DH144NA 
 1 x INVERSOR SOLIS 37,5KW 380V S5-GC37.5K COM MONITORAMENTO 
 200 x CABO FOTOVOLTAICO 4MM² PRETO 
 200 x CABO FOTOVOLTAICO 4MM² VERMELHO 
 16 x CONECTOR MC4 PAR EMBALADO 
 ESTRUTURA FIBROCIMENTO MADEIRA</t>
  </si>
  <si>
    <t>77 x MODULO FV 570WP N-TYPE BIFACIAL DAH SOLAR DHN-72X16/DG 
 1 x INVERSOR SOLIS 37,5KW 220V S5-GC37.5K-LV COM MONITORAMENTO 
 200 x CABO FOTOVOLTAICO 4MM² PRETO 
 200 x CABO FOTOVOLTAICO 4MM² VERMELHO 
 16 x CONECTOR MC4 PAR EMBALADO 
 ESTRUTURA FIBROCIMENTO MADEIRA</t>
  </si>
  <si>
    <t>77 x MODULO FV 570WP N-TYPE BIFACIAL DUAL GLASS DAS-DH144NA 
 1 x INVERSOR SOLIS 37,5KW 220V S5-GC37.5K-LV COM MONITORAMENTO 
 200 x CABO FOTOVOLTAICO 4MM² PRETO 
 200 x CABO FOTOVOLTAICO 4MM² VERMELHO 
 16 x CONECTOR MC4 PAR EMBALADO 
 ESTRUTURA FIBROCIMENTO MADEIRA</t>
  </si>
  <si>
    <t>39</t>
  </si>
  <si>
    <t>77 x MODULO FV 570WP N-TYPE BIFACIAL DAH SOLAR DHN-72X16/DG 
 20 x HMS-2000-4T - MICRO HOYMILES 2000W DTU EXTERNA 
 4 x CABO FOTOVOLTAICO 4MM² PRETO 
 80 x CABO FOTOVOLTAICO 4MM² VERMELHO 
 160 x CONECTOR MC4 PAR EMBALADO 
 ESTRUTURA FIBROCIMENTO MADEIRA 
 20 x AC TRUNK CONNECTOR - CONECTOR CA HOYMILES 
 7 x AC TRUNK END CAP - TERMINAL ENDCAP HOYMILES 
 1 x AC TRUNK CONNECTOR UNLOCK TOOL - CHAVE DESBLOQUEIO CONECTOR CA 
 1 x HMS DISCONNECT TOOL-1PCS - CHAVE DESCONEXAO MICROINVERSOR 
 39 x CABO CA MULTIPOLAR 10AWG 
 1 x DTU-LITE-S(WIFI) - MONIT DTU-LITE S (ATÉ 25 MICROS)</t>
  </si>
  <si>
    <t>77 x MODULO FV 570WP N-TYPE BIFACIAL DUAL GLASS DAS-DH144NA 
 20 x HMS-2000-4T - MICRO HOYMILES 2000W DTU EXTERNA 
 4 x CABO FOTOVOLTAICO 4MM² PRETO 
 80 x CABO FOTOVOLTAICO 4MM² VERMELHO 
 160 x CONECTOR MC4 PAR EMBALADO 
 ESTRUTURA FIBROCIMENTO MADEIRA 
 20 x AC TRUNK CONNECTOR - CONECTOR CA HOYMILES 
 7 x AC TRUNK END CAP - TERMINAL ENDCAP HOYMILES 
 1 x AC TRUNK CONNECTOR UNLOCK TOOL - CHAVE DESBLOQUEIO CONECTOR CA 
 1 x HMS DISCONNECT TOOL-1PCS - CHAVE DESCONEXAO MICROINVERSOR 
 39 x CABO CA MULTIPOLAR 10AWG 
 1 x DTU-LITE-S(WIFI) - MONIT DTU-LITE S (ATÉ 25 MICROS)</t>
  </si>
  <si>
    <t>62 x MODULO FV 710WP BIFACIAL DUAL-GLASS TRINA TSM-NEG21C.20 
 16 x HMS-2000-4T - MICRO HOYMILES 2000W DTU EXTERNA 
 4 x CABO FOTOVOLTAICO 4MM² PRETO 
 64 x CABO FOTOVOLTAICO 4MM² VERMELHO 
 128 x CONECTOR MC4 PAR TRINA 
 ESTRUTURA FIBROCIMENTO MADEIRA 
 16 x AC TRUNK CONNECTOR - CONECTOR CA HOYMILES 
 6 x AC TRUNK END CAP - TERMINAL ENDCAP HOYMILES 
 1 x AC TRUNK CONNECTOR UNLOCK TOOL - CHAVE DESBLOQUEIO CONECTOR CA 
 1 x HMS DISCONNECT TOOL-1PCS - CHAVE DESCONEXAO MICROINVERSOR 
 30 x CABO CA MULTIPOLAR 10AWG 
 1 x DTU-LITE-S(WIFI) - MONIT DTU-LITE S (ATÉ 25 MICROS)</t>
  </si>
  <si>
    <t>78 x MODULO FV 570WP N-TYPE BIFACIAL DAH SOLAR DHN-72X16/DG 
 1 x INVERSOR SUNGROW SG36CX-P2 AFCI 380V COM MONITORAMENTO 
 200 x CABO FOTOVOLTAICO 4MM² PRETO 
 200 x CABO FOTOVOLTAICO 4MM² VERMELHO 
 16 x CONECTOR MC4 PAR EMBALADO 
 ESTRUTURA FIBROCIMENTO MADEIRA</t>
  </si>
  <si>
    <t>78 x MODULO FV 570WP N-TYPE BIFACIAL DUAL GLASS DAS-DH144NA 
 1 x INVERSOR SUNGROW SG36CX-P2 AFCI 380V COM MONITORAMENTO 
 200 x CABO FOTOVOLTAICO 4MM² PRETO 
 200 x CABO FOTOVOLTAICO 4MM² VERMELHO 
 16 x CONECTOR MC4 PAR EMBALADO 
 ESTRUTURA FIBROCIMENTO MADEIRA</t>
  </si>
  <si>
    <t>78 x MODULO FV 570WP N-TYPE BIFACIAL DAH SOLAR DHN-72X16/DG 
 1 x INVERSOR SOLIS 37,5KW 380V S5-GC37.5K COM MONITORAMENTO 
 200 x CABO FOTOVOLTAICO 4MM² PRETO 
 200 x CABO FOTOVOLTAICO 4MM² VERMELHO 
 16 x CONECTOR MC4 PAR EMBALADO 
 ESTRUTURA FIBROCIMENTO MADEIRA</t>
  </si>
  <si>
    <t>78 x MODULO FV 570WP N-TYPE BIFACIAL DUAL GLASS DAS-DH144NA 
 1 x INVERSOR SOLIS 37,5KW 380V S5-GC37.5K COM MONITORAMENTO 
 200 x CABO FOTOVOLTAICO 4MM² PRETO 
 200 x CABO FOTOVOLTAICO 4MM² VERMELHO 
 16 x CONECTOR MC4 PAR EMBALADO 
 ESTRUTURA FIBROCIMENTO MADEIRA</t>
  </si>
  <si>
    <t>78 x MODULO FV 570WP N-TYPE BIFACIAL DAH SOLAR DHN-72X16/DG 
 1 x INVERSOR SOLIS 37,5KW 220V S5-GC37.5K-LV COM MONITORAMENTO 
 200 x CABO FOTOVOLTAICO 4MM² PRETO 
 200 x CABO FOTOVOLTAICO 4MM² VERMELHO 
 16 x CONECTOR MC4 PAR EMBALADO 
 ESTRUTURA FIBROCIMENTO MADEIRA</t>
  </si>
  <si>
    <t>78 x MODULO FV 570WP N-TYPE BIFACIAL DUAL GLASS DAS-DH144NA 
 1 x INVERSOR SOLIS 37,5KW 220V S5-GC37.5K-LV COM MONITORAMENTO 
 200 x CABO FOTOVOLTAICO 4MM² PRETO 
 200 x CABO FOTOVOLTAICO 4MM² VERMELHO 
 16 x CONECTOR MC4 PAR EMBALADO 
 ESTRUTURA FIBROCIMENTO MADEIRA</t>
  </si>
  <si>
    <t>78 x MODULO FV 570WP N-TYPE BIFACIAL DAH SOLAR DHN-72X16/DG 
 20 x HMS-2000-4T - MICRO HOYMILES 2000W DTU EXTERNA 
 4 x CABO FOTOVOLTAICO 4MM² PRETO 
 80 x CABO FOTOVOLTAICO 4MM² VERMELHO 
 160 x CONECTOR MC4 PAR EMBALADO 
 ESTRUTURA FIBROCIMENTO MADEIRA 
 20 x AC TRUNK CONNECTOR - CONECTOR CA HOYMILES 
 7 x AC TRUNK END CAP - TERMINAL ENDCAP HOYMILES 
 1 x AC TRUNK CONNECTOR UNLOCK TOOL - CHAVE DESBLOQUEIO CONECTOR CA 
 1 x HMS DISCONNECT TOOL-1PCS - CHAVE DESCONEXAO MICROINVERSOR 
 39 x CABO CA MULTIPOLAR 10AWG 
 1 x DTU-LITE-S(WIFI) - MONIT DTU-LITE S (ATÉ 25 MICROS)</t>
  </si>
  <si>
    <t>78 x MODULO FV 570WP N-TYPE BIFACIAL DUAL GLASS DAS-DH144NA 
 20 x HMS-2000-4T - MICRO HOYMILES 2000W DTU EXTERNA 
 4 x CABO FOTOVOLTAICO 4MM² PRETO 
 80 x CABO FOTOVOLTAICO 4MM² VERMELHO 
 160 x CONECTOR MC4 PAR EMBALADO 
 ESTRUTURA FIBROCIMENTO MADEIRA 
 20 x AC TRUNK CONNECTOR - CONECTOR CA HOYMILES 
 7 x AC TRUNK END CAP - TERMINAL ENDCAP HOYMILES 
 1 x AC TRUNK CONNECTOR UNLOCK TOOL - CHAVE DESBLOQUEIO CONECTOR CA 
 1 x HMS DISCONNECT TOOL-1PCS - CHAVE DESCONEXAO MICROINVERSOR 
 39 x CABO CA MULTIPOLAR 10AWG 
 1 x DTU-LITE-S(WIFI) - MONIT DTU-LITE S (ATÉ 25 MICROS)</t>
  </si>
  <si>
    <t>63 x MODULO FV 710WP BIFACIAL DUAL-GLASS TRINA TSM-NEG21C.20 
 16 x HMS-2000-4T - MICRO HOYMILES 2000W DTU EXTERNA 
 4 x CABO FOTOVOLTAICO 4MM² PRETO 
 64 x CABO FOTOVOLTAICO 4MM² VERMELHO 
 128 x CONECTOR MC4 PAR TRINA 
 ESTRUTURA FIBROCIMENTO MADEIRA 
 16 x AC TRUNK CONNECTOR - CONECTOR CA HOYMILES 
 6 x AC TRUNK END CAP - TERMINAL ENDCAP HOYMILES 
 1 x AC TRUNK CONNECTOR UNLOCK TOOL - CHAVE DESBLOQUEIO CONECTOR CA 
 1 x HMS DISCONNECT TOOL-1PCS - CHAVE DESCONEXAO MICROINVERSOR 
 30 x CABO CA MULTIPOLAR 10AWG 
 1 x DTU-LITE-S(WIFI) - MONIT DTU-LITE S (ATÉ 25 MICROS)</t>
  </si>
  <si>
    <t>79 x MODULO FV 570WP N-TYPE BIFACIAL DAH SOLAR DHN-72X16/DG 
 1 x INVERSOR SUNGROW SG36CX-P2 AFCI 380V COM MONITORAMENTO 
 200 x CABO FOTOVOLTAICO 4MM² PRETO 
 200 x CABO FOTOVOLTAICO 4MM² VERMELHO 
 16 x CONECTOR MC4 PAR EMBALADO 
 ESTRUTURA FIBROCIMENTO MADEIRA</t>
  </si>
  <si>
    <t>79 x MODULO FV 570WP N-TYPE BIFACIAL DUAL GLASS DAS-DH144NA 
 1 x INVERSOR SUNGROW SG36CX-P2 AFCI 380V COM MONITORAMENTO 
 200 x CABO FOTOVOLTAICO 4MM² PRETO 
 200 x CABO FOTOVOLTAICO 4MM² VERMELHO 
 16 x CONECTOR MC4 PAR EMBALADO 
 ESTRUTURA FIBROCIMENTO MADEIRA</t>
  </si>
  <si>
    <t>79 x MODULO FV 570WP N-TYPE BIFACIAL DAH SOLAR DHN-72X16/DG 
 1 x INVERSOR SOLIS 37,5KW 380V S5-GC37.5K COM MONITORAMENTO 
 200 x CABO FOTOVOLTAICO 4MM² PRETO 
 200 x CABO FOTOVOLTAICO 4MM² VERMELHO 
 16 x CONECTOR MC4 PAR EMBALADO 
 ESTRUTURA FIBROCIMENTO MADEIRA</t>
  </si>
  <si>
    <t>79 x MODULO FV 570WP N-TYPE BIFACIAL DUAL GLASS DAS-DH144NA 
 1 x INVERSOR SOLIS 37,5KW 380V S5-GC37.5K COM MONITORAMENTO 
 200 x CABO FOTOVOLTAICO 4MM² PRETO 
 200 x CABO FOTOVOLTAICO 4MM² VERMELHO 
 16 x CONECTOR MC4 PAR EMBALADO 
 ESTRUTURA FIBROCIMENTO MADEIRA</t>
  </si>
  <si>
    <t>79 x MODULO FV 570WP N-TYPE BIFACIAL DAH SOLAR DHN-72X16/DG 
 1 x INVERSOR SOLIS 37,5KW 220V S5-GC37.5K-LV COM MONITORAMENTO 
 200 x CABO FOTOVOLTAICO 4MM² PRETO 
 200 x CABO FOTOVOLTAICO 4MM² VERMELHO 
 16 x CONECTOR MC4 PAR EMBALADO 
 ESTRUTURA FIBROCIMENTO MADEIRA</t>
  </si>
  <si>
    <t>79 x MODULO FV 570WP N-TYPE BIFACIAL DUAL GLASS DAS-DH144NA 
 1 x INVERSOR SOLIS 37,5KW 220V S5-GC37.5K-LV COM MONITORAMENTO 
 200 x CABO FOTOVOLTAICO 4MM² PRETO 
 200 x CABO FOTOVOLTAICO 4MM² VERMELHO 
 16 x CONECTOR MC4 PAR EMBALADO 
 ESTRUTURA FIBROCIMENTO MADEIRA</t>
  </si>
  <si>
    <t>79 x MODULO FV 570WP N-TYPE BIFACIAL DAH SOLAR DHN-72X16/DG 
 20 x HMS-2000-4T - MICRO HOYMILES 2000W DTU EXTERNA 
 4 x CABO FOTOVOLTAICO 4MM² PRETO 
 80 x CABO FOTOVOLTAICO 4MM² VERMELHO 
 160 x CONECTOR MC4 PAR EMBALADO 
 ESTRUTURA FIBROCIMENTO MADEIRA 
 20 x AC TRUNK CONNECTOR - CONECTOR CA HOYMILES 
 7 x AC TRUNK END CAP - TERMINAL ENDCAP HOYMILES 
 1 x AC TRUNK CONNECTOR UNLOCK TOOL - CHAVE DESBLOQUEIO CONECTOR CA 
 1 x HMS DISCONNECT TOOL-1PCS - CHAVE DESCONEXAO MICROINVERSOR 
 39 x CABO CA MULTIPOLAR 10AWG 
 1 x DTU-LITE-S(WIFI) - MONIT DTU-LITE S (ATÉ 25 MICROS)</t>
  </si>
  <si>
    <t>79 x MODULO FV 570WP N-TYPE BIFACIAL DUAL GLASS DAS-DH144NA 
 20 x HMS-2000-4T - MICRO HOYMILES 2000W DTU EXTERNA 
 4 x CABO FOTOVOLTAICO 4MM² PRETO 
 80 x CABO FOTOVOLTAICO 4MM² VERMELHO 
 160 x CONECTOR MC4 PAR EMBALADO 
 ESTRUTURA FIBROCIMENTO MADEIRA 
 20 x AC TRUNK CONNECTOR - CONECTOR CA HOYMILES 
 7 x AC TRUNK END CAP - TERMINAL ENDCAP HOYMILES 
 1 x AC TRUNK CONNECTOR UNLOCK TOOL - CHAVE DESBLOQUEIO CONECTOR CA 
 1 x HMS DISCONNECT TOOL-1PCS - CHAVE DESCONEXAO MICROINVERSOR 
 39 x CABO CA MULTIPOLAR 10AWG 
 1 x DTU-LITE-S(WIFI) - MONIT DTU-LITE S (ATÉ 25 MICROS)</t>
  </si>
  <si>
    <t>64 x MODULO FV 710WP BIFACIAL DUAL-GLASS TRINA TSM-NEG21C.20 
 16 x HMS-2000-4T - MICRO HOYMILES 2000W DTU EXTERNA 
 4 x CABO FOTOVOLTAICO 4MM² PRETO 
 64 x CABO FOTOVOLTAICO 4MM² VERMELHO 
 128 x CONECTOR MC4 PAR TRINA 
 ESTRUTURA FIBROCIMENTO MADEIRA 
 16 x AC TRUNK CONNECTOR - CONECTOR CA HOYMILES 
 6 x AC TRUNK END CAP - TERMINAL ENDCAP HOYMILES 
 1 x AC TRUNK CONNECTOR UNLOCK TOOL - CHAVE DESBLOQUEIO CONECTOR CA 
 1 x HMS DISCONNECT TOOL-1PCS - CHAVE DESCONEXAO MICROINVERSOR 
 30 x CABO CA MULTIPOLAR 10AWG 
 1 x DTU-LITE-S(WIFI) - MONIT DTU-LITE S (ATÉ 25 MICROS)</t>
  </si>
  <si>
    <t>80 x MODULO FV 570WP N-TYPE BIFACIAL DAH SOLAR DHN-72X16/DG 
 1 x INVERSOR SUNGROW SG36CX-P2 AFCI 380V COM MONITORAMENTO 
 200 x CABO FOTOVOLTAICO 4MM² PRETO 
 200 x CABO FOTOVOLTAICO 4MM² VERMELHO 
 16 x CONECTOR MC4 PAR EMBALADO 
 ESTRUTURA FIBROCIMENTO MADEIRA</t>
  </si>
  <si>
    <t>80 x MODULO FV 570WP N-TYPE BIFACIAL DUAL GLASS DAS-DH144NA 
 1 x INVERSOR SUNGROW SG36CX-P2 AFCI 380V COM MONITORAMENTO 
 200 x CABO FOTOVOLTAICO 4MM² PRETO 
 200 x CABO FOTOVOLTAICO 4MM² VERMELHO 
 16 x CONECTOR MC4 PAR EMBALADO 
 ESTRUTURA FIBROCIMENTO MADEIRA</t>
  </si>
  <si>
    <t>80 x MODULO FV 570WP N-TYPE BIFACIAL DAH SOLAR DHN-72X16/DG 
 1 x INVERSOR SOLIS 37,5KW 380V S5-GC37.5K COM MONITORAMENTO 
 200 x CABO FOTOVOLTAICO 4MM² PRETO 
 200 x CABO FOTOVOLTAICO 4MM² VERMELHO 
 16 x CONECTOR MC4 PAR EMBALADO 
 ESTRUTURA FIBROCIMENTO MADEIRA</t>
  </si>
  <si>
    <t>80 x MODULO FV 570WP N-TYPE BIFACIAL DUAL GLASS DAS-DH144NA 
 1 x INVERSOR SOLIS 37,5KW 380V S5-GC37.5K COM MONITORAMENTO 
 200 x CABO FOTOVOLTAICO 4MM² PRETO 
 200 x CABO FOTOVOLTAICO 4MM² VERMELHO 
 16 x CONECTOR MC4 PAR EMBALADO 
 ESTRUTURA FIBROCIMENTO MADEIRA</t>
  </si>
  <si>
    <t>80 x MODULO FV 570WP N-TYPE BIFACIAL DAH SOLAR DHN-72X16/DG 
 1 x INVERSOR SOLIS 37,5KW 220V S5-GC37.5K-LV COM MONITORAMENTO 
 200 x CABO FOTOVOLTAICO 4MM² PRETO 
 200 x CABO FOTOVOLTAICO 4MM² VERMELHO 
 16 x CONECTOR MC4 PAR EMBALADO 
 ESTRUTURA FIBROCIMENTO MADEIRA</t>
  </si>
  <si>
    <t>80 x MODULO FV 570WP N-TYPE BIFACIAL DUAL GLASS DAS-DH144NA 
 1 x INVERSOR SOLIS 37,5KW 220V S5-GC37.5K-LV COM MONITORAMENTO 
 200 x CABO FOTOVOLTAICO 4MM² PRETO 
 200 x CABO FOTOVOLTAICO 4MM² VERMELHO 
 16 x CONECTOR MC4 PAR EMBALADO 
 ESTRUTURA FIBROCIMENTO MADEIRA</t>
  </si>
  <si>
    <t>80 x MODULO FV 570WP N-TYPE BIFACIAL DAH SOLAR DHN-72X16/DG 
 20 x HMS-2000-4T - MICRO HOYMILES 2000W DTU EXTERNA 
 4 x CABO FOTOVOLTAICO 4MM² PRETO 
 80 x CABO FOTOVOLTAICO 4MM² VERMELHO 
 160 x CONECTOR MC4 PAR EMBALADO 
 ESTRUTURA FIBROCIMENTO MADEIRA 
 20 x AC TRUNK CONNECTOR - CONECTOR CA HOYMILES 
 7 x AC TRUNK END CAP - TERMINAL ENDCAP HOYMILES 
 1 x AC TRUNK CONNECTOR UNLOCK TOOL - CHAVE DESBLOQUEIO CONECTOR CA 
 1 x HMS DISCONNECT TOOL-1PCS - CHAVE DESCONEXAO MICROINVERSOR 
 39 x CABO CA MULTIPOLAR 10AWG 
 1 x DTU-LITE-S(WIFI) - MONIT DTU-LITE S (ATÉ 25 MICROS)</t>
  </si>
  <si>
    <t>80 x MODULO FV 570WP N-TYPE BIFACIAL DUAL GLASS DAS-DH144NA 
 20 x HMS-2000-4T - MICRO HOYMILES 2000W DTU EXTERNA 
 4 x CABO FOTOVOLTAICO 4MM² PRETO 
 80 x CABO FOTOVOLTAICO 4MM² VERMELHO 
 160 x CONECTOR MC4 PAR EMBALADO 
 ESTRUTURA FIBROCIMENTO MADEIRA 
 20 x AC TRUNK CONNECTOR - CONECTOR CA HOYMILES 
 7 x AC TRUNK END CAP - TERMINAL ENDCAP HOYMILES 
 1 x AC TRUNK CONNECTOR UNLOCK TOOL - CHAVE DESBLOQUEIO CONECTOR CA 
 1 x HMS DISCONNECT TOOL-1PCS - CHAVE DESCONEXAO MICROINVERSOR 
 39 x CABO CA MULTIPOLAR 10AWG 
 1 x DTU-LITE-S(WIFI) - MONIT DTU-LITE S (ATÉ 25 MICROS)</t>
  </si>
  <si>
    <t>65 x MODULO FV 710WP BIFACIAL DUAL-GLASS TRINA TSM-NEG21C.20 
 17 x HMS-2000-4T - MICRO HOYMILES 2000W DTU EXTERNA 
 4 x CABO FOTOVOLTAICO 4MM² PRETO 
 68 x CABO FOTOVOLTAICO 4MM² VERMELHO 
 136 x CONECTOR MC4 PAR TRINA 
 ESTRUTURA FIBROCIMENTO MADEIRA 
 17 x AC TRUNK CONNECTOR - CONECTOR CA HOYMILES 
 6 x AC TRUNK END CAP - TERMINAL ENDCAP HOYMILES 
 1 x AC TRUNK CONNECTOR UNLOCK TOOL - CHAVE DESBLOQUEIO CONECTOR CA 
 1 x HMS DISCONNECT TOOL-1PCS - CHAVE DESCONEXAO MICROINVERSOR 
 33 x CABO CA MULTIPOLAR 10AWG 
 1 x DTU-LITE-S(WIFI) - MONIT DTU-LITE S (ATÉ 25 MICROS)</t>
  </si>
  <si>
    <t>81 x MODULO FV 570WP N-TYPE BIFACIAL DAH SOLAR DHN-72X16/DG 
 1 x INVERSOR SUNGROW SG36CX-P2 AFCI 380V COM MONITORAMENTO 
 200 x CABO FOTOVOLTAICO 4MM² PRETO 
 200 x CABO FOTOVOLTAICO 4MM² VERMELHO 
 16 x CONECTOR MC4 PAR EMBALADO 
 ESTRUTURA FIBROCIMENTO MADEIRA</t>
  </si>
  <si>
    <t>81 x MODULO FV 570WP N-TYPE BIFACIAL DUAL GLASS DAS-DH144NA 
 1 x INVERSOR SUNGROW SG36CX-P2 AFCI 380V COM MONITORAMENTO 
 200 x CABO FOTOVOLTAICO 4MM² PRETO 
 200 x CABO FOTOVOLTAICO 4MM² VERMELHO 
 16 x CONECTOR MC4 PAR EMBALADO 
 ESTRUTURA FIBROCIMENTO MADEIRA</t>
  </si>
  <si>
    <t>81 x MODULO FV 570WP N-TYPE BIFACIAL DAH SOLAR DHN-72X16/DG 
 1 x INVERSOR SOLIS 37,5KW 380V S5-GC37.5K COM MONITORAMENTO 
 200 x CABO FOTOVOLTAICO 4MM² PRETO 
 200 x CABO FOTOVOLTAICO 4MM² VERMELHO 
 16 x CONECTOR MC4 PAR EMBALADO 
 ESTRUTURA FIBROCIMENTO MADEIRA</t>
  </si>
  <si>
    <t>81 x MODULO FV 570WP N-TYPE BIFACIAL DUAL GLASS DAS-DH144NA 
 1 x INVERSOR SOLIS 37,5KW 380V S5-GC37.5K COM MONITORAMENTO 
 200 x CABO FOTOVOLTAICO 4MM² PRETO 
 200 x CABO FOTOVOLTAICO 4MM² VERMELHO 
 16 x CONECTOR MC4 PAR EMBALADO 
 ESTRUTURA FIBROCIMENTO MADEIRA</t>
  </si>
  <si>
    <t>81 x MODULO FV 570WP N-TYPE BIFACIAL DAH SOLAR DHN-72X16/DG 
 1 x INVERSOR SOLIS 37,5KW 220V S5-GC37.5K-LV COM MONITORAMENTO 
 200 x CABO FOTOVOLTAICO 4MM² PRETO 
 200 x CABO FOTOVOLTAICO 4MM² VERMELHO 
 16 x CONECTOR MC4 PAR EMBALADO 
 ESTRUTURA FIBROCIMENTO MADEIRA</t>
  </si>
  <si>
    <t>81 x MODULO FV 570WP N-TYPE BIFACIAL DUAL GLASS DAS-DH144NA 
 1 x INVERSOR SOLIS 37,5KW 220V S5-GC37.5K-LV COM MONITORAMENTO 
 200 x CABO FOTOVOLTAICO 4MM² PRETO 
 200 x CABO FOTOVOLTAICO 4MM² VERMELHO 
 16 x CONECTOR MC4 PAR EMBALADO 
 ESTRUTURA FIBROCIMENTO MADEIRA</t>
  </si>
  <si>
    <t>42</t>
  </si>
  <si>
    <t>81 x MODULO FV 570WP N-TYPE BIFACIAL DAH SOLAR DHN-72X16/DG 
 21 x HMS-2000-4T - MICRO HOYMILES 2000W DTU EXTERNA 
 4 x CABO FOTOVOLTAICO 4MM² PRETO 
 84 x CABO FOTOVOLTAICO 4MM² VERMELHO 
 168 x CONECTOR MC4 PAR EMBALADO 
 ESTRUTURA FIBROCIMENTO MADEIRA 
 21 x AC TRUNK CONNECTOR - CONECTOR CA HOYMILES 
 7 x AC TRUNK END CAP - TERMINAL ENDCAP HOYMILES 
 1 x AC TRUNK CONNECTOR UNLOCK TOOL - CHAVE DESBLOQUEIO CONECTOR CA 
 1 x HMS DISCONNECT TOOL-1PCS - CHAVE DESCONEXAO MICROINVERSOR 
 42 x CABO CA MULTIPOLAR 10AWG 
 1 x DTU-LITE-S(WIFI) - MONIT DTU-LITE S (ATÉ 25 MICROS)</t>
  </si>
  <si>
    <t>81 x MODULO FV 570WP N-TYPE BIFACIAL DUAL GLASS DAS-DH144NA 
 21 x HMS-2000-4T - MICRO HOYMILES 2000W DTU EXTERNA 
 4 x CABO FOTOVOLTAICO 4MM² PRETO 
 84 x CABO FOTOVOLTAICO 4MM² VERMELHO 
 168 x CONECTOR MC4 PAR EMBALADO 
 ESTRUTURA FIBROCIMENTO MADEIRA 
 21 x AC TRUNK CONNECTOR - CONECTOR CA HOYMILES 
 7 x AC TRUNK END CAP - TERMINAL ENDCAP HOYMILES 
 1 x AC TRUNK CONNECTOR UNLOCK TOOL - CHAVE DESBLOQUEIO CONECTOR CA 
 1 x HMS DISCONNECT TOOL-1PCS - CHAVE DESCONEXAO MICROINVERSOR 
 42 x CABO CA MULTIPOLAR 10AWG 
 1 x DTU-LITE-S(WIFI) - MONIT DTU-LITE S (ATÉ 25 MICROS)</t>
  </si>
  <si>
    <t>82 x MODULO FV 570WP N-TYPE BIFACIAL DAH SOLAR DHN-72X16/DG 
 1 x INVERSOR SUNGROW SG36CX-P2 AFCI 380V COM MONITORAMENTO 
 200 x CABO FOTOVOLTAICO 4MM² PRETO 
 200 x CABO FOTOVOLTAICO 4MM² VERMELHO 
 16 x CONECTOR MC4 PAR EMBALADO 
 ESTRUTURA FIBROCIMENTO MADEIRA</t>
  </si>
  <si>
    <t>82 x MODULO FV 570WP N-TYPE BIFACIAL DUAL GLASS DAS-DH144NA 
 1 x INVERSOR SUNGROW SG36CX-P2 AFCI 380V COM MONITORAMENTO 
 200 x CABO FOTOVOLTAICO 4MM² PRETO 
 200 x CABO FOTOVOLTAICO 4MM² VERMELHO 
 16 x CONECTOR MC4 PAR EMBALADO 
 ESTRUTURA FIBROCIMENTO MADEIRA</t>
  </si>
  <si>
    <t>82 x MODULO FV 570WP N-TYPE BIFACIAL DAH SOLAR DHN-72X16/DG 
 1 x INVERSOR SOLIS 37,5KW 380V S5-GC37.5K COM MONITORAMENTO 
 200 x CABO FOTOVOLTAICO 4MM² PRETO 
 200 x CABO FOTOVOLTAICO 4MM² VERMELHO 
 16 x CONECTOR MC4 PAR EMBALADO 
 ESTRUTURA FIBROCIMENTO MADEIRA</t>
  </si>
  <si>
    <t>82 x MODULO FV 570WP N-TYPE BIFACIAL DUAL GLASS DAS-DH144NA 
 1 x INVERSOR SOLIS 37,5KW 380V S5-GC37.5K COM MONITORAMENTO 
 200 x CABO FOTOVOLTAICO 4MM² PRETO 
 200 x CABO FOTOVOLTAICO 4MM² VERMELHO 
 16 x CONECTOR MC4 PAR EMBALADO 
 ESTRUTURA FIBROCIMENTO MADEIRA</t>
  </si>
  <si>
    <t>82 x MODULO FV 570WP N-TYPE BIFACIAL DAH SOLAR DHN-72X16/DG 
 1 x INVERSOR SOLIS 37,5KW 220V S5-GC37.5K-LV COM MONITORAMENTO 
 200 x CABO FOTOVOLTAICO 4MM² PRETO 
 200 x CABO FOTOVOLTAICO 4MM² VERMELHO 
 16 x CONECTOR MC4 PAR EMBALADO 
 ESTRUTURA FIBROCIMENTO MADEIRA</t>
  </si>
  <si>
    <t>82 x MODULO FV 570WP N-TYPE BIFACIAL DUAL GLASS DAS-DH144NA 
 1 x INVERSOR SOLIS 37,5KW 220V S5-GC37.5K-LV COM MONITORAMENTO 
 200 x CABO FOTOVOLTAICO 4MM² PRETO 
 200 x CABO FOTOVOLTAICO 4MM² VERMELHO 
 16 x CONECTOR MC4 PAR EMBALADO 
 ESTRUTURA FIBROCIMENTO MADEIRA</t>
  </si>
  <si>
    <t>82 x MODULO FV 570WP N-TYPE BIFACIAL DAH SOLAR DHN-72X16/DG 
 21 x HMS-2000-4T - MICRO HOYMILES 2000W DTU EXTERNA 
 4 x CABO FOTOVOLTAICO 4MM² PRETO 
 84 x CABO FOTOVOLTAICO 4MM² VERMELHO 
 168 x CONECTOR MC4 PAR EMBALADO 
 ESTRUTURA FIBROCIMENTO MADEIRA 
 21 x AC TRUNK CONNECTOR - CONECTOR CA HOYMILES 
 7 x AC TRUNK END CAP - TERMINAL ENDCAP HOYMILES 
 1 x AC TRUNK CONNECTOR UNLOCK TOOL - CHAVE DESBLOQUEIO CONECTOR CA 
 1 x HMS DISCONNECT TOOL-1PCS - CHAVE DESCONEXAO MICROINVERSOR 
 42 x CABO CA MULTIPOLAR 10AWG 
 1 x DTU-LITE-S(WIFI) - MONIT DTU-LITE S (ATÉ 25 MICROS)</t>
  </si>
  <si>
    <t>82 x MODULO FV 570WP N-TYPE BIFACIAL DUAL GLASS DAS-DH144NA 
 21 x HMS-2000-4T - MICRO HOYMILES 2000W DTU EXTERNA 
 4 x CABO FOTOVOLTAICO 4MM² PRETO 
 84 x CABO FOTOVOLTAICO 4MM² VERMELHO 
 168 x CONECTOR MC4 PAR EMBALADO 
 ESTRUTURA FIBROCIMENTO MADEIRA 
 21 x AC TRUNK CONNECTOR - CONECTOR CA HOYMILES 
 7 x AC TRUNK END CAP - TERMINAL ENDCAP HOYMILES 
 1 x AC TRUNK CONNECTOR UNLOCK TOOL - CHAVE DESBLOQUEIO CONECTOR CA 
 1 x HMS DISCONNECT TOOL-1PCS - CHAVE DESCONEXAO MICROINVERSOR 
 42 x CABO CA MULTIPOLAR 10AWG 
 1 x DTU-LITE-S(WIFI) - MONIT DTU-LITE S (ATÉ 25 MICROS)</t>
  </si>
  <si>
    <t>66 x MODULO FV 710WP BIFACIAL DUAL-GLASS TRINA TSM-NEG21C.20 
 17 x HMS-2000-4T - MICRO HOYMILES 2000W DTU EXTERNA 
 4 x CABO FOTOVOLTAICO 4MM² PRETO 
 68 x CABO FOTOVOLTAICO 4MM² VERMELHO 
 136 x CONECTOR MC4 PAR TRINA 
 ESTRUTURA FIBROCIMENTO MADEIRA 
 17 x AC TRUNK CONNECTOR - CONECTOR CA HOYMILES 
 6 x AC TRUNK END CAP - TERMINAL ENDCAP HOYMILES 
 1 x AC TRUNK CONNECTOR UNLOCK TOOL - CHAVE DESBLOQUEIO CONECTOR CA 
 1 x HMS DISCONNECT TOOL-1PCS - CHAVE DESCONEXAO MICROINVERSOR 
 33 x CABO CA MULTIPOLAR 10AWG 
 1 x DTU-LITE-S(WIFI) - MONIT DTU-LITE S (ATÉ 25 MICROS)</t>
  </si>
  <si>
    <t>83 x MODULO FV 570WP N-TYPE BIFACIAL DAH SOLAR DHN-72X16/DG 
 1 x INVERSOR SUNGROW SG36CX-P2 AFCI 380V COM MONITORAMENTO 
 200 x CABO FOTOVOLTAICO 4MM² PRETO 
 200 x CABO FOTOVOLTAICO 4MM² VERMELHO 
 16 x CONECTOR MC4 PAR EMBALADO 
 ESTRUTURA FIBROCIMENTO MADEIRA</t>
  </si>
  <si>
    <t>83 x MODULO FV 570WP N-TYPE BIFACIAL DUAL GLASS DAS-DH144NA 
 1 x INVERSOR SUNGROW SG36CX-P2 AFCI 380V COM MONITORAMENTO 
 200 x CABO FOTOVOLTAICO 4MM² PRETO 
 200 x CABO FOTOVOLTAICO 4MM² VERMELHO 
 16 x CONECTOR MC4 PAR EMBALADO 
 ESTRUTURA FIBROCIMENTO MADEIRA</t>
  </si>
  <si>
    <t>83 x MODULO FV 570WP N-TYPE BIFACIAL DAH SOLAR DHN-72X16/DG 
 1 x INVERSOR SOLIS 37,5KW 380V S5-GC37.5K COM MONITORAMENTO 
 200 x CABO FOTOVOLTAICO 4MM² PRETO 
 200 x CABO FOTOVOLTAICO 4MM² VERMELHO 
 16 x CONECTOR MC4 PAR EMBALADO 
 ESTRUTURA FIBROCIMENTO MADEIRA</t>
  </si>
  <si>
    <t>83 x MODULO FV 570WP N-TYPE BIFACIAL DUAL GLASS DAS-DH144NA 
 1 x INVERSOR SOLIS 37,5KW 380V S5-GC37.5K COM MONITORAMENTO 
 200 x CABO FOTOVOLTAICO 4MM² PRETO 
 200 x CABO FOTOVOLTAICO 4MM² VERMELHO 
 16 x CONECTOR MC4 PAR EMBALADO 
 ESTRUTURA FIBROCIMENTO MADEIRA</t>
  </si>
  <si>
    <t>83 x MODULO FV 570WP N-TYPE BIFACIAL DAH SOLAR DHN-72X16/DG 
 1 x INVERSOR SOLIS 37,5KW 220V S5-GC37.5K-LV COM MONITORAMENTO 
 200 x CABO FOTOVOLTAICO 4MM² PRETO 
 200 x CABO FOTOVOLTAICO 4MM² VERMELHO 
 16 x CONECTOR MC4 PAR EMBALADO 
 ESTRUTURA FIBROCIMENTO MADEIRA</t>
  </si>
  <si>
    <t>83 x MODULO FV 570WP N-TYPE BIFACIAL DUAL GLASS DAS-DH144NA 
 1 x INVERSOR SOLIS 37,5KW 220V S5-GC37.5K-LV COM MONITORAMENTO 
 200 x CABO FOTOVOLTAICO 4MM² PRETO 
 200 x CABO FOTOVOLTAICO 4MM² VERMELHO 
 16 x CONECTOR MC4 PAR EMBALADO 
 ESTRUTURA FIBROCIMENTO MADEIRA</t>
  </si>
  <si>
    <t>83 x MODULO FV 570WP N-TYPE BIFACIAL DAH SOLAR DHN-72X16/DG 
 21 x HMS-2000-4T - MICRO HOYMILES 2000W DTU EXTERNA 
 4 x CABO FOTOVOLTAICO 4MM² PRETO 
 84 x CABO FOTOVOLTAICO 4MM² VERMELHO 
 168 x CONECTOR MC4 PAR EMBALADO 
 ESTRUTURA FIBROCIMENTO MADEIRA 
 21 x AC TRUNK CONNECTOR - CONECTOR CA HOYMILES 
 7 x AC TRUNK END CAP - TERMINAL ENDCAP HOYMILES 
 1 x AC TRUNK CONNECTOR UNLOCK TOOL - CHAVE DESBLOQUEIO CONECTOR CA 
 1 x HMS DISCONNECT TOOL-1PCS - CHAVE DESCONEXAO MICROINVERSOR 
 42 x CABO CA MULTIPOLAR 10AWG 
 1 x DTU-LITE-S(WIFI) - MONIT DTU-LITE S (ATÉ 25 MICROS)</t>
  </si>
  <si>
    <t>83 x MODULO FV 570WP N-TYPE BIFACIAL DUAL GLASS DAS-DH144NA 
 21 x HMS-2000-4T - MICRO HOYMILES 2000W DTU EXTERNA 
 4 x CABO FOTOVOLTAICO 4MM² PRETO 
 84 x CABO FOTOVOLTAICO 4MM² VERMELHO 
 168 x CONECTOR MC4 PAR EMBALADO 
 ESTRUTURA FIBROCIMENTO MADEIRA 
 21 x AC TRUNK CONNECTOR - CONECTOR CA HOYMILES 
 7 x AC TRUNK END CAP - TERMINAL ENDCAP HOYMILES 
 1 x AC TRUNK CONNECTOR UNLOCK TOOL - CHAVE DESBLOQUEIO CONECTOR CA 
 1 x HMS DISCONNECT TOOL-1PCS - CHAVE DESCONEXAO MICROINVERSOR 
 42 x CABO CA MULTIPOLAR 10AWG 
 1 x DTU-LITE-S(WIFI) - MONIT DTU-LITE S (ATÉ 25 MICROS)</t>
  </si>
  <si>
    <t>67 x MODULO FV 710WP BIFACIAL DUAL-GLASS TRINA TSM-NEG21C.20 
 17 x HMS-2000-4T - MICRO HOYMILES 2000W DTU EXTERNA 
 4 x CABO FOTOVOLTAICO 4MM² PRETO 
 68 x CABO FOTOVOLTAICO 4MM² VERMELHO 
 136 x CONECTOR MC4 PAR TRINA 
 ESTRUTURA FIBROCIMENTO MADEIRA 
 17 x AC TRUNK CONNECTOR - CONECTOR CA HOYMILES 
 6 x AC TRUNK END CAP - TERMINAL ENDCAP HOYMILES 
 1 x AC TRUNK CONNECTOR UNLOCK TOOL - CHAVE DESBLOQUEIO CONECTOR CA 
 1 x HMS DISCONNECT TOOL-1PCS - CHAVE DESCONEXAO MICROINVERSOR 
 33 x CABO CA MULTIPOLAR 10AWG 
 1 x DTU-LITE-S(WIFI) - MONIT DTU-LITE S (ATÉ 25 MICROS)</t>
  </si>
  <si>
    <t>84 x MODULO FV 570WP N-TYPE BIFACIAL DAH SOLAR DHN-72X16/DG 
 1 x INVERSOR SUNGROW SG36CX-P2 AFCI 380V COM MONITORAMENTO 
 200 x CABO FOTOVOLTAICO 4MM² PRETO 
 200 x CABO FOTOVOLTAICO 4MM² VERMELHO 
 16 x CONECTOR MC4 PAR EMBALADO 
 ESTRUTURA FIBROCIMENTO MADEIRA</t>
  </si>
  <si>
    <t>84 x MODULO FV 570WP N-TYPE BIFACIAL DUAL GLASS DAS-DH144NA 
 1 x INVERSOR SUNGROW SG36CX-P2 AFCI 380V COM MONITORAMENTO 
 200 x CABO FOTOVOLTAICO 4MM² PRETO 
 200 x CABO FOTOVOLTAICO 4MM² VERMELHO 
 16 x CONECTOR MC4 PAR EMBALADO 
 ESTRUTURA FIBROCIMENTO MADEIRA</t>
  </si>
  <si>
    <t>84 x MODULO FV 570WP N-TYPE BIFACIAL DAH SOLAR DHN-72X16/DG 
 1 x INVERSOR SOLIS 37,5KW 380V S5-GC37.5K COM MONITORAMENTO 
 200 x CABO FOTOVOLTAICO 4MM² PRETO 
 200 x CABO FOTOVOLTAICO 4MM² VERMELHO 
 16 x CONECTOR MC4 PAR EMBALADO 
 ESTRUTURA FIBROCIMENTO MADEIRA</t>
  </si>
  <si>
    <t>84 x MODULO FV 570WP N-TYPE BIFACIAL DUAL GLASS DAS-DH144NA 
 1 x INVERSOR SOLIS 37,5KW 380V S5-GC37.5K COM MONITORAMENTO 
 200 x CABO FOTOVOLTAICO 4MM² PRETO 
 200 x CABO FOTOVOLTAICO 4MM² VERMELHO 
 16 x CONECTOR MC4 PAR EMBALADO 
 ESTRUTURA FIBROCIMENTO MADEIRA</t>
  </si>
  <si>
    <t>84 x MODULO FV 570WP N-TYPE BIFACIAL DAH SOLAR DHN-72X16/DG 
 1 x INVERSOR SOLIS 37,5KW 220V S5-GC37.5K-LV COM MONITORAMENTO 
 200 x CABO FOTOVOLTAICO 4MM² PRETO 
 200 x CABO FOTOVOLTAICO 4MM² VERMELHO 
 16 x CONECTOR MC4 PAR EMBALADO 
 ESTRUTURA FIBROCIMENTO MADEIRA</t>
  </si>
  <si>
    <t>84 x MODULO FV 570WP N-TYPE BIFACIAL DUAL GLASS DAS-DH144NA 
 1 x INVERSOR SOLIS 37,5KW 220V S5-GC37.5K-LV COM MONITORAMENTO 
 200 x CABO FOTOVOLTAICO 4MM² PRETO 
 200 x CABO FOTOVOLTAICO 4MM² VERMELHO 
 16 x CONECTOR MC4 PAR EMBALADO 
 ESTRUTURA FIBROCIMENTO MADEIRA</t>
  </si>
  <si>
    <t>84 x MODULO FV 570WP N-TYPE BIFACIAL DAH SOLAR DHN-72X16/DG 
 21 x HMS-2000-4T - MICRO HOYMILES 2000W DTU EXTERNA 
 4 x CABO FOTOVOLTAICO 4MM² PRETO 
 84 x CABO FOTOVOLTAICO 4MM² VERMELHO 
 168 x CONECTOR MC4 PAR EMBALADO 
 ESTRUTURA FIBROCIMENTO MADEIRA 
 21 x AC TRUNK CONNECTOR - CONECTOR CA HOYMILES 
 7 x AC TRUNK END CAP - TERMINAL ENDCAP HOYMILES 
 1 x AC TRUNK CONNECTOR UNLOCK TOOL - CHAVE DESBLOQUEIO CONECTOR CA 
 1 x HMS DISCONNECT TOOL-1PCS - CHAVE DESCONEXAO MICROINVERSOR 
 42 x CABO CA MULTIPOLAR 10AWG 
 1 x DTU-LITE-S(WIFI) - MONIT DTU-LITE S (ATÉ 25 MICROS)</t>
  </si>
  <si>
    <t>84 x MODULO FV 570WP N-TYPE BIFACIAL DUAL GLASS DAS-DH144NA 
 21 x HMS-2000-4T - MICRO HOYMILES 2000W DTU EXTERNA 
 4 x CABO FOTOVOLTAICO 4MM² PRETO 
 84 x CABO FOTOVOLTAICO 4MM² VERMELHO 
 168 x CONECTOR MC4 PAR EMBALADO 
 ESTRUTURA FIBROCIMENTO MADEIRA 
 21 x AC TRUNK CONNECTOR - CONECTOR CA HOYMILES 
 7 x AC TRUNK END CAP - TERMINAL ENDCAP HOYMILES 
 1 x AC TRUNK CONNECTOR UNLOCK TOOL - CHAVE DESBLOQUEIO CONECTOR CA 
 1 x HMS DISCONNECT TOOL-1PCS - CHAVE DESCONEXAO MICROINVERSOR 
 42 x CABO CA MULTIPOLAR 10AWG 
 1 x DTU-LITE-S(WIFI) - MONIT DTU-LITE S (ATÉ 25 MICROS)</t>
  </si>
  <si>
    <t>68 x MODULO FV 710WP BIFACIAL DUAL-GLASS TRINA TSM-NEG21C.20 
 17 x HMS-2000-4T - MICRO HOYMILES 2000W DTU EXTERNA 
 4 x CABO FOTOVOLTAICO 4MM² PRETO 
 68 x CABO FOTOVOLTAICO 4MM² VERMELHO 
 136 x CONECTOR MC4 PAR TRINA 
 ESTRUTURA FIBROCIMENTO MADEIRA 
 17 x AC TRUNK CONNECTOR - CONECTOR CA HOYMILES 
 6 x AC TRUNK END CAP - TERMINAL ENDCAP HOYMILES 
 1 x AC TRUNK CONNECTOR UNLOCK TOOL - CHAVE DESBLOQUEIO CONECTOR CA 
 1 x HMS DISCONNECT TOOL-1PCS - CHAVE DESCONEXAO MICROINVERSOR 
 33 x CABO CA MULTIPOLAR 10AWG 
 1 x DTU-LITE-S(WIFI) - MONIT DTU-LITE S (ATÉ 25 MICROS)</t>
  </si>
  <si>
    <t>85 x MODULO FV 570WP N-TYPE BIFACIAL DAH SOLAR DHN-72X16/DG 
 1 x INVERSOR SUNGROW SG36CX-P2 AFCI 380V COM MONITORAMENTO 
 200 x CABO FOTOVOLTAICO 4MM² PRETO 
 200 x CABO FOTOVOLTAICO 4MM² VERMELHO 
 16 x CONECTOR MC4 PAR EMBALADO 
 ESTRUTURA FIBROCIMENTO MADEIRA</t>
  </si>
  <si>
    <t>85 x MODULO FV 570WP N-TYPE BIFACIAL DUAL GLASS DAS-DH144NA 
 1 x INVERSOR SUNGROW SG36CX-P2 AFCI 380V COM MONITORAMENTO 
 200 x CABO FOTOVOLTAICO 4MM² PRETO 
 200 x CABO FOTOVOLTAICO 4MM² VERMELHO 
 16 x CONECTOR MC4 PAR EMBALADO 
 ESTRUTURA FIBROCIMENTO MADEIRA</t>
  </si>
  <si>
    <t>85 x MODULO FV 570WP N-TYPE BIFACIAL DAH SOLAR DHN-72X16/DG 
 1 x INVERSOR SOLIS 37,5KW 380V S5-GC37.5K COM MONITORAMENTO 
 200 x CABO FOTOVOLTAICO 4MM² PRETO 
 200 x CABO FOTOVOLTAICO 4MM² VERMELHO 
 16 x CONECTOR MC4 PAR EMBALADO 
 ESTRUTURA FIBROCIMENTO MADEIRA</t>
  </si>
  <si>
    <t>85 x MODULO FV 570WP N-TYPE BIFACIAL DUAL GLASS DAS-DH144NA 
 1 x INVERSOR SOLIS 37,5KW 380V S5-GC37.5K COM MONITORAMENTO 
 200 x CABO FOTOVOLTAICO 4MM² PRETO 
 200 x CABO FOTOVOLTAICO 4MM² VERMELHO 
 16 x CONECTOR MC4 PAR EMBALADO 
 ESTRUTURA FIBROCIMENTO MADEIRA</t>
  </si>
  <si>
    <t>85 x MODULO FV 570WP N-TYPE BIFACIAL DAH SOLAR DHN-72X16/DG 
 1 x INVERSOR SOLIS 37,5KW 220V S5-GC37.5K-LV COM MONITORAMENTO 
 200 x CABO FOTOVOLTAICO 4MM² PRETO 
 200 x CABO FOTOVOLTAICO 4MM² VERMELHO 
 16 x CONECTOR MC4 PAR EMBALADO 
 ESTRUTURA FIBROCIMENTO MADEIRA</t>
  </si>
  <si>
    <t>85 x MODULO FV 570WP N-TYPE BIFACIAL DUAL GLASS DAS-DH144NA 
 1 x INVERSOR SOLIS 37,5KW 220V S5-GC37.5K-LV COM MONITORAMENTO 
 200 x CABO FOTOVOLTAICO 4MM² PRETO 
 200 x CABO FOTOVOLTAICO 4MM² VERMELHO 
 16 x CONECTOR MC4 PAR EMBALADO 
 ESTRUTURA FIBROCIMENTO MADEIRA</t>
  </si>
  <si>
    <t>85 x MODULO FV 570WP N-TYPE BIFACIAL DAH SOLAR DHN-72X16/DG 
 22 x HMS-2000-4T - MICRO HOYMILES 2000W DTU EXTERNA 
 4 x CABO FOTOVOLTAICO 4MM² PRETO 
 88 x CABO FOTOVOLTAICO 4MM² VERMELHO 
 176 x CONECTOR MC4 PAR EMBALADO 
 ESTRUTURA FIBROCIMENTO MADEIRA 
 22 x AC TRUNK CONNECTOR - CONECTOR CA HOYMILES 
 8 x AC TRUNK END CAP - TERMINAL ENDCAP HOYMILES 
 1 x AC TRUNK CONNECTOR UNLOCK TOOL - CHAVE DESBLOQUEIO CONECTOR CA 
 1 x HMS DISCONNECT TOOL-1PCS - CHAVE DESCONEXAO MICROINVERSOR 
 42 x CABO CA MULTIPOLAR 10AWG 
 1 x DTU-LITE-S(WIFI) - MONIT DTU-LITE S (ATÉ 25 MICROS)</t>
  </si>
  <si>
    <t>85 x MODULO FV 570WP N-TYPE BIFACIAL DUAL GLASS DAS-DH144NA 
 22 x HMS-2000-4T - MICRO HOYMILES 2000W DTU EXTERNA 
 4 x CABO FOTOVOLTAICO 4MM² PRETO 
 88 x CABO FOTOVOLTAICO 4MM² VERMELHO 
 176 x CONECTOR MC4 PAR EMBALADO 
 ESTRUTURA FIBROCIMENTO MADEIRA 
 22 x AC TRUNK CONNECTOR - CONECTOR CA HOYMILES 
 8 x AC TRUNK END CAP - TERMINAL ENDCAP HOYMILES 
 1 x AC TRUNK CONNECTOR UNLOCK TOOL - CHAVE DESBLOQUEIO CONECTOR CA 
 1 x HMS DISCONNECT TOOL-1PCS - CHAVE DESCONEXAO MICROINVERSOR 
 42 x CABO CA MULTIPOLAR 10AWG 
 1 x DTU-LITE-S(WIFI) - MONIT DTU-LITE S (ATÉ 25 MICROS)</t>
  </si>
  <si>
    <t>69 x MODULO FV 710WP BIFACIAL DUAL-GLASS TRINA TSM-NEG21C.20 
 18 x HMS-2000-4T - MICRO HOYMILES 2000W DTU EXTERNA 
 4 x CABO FOTOVOLTAICO 4MM² PRETO 
 72 x CABO FOTOVOLTAICO 4MM² VERMELHO 
 144 x CONECTOR MC4 PAR TRINA 
 ESTRUTURA FIBROCIMENTO MADEIRA 
 18 x AC TRUNK CONNECTOR - CONECTOR CA HOYMILES 
 6 x AC TRUNK END CAP - TERMINAL ENDCAP HOYMILES 
 1 x AC TRUNK CONNECTOR UNLOCK TOOL - CHAVE DESBLOQUEIO CONECTOR CA 
 1 x HMS DISCONNECT TOOL-1PCS - CHAVE DESCONEXAO MICROINVERSOR 
 36 x CABO CA MULTIPOLAR 10AWG 
 1 x DTU-LITE-S(WIFI) - MONIT DTU-LITE S (ATÉ 25 MICROS)</t>
  </si>
  <si>
    <t>86 x MODULO FV 570WP N-TYPE BIFACIAL DAH SOLAR DHN-72X16/DG 
 1 x INVERSOR SUNGROW SG36CX-P2 AFCI 380V COM MONITORAMENTO 
 200 x CABO FOTOVOLTAICO 4MM² PRETO 
 200 x CABO FOTOVOLTAICO 4MM² VERMELHO 
 16 x CONECTOR MC4 PAR EMBALADO 
 ESTRUTURA FIBROCIMENTO MADEIRA</t>
  </si>
  <si>
    <t>86 x MODULO FV 570WP N-TYPE BIFACIAL DUAL GLASS DAS-DH144NA 
 1 x INVERSOR SUNGROW SG36CX-P2 AFCI 380V COM MONITORAMENTO 
 200 x CABO FOTOVOLTAICO 4MM² PRETO 
 200 x CABO FOTOVOLTAICO 4MM² VERMELHO 
 16 x CONECTOR MC4 PAR EMBALADO 
 ESTRUTURA FIBROCIMENTO MADEIRA</t>
  </si>
  <si>
    <t>86 x MODULO FV 570WP N-TYPE BIFACIAL DAH SOLAR DHN-72X16/DG 
 1 x INVERSOR SOLIS 37,5KW 380V S5-GC37.5K COM MONITORAMENTO 
 200 x CABO FOTOVOLTAICO 4MM² PRETO 
 200 x CABO FOTOVOLTAICO 4MM² VERMELHO 
 16 x CONECTOR MC4 PAR EMBALADO 
 ESTRUTURA FIBROCIMENTO MADEIRA</t>
  </si>
  <si>
    <t>86 x MODULO FV 570WP N-TYPE BIFACIAL DUAL GLASS DAS-DH144NA 
 1 x INVERSOR SOLIS 37,5KW 380V S5-GC37.5K COM MONITORAMENTO 
 200 x CABO FOTOVOLTAICO 4MM² PRETO 
 200 x CABO FOTOVOLTAICO 4MM² VERMELHO 
 16 x CONECTOR MC4 PAR EMBALADO 
 ESTRUTURA FIBROCIMENTO MADEIRA</t>
  </si>
  <si>
    <t>86 x MODULO FV 570WP N-TYPE BIFACIAL DAH SOLAR DHN-72X16/DG 
 1 x INVERSOR SOLIS 37,5KW 220V S5-GC37.5K-LV COM MONITORAMENTO 
 200 x CABO FOTOVOLTAICO 4MM² PRETO 
 200 x CABO FOTOVOLTAICO 4MM² VERMELHO 
 16 x CONECTOR MC4 PAR EMBALADO 
 ESTRUTURA FIBROCIMENTO MADEIRA</t>
  </si>
  <si>
    <t>86 x MODULO FV 570WP N-TYPE BIFACIAL DUAL GLASS DAS-DH144NA 
 1 x INVERSOR SOLIS 37,5KW 220V S5-GC37.5K-LV COM MONITORAMENTO 
 200 x CABO FOTOVOLTAICO 4MM² PRETO 
 200 x CABO FOTOVOLTAICO 4MM² VERMELHO 
 16 x CONECTOR MC4 PAR EMBALADO 
 ESTRUTURA FIBROCIMENTO MADEIRA</t>
  </si>
  <si>
    <t>86 x MODULO FV 570WP N-TYPE BIFACIAL DAH SOLAR DHN-72X16/DG 
 22 x HMS-2000-4T - MICRO HOYMILES 2000W DTU EXTERNA 
 4 x CABO FOTOVOLTAICO 4MM² PRETO 
 88 x CABO FOTOVOLTAICO 4MM² VERMELHO 
 176 x CONECTOR MC4 PAR EMBALADO 
 ESTRUTURA FIBROCIMENTO MADEIRA 
 22 x AC TRUNK CONNECTOR - CONECTOR CA HOYMILES 
 8 x AC TRUNK END CAP - TERMINAL ENDCAP HOYMILES 
 1 x AC TRUNK CONNECTOR UNLOCK TOOL - CHAVE DESBLOQUEIO CONECTOR CA 
 1 x HMS DISCONNECT TOOL-1PCS - CHAVE DESCONEXAO MICROINVERSOR 
 42 x CABO CA MULTIPOLAR 10AWG 
 1 x DTU-LITE-S(WIFI) - MONIT DTU-LITE S (ATÉ 25 MICROS)</t>
  </si>
  <si>
    <t>86 x MODULO FV 570WP N-TYPE BIFACIAL DUAL GLASS DAS-DH144NA 
 22 x HMS-2000-4T - MICRO HOYMILES 2000W DTU EXTERNA 
 4 x CABO FOTOVOLTAICO 4MM² PRETO 
 88 x CABO FOTOVOLTAICO 4MM² VERMELHO 
 176 x CONECTOR MC4 PAR EMBALADO 
 ESTRUTURA FIBROCIMENTO MADEIRA 
 22 x AC TRUNK CONNECTOR - CONECTOR CA HOYMILES 
 8 x AC TRUNK END CAP - TERMINAL ENDCAP HOYMILES 
 1 x AC TRUNK CONNECTOR UNLOCK TOOL - CHAVE DESBLOQUEIO CONECTOR CA 
 1 x HMS DISCONNECT TOOL-1PCS - CHAVE DESCONEXAO MICROINVERSOR 
 42 x CABO CA MULTIPOLAR 10AWG 
 1 x DTU-LITE-S(WIFI) - MONIT DTU-LITE S (ATÉ 25 MICROS)</t>
  </si>
  <si>
    <t>87 x MODULO FV 570WP N-TYPE BIFACIAL DAH SOLAR DHN-72X16/DG 
 1 x INVERSOR SUNGROW SG36CX-P2 AFCI 380V COM MONITORAMENTO 
 200 x CABO FOTOVOLTAICO 4MM² PRETO 
 200 x CABO FOTOVOLTAICO 4MM² VERMELHO 
 16 x CONECTOR MC4 PAR EMBALADO 
 ESTRUTURA FIBROCIMENTO MADEIRA</t>
  </si>
  <si>
    <t>87 x MODULO FV 570WP N-TYPE BIFACIAL DUAL GLASS DAS-DH144NA 
 1 x INVERSOR SUNGROW SG36CX-P2 AFCI 380V COM MONITORAMENTO 
 200 x CABO FOTOVOLTAICO 4MM² PRETO 
 200 x CABO FOTOVOLTAICO 4MM² VERMELHO 
 16 x CONECTOR MC4 PAR EMBALADO 
 ESTRUTURA FIBROCIMENTO MADEIRA</t>
  </si>
  <si>
    <t>87 x MODULO FV 570WP N-TYPE BIFACIAL DAH SOLAR DHN-72X16/DG 
 1 x INVERSOR SOLIS 37,5KW 380V S5-GC37.5K COM MONITORAMENTO 
 200 x CABO FOTOVOLTAICO 4MM² PRETO 
 200 x CABO FOTOVOLTAICO 4MM² VERMELHO 
 16 x CONECTOR MC4 PAR EMBALADO 
 ESTRUTURA FIBROCIMENTO MADEIRA</t>
  </si>
  <si>
    <t>87 x MODULO FV 570WP N-TYPE BIFACIAL DUAL GLASS DAS-DH144NA 
 1 x INVERSOR SOLIS 37,5KW 380V S5-GC37.5K COM MONITORAMENTO 
 200 x CABO FOTOVOLTAICO 4MM² PRETO 
 200 x CABO FOTOVOLTAICO 4MM² VERMELHO 
 16 x CONECTOR MC4 PAR EMBALADO 
 ESTRUTURA FIBROCIMENTO MADEIRA</t>
  </si>
  <si>
    <t>87 x MODULO FV 570WP N-TYPE BIFACIAL DAH SOLAR DHN-72X16/DG 
 1 x INVERSOR SOLIS 37,5KW 220V S5-GC37.5K-LV COM MONITORAMENTO 
 200 x CABO FOTOVOLTAICO 4MM² PRETO 
 200 x CABO FOTOVOLTAICO 4MM² VERMELHO 
 16 x CONECTOR MC4 PAR EMBALADO 
 ESTRUTURA FIBROCIMENTO MADEIRA</t>
  </si>
  <si>
    <t>87 x MODULO FV 570WP N-TYPE BIFACIAL DUAL GLASS DAS-DH144NA 
 1 x INVERSOR SOLIS 37,5KW 220V S5-GC37.5K-LV COM MONITORAMENTO 
 200 x CABO FOTOVOLTAICO 4MM² PRETO 
 200 x CABO FOTOVOLTAICO 4MM² VERMELHO 
 16 x CONECTOR MC4 PAR EMBALADO 
 ESTRUTURA FIBROCIMENTO MADEIRA</t>
  </si>
  <si>
    <t>87 x MODULO FV 570WP N-TYPE BIFACIAL DAH SOLAR DHN-72X16/DG 
 22 x HMS-2000-4T - MICRO HOYMILES 2000W DTU EXTERNA 
 4 x CABO FOTOVOLTAICO 4MM² PRETO 
 88 x CABO FOTOVOLTAICO 4MM² VERMELHO 
 176 x CONECTOR MC4 PAR EMBALADO 
 ESTRUTURA FIBROCIMENTO MADEIRA 
 22 x AC TRUNK CONNECTOR - CONECTOR CA HOYMILES 
 8 x AC TRUNK END CAP - TERMINAL ENDCAP HOYMILES 
 1 x AC TRUNK CONNECTOR UNLOCK TOOL - CHAVE DESBLOQUEIO CONECTOR CA 
 1 x HMS DISCONNECT TOOL-1PCS - CHAVE DESCONEXAO MICROINVERSOR 
 42 x CABO CA MULTIPOLAR 10AWG 
 1 x DTU-LITE-S(WIFI) - MONIT DTU-LITE S (ATÉ 25 MICROS)</t>
  </si>
  <si>
    <t>87 x MODULO FV 570WP N-TYPE BIFACIAL DUAL GLASS DAS-DH144NA 
 22 x HMS-2000-4T - MICRO HOYMILES 2000W DTU EXTERNA 
 4 x CABO FOTOVOLTAICO 4MM² PRETO 
 88 x CABO FOTOVOLTAICO 4MM² VERMELHO 
 176 x CONECTOR MC4 PAR EMBALADO 
 ESTRUTURA FIBROCIMENTO MADEIRA 
 22 x AC TRUNK CONNECTOR - CONECTOR CA HOYMILES 
 8 x AC TRUNK END CAP - TERMINAL ENDCAP HOYMILES 
 1 x AC TRUNK CONNECTOR UNLOCK TOOL - CHAVE DESBLOQUEIO CONECTOR CA 
 1 x HMS DISCONNECT TOOL-1PCS - CHAVE DESCONEXAO MICROINVERSOR 
 42 x CABO CA MULTIPOLAR 10AWG 
 1 x DTU-LITE-S(WIFI) - MONIT DTU-LITE S (ATÉ 25 MICROS)</t>
  </si>
  <si>
    <t>70 x MODULO FV 710WP BIFACIAL DUAL-GLASS TRINA TSM-NEG21C.20 
 18 x HMS-2000-4T - MICRO HOYMILES 2000W DTU EXTERNA 
 4 x CABO FOTOVOLTAICO 4MM² PRETO 
 72 x CABO FOTOVOLTAICO 4MM² VERMELHO 
 144 x CONECTOR MC4 PAR TRINA 
 ESTRUTURA FIBROCIMENTO MADEIRA 
 18 x AC TRUNK CONNECTOR - CONECTOR CA HOYMILES 
 6 x AC TRUNK END CAP - TERMINAL ENDCAP HOYMILES 
 1 x AC TRUNK CONNECTOR UNLOCK TOOL - CHAVE DESBLOQUEIO CONECTOR CA 
 1 x HMS DISCONNECT TOOL-1PCS - CHAVE DESCONEXAO MICROINVERSOR 
 36 x CABO CA MULTIPOLAR 10AWG 
 1 x DTU-LITE-S(WIFI) - MONIT DTU-LITE S (ATÉ 25 MICROS)</t>
  </si>
  <si>
    <t>88 x MODULO FV 570WP N-TYPE BIFACIAL DAH SOLAR DHN-72X16/DG 
 1 x INVERSOR SUNGROW SG36CX-P2 AFCI 380V COM MONITORAMENTO 
 200 x CABO FOTOVOLTAICO 4MM² PRETO 
 200 x CABO FOTOVOLTAICO 4MM² VERMELHO 
 16 x CONECTOR MC4 PAR EMBALADO 
 ESTRUTURA FIBROCIMENTO MADEIRA</t>
  </si>
  <si>
    <t>88 x MODULO FV 570WP N-TYPE BIFACIAL DUAL GLASS DAS-DH144NA 
 1 x INVERSOR SUNGROW SG36CX-P2 AFCI 380V COM MONITORAMENTO 
 200 x CABO FOTOVOLTAICO 4MM² PRETO 
 200 x CABO FOTOVOLTAICO 4MM² VERMELHO 
 16 x CONECTOR MC4 PAR EMBALADO 
 ESTRUTURA FIBROCIMENTO MADEIRA</t>
  </si>
  <si>
    <t>88 x MODULO FV 570WP N-TYPE BIFACIAL DAH SOLAR DHN-72X16/DG 
 1 x INVERSOR SOLIS 37,5KW 380V S5-GC37.5K COM MONITORAMENTO 
 200 x CABO FOTOVOLTAICO 4MM² PRETO 
 200 x CABO FOTOVOLTAICO 4MM² VERMELHO 
 16 x CONECTOR MC4 PAR EMBALADO 
 ESTRUTURA FIBROCIMENTO MADEIRA</t>
  </si>
  <si>
    <t>88 x MODULO FV 570WP N-TYPE BIFACIAL DUAL GLASS DAS-DH144NA 
 1 x INVERSOR SOLIS 37,5KW 380V S5-GC37.5K COM MONITORAMENTO 
 200 x CABO FOTOVOLTAICO 4MM² PRETO 
 200 x CABO FOTOVOLTAICO 4MM² VERMELHO 
 16 x CONECTOR MC4 PAR EMBALADO 
 ESTRUTURA FIBROCIMENTO MADEIRA</t>
  </si>
  <si>
    <t>88 x MODULO FV 570WP N-TYPE BIFACIAL DAH SOLAR DHN-72X16/DG 
 1 x INVERSOR SOLIS 37,5KW 220V S5-GC37.5K-LV COM MONITORAMENTO 
 200 x CABO FOTOVOLTAICO 4MM² PRETO 
 200 x CABO FOTOVOLTAICO 4MM² VERMELHO 
 16 x CONECTOR MC4 PAR EMBALADO 
 ESTRUTURA FIBROCIMENTO MADEIRA</t>
  </si>
  <si>
    <t>88 x MODULO FV 570WP N-TYPE BIFACIAL DUAL GLASS DAS-DH144NA 
 1 x INVERSOR SOLIS 37,5KW 220V S5-GC37.5K-LV COM MONITORAMENTO 
 200 x CABO FOTOVOLTAICO 4MM² PRETO 
 200 x CABO FOTOVOLTAICO 4MM² VERMELHO 
 16 x CONECTOR MC4 PAR EMBALADO 
 ESTRUTURA FIBROCIMENTO MADEIRA</t>
  </si>
  <si>
    <t>88 x MODULO FV 570WP N-TYPE BIFACIAL DAH SOLAR DHN-72X16/DG 
 22 x HMS-2000-4T - MICRO HOYMILES 2000W DTU EXTERNA 
 4 x CABO FOTOVOLTAICO 4MM² PRETO 
 88 x CABO FOTOVOLTAICO 4MM² VERMELHO 
 176 x CONECTOR MC4 PAR EMBALADO 
 ESTRUTURA FIBROCIMENTO MADEIRA 
 22 x AC TRUNK CONNECTOR - CONECTOR CA HOYMILES 
 8 x AC TRUNK END CAP - TERMINAL ENDCAP HOYMILES 
 1 x AC TRUNK CONNECTOR UNLOCK TOOL - CHAVE DESBLOQUEIO CONECTOR CA 
 1 x HMS DISCONNECT TOOL-1PCS - CHAVE DESCONEXAO MICROINVERSOR 
 42 x CABO CA MULTIPOLAR 10AWG 
 1 x DTU-LITE-S(WIFI) - MONIT DTU-LITE S (ATÉ 25 MICROS)</t>
  </si>
  <si>
    <t>88 x MODULO FV 570WP N-TYPE BIFACIAL DUAL GLASS DAS-DH144NA 
 22 x HMS-2000-4T - MICRO HOYMILES 2000W DTU EXTERNA 
 4 x CABO FOTOVOLTAICO 4MM² PRETO 
 88 x CABO FOTOVOLTAICO 4MM² VERMELHO 
 176 x CONECTOR MC4 PAR EMBALADO 
 ESTRUTURA FIBROCIMENTO MADEIRA 
 22 x AC TRUNK CONNECTOR - CONECTOR CA HOYMILES 
 8 x AC TRUNK END CAP - TERMINAL ENDCAP HOYMILES 
 1 x AC TRUNK CONNECTOR UNLOCK TOOL - CHAVE DESBLOQUEIO CONECTOR CA 
 1 x HMS DISCONNECT TOOL-1PCS - CHAVE DESCONEXAO MICROINVERSOR 
 42 x CABO CA MULTIPOLAR 10AWG 
 1 x DTU-LITE-S(WIFI) - MONIT DTU-LITE S (ATÉ 25 MICROS)</t>
  </si>
  <si>
    <t>71 x MODULO FV 710WP BIFACIAL DUAL-GLASS TRINA TSM-NEG21C.20 
 18 x HMS-2000-4T - MICRO HOYMILES 2000W DTU EXTERNA 
 4 x CABO FOTOVOLTAICO 4MM² PRETO 
 72 x CABO FOTOVOLTAICO 4MM² VERMELHO 
 144 x CONECTOR MC4 PAR TRINA 
 ESTRUTURA FIBROCIMENTO MADEIRA 
 18 x AC TRUNK CONNECTOR - CONECTOR CA HOYMILES 
 6 x AC TRUNK END CAP - TERMINAL ENDCAP HOYMILES 
 1 x AC TRUNK CONNECTOR UNLOCK TOOL - CHAVE DESBLOQUEIO CONECTOR CA 
 1 x HMS DISCONNECT TOOL-1PCS - CHAVE DESCONEXAO MICROINVERSOR 
 36 x CABO CA MULTIPOLAR 10AWG 
 1 x DTU-LITE-S(WIFI) - MONIT DTU-LITE S (ATÉ 25 MICROS)</t>
  </si>
  <si>
    <t>89 x MODULO FV 570WP N-TYPE BIFACIAL DAH SOLAR DHN-72X16/DG 
 1 x INVERSOR SUNGROW SG36CX-P2 AFCI 380V COM MONITORAMENTO 
 200 x CABO FOTOVOLTAICO 4MM² PRETO 
 200 x CABO FOTOVOLTAICO 4MM² VERMELHO 
 16 x CONECTOR MC4 PAR EMBALADO 
 ESTRUTURA FIBROCIMENTO MADEIRA</t>
  </si>
  <si>
    <t>89 x MODULO FV 570WP N-TYPE BIFACIAL DUAL GLASS DAS-DH144NA 
 1 x INVERSOR SUNGROW SG36CX-P2 AFCI 380V COM MONITORAMENTO 
 200 x CABO FOTOVOLTAICO 4MM² PRETO 
 200 x CABO FOTOVOLTAICO 4MM² VERMELHO 
 16 x CONECTOR MC4 PAR EMBALADO 
 ESTRUTURA FIBROCIMENTO MADEIRA</t>
  </si>
  <si>
    <t>89 x MODULO FV 570WP N-TYPE BIFACIAL DAH SOLAR DHN-72X16/DG 
 1 x INVERSOR SOLIS 37,5KW 380V S5-GC37.5K COM MONITORAMENTO 
 200 x CABO FOTOVOLTAICO 4MM² PRETO 
 200 x CABO FOTOVOLTAICO 4MM² VERMELHO 
 16 x CONECTOR MC4 PAR EMBALADO 
 ESTRUTURA FIBROCIMENTO MADEIRA</t>
  </si>
  <si>
    <t>89 x MODULO FV 570WP N-TYPE BIFACIAL DUAL GLASS DAS-DH144NA 
 1 x INVERSOR SOLIS 37,5KW 380V S5-GC37.5K COM MONITORAMENTO 
 200 x CABO FOTOVOLTAICO 4MM² PRETO 
 200 x CABO FOTOVOLTAICO 4MM² VERMELHO 
 16 x CONECTOR MC4 PAR EMBALADO 
 ESTRUTURA FIBROCIMENTO MADEIRA</t>
  </si>
  <si>
    <t>89 x MODULO FV 570WP N-TYPE BIFACIAL DAH SOLAR DHN-72X16/DG 
 1 x INVERSOR SOLIS 37,5KW 220V S5-GC37.5K-LV COM MONITORAMENTO 
 200 x CABO FOTOVOLTAICO 4MM² PRETO 
 200 x CABO FOTOVOLTAICO 4MM² VERMELHO 
 16 x CONECTOR MC4 PAR EMBALADO 
 ESTRUTURA FIBROCIMENTO MADEIRA</t>
  </si>
  <si>
    <t>89 x MODULO FV 570WP N-TYPE BIFACIAL DUAL GLASS DAS-DH144NA 
 1 x INVERSOR SOLIS 37,5KW 220V S5-GC37.5K-LV COM MONITORAMENTO 
 200 x CABO FOTOVOLTAICO 4MM² PRETO 
 200 x CABO FOTOVOLTAICO 4MM² VERMELHO 
 16 x CONECTOR MC4 PAR EMBALADO 
 ESTRUTURA FIBROCIMENTO MADEIRA</t>
  </si>
  <si>
    <t>45</t>
  </si>
  <si>
    <t>89 x MODULO FV 570WP N-TYPE BIFACIAL DAH SOLAR DHN-72X16/DG 
 23 x HMS-2000-4T - MICRO HOYMILES 2000W DTU EXTERNA 
 4 x CABO FOTOVOLTAICO 4MM² PRETO 
 92 x CABO FOTOVOLTAICO 4MM² VERMELHO 
 184 x CONECTOR MC4 PAR EMBALADO 
 ESTRUTURA FIBROCIMENTO MADEIRA 
 23 x AC TRUNK CONNECTOR - CONECTOR CA HOYMILES 
 8 x AC TRUNK END CAP - TERMINAL ENDCAP HOYMILES 
 1 x AC TRUNK CONNECTOR UNLOCK TOOL - CHAVE DESBLOQUEIO CONECTOR CA 
 1 x HMS DISCONNECT TOOL-1PCS - CHAVE DESCONEXAO MICROINVERSOR 
 45 x CABO CA MULTIPOLAR 10AWG 
 1 x DTU-LITE-S(WIFI) - MONIT DTU-LITE S (ATÉ 25 MICROS)</t>
  </si>
  <si>
    <t>89 x MODULO FV 570WP N-TYPE BIFACIAL DUAL GLASS DAS-DH144NA 
 23 x HMS-2000-4T - MICRO HOYMILES 2000W DTU EXTERNA 
 4 x CABO FOTOVOLTAICO 4MM² PRETO 
 92 x CABO FOTOVOLTAICO 4MM² VERMELHO 
 184 x CONECTOR MC4 PAR EMBALADO 
 ESTRUTURA FIBROCIMENTO MADEIRA 
 23 x AC TRUNK CONNECTOR - CONECTOR CA HOYMILES 
 8 x AC TRUNK END CAP - TERMINAL ENDCAP HOYMILES 
 1 x AC TRUNK CONNECTOR UNLOCK TOOL - CHAVE DESBLOQUEIO CONECTOR CA 
 1 x HMS DISCONNECT TOOL-1PCS - CHAVE DESCONEXAO MICROINVERSOR 
 45 x CABO CA MULTIPOLAR 10AWG 
 1 x DTU-LITE-S(WIFI) - MONIT DTU-LITE S (ATÉ 25 MICROS)</t>
  </si>
  <si>
    <t>72 x MODULO FV 710WP BIFACIAL DUAL-GLASS TRINA TSM-NEG21C.20 
 18 x HMS-2000-4T - MICRO HOYMILES 2000W DTU EXTERNA 
 4 x CABO FOTOVOLTAICO 4MM² PRETO 
 72 x CABO FOTOVOLTAICO 4MM² VERMELHO 
 144 x CONECTOR MC4 PAR TRINA 
 ESTRUTURA FIBROCIMENTO MADEIRA 
 18 x AC TRUNK CONNECTOR - CONECTOR CA HOYMILES 
 6 x AC TRUNK END CAP - TERMINAL ENDCAP HOYMILES 
 1 x AC TRUNK CONNECTOR UNLOCK TOOL - CHAVE DESBLOQUEIO CONECTOR CA 
 1 x HMS DISCONNECT TOOL-1PCS - CHAVE DESCONEXAO MICROINVERSOR 
 36 x CABO CA MULTIPOLAR 10AWG 
 1 x DTU-LITE-S(WIFI) - MONIT DTU-LITE S (ATÉ 25 MICROS)</t>
  </si>
  <si>
    <t>90 x MODULO FV 570WP N-TYPE BIFACIAL DAH SOLAR DHN-72X16/DG 
 1 x INVERSOR SUNGROW SG36CX-P2 AFCI 380V COM MONITORAMENTO 
 200 x CABO FOTOVOLTAICO 4MM² PRETO 
 200 x CABO FOTOVOLTAICO 4MM² VERMELHO 
 16 x CONECTOR MC4 PAR EMBALADO 
 ESTRUTURA FIBROCIMENTO MADEIRA</t>
  </si>
  <si>
    <t>90 x MODULO FV 570WP N-TYPE BIFACIAL DUAL GLASS DAS-DH144NA 
 1 x INVERSOR SUNGROW SG36CX-P2 AFCI 380V COM MONITORAMENTO 
 200 x CABO FOTOVOLTAICO 4MM² PRETO 
 200 x CABO FOTOVOLTAICO 4MM² VERMELHO 
 16 x CONECTOR MC4 PAR EMBALADO 
 ESTRUTURA FIBROCIMENTO MADEIRA</t>
  </si>
  <si>
    <t>90 x MODULO FV 570WP N-TYPE BIFACIAL DAH SOLAR DHN-72X16/DG 
 1 x INVERSOR SOLIS 37,5KW 380V S5-GC37.5K COM MONITORAMENTO 
 200 x CABO FOTOVOLTAICO 4MM² PRETO 
 200 x CABO FOTOVOLTAICO 4MM² VERMELHO 
 16 x CONECTOR MC4 PAR EMBALADO 
 ESTRUTURA FIBROCIMENTO MADEIRA</t>
  </si>
  <si>
    <t>90 x MODULO FV 570WP N-TYPE BIFACIAL DUAL GLASS DAS-DH144NA 
 1 x INVERSOR SOLIS 37,5KW 380V S5-GC37.5K COM MONITORAMENTO 
 200 x CABO FOTOVOLTAICO 4MM² PRETO 
 200 x CABO FOTOVOLTAICO 4MM² VERMELHO 
 16 x CONECTOR MC4 PAR EMBALADO 
 ESTRUTURA FIBROCIMENTO MADEIRA</t>
  </si>
  <si>
    <t>90 x MODULO FV 570WP N-TYPE BIFACIAL DAH SOLAR DHN-72X16/DG 
 1 x INVERSOR SOLIS 37,5KW 220V S5-GC37.5K-LV COM MONITORAMENTO 
 200 x CABO FOTOVOLTAICO 4MM² PRETO 
 200 x CABO FOTOVOLTAICO 4MM² VERMELHO 
 16 x CONECTOR MC4 PAR EMBALADO 
 ESTRUTURA FIBROCIMENTO MADEIRA</t>
  </si>
  <si>
    <t>90 x MODULO FV 570WP N-TYPE BIFACIAL DUAL GLASS DAS-DH144NA 
 1 x INVERSOR SOLIS 37,5KW 220V S5-GC37.5K-LV COM MONITORAMENTO 
 200 x CABO FOTOVOLTAICO 4MM² PRETO 
 200 x CABO FOTOVOLTAICO 4MM² VERMELHO 
 16 x CONECTOR MC4 PAR EMBALADO 
 ESTRUTURA FIBROCIMENTO MADEIRA</t>
  </si>
  <si>
    <t>90 x MODULO FV 570WP N-TYPE BIFACIAL DAH SOLAR DHN-72X16/DG 
 23 x HMS-2000-4T - MICRO HOYMILES 2000W DTU EXTERNA 
 4 x CABO FOTOVOLTAICO 4MM² PRETO 
 92 x CABO FOTOVOLTAICO 4MM² VERMELHO 
 184 x CONECTOR MC4 PAR EMBALADO 
 ESTRUTURA FIBROCIMENTO MADEIRA 
 23 x AC TRUNK CONNECTOR - CONECTOR CA HOYMILES 
 8 x AC TRUNK END CAP - TERMINAL ENDCAP HOYMILES 
 1 x AC TRUNK CONNECTOR UNLOCK TOOL - CHAVE DESBLOQUEIO CONECTOR CA 
 1 x HMS DISCONNECT TOOL-1PCS - CHAVE DESCONEXAO MICROINVERSOR 
 45 x CABO CA MULTIPOLAR 10AWG 
 1 x DTU-LITE-S(WIFI) - MONIT DTU-LITE S (ATÉ 25 MICROS)</t>
  </si>
  <si>
    <t>90 x MODULO FV 570WP N-TYPE BIFACIAL DUAL GLASS DAS-DH144NA 
 23 x HMS-2000-4T - MICRO HOYMILES 2000W DTU EXTERNA 
 4 x CABO FOTOVOLTAICO 4MM² PRETO 
 92 x CABO FOTOVOLTAICO 4MM² VERMELHO 
 184 x CONECTOR MC4 PAR EMBALADO 
 ESTRUTURA FIBROCIMENTO MADEIRA 
 23 x AC TRUNK CONNECTOR - CONECTOR CA HOYMILES 
 8 x AC TRUNK END CAP - TERMINAL ENDCAP HOYMILES 
 1 x AC TRUNK CONNECTOR UNLOCK TOOL - CHAVE DESBLOQUEIO CONECTOR CA 
 1 x HMS DISCONNECT TOOL-1PCS - CHAVE DESCONEXAO MICROINVERSOR 
 45 x CABO CA MULTIPOLAR 10AWG 
 1 x DTU-LITE-S(WIFI) - MONIT DTU-LITE S (ATÉ 25 MICROS)</t>
  </si>
  <si>
    <t>73 x MODULO FV 710WP BIFACIAL DUAL-GLASS TRINA TSM-NEG21C.20 
 19 x HMS-2000-4T - MICRO HOYMILES 2000W DTU EXTERNA 
 4 x CABO FOTOVOLTAICO 4MM² PRETO 
 76 x CABO FOTOVOLTAICO 4MM² VERMELHO 
 152 x CONECTOR MC4 PAR TRINA 
 ESTRUTURA FIBROCIMENTO MADEIRA 
 19 x AC TRUNK CONNECTOR - CONECTOR CA HOYMILES 
 7 x AC TRUNK END CAP - TERMINAL ENDCAP HOYMILES 
 1 x AC TRUNK CONNECTOR UNLOCK TOOL - CHAVE DESBLOQUEIO CONECTOR CA 
 1 x HMS DISCONNECT TOOL-1PCS - CHAVE DESCONEXAO MICROINVERSOR 
 36 x CABO CA MULTIPOLAR 10AWG 
 1 x DTU-LITE-S(WIFI) - MONIT DTU-LITE S (ATÉ 25 MICROS)</t>
  </si>
  <si>
    <t>91 x MODULO FV 570WP N-TYPE BIFACIAL DAH SOLAR DHN-72X16/DG 
 1 x INVERSOR SUNGROW SG40CX-P2 AFCI 380V COM MONITORAMENTO 
 200 x CABO FOTOVOLTAICO 4MM² PRETO 
 200 x CABO FOTOVOLTAICO 4MM² VERMELHO 
 16 x CONECTOR MC4 PAR EMBALADO 
 ESTRUTURA FIBROCIMENTO MADEIRA</t>
  </si>
  <si>
    <t>91 x MODULO FV 570WP N-TYPE BIFACIAL DUAL GLASS DAS-DH144NA 
 1 x INVERSOR SUNGROW SG40CX-P2 AFCI 380V COM MONITORAMENTO 
 200 x CABO FOTOVOLTAICO 4MM² PRETO 
 200 x CABO FOTOVOLTAICO 4MM² VERMELHO 
 16 x CONECTOR MC4 PAR EMBALADO 
 ESTRUTURA FIBROCIMENTO MADEIRA</t>
  </si>
  <si>
    <t>91 x MODULO FV 570WP N-TYPE BIFACIAL DAH SOLAR DHN-72X16/DG 
 1 x INVERSOR SOLIS 37,5KW 380V S5-GC37.5K COM MONITORAMENTO 
 200 x CABO FOTOVOLTAICO 4MM² PRETO 
 200 x CABO FOTOVOLTAICO 4MM² VERMELHO 
 16 x CONECTOR MC4 PAR EMBALADO 
 ESTRUTURA FIBROCIMENTO MADEIRA</t>
  </si>
  <si>
    <t>91 x MODULO FV 570WP N-TYPE BIFACIAL DUAL GLASS DAS-DH144NA 
 1 x INVERSOR SOLIS 37,5KW 380V S5-GC37.5K COM MONITORAMENTO 
 200 x CABO FOTOVOLTAICO 4MM² PRETO 
 200 x CABO FOTOVOLTAICO 4MM² VERMELHO 
 16 x CONECTOR MC4 PAR EMBALADO 
 ESTRUTURA FIBROCIMENTO MADEIRA</t>
  </si>
  <si>
    <t>91 x MODULO FV 570WP N-TYPE BIFACIAL DAH SOLAR DHN-72X16/DG 
 1 x INVERSOR SOLIS 50KW 220V 50K-LV-5G-PRO COM MONITORAMENTO 
 200 x CABO FOTOVOLTAICO 4MM² PRETO 
 200 x CABO FOTOVOLTAICO 4MM² VERMELHO 
 16 x CONECTOR MC4 PAR EMBALADO 
 ESTRUTURA FIBROCIMENTO MADEIRA</t>
  </si>
  <si>
    <t>91 x MODULO FV 570WP N-TYPE BIFACIAL DUAL GLASS DAS-DH144NA 
 1 x INVERSOR SOLIS 50KW 220V 50K-LV-5G-PRO COM MONITORAMENTO 
 200 x CABO FOTOVOLTAICO 4MM² PRETO 
 200 x CABO FOTOVOLTAICO 4MM² VERMELHO 
 16 x CONECTOR MC4 PAR EMBALADO 
 ESTRUTURA FIBROCIMENTO MADEIRA</t>
  </si>
  <si>
    <t>91 x MODULO FV 570WP N-TYPE BIFACIAL DAH SOLAR DHN-72X16/DG 
 23 x HMS-2000-4T - MICRO HOYMILES 2000W DTU EXTERNA 
 4 x CABO FOTOVOLTAICO 4MM² PRETO 
 92 x CABO FOTOVOLTAICO 4MM² VERMELHO 
 184 x CONECTOR MC4 PAR EMBALADO 
 ESTRUTURA FIBROCIMENTO MADEIRA 
 23 x AC TRUNK CONNECTOR - CONECTOR CA HOYMILES 
 8 x AC TRUNK END CAP - TERMINAL ENDCAP HOYMILES 
 1 x AC TRUNK CONNECTOR UNLOCK TOOL - CHAVE DESBLOQUEIO CONECTOR CA 
 1 x HMS DISCONNECT TOOL-1PCS - CHAVE DESCONEXAO MICROINVERSOR 
 45 x CABO CA MULTIPOLAR 10AWG 
 1 x DTU-LITE-S(WIFI) - MONIT DTU-LITE S (ATÉ 25 MICROS)</t>
  </si>
  <si>
    <t>91 x MODULO FV 570WP N-TYPE BIFACIAL DUAL GLASS DAS-DH144NA 
 23 x HMS-2000-4T - MICRO HOYMILES 2000W DTU EXTERNA 
 4 x CABO FOTOVOLTAICO 4MM² PRETO 
 92 x CABO FOTOVOLTAICO 4MM² VERMELHO 
 184 x CONECTOR MC4 PAR EMBALADO 
 ESTRUTURA FIBROCIMENTO MADEIRA 
 23 x AC TRUNK CONNECTOR - CONECTOR CA HOYMILES 
 8 x AC TRUNK END CAP - TERMINAL ENDCAP HOYMILES 
 1 x AC TRUNK CONNECTOR UNLOCK TOOL - CHAVE DESBLOQUEIO CONECTOR CA 
 1 x HMS DISCONNECT TOOL-1PCS - CHAVE DESCONEXAO MICROINVERSOR 
 45 x CABO CA MULTIPOLAR 10AWG 
 1 x DTU-LITE-S(WIFI) - MONIT DTU-LITE S (ATÉ 25 MICROS)</t>
  </si>
  <si>
    <t>92 x MODULO FV 570WP N-TYPE BIFACIAL DAH SOLAR DHN-72X16/DG 
 1 x INVERSOR SOLIS 40KW 380V S5-GC40K COM MONITORAMENTO 
 200 x CABO FOTOVOLTAICO 4MM² PRETO 
 200 x CABO FOTOVOLTAICO 4MM² VERMELHO 
 16 x CONECTOR MC4 PAR EMBALADO 
 ESTRUTURA FIBROCIMENTO MADEIRA</t>
  </si>
  <si>
    <t>92 x MODULO FV 570WP N-TYPE BIFACIAL DUAL GLASS DAS-DH144NA 
 1 x INVERSOR SOLIS 40KW 380V S5-GC40K COM MONITORAMENTO 
 200 x CABO FOTOVOLTAICO 4MM² PRETO 
 200 x CABO FOTOVOLTAICO 4MM² VERMELHO 
 16 x CONECTOR MC4 PAR EMBALADO 
 ESTRUTURA FIBROCIMENTO MADEIRA</t>
  </si>
  <si>
    <t>92 x MODULO FV 570WP N-TYPE BIFACIAL DAH SOLAR DHN-72X16/DG 
 1 x INVERSOR SUNGROW SG40CX-P2 AFCI 380V COM MONITORAMENTO 
 200 x CABO FOTOVOLTAICO 4MM² PRETO 
 200 x CABO FOTOVOLTAICO 4MM² VERMELHO 
 16 x CONECTOR MC4 PAR EMBALADO 
 ESTRUTURA FIBROCIMENTO MADEIRA</t>
  </si>
  <si>
    <t>92 x MODULO FV 570WP N-TYPE BIFACIAL DUAL GLASS DAS-DH144NA 
 1 x INVERSOR SUNGROW SG40CX-P2 AFCI 380V COM MONITORAMENTO 
 200 x CABO FOTOVOLTAICO 4MM² PRETO 
 200 x CABO FOTOVOLTAICO 4MM² VERMELHO 
 16 x CONECTOR MC4 PAR EMBALADO 
 ESTRUTURA FIBROCIMENTO MADEIRA</t>
  </si>
  <si>
    <t>92 x MODULO FV 570WP N-TYPE BIFACIAL DAH SOLAR DHN-72X16/DG 
 1 x INVERSOR SOLIS 50KW 220V 50K-LV-5G-PRO COM MONITORAMENTO 
 200 x CABO FOTOVOLTAICO 4MM² PRETO 
 200 x CABO FOTOVOLTAICO 4MM² VERMELHO 
 16 x CONECTOR MC4 PAR EMBALADO 
 ESTRUTURA FIBROCIMENTO MADEIRA</t>
  </si>
  <si>
    <t>92 x MODULO FV 570WP N-TYPE BIFACIAL DUAL GLASS DAS-DH144NA 
 1 x INVERSOR SOLIS 50KW 220V 50K-LV-5G-PRO COM MONITORAMENTO 
 200 x CABO FOTOVOLTAICO 4MM² PRETO 
 200 x CABO FOTOVOLTAICO 4MM² VERMELHO 
 16 x CONECTOR MC4 PAR EMBALADO 
 ESTRUTURA FIBROCIMENTO MADEIRA</t>
  </si>
  <si>
    <t>92 x MODULO FV 570WP N-TYPE BIFACIAL DAH SOLAR DHN-72X16/DG 
 23 x HMS-2000-4T - MICRO HOYMILES 2000W DTU EXTERNA 
 4 x CABO FOTOVOLTAICO 4MM² PRETO 
 92 x CABO FOTOVOLTAICO 4MM² VERMELHO 
 184 x CONECTOR MC4 PAR EMBALADO 
 ESTRUTURA FIBROCIMENTO MADEIRA 
 23 x AC TRUNK CONNECTOR - CONECTOR CA HOYMILES 
 8 x AC TRUNK END CAP - TERMINAL ENDCAP HOYMILES 
 1 x AC TRUNK CONNECTOR UNLOCK TOOL - CHAVE DESBLOQUEIO CONECTOR CA 
 1 x HMS DISCONNECT TOOL-1PCS - CHAVE DESCONEXAO MICROINVERSOR 
 45 x CABO CA MULTIPOLAR 10AWG 
 1 x DTU-LITE-S(WIFI) - MONIT DTU-LITE S (ATÉ 25 MICROS)</t>
  </si>
  <si>
    <t>92 x MODULO FV 570WP N-TYPE BIFACIAL DUAL GLASS DAS-DH144NA 
 23 x HMS-2000-4T - MICRO HOYMILES 2000W DTU EXTERNA 
 4 x CABO FOTOVOLTAICO 4MM² PRETO 
 92 x CABO FOTOVOLTAICO 4MM² VERMELHO 
 184 x CONECTOR MC4 PAR EMBALADO 
 ESTRUTURA FIBROCIMENTO MADEIRA 
 23 x AC TRUNK CONNECTOR - CONECTOR CA HOYMILES 
 8 x AC TRUNK END CAP - TERMINAL ENDCAP HOYMILES 
 1 x AC TRUNK CONNECTOR UNLOCK TOOL - CHAVE DESBLOQUEIO CONECTOR CA 
 1 x HMS DISCONNECT TOOL-1PCS - CHAVE DESCONEXAO MICROINVERSOR 
 45 x CABO CA MULTIPOLAR 10AWG 
 1 x DTU-LITE-S(WIFI) - MONIT DTU-LITE S (ATÉ 25 MICROS)</t>
  </si>
  <si>
    <t>74 x MODULO FV 710WP BIFACIAL DUAL-GLASS TRINA TSM-NEG21C.20 
 19 x HMS-2000-4T - MICRO HOYMILES 2000W DTU EXTERNA 
 4 x CABO FOTOVOLTAICO 4MM² PRETO 
 76 x CABO FOTOVOLTAICO 4MM² VERMELHO 
 152 x CONECTOR MC4 PAR TRINA 
 ESTRUTURA FIBROCIMENTO MADEIRA 
 19 x AC TRUNK CONNECTOR - CONECTOR CA HOYMILES 
 7 x AC TRUNK END CAP - TERMINAL ENDCAP HOYMILES 
 1 x AC TRUNK CONNECTOR UNLOCK TOOL - CHAVE DESBLOQUEIO CONECTOR CA 
 1 x HMS DISCONNECT TOOL-1PCS - CHAVE DESCONEXAO MICROINVERSOR 
 36 x CABO CA MULTIPOLAR 10AWG 
 1 x DTU-LITE-S(WIFI) - MONIT DTU-LITE S (ATÉ 25 MICROS)</t>
  </si>
  <si>
    <t>93 x MODULO FV 570WP N-TYPE BIFACIAL DAH SOLAR DHN-72X16/DG 
 1 x INVERSOR SOLIS 40KW 380V S5-GC40K COM MONITORAMENTO 
 200 x CABO FOTOVOLTAICO 4MM² PRETO 
 200 x CABO FOTOVOLTAICO 4MM² VERMELHO 
 16 x CONECTOR MC4 PAR EMBALADO 
 ESTRUTURA FIBROCIMENTO MADEIRA</t>
  </si>
  <si>
    <t>93 x MODULO FV 570WP N-TYPE BIFACIAL DUAL GLASS DAS-DH144NA 
 1 x INVERSOR SOLIS 40KW 380V S5-GC40K COM MONITORAMENTO 
 200 x CABO FOTOVOLTAICO 4MM² PRETO 
 200 x CABO FOTOVOLTAICO 4MM² VERMELHO 
 16 x CONECTOR MC4 PAR EMBALADO 
 ESTRUTURA FIBROCIMENTO MADEIRA</t>
  </si>
  <si>
    <t>93 x MODULO FV 570WP N-TYPE BIFACIAL DAH SOLAR DHN-72X16/DG 
 1 x INVERSOR SUNGROW SG40CX-P2 AFCI 380V COM MONITORAMENTO 
 200 x CABO FOTOVOLTAICO 4MM² PRETO 
 200 x CABO FOTOVOLTAICO 4MM² VERMELHO 
 16 x CONECTOR MC4 PAR EMBALADO 
 ESTRUTURA FIBROCIMENTO MADEIRA</t>
  </si>
  <si>
    <t>93 x MODULO FV 570WP N-TYPE BIFACIAL DUAL GLASS DAS-DH144NA 
 1 x INVERSOR SUNGROW SG40CX-P2 AFCI 380V COM MONITORAMENTO 
 200 x CABO FOTOVOLTAICO 4MM² PRETO 
 200 x CABO FOTOVOLTAICO 4MM² VERMELHO 
 16 x CONECTOR MC4 PAR EMBALADO 
 ESTRUTURA FIBROCIMENTO MADEIRA</t>
  </si>
  <si>
    <t>93 x MODULO FV 570WP N-TYPE BIFACIAL DAH SOLAR DHN-72X16/DG 
 1 x INVERSOR SOLIS 50KW 220V 50K-LV-5G-PRO COM MONITORAMENTO 
 200 x CABO FOTOVOLTAICO 4MM² PRETO 
 200 x CABO FOTOVOLTAICO 4MM² VERMELHO 
 16 x CONECTOR MC4 PAR EMBALADO 
 ESTRUTURA FIBROCIMENTO MADEIRA</t>
  </si>
  <si>
    <t>93 x MODULO FV 570WP N-TYPE BIFACIAL DUAL GLASS DAS-DH144NA 
 1 x INVERSOR SOLIS 50KW 220V 50K-LV-5G-PRO COM MONITORAMENTO 
 200 x CABO FOTOVOLTAICO 4MM² PRETO 
 200 x CABO FOTOVOLTAICO 4MM² VERMELHO 
 16 x CONECTOR MC4 PAR EMBALADO 
 ESTRUTURA FIBROCIMENTO MADEIRA</t>
  </si>
  <si>
    <t>48</t>
  </si>
  <si>
    <t>93 x MODULO FV 570WP N-TYPE BIFACIAL DAH SOLAR DHN-72X16/DG 
 24 x HMS-2000-4T - MICRO HOYMILES 2000W DTU EXTERNA 
 4 x CABO FOTOVOLTAICO 4MM² PRETO 
 96 x CABO FOTOVOLTAICO 4MM² VERMELHO 
 192 x CONECTOR MC4 PAR EMBALADO 
 ESTRUTURA FIBROCIMENTO MADEIRA 
 24 x AC TRUNK CONNECTOR - CONECTOR CA HOYMILES 
 8 x AC TRUNK END CAP - TERMINAL ENDCAP HOYMILES 
 1 x AC TRUNK CONNECTOR UNLOCK TOOL - CHAVE DESBLOQUEIO CONECTOR CA 
 1 x HMS DISCONNECT TOOL-1PCS - CHAVE DESCONEXAO MICROINVERSOR 
 48 x CABO CA MULTIPOLAR 10AWG 
 1 x DTU-LITE-S(WIFI) - MONIT DTU-LITE S (ATÉ 25 MICROS)</t>
  </si>
  <si>
    <t>93 x MODULO FV 570WP N-TYPE BIFACIAL DUAL GLASS DAS-DH144NA 
 24 x HMS-2000-4T - MICRO HOYMILES 2000W DTU EXTERNA 
 4 x CABO FOTOVOLTAICO 4MM² PRETO 
 96 x CABO FOTOVOLTAICO 4MM² VERMELHO 
 192 x CONECTOR MC4 PAR EMBALADO 
 ESTRUTURA FIBROCIMENTO MADEIRA 
 24 x AC TRUNK CONNECTOR - CONECTOR CA HOYMILES 
 8 x AC TRUNK END CAP - TERMINAL ENDCAP HOYMILES 
 1 x AC TRUNK CONNECTOR UNLOCK TOOL - CHAVE DESBLOQUEIO CONECTOR CA 
 1 x HMS DISCONNECT TOOL-1PCS - CHAVE DESCONEXAO MICROINVERSOR 
 48 x CABO CA MULTIPOLAR 10AWG 
 1 x DTU-LITE-S(WIFI) - MONIT DTU-LITE S (ATÉ 25 MICROS)</t>
  </si>
  <si>
    <t>75 x MODULO FV 710WP BIFACIAL DUAL-GLASS TRINA TSM-NEG21C.20 
 19 x HMS-2000-4T - MICRO HOYMILES 2000W DTU EXTERNA 
 4 x CABO FOTOVOLTAICO 4MM² PRETO 
 76 x CABO FOTOVOLTAICO 4MM² VERMELHO 
 152 x CONECTOR MC4 PAR TRINA 
 ESTRUTURA FIBROCIMENTO MADEIRA 
 19 x AC TRUNK CONNECTOR - CONECTOR CA HOYMILES 
 7 x AC TRUNK END CAP - TERMINAL ENDCAP HOYMILES 
 1 x AC TRUNK CONNECTOR UNLOCK TOOL - CHAVE DESBLOQUEIO CONECTOR CA 
 1 x HMS DISCONNECT TOOL-1PCS - CHAVE DESCONEXAO MICROINVERSOR 
 36 x CABO CA MULTIPOLAR 10AWG 
 1 x DTU-LITE-S(WIFI) - MONIT DTU-LITE S (ATÉ 25 MICROS)</t>
  </si>
  <si>
    <t>94 x MODULO FV 570WP N-TYPE BIFACIAL DAH SOLAR DHN-72X16/DG 
 1 x INVERSOR SOLIS 40KW 380V S5-GC40K COM MONITORAMENTO 
 200 x CABO FOTOVOLTAICO 4MM² PRETO 
 200 x CABO FOTOVOLTAICO 4MM² VERMELHO 
 16 x CONECTOR MC4 PAR EMBALADO 
 ESTRUTURA FIBROCIMENTO MADEIRA</t>
  </si>
  <si>
    <t>94 x MODULO FV 570WP N-TYPE BIFACIAL DUAL GLASS DAS-DH144NA 
 1 x INVERSOR SOLIS 40KW 380V S5-GC40K COM MONITORAMENTO 
 200 x CABO FOTOVOLTAICO 4MM² PRETO 
 200 x CABO FOTOVOLTAICO 4MM² VERMELHO 
 16 x CONECTOR MC4 PAR EMBALADO 
 ESTRUTURA FIBROCIMENTO MADEIRA</t>
  </si>
  <si>
    <t>94 x MODULO FV 570WP N-TYPE BIFACIAL DAH SOLAR DHN-72X16/DG 
 1 x INVERSOR SUNGROW SG40CX-P2 AFCI 380V COM MONITORAMENTO 
 200 x CABO FOTOVOLTAICO 4MM² PRETO 
 200 x CABO FOTOVOLTAICO 4MM² VERMELHO 
 16 x CONECTOR MC4 PAR EMBALADO 
 ESTRUTURA FIBROCIMENTO MADEIRA</t>
  </si>
  <si>
    <t>94 x MODULO FV 570WP N-TYPE BIFACIAL DUAL GLASS DAS-DH144NA 
 1 x INVERSOR SUNGROW SG40CX-P2 AFCI 380V COM MONITORAMENTO 
 200 x CABO FOTOVOLTAICO 4MM² PRETO 
 200 x CABO FOTOVOLTAICO 4MM² VERMELHO 
 16 x CONECTOR MC4 PAR EMBALADO 
 ESTRUTURA FIBROCIMENTO MADEIRA</t>
  </si>
  <si>
    <t>94 x MODULO FV 570WP N-TYPE BIFACIAL DAH SOLAR DHN-72X16/DG 
 1 x INVERSOR SOLIS 50KW 220V 50K-LV-5G-PRO COM MONITORAMENTO 
 200 x CABO FOTOVOLTAICO 4MM² PRETO 
 200 x CABO FOTOVOLTAICO 4MM² VERMELHO 
 16 x CONECTOR MC4 PAR EMBALADO 
 ESTRUTURA FIBROCIMENTO MADEIRA</t>
  </si>
  <si>
    <t>94 x MODULO FV 570WP N-TYPE BIFACIAL DUAL GLASS DAS-DH144NA 
 1 x INVERSOR SOLIS 50KW 220V 50K-LV-5G-PRO COM MONITORAMENTO 
 200 x CABO FOTOVOLTAICO 4MM² PRETO 
 200 x CABO FOTOVOLTAICO 4MM² VERMELHO 
 16 x CONECTOR MC4 PAR EMBALADO 
 ESTRUTURA FIBROCIMENTO MADEIRA</t>
  </si>
  <si>
    <t>94 x MODULO FV 570WP N-TYPE BIFACIAL DAH SOLAR DHN-72X16/DG 
 24 x HMS-2000-4T - MICRO HOYMILES 2000W DTU EXTERNA 
 4 x CABO FOTOVOLTAICO 4MM² PRETO 
 96 x CABO FOTOVOLTAICO 4MM² VERMELHO 
 192 x CONECTOR MC4 PAR EMBALADO 
 ESTRUTURA FIBROCIMENTO MADEIRA 
 24 x AC TRUNK CONNECTOR - CONECTOR CA HOYMILES 
 8 x AC TRUNK END CAP - TERMINAL ENDCAP HOYMILES 
 1 x AC TRUNK CONNECTOR UNLOCK TOOL - CHAVE DESBLOQUEIO CONECTOR CA 
 1 x HMS DISCONNECT TOOL-1PCS - CHAVE DESCONEXAO MICROINVERSOR 
 48 x CABO CA MULTIPOLAR 10AWG 
 1 x DTU-LITE-S(WIFI) - MONIT DTU-LITE S (ATÉ 25 MICROS)</t>
  </si>
  <si>
    <t>94 x MODULO FV 570WP N-TYPE BIFACIAL DUAL GLASS DAS-DH144NA 
 24 x HMS-2000-4T - MICRO HOYMILES 2000W DTU EXTERNA 
 4 x CABO FOTOVOLTAICO 4MM² PRETO 
 96 x CABO FOTOVOLTAICO 4MM² VERMELHO 
 192 x CONECTOR MC4 PAR EMBALADO 
 ESTRUTURA FIBROCIMENTO MADEIRA 
 24 x AC TRUNK CONNECTOR - CONECTOR CA HOYMILES 
 8 x AC TRUNK END CAP - TERMINAL ENDCAP HOYMILES 
 1 x AC TRUNK CONNECTOR UNLOCK TOOL - CHAVE DESBLOQUEIO CONECTOR CA 
 1 x HMS DISCONNECT TOOL-1PCS - CHAVE DESCONEXAO MICROINVERSOR 
 48 x CABO CA MULTIPOLAR 10AWG 
 1 x DTU-LITE-S(WIFI) - MONIT DTU-LITE S (ATÉ 25 MICROS)</t>
  </si>
  <si>
    <t>76 x MODULO FV 710WP BIFACIAL DUAL-GLASS TRINA TSM-NEG21C.20 
 19 x HMS-2000-4T - MICRO HOYMILES 2000W DTU EXTERNA 
 4 x CABO FOTOVOLTAICO 4MM² PRETO 
 76 x CABO FOTOVOLTAICO 4MM² VERMELHO 
 152 x CONECTOR MC4 PAR TRINA 
 ESTRUTURA FIBROCIMENTO MADEIRA 
 19 x AC TRUNK CONNECTOR - CONECTOR CA HOYMILES 
 7 x AC TRUNK END CAP - TERMINAL ENDCAP HOYMILES 
 1 x AC TRUNK CONNECTOR UNLOCK TOOL - CHAVE DESBLOQUEIO CONECTOR CA 
 1 x HMS DISCONNECT TOOL-1PCS - CHAVE DESCONEXAO MICROINVERSOR 
 36 x CABO CA MULTIPOLAR 10AWG 
 1 x DTU-LITE-S(WIFI) - MONIT DTU-LITE S (ATÉ 25 MICROS)</t>
  </si>
  <si>
    <t>95 x MODULO FV 570WP N-TYPE BIFACIAL DAH SOLAR DHN-72X16/DG 
 1 x INVERSOR SOLIS 40KW 380V S5-GC40K COM MONITORAMENTO 
 200 x CABO FOTOVOLTAICO 4MM² PRETO 
 200 x CABO FOTOVOLTAICO 4MM² VERMELHO 
 16 x CONECTOR MC4 PAR EMBALADO 
 ESTRUTURA FIBROCIMENTO MADEIRA</t>
  </si>
  <si>
    <t>95 x MODULO FV 570WP N-TYPE BIFACIAL DUAL GLASS DAS-DH144NA 
 1 x INVERSOR SOLIS 40KW 380V S5-GC40K COM MONITORAMENTO 
 200 x CABO FOTOVOLTAICO 4MM² PRETO 
 200 x CABO FOTOVOLTAICO 4MM² VERMELHO 
 16 x CONECTOR MC4 PAR EMBALADO 
 ESTRUTURA FIBROCIMENTO MADEIRA</t>
  </si>
  <si>
    <t>95 x MODULO FV 570WP N-TYPE BIFACIAL DAH SOLAR DHN-72X16/DG 
 1 x INVERSOR SUNGROW SG40CX-P2 AFCI 380V COM MONITORAMENTO 
 200 x CABO FOTOVOLTAICO 4MM² PRETO 
 200 x CABO FOTOVOLTAICO 4MM² VERMELHO 
 16 x CONECTOR MC4 PAR EMBALADO 
 ESTRUTURA FIBROCIMENTO MADEIRA</t>
  </si>
  <si>
    <t>95 x MODULO FV 570WP N-TYPE BIFACIAL DUAL GLASS DAS-DH144NA 
 1 x INVERSOR SUNGROW SG40CX-P2 AFCI 380V COM MONITORAMENTO 
 200 x CABO FOTOVOLTAICO 4MM² PRETO 
 200 x CABO FOTOVOLTAICO 4MM² VERMELHO 
 16 x CONECTOR MC4 PAR EMBALADO 
 ESTRUTURA FIBROCIMENTO MADEIRA</t>
  </si>
  <si>
    <t>95 x MODULO FV 570WP N-TYPE BIFACIAL DAH SOLAR DHN-72X16/DG 
 1 x INVERSOR SOLIS 50KW 220V 50K-LV-5G-PRO COM MONITORAMENTO 
 200 x CABO FOTOVOLTAICO 4MM² PRETO 
 200 x CABO FOTOVOLTAICO 4MM² VERMELHO 
 16 x CONECTOR MC4 PAR EMBALADO 
 ESTRUTURA FIBROCIMENTO MADEIRA</t>
  </si>
  <si>
    <t>95 x MODULO FV 570WP N-TYPE BIFACIAL DUAL GLASS DAS-DH144NA 
 1 x INVERSOR SOLIS 50KW 220V 50K-LV-5G-PRO COM MONITORAMENTO 
 200 x CABO FOTOVOLTAICO 4MM² PRETO 
 200 x CABO FOTOVOLTAICO 4MM² VERMELHO 
 16 x CONECTOR MC4 PAR EMBALADO 
 ESTRUTURA FIBROCIMENTO MADEIRA</t>
  </si>
  <si>
    <t>95 x MODULO FV 570WP N-TYPE BIFACIAL DAH SOLAR DHN-72X16/DG 
 24 x HMS-2000-4T - MICRO HOYMILES 2000W DTU EXTERNA 
 4 x CABO FOTOVOLTAICO 4MM² PRETO 
 96 x CABO FOTOVOLTAICO 4MM² VERMELHO 
 192 x CONECTOR MC4 PAR EMBALADO 
 ESTRUTURA FIBROCIMENTO MADEIRA 
 24 x AC TRUNK CONNECTOR - CONECTOR CA HOYMILES 
 8 x AC TRUNK END CAP - TERMINAL ENDCAP HOYMILES 
 1 x AC TRUNK CONNECTOR UNLOCK TOOL - CHAVE DESBLOQUEIO CONECTOR CA 
 1 x HMS DISCONNECT TOOL-1PCS - CHAVE DESCONEXAO MICROINVERSOR 
 48 x CABO CA MULTIPOLAR 10AWG 
 1 x DTU-LITE-S(WIFI) - MONIT DTU-LITE S (ATÉ 25 MICROS)</t>
  </si>
  <si>
    <t>95 x MODULO FV 570WP N-TYPE BIFACIAL DUAL GLASS DAS-DH144NA 
 24 x HMS-2000-4T - MICRO HOYMILES 2000W DTU EXTERNA 
 4 x CABO FOTOVOLTAICO 4MM² PRETO 
 96 x CABO FOTOVOLTAICO 4MM² VERMELHO 
 192 x CONECTOR MC4 PAR EMBALADO 
 ESTRUTURA FIBROCIMENTO MADEIRA 
 24 x AC TRUNK CONNECTOR - CONECTOR CA HOYMILES 
 8 x AC TRUNK END CAP - TERMINAL ENDCAP HOYMILES 
 1 x AC TRUNK CONNECTOR UNLOCK TOOL - CHAVE DESBLOQUEIO CONECTOR CA 
 1 x HMS DISCONNECT TOOL-1PCS - CHAVE DESCONEXAO MICROINVERSOR 
 48 x CABO CA MULTIPOLAR 10AWG 
 1 x DTU-LITE-S(WIFI) - MONIT DTU-LITE S (ATÉ 25 MICROS)</t>
  </si>
  <si>
    <t>77 x MODULO FV 710WP BIFACIAL DUAL-GLASS TRINA TSM-NEG21C.20 
 20 x HMS-2000-4T - MICRO HOYMILES 2000W DTU EXTERNA 
 4 x CABO FOTOVOLTAICO 4MM² PRETO 
 80 x CABO FOTOVOLTAICO 4MM² VERMELHO 
 160 x CONECTOR MC4 PAR TRINA 
 ESTRUTURA FIBROCIMENTO MADEIRA 
 20 x AC TRUNK CONNECTOR - CONECTOR CA HOYMILES 
 7 x AC TRUNK END CAP - TERMINAL ENDCAP HOYMILES 
 1 x AC TRUNK CONNECTOR UNLOCK TOOL - CHAVE DESBLOQUEIO CONECTOR CA 
 1 x HMS DISCONNECT TOOL-1PCS - CHAVE DESCONEXAO MICROINVERSOR 
 39 x CABO CA MULTIPOLAR 10AWG 
 1 x DTU-LITE-S(WIFI) - MONIT DTU-LITE S (ATÉ 25 MICROS)</t>
  </si>
  <si>
    <t>96 x MODULO FV 570WP N-TYPE BIFACIAL DAH SOLAR DHN-72X16/DG 
 1 x INVERSOR SOLIS 40KW 380V S5-GC40K COM MONITORAMENTO 
 200 x CABO FOTOVOLTAICO 4MM² PRETO 
 200 x CABO FOTOVOLTAICO 4MM² VERMELHO 
 16 x CONECTOR MC4 PAR EMBALADO 
 ESTRUTURA FIBROCIMENTO MADEIRA</t>
  </si>
  <si>
    <t>96 x MODULO FV 570WP N-TYPE BIFACIAL DUAL GLASS DAS-DH144NA 
 1 x INVERSOR SOLIS 40KW 380V S5-GC40K COM MONITORAMENTO 
 200 x CABO FOTOVOLTAICO 4MM² PRETO 
 200 x CABO FOTOVOLTAICO 4MM² VERMELHO 
 16 x CONECTOR MC4 PAR EMBALADO 
 ESTRUTURA FIBROCIMENTO MADEIRA</t>
  </si>
  <si>
    <t>96 x MODULO FV 570WP N-TYPE BIFACIAL DAH SOLAR DHN-72X16/DG 
 1 x INVERSOR SUNGROW SG40CX-P2 AFCI 380V COM MONITORAMENTO 
 200 x CABO FOTOVOLTAICO 4MM² PRETO 
 200 x CABO FOTOVOLTAICO 4MM² VERMELHO 
 16 x CONECTOR MC4 PAR EMBALADO 
 ESTRUTURA FIBROCIMENTO MADEIRA</t>
  </si>
  <si>
    <t>96 x MODULO FV 570WP N-TYPE BIFACIAL DUAL GLASS DAS-DH144NA 
 1 x INVERSOR SUNGROW SG40CX-P2 AFCI 380V COM MONITORAMENTO 
 200 x CABO FOTOVOLTAICO 4MM² PRETO 
 200 x CABO FOTOVOLTAICO 4MM² VERMELHO 
 16 x CONECTOR MC4 PAR EMBALADO 
 ESTRUTURA FIBROCIMENTO MADEIRA</t>
  </si>
  <si>
    <t>96 x MODULO FV 570WP N-TYPE BIFACIAL DAH SOLAR DHN-72X16/DG 
 1 x INVERSOR SOLIS 50KW 220V 50K-LV-5G-PRO COM MONITORAMENTO 
 200 x CABO FOTOVOLTAICO 4MM² PRETO 
 200 x CABO FOTOVOLTAICO 4MM² VERMELHO 
 16 x CONECTOR MC4 PAR EMBALADO 
 ESTRUTURA FIBROCIMENTO MADEIRA</t>
  </si>
  <si>
    <t>96 x MODULO FV 570WP N-TYPE BIFACIAL DUAL GLASS DAS-DH144NA 
 1 x INVERSOR SOLIS 50KW 220V 50K-LV-5G-PRO COM MONITORAMENTO 
 200 x CABO FOTOVOLTAICO 4MM² PRETO 
 200 x CABO FOTOVOLTAICO 4MM² VERMELHO 
 16 x CONECTOR MC4 PAR EMBALADO 
 ESTRUTURA FIBROCIMENTO MADEIRA</t>
  </si>
  <si>
    <t>96 x MODULO FV 570WP N-TYPE BIFACIAL DAH SOLAR DHN-72X16/DG 
 24 x HMS-2000-4T - MICRO HOYMILES 2000W DTU EXTERNA 
 4 x CABO FOTOVOLTAICO 4MM² PRETO 
 96 x CABO FOTOVOLTAICO 4MM² VERMELHO 
 192 x CONECTOR MC4 PAR EMBALADO 
 ESTRUTURA FIBROCIMENTO MADEIRA 
 24 x AC TRUNK CONNECTOR - CONECTOR CA HOYMILES 
 8 x AC TRUNK END CAP - TERMINAL ENDCAP HOYMILES 
 1 x AC TRUNK CONNECTOR UNLOCK TOOL - CHAVE DESBLOQUEIO CONECTOR CA 
 1 x HMS DISCONNECT TOOL-1PCS - CHAVE DESCONEXAO MICROINVERSOR 
 48 x CABO CA MULTIPOLAR 10AWG 
 1 x DTU-LITE-S(WIFI) - MONIT DTU-LITE S (ATÉ 25 MICROS)</t>
  </si>
  <si>
    <t>96 x MODULO FV 570WP N-TYPE BIFACIAL DUAL GLASS DAS-DH144NA 
 24 x HMS-2000-4T - MICRO HOYMILES 2000W DTU EXTERNA 
 4 x CABO FOTOVOLTAICO 4MM² PRETO 
 96 x CABO FOTOVOLTAICO 4MM² VERMELHO 
 192 x CONECTOR MC4 PAR EMBALADO 
 ESTRUTURA FIBROCIMENTO MADEIRA 
 24 x AC TRUNK CONNECTOR - CONECTOR CA HOYMILES 
 8 x AC TRUNK END CAP - TERMINAL ENDCAP HOYMILES 
 1 x AC TRUNK CONNECTOR UNLOCK TOOL - CHAVE DESBLOQUEIO CONECTOR CA 
 1 x HMS DISCONNECT TOOL-1PCS - CHAVE DESCONEXAO MICROINVERSOR 
 48 x CABO CA MULTIPOLAR 10AWG 
 1 x DTU-LITE-S(WIFI) - MONIT DTU-LITE S (ATÉ 25 MICROS)</t>
  </si>
  <si>
    <t>97 x MODULO FV 570WP N-TYPE BIFACIAL DAH SOLAR DHN-72X16/DG 
 1 x INVERSOR SOLIS 40KW 380V S5-GC40K COM MONITORAMENTO 
 200 x CABO FOTOVOLTAICO 4MM² PRETO 
 200 x CABO FOTOVOLTAICO 4MM² VERMELHO 
 16 x CONECTOR MC4 PAR EMBALADO 
 ESTRUTURA FIBROCIMENTO MADEIRA</t>
  </si>
  <si>
    <t>97 x MODULO FV 570WP N-TYPE BIFACIAL DUAL GLASS DAS-DH144NA 
 1 x INVERSOR SOLIS 40KW 380V S5-GC40K COM MONITORAMENTO 
 200 x CABO FOTOVOLTAICO 4MM² PRETO 
 200 x CABO FOTOVOLTAICO 4MM² VERMELHO 
 16 x CONECTOR MC4 PAR EMBALADO 
 ESTRUTURA FIBROCIMENTO MADEIRA</t>
  </si>
  <si>
    <t>97 x MODULO FV 570WP N-TYPE BIFACIAL DAH SOLAR DHN-72X16/DG 
 1 x INVERSOR SUNGROW SG40CX-P2 AFCI 380V COM MONITORAMENTO 
 200 x CABO FOTOVOLTAICO 4MM² PRETO 
 200 x CABO FOTOVOLTAICO 4MM² VERMELHO 
 16 x CONECTOR MC4 PAR EMBALADO 
 ESTRUTURA FIBROCIMENTO MADEIRA</t>
  </si>
  <si>
    <t>97 x MODULO FV 570WP N-TYPE BIFACIAL DUAL GLASS DAS-DH144NA 
 1 x INVERSOR SUNGROW SG40CX-P2 AFCI 380V COM MONITORAMENTO 
 200 x CABO FOTOVOLTAICO 4MM² PRETO 
 200 x CABO FOTOVOLTAICO 4MM² VERMELHO 
 16 x CONECTOR MC4 PAR EMBALADO 
 ESTRUTURA FIBROCIMENTO MADEIRA</t>
  </si>
  <si>
    <t>97 x MODULO FV 570WP N-TYPE BIFACIAL DAH SOLAR DHN-72X16/DG 
 1 x INVERSOR SOLIS 50KW 220V 50K-LV-5G-PRO COM MONITORAMENTO 
 200 x CABO FOTOVOLTAICO 4MM² PRETO 
 200 x CABO FOTOVOLTAICO 4MM² VERMELHO 
 16 x CONECTOR MC4 PAR EMBALADO 
 ESTRUTURA FIBROCIMENTO MADEIRA</t>
  </si>
  <si>
    <t>97 x MODULO FV 570WP N-TYPE BIFACIAL DUAL GLASS DAS-DH144NA 
 1 x INVERSOR SOLIS 50KW 220V 50K-LV-5G-PRO COM MONITORAMENTO 
 200 x CABO FOTOVOLTAICO 4MM² PRETO 
 200 x CABO FOTOVOLTAICO 4MM² VERMELHO 
 16 x CONECTOR MC4 PAR EMBALADO 
 ESTRUTURA FIBROCIMENTO MADEIRA</t>
  </si>
  <si>
    <t>97 x MODULO FV 570WP N-TYPE BIFACIAL DAH SOLAR DHN-72X16/DG 
 25 x HMS-2000-4T - MICRO HOYMILES 2000W DTU EXTERNA 
 4 x CABO FOTOVOLTAICO 4MM² PRETO 
 100 x CABO FOTOVOLTAICO 4MM² VERMELHO 
 200 x CONECTOR MC4 PAR EMBALADO 
 ESTRUTURA FIBROCIMENTO MADEIRA 
 25 x AC TRUNK CONNECTOR - CONECTOR CA HOYMILES 
 9 x AC TRUNK END CAP - TERMINAL ENDCAP HOYMILES 
 1 x AC TRUNK CONNECTOR UNLOCK TOOL - CHAVE DESBLOQUEIO CONECTOR CA 
 1 x HMS DISCONNECT TOOL-1PCS - CHAVE DESCONEXAO MICROINVERSOR 
 48 x CABO CA MULTIPOLAR 10AWG 
 1 x DTU-LITE-S(WIFI) - MONIT DTU-LITE S (ATÉ 25 MICROS)</t>
  </si>
  <si>
    <t>97 x MODULO FV 570WP N-TYPE BIFACIAL DUAL GLASS DAS-DH144NA 
 25 x HMS-2000-4T - MICRO HOYMILES 2000W DTU EXTERNA 
 4 x CABO FOTOVOLTAICO 4MM² PRETO 
 100 x CABO FOTOVOLTAICO 4MM² VERMELHO 
 200 x CONECTOR MC4 PAR EMBALADO 
 ESTRUTURA FIBROCIMENTO MADEIRA 
 25 x AC TRUNK CONNECTOR - CONECTOR CA HOYMILES 
 9 x AC TRUNK END CAP - TERMINAL ENDCAP HOYMILES 
 1 x AC TRUNK CONNECTOR UNLOCK TOOL - CHAVE DESBLOQUEIO CONECTOR CA 
 1 x HMS DISCONNECT TOOL-1PCS - CHAVE DESCONEXAO MICROINVERSOR 
 48 x CABO CA MULTIPOLAR 10AWG 
 1 x DTU-LITE-S(WIFI) - MONIT DTU-LITE S (ATÉ 25 MICROS)</t>
  </si>
  <si>
    <t>78 x MODULO FV 710WP BIFACIAL DUAL-GLASS TRINA TSM-NEG21C.20 
 20 x HMS-2000-4T - MICRO HOYMILES 2000W DTU EXTERNA 
 4 x CABO FOTOVOLTAICO 4MM² PRETO 
 80 x CABO FOTOVOLTAICO 4MM² VERMELHO 
 160 x CONECTOR MC4 PAR TRINA 
 ESTRUTURA FIBROCIMENTO MADEIRA 
 20 x AC TRUNK CONNECTOR - CONECTOR CA HOYMILES 
 7 x AC TRUNK END CAP - TERMINAL ENDCAP HOYMILES 
 1 x AC TRUNK CONNECTOR UNLOCK TOOL - CHAVE DESBLOQUEIO CONECTOR CA 
 1 x HMS DISCONNECT TOOL-1PCS - CHAVE DESCONEXAO MICROINVERSOR 
 39 x CABO CA MULTIPOLAR 10AWG 
 1 x DTU-LITE-S(WIFI) - MONIT DTU-LITE S (ATÉ 25 MICROS)</t>
  </si>
  <si>
    <t>98 x MODULO FV 570WP N-TYPE BIFACIAL DAH SOLAR DHN-72X16/DG 
 1 x INVERSOR SUNGROW SG40CX-P2 AFCI 380V COM MONITORAMENTO 
 200 x CABO FOTOVOLTAICO 4MM² PRETO 
 200 x CABO FOTOVOLTAICO 4MM² VERMELHO 
 16 x CONECTOR MC4 PAR EMBALADO 
 ESTRUTURA FIBROCIMENTO MADEIRA</t>
  </si>
  <si>
    <t>98 x MODULO FV 570WP N-TYPE BIFACIAL DUAL GLASS DAS-DH144NA 
 1 x INVERSOR SUNGROW SG40CX-P2 AFCI 380V COM MONITORAMENTO 
 200 x CABO FOTOVOLTAICO 4MM² PRETO 
 200 x CABO FOTOVOLTAICO 4MM² VERMELHO 
 16 x CONECTOR MC4 PAR EMBALADO 
 ESTRUTURA FIBROCIMENTO MADEIRA</t>
  </si>
  <si>
    <t>98 x MODULO FV 570WP N-TYPE BIFACIAL DAH SOLAR DHN-72X16/DG 
 1 x INVERSOR SOLIS 50KW 380V S5-GC50K COM MONITORAMENTO 
 200 x CABO FOTOVOLTAICO 4MM² PRETO 
 200 x CABO FOTOVOLTAICO 4MM² VERMELHO 
 20 x CONECTOR MC4 PAR EMBALADO 
 ESTRUTURA FIBROCIMENTO MADEIRA</t>
  </si>
  <si>
    <t>98 x MODULO FV 570WP N-TYPE BIFACIAL DUAL GLASS DAS-DH144NA 
 1 x INVERSOR SOLIS 50KW 380V S5-GC50K COM MONITORAMENTO 
 200 x CABO FOTOVOLTAICO 4MM² PRETO 
 200 x CABO FOTOVOLTAICO 4MM² VERMELHO 
 20 x CONECTOR MC4 PAR EMBALADO 
 ESTRUTURA FIBROCIMENTO MADEIRA</t>
  </si>
  <si>
    <t>98 x MODULO FV 570WP N-TYPE BIFACIAL DAH SOLAR DHN-72X16/DG 
 1 x INVERSOR SOLIS 50KW 220V 50K-LV-5G-PRO COM MONITORAMENTO 
 200 x CABO FOTOVOLTAICO 4MM² PRETO 
 200 x CABO FOTOVOLTAICO 4MM² VERMELHO 
 16 x CONECTOR MC4 PAR EMBALADO 
 ESTRUTURA FIBROCIMENTO MADEIRA</t>
  </si>
  <si>
    <t>98 x MODULO FV 570WP N-TYPE BIFACIAL DUAL GLASS DAS-DH144NA 
 1 x INVERSOR SOLIS 50KW 220V 50K-LV-5G-PRO COM MONITORAMENTO 
 200 x CABO FOTOVOLTAICO 4MM² PRETO 
 200 x CABO FOTOVOLTAICO 4MM² VERMELHO 
 16 x CONECTOR MC4 PAR EMBALADO 
 ESTRUTURA FIBROCIMENTO MADEIRA</t>
  </si>
  <si>
    <t>98 x MODULO FV 570WP N-TYPE BIFACIAL DAH SOLAR DHN-72X16/DG 
 25 x HMS-2000-4T - MICRO HOYMILES 2000W DTU EXTERNA 
 4 x CABO FOTOVOLTAICO 4MM² PRETO 
 100 x CABO FOTOVOLTAICO 4MM² VERMELHO 
 200 x CONECTOR MC4 PAR EMBALADO 
 ESTRUTURA FIBROCIMENTO MADEIRA 
 25 x AC TRUNK CONNECTOR - CONECTOR CA HOYMILES 
 9 x AC TRUNK END CAP - TERMINAL ENDCAP HOYMILES 
 1 x AC TRUNK CONNECTOR UNLOCK TOOL - CHAVE DESBLOQUEIO CONECTOR CA 
 1 x HMS DISCONNECT TOOL-1PCS - CHAVE DESCONEXAO MICROINVERSOR 
 48 x CABO CA MULTIPOLAR 10AWG 
 1 x DTU-LITE-S(WIFI) - MONIT DTU-LITE S (ATÉ 25 MICROS)</t>
  </si>
  <si>
    <t>98 x MODULO FV 570WP N-TYPE BIFACIAL DUAL GLASS DAS-DH144NA 
 25 x HMS-2000-4T - MICRO HOYMILES 2000W DTU EXTERNA 
 4 x CABO FOTOVOLTAICO 4MM² PRETO 
 100 x CABO FOTOVOLTAICO 4MM² VERMELHO 
 200 x CONECTOR MC4 PAR EMBALADO 
 ESTRUTURA FIBROCIMENTO MADEIRA 
 25 x AC TRUNK CONNECTOR - CONECTOR CA HOYMILES 
 9 x AC TRUNK END CAP - TERMINAL ENDCAP HOYMILES 
 1 x AC TRUNK CONNECTOR UNLOCK TOOL - CHAVE DESBLOQUEIO CONECTOR CA 
 1 x HMS DISCONNECT TOOL-1PCS - CHAVE DESCONEXAO MICROINVERSOR 
 48 x CABO CA MULTIPOLAR 10AWG 
 1 x DTU-LITE-S(WIFI) - MONIT DTU-LITE S (ATÉ 25 MICROS)</t>
  </si>
  <si>
    <t>79 x MODULO FV 710WP BIFACIAL DUAL-GLASS TRINA TSM-NEG21C.20 
 20 x HMS-2000-4T - MICRO HOYMILES 2000W DTU EXTERNA 
 4 x CABO FOTOVOLTAICO 4MM² PRETO 
 80 x CABO FOTOVOLTAICO 4MM² VERMELHO 
 160 x CONECTOR MC4 PAR TRINA 
 ESTRUTURA FIBROCIMENTO MADEIRA 
 20 x AC TRUNK CONNECTOR - CONECTOR CA HOYMILES 
 7 x AC TRUNK END CAP - TERMINAL ENDCAP HOYMILES 
 1 x AC TRUNK CONNECTOR UNLOCK TOOL - CHAVE DESBLOQUEIO CONECTOR CA 
 1 x HMS DISCONNECT TOOL-1PCS - CHAVE DESCONEXAO MICROINVERSOR 
 39 x CABO CA MULTIPOLAR 10AWG 
 1 x DTU-LITE-S(WIFI) - MONIT DTU-LITE S (ATÉ 25 MICROS)</t>
  </si>
  <si>
    <t>99 x MODULO FV 570WP N-TYPE BIFACIAL DAH SOLAR DHN-72X16/DG 
 1 x INVERSOR SUNGROW SG40CX-P2 AFCI 380V COM MONITORAMENTO 
 200 x CABO FOTOVOLTAICO 4MM² PRETO 
 200 x CABO FOTOVOLTAICO 4MM² VERMELHO 
 16 x CONECTOR MC4 PAR EMBALADO 
 ESTRUTURA FIBROCIMENTO MADEIRA</t>
  </si>
  <si>
    <t>99 x MODULO FV 570WP N-TYPE BIFACIAL DUAL GLASS DAS-DH144NA 
 1 x INVERSOR SUNGROW SG40CX-P2 AFCI 380V COM MONITORAMENTO 
 200 x CABO FOTOVOLTAICO 4MM² PRETO 
 200 x CABO FOTOVOLTAICO 4MM² VERMELHO 
 16 x CONECTOR MC4 PAR EMBALADO 
 ESTRUTURA FIBROCIMENTO MADEIRA</t>
  </si>
  <si>
    <t>99 x MODULO FV 570WP N-TYPE BIFACIAL DAH SOLAR DHN-72X16/DG 
 1 x INVERSOR SOLIS 50KW 380V S5-GC50K COM MONITORAMENTO 
 200 x CABO FOTOVOLTAICO 4MM² PRETO 
 200 x CABO FOTOVOLTAICO 4MM² VERMELHO 
 20 x CONECTOR MC4 PAR EMBALADO 
 ESTRUTURA FIBROCIMENTO MADEIRA</t>
  </si>
  <si>
    <t>99 x MODULO FV 570WP N-TYPE BIFACIAL DUAL GLASS DAS-DH144NA 
 1 x INVERSOR SOLIS 50KW 380V S5-GC50K COM MONITORAMENTO 
 200 x CABO FOTOVOLTAICO 4MM² PRETO 
 200 x CABO FOTOVOLTAICO 4MM² VERMELHO 
 20 x CONECTOR MC4 PAR EMBALADO 
 ESTRUTURA FIBROCIMENTO MADEIRA</t>
  </si>
  <si>
    <t>99 x MODULO FV 570WP N-TYPE BIFACIAL DAH SOLAR DHN-72X16/DG 
 1 x INVERSOR SOLIS 50KW 220V 50K-LV-5G-PRO COM MONITORAMENTO 
 200 x CABO FOTOVOLTAICO 4MM² PRETO 
 200 x CABO FOTOVOLTAICO 4MM² VERMELHO 
 16 x CONECTOR MC4 PAR EMBALADO 
 ESTRUTURA FIBROCIMENTO MADEIRA</t>
  </si>
  <si>
    <t>99 x MODULO FV 570WP N-TYPE BIFACIAL DUAL GLASS DAS-DH144NA 
 1 x INVERSOR SOLIS 50KW 220V 50K-LV-5G-PRO COM MONITORAMENTO 
 200 x CABO FOTOVOLTAICO 4MM² PRETO 
 200 x CABO FOTOVOLTAICO 4MM² VERMELHO 
 16 x CONECTOR MC4 PAR EMBALADO 
 ESTRUTURA FIBROCIMENTO MADEIRA</t>
  </si>
  <si>
    <t>99 x MODULO FV 570WP N-TYPE BIFACIAL DAH SOLAR DHN-72X16/DG 
 25 x HMS-2000-4T - MICRO HOYMILES 2000W DTU EXTERNA 
 4 x CABO FOTOVOLTAICO 4MM² PRETO 
 100 x CABO FOTOVOLTAICO 4MM² VERMELHO 
 200 x CONECTOR MC4 PAR EMBALADO 
 ESTRUTURA FIBROCIMENTO MADEIRA 
 25 x AC TRUNK CONNECTOR - CONECTOR CA HOYMILES 
 9 x AC TRUNK END CAP - TERMINAL ENDCAP HOYMILES 
 1 x AC TRUNK CONNECTOR UNLOCK TOOL - CHAVE DESBLOQUEIO CONECTOR CA 
 1 x HMS DISCONNECT TOOL-1PCS - CHAVE DESCONEXAO MICROINVERSOR 
 48 x CABO CA MULTIPOLAR 10AWG 
 1 x DTU-LITE-S(WIFI) - MONIT DTU-LITE S (ATÉ 25 MICROS)</t>
  </si>
  <si>
    <t>99 x MODULO FV 570WP N-TYPE BIFACIAL DUAL GLASS DAS-DH144NA 
 25 x HMS-2000-4T - MICRO HOYMILES 2000W DTU EXTERNA 
 4 x CABO FOTOVOLTAICO 4MM² PRETO 
 100 x CABO FOTOVOLTAICO 4MM² VERMELHO 
 200 x CONECTOR MC4 PAR EMBALADO 
 ESTRUTURA FIBROCIMENTO MADEIRA 
 25 x AC TRUNK CONNECTOR - CONECTOR CA HOYMILES 
 9 x AC TRUNK END CAP - TERMINAL ENDCAP HOYMILES 
 1 x AC TRUNK CONNECTOR UNLOCK TOOL - CHAVE DESBLOQUEIO CONECTOR CA 
 1 x HMS DISCONNECT TOOL-1PCS - CHAVE DESCONEXAO MICROINVERSOR 
 48 x CABO CA MULTIPOLAR 10AWG 
 1 x DTU-LITE-S(WIFI) - MONIT DTU-LITE S (ATÉ 25 MICROS)</t>
  </si>
  <si>
    <t>80 x MODULO FV 710WP BIFACIAL DUAL-GLASS TRINA TSM-NEG21C.20 
 20 x HMS-2000-4T - MICRO HOYMILES 2000W DTU EXTERNA 
 4 x CABO FOTOVOLTAICO 4MM² PRETO 
 80 x CABO FOTOVOLTAICO 4MM² VERMELHO 
 160 x CONECTOR MC4 PAR TRINA 
 ESTRUTURA FIBROCIMENTO MADEIRA 
 20 x AC TRUNK CONNECTOR - CONECTOR CA HOYMILES 
 7 x AC TRUNK END CAP - TERMINAL ENDCAP HOYMILES 
 1 x AC TRUNK CONNECTOR UNLOCK TOOL - CHAVE DESBLOQUEIO CONECTOR CA 
 1 x HMS DISCONNECT TOOL-1PCS - CHAVE DESCONEXAO MICROINVERSOR 
 39 x CABO CA MULTIPOLAR 10AWG 
 1 x DTU-LITE-S(WIFI) - MONIT DTU-LITE S (ATÉ 25 MICROS)</t>
  </si>
  <si>
    <t>100 x MODULO FV 570WP N-TYPE BIFACIAL DAH SOLAR DHN-72X16/DG 
 1 x INVERSOR SUNGROW SG40CX-P2 AFCI 380V COM MONITORAMENTO 
 200 x CABO FOTOVOLTAICO 4MM² PRETO 
 200 x CABO FOTOVOLTAICO 4MM² VERMELHO 
 16 x CONECTOR MC4 PAR EMBALADO 
 ESTRUTURA FIBROCIMENTO MADEIRA</t>
  </si>
  <si>
    <t>100 x MODULO FV 570WP N-TYPE BIFACIAL DUAL GLASS DAS-DH144NA 
 1 x INVERSOR SUNGROW SG40CX-P2 AFCI 380V COM MONITORAMENTO 
 200 x CABO FOTOVOLTAICO 4MM² PRETO 
 200 x CABO FOTOVOLTAICO 4MM² VERMELHO 
 16 x CONECTOR MC4 PAR EMBALADO 
 ESTRUTURA FIBROCIMENTO MADEIRA</t>
  </si>
  <si>
    <t>100 x MODULO FV 570WP N-TYPE BIFACIAL DAH SOLAR DHN-72X16/DG 
 1 x INVERSOR SOLIS 50KW 380V S5-GC50K COM MONITORAMENTO 
 200 x CABO FOTOVOLTAICO 4MM² PRETO 
 200 x CABO FOTOVOLTAICO 4MM² VERMELHO 
 20 x CONECTOR MC4 PAR EMBALADO 
 ESTRUTURA FIBROCIMENTO MADEIRA</t>
  </si>
  <si>
    <t>100 x MODULO FV 570WP N-TYPE BIFACIAL DUAL GLASS DAS-DH144NA 
 1 x INVERSOR SOLIS 50KW 380V S5-GC50K COM MONITORAMENTO 
 200 x CABO FOTOVOLTAICO 4MM² PRETO 
 200 x CABO FOTOVOLTAICO 4MM² VERMELHO 
 20 x CONECTOR MC4 PAR EMBALADO 
 ESTRUTURA FIBROCIMENTO MADEIRA</t>
  </si>
  <si>
    <t>100 x MODULO FV 570WP N-TYPE BIFACIAL DAH SOLAR DHN-72X16/DG 
 1 x INVERSOR SOLIS 50KW 220V 50K-LV-5G-PRO COM MONITORAMENTO 
 200 x CABO FOTOVOLTAICO 4MM² PRETO 
 200 x CABO FOTOVOLTAICO 4MM² VERMELHO 
 16 x CONECTOR MC4 PAR EMBALADO 
 ESTRUTURA FIBROCIMENTO MADEIRA</t>
  </si>
  <si>
    <t>100 x MODULO FV 570WP N-TYPE BIFACIAL DUAL GLASS DAS-DH144NA 
 1 x INVERSOR SOLIS 50KW 220V 50K-LV-5G-PRO COM MONITORAMENTO 
 200 x CABO FOTOVOLTAICO 4MM² PRETO 
 200 x CABO FOTOVOLTAICO 4MM² VERMELHO 
 16 x CONECTOR MC4 PAR EMBALADO 
 ESTRUTURA FIBROCIMENTO MADEIRA</t>
  </si>
  <si>
    <t>100 x MODULO FV 570WP N-TYPE BIFACIAL DAH SOLAR DHN-72X16/DG 
 25 x HMS-2000-4T - MICRO HOYMILES 2000W DTU EXTERNA 
 4 x CABO FOTOVOLTAICO 4MM² PRETO 
 100 x CABO FOTOVOLTAICO 4MM² VERMELHO 
 200 x CONECTOR MC4 PAR EMBALADO 
 ESTRUTURA FIBROCIMENTO MADEIRA 
 25 x AC TRUNK CONNECTOR - CONECTOR CA HOYMILES 
 9 x AC TRUNK END CAP - TERMINAL ENDCAP HOYMILES 
 1 x AC TRUNK CONNECTOR UNLOCK TOOL - CHAVE DESBLOQUEIO CONECTOR CA 
 1 x HMS DISCONNECT TOOL-1PCS - CHAVE DESCONEXAO MICROINVERSOR 
 48 x CABO CA MULTIPOLAR 10AWG 
 1 x DTU-LITE-S(WIFI) - MONIT DTU-LITE S (ATÉ 25 MICROS)</t>
  </si>
  <si>
    <t>100 x MODULO FV 570WP N-TYPE BIFACIAL DUAL GLASS DAS-DH144NA 
 25 x HMS-2000-4T - MICRO HOYMILES 2000W DTU EXTERNA 
 4 x CABO FOTOVOLTAICO 4MM² PRETO 
 100 x CABO FOTOVOLTAICO 4MM² VERMELHO 
 200 x CONECTOR MC4 PAR EMBALADO 
 ESTRUTURA FIBROCIMENTO MADEIRA 
 25 x AC TRUNK CONNECTOR - CONECTOR CA HOYMILES 
 9 x AC TRUNK END CAP - TERMINAL ENDCAP HOYMILES 
 1 x AC TRUNK CONNECTOR UNLOCK TOOL - CHAVE DESBLOQUEIO CONECTOR CA 
 1 x HMS DISCONNECT TOOL-1PCS - CHAVE DESCONEXAO MICROINVERSOR 
 48 x CABO CA MULTIPOLAR 10AWG 
 1 x DTU-LITE-S(WIFI) - MONIT DTU-LITE S (ATÉ 25 MICROS)</t>
  </si>
  <si>
    <t>81 x MODULO FV 710WP BIFACIAL DUAL-GLASS TRINA TSM-NEG21C.20 
 21 x HMS-2000-4T - MICRO HOYMILES 2000W DTU EXTERNA 
 4 x CABO FOTOVOLTAICO 4MM² PRETO 
 84 x CABO FOTOVOLTAICO 4MM² VERMELHO 
 168 x CONECTOR MC4 PAR TRINA 
 ESTRUTURA FIBROCIMENTO MADEIRA 
 21 x AC TRUNK CONNECTOR - CONECTOR CA HOYMILES 
 7 x AC TRUNK END CAP - TERMINAL ENDCAP HOYMILES 
 1 x AC TRUNK CONNECTOR UNLOCK TOOL - CHAVE DESBLOQUEIO CONECTOR CA 
 1 x HMS DISCONNECT TOOL-1PCS - CHAVE DESCONEXAO MICROINVERSOR 
 42 x CABO CA MULTIPOLAR 10AWG 
 1 x DTU-LITE-S(WIFI) - MONIT DTU-LITE S (ATÉ 25 MICROS)</t>
  </si>
  <si>
    <t>101 x MODULO FV 570WP N-TYPE BIFACIAL DAH SOLAR DHN-72X16/DG 
 1 x INVERSOR SOLIS 50KW 380V S5-GC50K COM MONITORAMENTO 
 200 x CABO FOTOVOLTAICO 4MM² PRETO 
 200 x CABO FOTOVOLTAICO 4MM² VERMELHO 
 20 x CONECTOR MC4 PAR EMBALADO 
 ESTRUTURA FIBROCIMENTO MADEIRA</t>
  </si>
  <si>
    <t>101 x MODULO FV 570WP N-TYPE BIFACIAL DUAL GLASS DAS-DH144NA 
 1 x INVERSOR SOLIS 50KW 380V S5-GC50K COM MONITORAMENTO 
 200 x CABO FOTOVOLTAICO 4MM² PRETO 
 200 x CABO FOTOVOLTAICO 4MM² VERMELHO 
 20 x CONECTOR MC4 PAR EMBALADO 
 ESTRUTURA FIBROCIMENTO MADEIRA</t>
  </si>
  <si>
    <t>101 x MODULO FV 570WP N-TYPE BIFACIAL DAH SOLAR DHN-72X16/DG 
 1 x INVERSOR SUNGROW SG50CX-P2 AFCI 380V COM MONITORAMENTO 
 200 x CABO FOTOVOLTAICO 4MM² PRETO 
 200 x CABO FOTOVOLTAICO 4MM² VERMELHO 
 20 x CONECTOR MC4 PAR EMBALADO 
 ESTRUTURA FIBROCIMENTO MADEIRA</t>
  </si>
  <si>
    <t>101 x MODULO FV 570WP N-TYPE BIFACIAL DUAL GLASS DAS-DH144NA 
 1 x INVERSOR SUNGROW SG50CX-P2 AFCI 380V COM MONITORAMENTO 
 200 x CABO FOTOVOLTAICO 4MM² PRETO 
 200 x CABO FOTOVOLTAICO 4MM² VERMELHO 
 20 x CONECTOR MC4 PAR EMBALADO 
 ESTRUTURA FIBROCIMENTO MADEIRA</t>
  </si>
  <si>
    <t>101 x MODULO FV 570WP N-TYPE BIFACIAL DAH SOLAR DHN-72X16/DG 
 1 x INVERSOR SOLIS 50KW 220V 50K-LV-5G-PRO COM MONITORAMENTO 
 200 x CABO FOTOVOLTAICO 4MM² PRETO 
 200 x CABO FOTOVOLTAICO 4MM² VERMELHO 
 16 x CONECTOR MC4 PAR EMBALADO 
 ESTRUTURA FIBROCIMENTO MADEIRA</t>
  </si>
  <si>
    <t>101 x MODULO FV 570WP N-TYPE BIFACIAL DUAL GLASS DAS-DH144NA 
 1 x INVERSOR SOLIS 50KW 220V 50K-LV-5G-PRO COM MONITORAMENTO 
 200 x CABO FOTOVOLTAICO 4MM² PRETO 
 200 x CABO FOTOVOLTAICO 4MM² VERMELHO 
 16 x CONECTOR MC4 PAR EMBALADO 
 ESTRUTURA FIBROCIMENTO MADEIRA</t>
  </si>
  <si>
    <t>51</t>
  </si>
  <si>
    <t>101 x MODULO FV 570WP N-TYPE BIFACIAL DAH SOLAR DHN-72X16/DG 
 26 x HMS-2000-4T - MICRO HOYMILES 2000W DTU EXTERNA 
 4 x CABO FOTOVOLTAICO 4MM² PRETO 
 104 x CABO FOTOVOLTAICO 4MM² VERMELHO 
 208 x CONECTOR MC4 PAR EMBALADO 
 ESTRUTURA FIBROCIMENTO MADEIRA 
 26 x AC TRUNK CONNECTOR - CONECTOR CA HOYMILES 
 9 x AC TRUNK END CAP - TERMINAL ENDCAP HOYMILES 
 1 x AC TRUNK CONNECTOR UNLOCK TOOL - CHAVE DESBLOQUEIO CONECTOR CA 
 1 x HMS DISCONNECT TOOL-1PCS - CHAVE DESCONEXAO MICROINVERSOR 
 51 x CABO CA MULTIPOLAR 10AWG 
 2 x DTU-LITE-S(WIFI) - MONIT DTU-LITE S (ATÉ 25 MICROS)</t>
  </si>
  <si>
    <t>101 x MODULO FV 570WP N-TYPE BIFACIAL DUAL GLASS DAS-DH144NA 
 26 x HMS-2000-4T - MICRO HOYMILES 2000W DTU EXTERNA 
 4 x CABO FOTOVOLTAICO 4MM² PRETO 
 104 x CABO FOTOVOLTAICO 4MM² VERMELHO 
 208 x CONECTOR MC4 PAR EMBALADO 
 ESTRUTURA FIBROCIMENTO MADEIRA 
 26 x AC TRUNK CONNECTOR - CONECTOR CA HOYMILES 
 9 x AC TRUNK END CAP - TERMINAL ENDCAP HOYMILES 
 1 x AC TRUNK CONNECTOR UNLOCK TOOL - CHAVE DESBLOQUEIO CONECTOR CA 
 1 x HMS DISCONNECT TOOL-1PCS - CHAVE DESCONEXAO MICROINVERSOR 
 51 x CABO CA MULTIPOLAR 10AWG 
 2 x DTU-LITE-S(WIFI) - MONIT DTU-LITE S (ATÉ 25 MICROS)</t>
  </si>
  <si>
    <t>102 x MODULO FV 570WP N-TYPE BIFACIAL DAH SOLAR DHN-72X16/DG 
 1 x INVERSOR SOLIS 50KW 380V S5-GC50K COM MONITORAMENTO 
 200 x CABO FOTOVOLTAICO 4MM² PRETO 
 200 x CABO FOTOVOLTAICO 4MM² VERMELHO 
 20 x CONECTOR MC4 PAR EMBALADO 
 ESTRUTURA FIBROCIMENTO MADEIRA</t>
  </si>
  <si>
    <t>102 x MODULO FV 570WP N-TYPE BIFACIAL DUAL GLASS DAS-DH144NA 
 1 x INVERSOR SOLIS 50KW 380V S5-GC50K COM MONITORAMENTO 
 200 x CABO FOTOVOLTAICO 4MM² PRETO 
 200 x CABO FOTOVOLTAICO 4MM² VERMELHO 
 20 x CONECTOR MC4 PAR EMBALADO 
 ESTRUTURA FIBROCIMENTO MADEIRA</t>
  </si>
  <si>
    <t>102 x MODULO FV 570WP N-TYPE BIFACIAL DAH SOLAR DHN-72X16/DG 
 1 x INVERSOR SUNGROW SG50CX-P2 AFCI 380V COM MONITORAMENTO 
 200 x CABO FOTOVOLTAICO 4MM² PRETO 
 200 x CABO FOTOVOLTAICO 4MM² VERMELHO 
 20 x CONECTOR MC4 PAR EMBALADO 
 ESTRUTURA FIBROCIMENTO MADEIRA</t>
  </si>
  <si>
    <t>102 x MODULO FV 570WP N-TYPE BIFACIAL DUAL GLASS DAS-DH144NA 
 1 x INVERSOR SUNGROW SG50CX-P2 AFCI 380V COM MONITORAMENTO 
 200 x CABO FOTOVOLTAICO 4MM² PRETO 
 200 x CABO FOTOVOLTAICO 4MM² VERMELHO 
 20 x CONECTOR MC4 PAR EMBALADO 
 ESTRUTURA FIBROCIMENTO MADEIRA</t>
  </si>
  <si>
    <t>102 x MODULO FV 570WP N-TYPE BIFACIAL DAH SOLAR DHN-72X16/DG 
 1 x INVERSOR SOLIS 50KW 220V 50K-LV-5G-PRO COM MONITORAMENTO 
 200 x CABO FOTOVOLTAICO 4MM² PRETO 
 200 x CABO FOTOVOLTAICO 4MM² VERMELHO 
 16 x CONECTOR MC4 PAR EMBALADO 
 ESTRUTURA FIBROCIMENTO MADEIRA</t>
  </si>
  <si>
    <t>102 x MODULO FV 570WP N-TYPE BIFACIAL DUAL GLASS DAS-DH144NA 
 1 x INVERSOR SOLIS 50KW 220V 50K-LV-5G-PRO COM MONITORAMENTO 
 200 x CABO FOTOVOLTAICO 4MM² PRETO 
 200 x CABO FOTOVOLTAICO 4MM² VERMELHO 
 16 x CONECTOR MC4 PAR EMBALADO 
 ESTRUTURA FIBROCIMENTO MADEIRA</t>
  </si>
  <si>
    <t>102 x MODULO FV 570WP N-TYPE BIFACIAL DAH SOLAR DHN-72X16/DG 
 26 x HMS-2000-4T - MICRO HOYMILES 2000W DTU EXTERNA 
 4 x CABO FOTOVOLTAICO 4MM² PRETO 
 104 x CABO FOTOVOLTAICO 4MM² VERMELHO 
 208 x CONECTOR MC4 PAR EMBALADO 
 ESTRUTURA FIBROCIMENTO MADEIRA 
 26 x AC TRUNK CONNECTOR - CONECTOR CA HOYMILES 
 9 x AC TRUNK END CAP - TERMINAL ENDCAP HOYMILES 
 1 x AC TRUNK CONNECTOR UNLOCK TOOL - CHAVE DESBLOQUEIO CONECTOR CA 
 1 x HMS DISCONNECT TOOL-1PCS - CHAVE DESCONEXAO MICROINVERSOR 
 51 x CABO CA MULTIPOLAR 10AWG 
 2 x DTU-LITE-S(WIFI) - MONIT DTU-LITE S (ATÉ 25 MICROS)</t>
  </si>
  <si>
    <t>102 x MODULO FV 570WP N-TYPE BIFACIAL DUAL GLASS DAS-DH144NA 
 26 x HMS-2000-4T - MICRO HOYMILES 2000W DTU EXTERNA 
 4 x CABO FOTOVOLTAICO 4MM² PRETO 
 104 x CABO FOTOVOLTAICO 4MM² VERMELHO 
 208 x CONECTOR MC4 PAR EMBALADO 
 ESTRUTURA FIBROCIMENTO MADEIRA 
 26 x AC TRUNK CONNECTOR - CONECTOR CA HOYMILES 
 9 x AC TRUNK END CAP - TERMINAL ENDCAP HOYMILES 
 1 x AC TRUNK CONNECTOR UNLOCK TOOL - CHAVE DESBLOQUEIO CONECTOR CA 
 1 x HMS DISCONNECT TOOL-1PCS - CHAVE DESCONEXAO MICROINVERSOR 
 51 x CABO CA MULTIPOLAR 10AWG 
 2 x DTU-LITE-S(WIFI) - MONIT DTU-LITE S (ATÉ 25 MICROS)</t>
  </si>
  <si>
    <t>82 x MODULO FV 710WP BIFACIAL DUAL-GLASS TRINA TSM-NEG21C.20 
 21 x HMS-2000-4T - MICRO HOYMILES 2000W DTU EXTERNA 
 4 x CABO FOTOVOLTAICO 4MM² PRETO 
 84 x CABO FOTOVOLTAICO 4MM² VERMELHO 
 168 x CONECTOR MC4 PAR TRINA 
 ESTRUTURA FIBROCIMENTO MADEIRA 
 21 x AC TRUNK CONNECTOR - CONECTOR CA HOYMILES 
 7 x AC TRUNK END CAP - TERMINAL ENDCAP HOYMILES 
 1 x AC TRUNK CONNECTOR UNLOCK TOOL - CHAVE DESBLOQUEIO CONECTOR CA 
 1 x HMS DISCONNECT TOOL-1PCS - CHAVE DESCONEXAO MICROINVERSOR 
 42 x CABO CA MULTIPOLAR 10AWG 
 1 x DTU-LITE-S(WIFI) - MONIT DTU-LITE S (ATÉ 25 MICROS)</t>
  </si>
  <si>
    <t>103 x MODULO FV 570WP N-TYPE BIFACIAL DAH SOLAR DHN-72X16/DG 
 1 x INVERSOR SOLIS 50KW 380V S5-GC50K COM MONITORAMENTO 
 200 x CABO FOTOVOLTAICO 4MM² PRETO 
 200 x CABO FOTOVOLTAICO 4MM² VERMELHO 
 20 x CONECTOR MC4 PAR EMBALADO 
 ESTRUTURA FIBROCIMENTO MADEIRA</t>
  </si>
  <si>
    <t>103 x MODULO FV 570WP N-TYPE BIFACIAL DUAL GLASS DAS-DH144NA 
 1 x INVERSOR SOLIS 50KW 380V S5-GC50K COM MONITORAMENTO 
 200 x CABO FOTOVOLTAICO 4MM² PRETO 
 200 x CABO FOTOVOLTAICO 4MM² VERMELHO 
 20 x CONECTOR MC4 PAR EMBALADO 
 ESTRUTURA FIBROCIMENTO MADEIRA</t>
  </si>
  <si>
    <t>103 x MODULO FV 570WP N-TYPE BIFACIAL DAH SOLAR DHN-72X16/DG 
 1 x INVERSOR SUNGROW SG50CX-P2 AFCI 380V COM MONITORAMENTO 
 200 x CABO FOTOVOLTAICO 4MM² PRETO 
 200 x CABO FOTOVOLTAICO 4MM² VERMELHO 
 20 x CONECTOR MC4 PAR EMBALADO 
 ESTRUTURA FIBROCIMENTO MADEIRA</t>
  </si>
  <si>
    <t>103 x MODULO FV 570WP N-TYPE BIFACIAL DUAL GLASS DAS-DH144NA 
 1 x INVERSOR SUNGROW SG50CX-P2 AFCI 380V COM MONITORAMENTO 
 200 x CABO FOTOVOLTAICO 4MM² PRETO 
 200 x CABO FOTOVOLTAICO 4MM² VERMELHO 
 20 x CONECTOR MC4 PAR EMBALADO 
 ESTRUTURA FIBROCIMENTO MADEIRA</t>
  </si>
  <si>
    <t>103 x MODULO FV 570WP N-TYPE BIFACIAL DAH SOLAR DHN-72X16/DG 
 1 x INVERSOR SOLIS 50KW 220V 50K-LV-5G-PRO COM MONITORAMENTO 
 200 x CABO FOTOVOLTAICO 4MM² PRETO 
 200 x CABO FOTOVOLTAICO 4MM² VERMELHO 
 16 x CONECTOR MC4 PAR EMBALADO 
 ESTRUTURA FIBROCIMENTO MADEIRA</t>
  </si>
  <si>
    <t>103 x MODULO FV 570WP N-TYPE BIFACIAL DUAL GLASS DAS-DH144NA 
 1 x INVERSOR SOLIS 50KW 220V 50K-LV-5G-PRO COM MONITORAMENTO 
 200 x CABO FOTOVOLTAICO 4MM² PRETO 
 200 x CABO FOTOVOLTAICO 4MM² VERMELHO 
 16 x CONECTOR MC4 PAR EMBALADO 
 ESTRUTURA FIBROCIMENTO MADEIRA</t>
  </si>
  <si>
    <t>103 x MODULO FV 570WP N-TYPE BIFACIAL DAH SOLAR DHN-72X16/DG 
 26 x HMS-2000-4T - MICRO HOYMILES 2000W DTU EXTERNA 
 4 x CABO FOTOVOLTAICO 4MM² PRETO 
 104 x CABO FOTOVOLTAICO 4MM² VERMELHO 
 208 x CONECTOR MC4 PAR EMBALADO 
 ESTRUTURA FIBROCIMENTO MADEIRA 
 26 x AC TRUNK CONNECTOR - CONECTOR CA HOYMILES 
 9 x AC TRUNK END CAP - TERMINAL ENDCAP HOYMILES 
 1 x AC TRUNK CONNECTOR UNLOCK TOOL - CHAVE DESBLOQUEIO CONECTOR CA 
 1 x HMS DISCONNECT TOOL-1PCS - CHAVE DESCONEXAO MICROINVERSOR 
 51 x CABO CA MULTIPOLAR 10AWG 
 2 x DTU-LITE-S(WIFI) - MONIT DTU-LITE S (ATÉ 25 MICROS)</t>
  </si>
  <si>
    <t>103 x MODULO FV 570WP N-TYPE BIFACIAL DUAL GLASS DAS-DH144NA 
 26 x HMS-2000-4T - MICRO HOYMILES 2000W DTU EXTERNA 
 4 x CABO FOTOVOLTAICO 4MM² PRETO 
 104 x CABO FOTOVOLTAICO 4MM² VERMELHO 
 208 x CONECTOR MC4 PAR EMBALADO 
 ESTRUTURA FIBROCIMENTO MADEIRA 
 26 x AC TRUNK CONNECTOR - CONECTOR CA HOYMILES 
 9 x AC TRUNK END CAP - TERMINAL ENDCAP HOYMILES 
 1 x AC TRUNK CONNECTOR UNLOCK TOOL - CHAVE DESBLOQUEIO CONECTOR CA 
 1 x HMS DISCONNECT TOOL-1PCS - CHAVE DESCONEXAO MICROINVERSOR 
 51 x CABO CA MULTIPOLAR 10AWG 
 2 x DTU-LITE-S(WIFI) - MONIT DTU-LITE S (ATÉ 25 MICROS)</t>
  </si>
  <si>
    <t>83 x MODULO FV 710WP BIFACIAL DUAL-GLASS TRINA TSM-NEG21C.20 
 21 x HMS-2000-4T - MICRO HOYMILES 2000W DTU EXTERNA 
 4 x CABO FOTOVOLTAICO 4MM² PRETO 
 84 x CABO FOTOVOLTAICO 4MM² VERMELHO 
 168 x CONECTOR MC4 PAR TRINA 
 ESTRUTURA FIBROCIMENTO MADEIRA 
 21 x AC TRUNK CONNECTOR - CONECTOR CA HOYMILES 
 7 x AC TRUNK END CAP - TERMINAL ENDCAP HOYMILES 
 1 x AC TRUNK CONNECTOR UNLOCK TOOL - CHAVE DESBLOQUEIO CONECTOR CA 
 1 x HMS DISCONNECT TOOL-1PCS - CHAVE DESCONEXAO MICROINVERSOR 
 42 x CABO CA MULTIPOLAR 10AWG 
 1 x DTU-LITE-S(WIFI) - MONIT DTU-LITE S (ATÉ 25 MICROS)</t>
  </si>
  <si>
    <t>104 x MODULO FV 570WP N-TYPE BIFACIAL DAH SOLAR DHN-72X16/DG 
 1 x INVERSOR SOLIS 50KW 380V S5-GC50K COM MONITORAMENTO 
 200 x CABO FOTOVOLTAICO 4MM² PRETO 
 200 x CABO FOTOVOLTAICO 4MM² VERMELHO 
 20 x CONECTOR MC4 PAR EMBALADO 
 ESTRUTURA FIBROCIMENTO MADEIRA</t>
  </si>
  <si>
    <t>104 x MODULO FV 570WP N-TYPE BIFACIAL DUAL GLASS DAS-DH144NA 
 1 x INVERSOR SOLIS 50KW 380V S5-GC50K COM MONITORAMENTO 
 200 x CABO FOTOVOLTAICO 4MM² PRETO 
 200 x CABO FOTOVOLTAICO 4MM² VERMELHO 
 20 x CONECTOR MC4 PAR EMBALADO 
 ESTRUTURA FIBROCIMENTO MADEIRA</t>
  </si>
  <si>
    <t>104 x MODULO FV 570WP N-TYPE BIFACIAL DAH SOLAR DHN-72X16/DG 
 1 x INVERSOR SUNGROW SG50CX-P2 AFCI 380V COM MONITORAMENTO 
 200 x CABO FOTOVOLTAICO 4MM² PRETO 
 200 x CABO FOTOVOLTAICO 4MM² VERMELHO 
 20 x CONECTOR MC4 PAR EMBALADO 
 ESTRUTURA FIBROCIMENTO MADEIRA</t>
  </si>
  <si>
    <t>104 x MODULO FV 570WP N-TYPE BIFACIAL DUAL GLASS DAS-DH144NA 
 1 x INVERSOR SUNGROW SG50CX-P2 AFCI 380V COM MONITORAMENTO 
 200 x CABO FOTOVOLTAICO 4MM² PRETO 
 200 x CABO FOTOVOLTAICO 4MM² VERMELHO 
 20 x CONECTOR MC4 PAR EMBALADO 
 ESTRUTURA FIBROCIMENTO MADEIRA</t>
  </si>
  <si>
    <t>104 x MODULO FV 570WP N-TYPE BIFACIAL DAH SOLAR DHN-72X16/DG 
 1 x INVERSOR SOLIS 50KW 220V 50K-LV-5G-PRO COM MONITORAMENTO 
 200 x CABO FOTOVOLTAICO 4MM² PRETO 
 200 x CABO FOTOVOLTAICO 4MM² VERMELHO 
 16 x CONECTOR MC4 PAR EMBALADO 
 ESTRUTURA FIBROCIMENTO MADEIRA</t>
  </si>
  <si>
    <t>104 x MODULO FV 570WP N-TYPE BIFACIAL DUAL GLASS DAS-DH144NA 
 1 x INVERSOR SOLIS 50KW 220V 50K-LV-5G-PRO COM MONITORAMENTO 
 200 x CABO FOTOVOLTAICO 4MM² PRETO 
 200 x CABO FOTOVOLTAICO 4MM² VERMELHO 
 16 x CONECTOR MC4 PAR EMBALADO 
 ESTRUTURA FIBROCIMENTO MADEIRA</t>
  </si>
  <si>
    <t>104 x MODULO FV 570WP N-TYPE BIFACIAL DAH SOLAR DHN-72X16/DG 
 26 x HMS-2000-4T - MICRO HOYMILES 2000W DTU EXTERNA 
 4 x CABO FOTOVOLTAICO 4MM² PRETO 
 104 x CABO FOTOVOLTAICO 4MM² VERMELHO 
 208 x CONECTOR MC4 PAR EMBALADO 
 ESTRUTURA FIBROCIMENTO MADEIRA 
 26 x AC TRUNK CONNECTOR - CONECTOR CA HOYMILES 
 9 x AC TRUNK END CAP - TERMINAL ENDCAP HOYMILES 
 1 x AC TRUNK CONNECTOR UNLOCK TOOL - CHAVE DESBLOQUEIO CONECTOR CA 
 1 x HMS DISCONNECT TOOL-1PCS - CHAVE DESCONEXAO MICROINVERSOR 
 51 x CABO CA MULTIPOLAR 10AWG 
 2 x DTU-LITE-S(WIFI) - MONIT DTU-LITE S (ATÉ 25 MICROS)</t>
  </si>
  <si>
    <t>104 x MODULO FV 570WP N-TYPE BIFACIAL DUAL GLASS DAS-DH144NA 
 26 x HMS-2000-4T - MICRO HOYMILES 2000W DTU EXTERNA 
 4 x CABO FOTOVOLTAICO 4MM² PRETO 
 104 x CABO FOTOVOLTAICO 4MM² VERMELHO 
 208 x CONECTOR MC4 PAR EMBALADO 
 ESTRUTURA FIBROCIMENTO MADEIRA 
 26 x AC TRUNK CONNECTOR - CONECTOR CA HOYMILES 
 9 x AC TRUNK END CAP - TERMINAL ENDCAP HOYMILES 
 1 x AC TRUNK CONNECTOR UNLOCK TOOL - CHAVE DESBLOQUEIO CONECTOR CA 
 1 x HMS DISCONNECT TOOL-1PCS - CHAVE DESCONEXAO MICROINVERSOR 
 51 x CABO CA MULTIPOLAR 10AWG 
 2 x DTU-LITE-S(WIFI) - MONIT DTU-LITE S (ATÉ 25 MICROS)</t>
  </si>
  <si>
    <t>84 x MODULO FV 710WP BIFACIAL DUAL-GLASS TRINA TSM-NEG21C.20 
 21 x HMS-2000-4T - MICRO HOYMILES 2000W DTU EXTERNA 
 4 x CABO FOTOVOLTAICO 4MM² PRETO 
 84 x CABO FOTOVOLTAICO 4MM² VERMELHO 
 168 x CONECTOR MC4 PAR TRINA 
 ESTRUTURA FIBROCIMENTO MADEIRA 
 21 x AC TRUNK CONNECTOR - CONECTOR CA HOYMILES 
 7 x AC TRUNK END CAP - TERMINAL ENDCAP HOYMILES 
 1 x AC TRUNK CONNECTOR UNLOCK TOOL - CHAVE DESBLOQUEIO CONECTOR CA 
 1 x HMS DISCONNECT TOOL-1PCS - CHAVE DESCONEXAO MICROINVERSOR 
 42 x CABO CA MULTIPOLAR 10AWG 
 1 x DTU-LITE-S(WIFI) - MONIT DTU-LITE S (ATÉ 25 MICROS)</t>
  </si>
  <si>
    <t>105 x MODULO FV 570WP N-TYPE BIFACIAL DAH SOLAR DHN-72X16/DG 
 1 x INVERSOR SOLIS 50KW 380V S5-GC50K COM MONITORAMENTO 
 200 x CABO FOTOVOLTAICO 4MM² PRETO 
 200 x CABO FOTOVOLTAICO 4MM² VERMELHO 
 20 x CONECTOR MC4 PAR EMBALADO 
 ESTRUTURA FIBROCIMENTO MADEIRA</t>
  </si>
  <si>
    <t>105 x MODULO FV 570WP N-TYPE BIFACIAL DUAL GLASS DAS-DH144NA 
 1 x INVERSOR SOLIS 50KW 380V S5-GC50K COM MONITORAMENTO 
 200 x CABO FOTOVOLTAICO 4MM² PRETO 
 200 x CABO FOTOVOLTAICO 4MM² VERMELHO 
 20 x CONECTOR MC4 PAR EMBALADO 
 ESTRUTURA FIBROCIMENTO MADEIRA</t>
  </si>
  <si>
    <t>105 x MODULO FV 570WP N-TYPE BIFACIAL DAH SOLAR DHN-72X16/DG 
 1 x INVERSOR SUNGROW SG50CX-P2 AFCI 380V COM MONITORAMENTO 
 200 x CABO FOTOVOLTAICO 4MM² PRETO 
 200 x CABO FOTOVOLTAICO 4MM² VERMELHO 
 20 x CONECTOR MC4 PAR EMBALADO 
 ESTRUTURA FIBROCIMENTO MADEIRA</t>
  </si>
  <si>
    <t>105 x MODULO FV 570WP N-TYPE BIFACIAL DUAL GLASS DAS-DH144NA 
 1 x INVERSOR SUNGROW SG50CX-P2 AFCI 380V COM MONITORAMENTO 
 200 x CABO FOTOVOLTAICO 4MM² PRETO 
 200 x CABO FOTOVOLTAICO 4MM² VERMELHO 
 20 x CONECTOR MC4 PAR EMBALADO 
 ESTRUTURA FIBROCIMENTO MADEIRA</t>
  </si>
  <si>
    <t>105 x MODULO FV 570WP N-TYPE BIFACIAL DAH SOLAR DHN-72X16/DG 
 1 x INVERSOR SOLIS 50KW 220V 50K-LV-5G-PRO COM MONITORAMENTO 
 200 x CABO FOTOVOLTAICO 4MM² PRETO 
 200 x CABO FOTOVOLTAICO 4MM² VERMELHO 
 16 x CONECTOR MC4 PAR EMBALADO 
 ESTRUTURA FIBROCIMENTO MADEIRA</t>
  </si>
  <si>
    <t>105 x MODULO FV 570WP N-TYPE BIFACIAL DUAL GLASS DAS-DH144NA 
 1 x INVERSOR SOLIS 50KW 220V 50K-LV-5G-PRO COM MONITORAMENTO 
 200 x CABO FOTOVOLTAICO 4MM² PRETO 
 200 x CABO FOTOVOLTAICO 4MM² VERMELHO 
 16 x CONECTOR MC4 PAR EMBALADO 
 ESTRUTURA FIBROCIMENTO MADEIRA</t>
  </si>
  <si>
    <t>54</t>
  </si>
  <si>
    <t>105 x MODULO FV 570WP N-TYPE BIFACIAL DAH SOLAR DHN-72X16/DG 
 27 x HMS-2000-4T - MICRO HOYMILES 2000W DTU EXTERNA 
 4 x CABO FOTOVOLTAICO 4MM² PRETO 
 108 x CABO FOTOVOLTAICO 4MM² VERMELHO 
 216 x CONECTOR MC4 PAR EMBALADO 
 ESTRUTURA FIBROCIMENTO MADEIRA 
 27 x AC TRUNK CONNECTOR - CONECTOR CA HOYMILES 
 9 x AC TRUNK END CAP - TERMINAL ENDCAP HOYMILES 
 1 x AC TRUNK CONNECTOR UNLOCK TOOL - CHAVE DESBLOQUEIO CONECTOR CA 
 1 x HMS DISCONNECT TOOL-1PCS - CHAVE DESCONEXAO MICROINVERSOR 
 54 x CABO CA MULTIPOLAR 10AWG 
 2 x DTU-LITE-S(WIFI) - MONIT DTU-LITE S (ATÉ 25 MICROS)</t>
  </si>
  <si>
    <t>105 x MODULO FV 570WP N-TYPE BIFACIAL DUAL GLASS DAS-DH144NA 
 27 x HMS-2000-4T - MICRO HOYMILES 2000W DTU EXTERNA 
 4 x CABO FOTOVOLTAICO 4MM² PRETO 
 108 x CABO FOTOVOLTAICO 4MM² VERMELHO 
 216 x CONECTOR MC4 PAR EMBALADO 
 ESTRUTURA FIBROCIMENTO MADEIRA 
 27 x AC TRUNK CONNECTOR - CONECTOR CA HOYMILES 
 9 x AC TRUNK END CAP - TERMINAL ENDCAP HOYMILES 
 1 x AC TRUNK CONNECTOR UNLOCK TOOL - CHAVE DESBLOQUEIO CONECTOR CA 
 1 x HMS DISCONNECT TOOL-1PCS - CHAVE DESCONEXAO MICROINVERSOR 
 54 x CABO CA MULTIPOLAR 10AWG 
 2 x DTU-LITE-S(WIFI) - MONIT DTU-LITE S (ATÉ 25 MICROS)</t>
  </si>
  <si>
    <t>85 x MODULO FV 710WP BIFACIAL DUAL-GLASS TRINA TSM-NEG21C.20 
 22 x HMS-2000-4T - MICRO HOYMILES 2000W DTU EXTERNA 
 4 x CABO FOTOVOLTAICO 4MM² PRETO 
 88 x CABO FOTOVOLTAICO 4MM² VERMELHO 
 176 x CONECTOR MC4 PAR TRINA 
 ESTRUTURA FIBROCIMENTO MADEIRA 
 22 x AC TRUNK CONNECTOR - CONECTOR CA HOYMILES 
 8 x AC TRUNK END CAP - TERMINAL ENDCAP HOYMILES 
 1 x AC TRUNK CONNECTOR UNLOCK TOOL - CHAVE DESBLOQUEIO CONECTOR CA 
 1 x HMS DISCONNECT TOOL-1PCS - CHAVE DESCONEXAO MICROINVERSOR 
 42 x CABO CA MULTIPOLAR 10AWG 
 1 x DTU-LITE-S(WIFI) - MONIT DTU-LITE S (ATÉ 25 MICROS)</t>
  </si>
  <si>
    <t>106 x MODULO FV 570WP N-TYPE BIFACIAL DAH SOLAR DHN-72X16/DG 
 1 x INVERSOR SOLIS 50KW 380V S5-GC50K COM MONITORAMENTO 
 200 x CABO FOTOVOLTAICO 4MM² PRETO 
 200 x CABO FOTOVOLTAICO 4MM² VERMELHO 
 20 x CONECTOR MC4 PAR EMBALADO 
 ESTRUTURA FIBROCIMENTO MADEIRA</t>
  </si>
  <si>
    <t>106 x MODULO FV 570WP N-TYPE BIFACIAL DUAL GLASS DAS-DH144NA 
 1 x INVERSOR SOLIS 50KW 380V S5-GC50K COM MONITORAMENTO 
 200 x CABO FOTOVOLTAICO 4MM² PRETO 
 200 x CABO FOTOVOLTAICO 4MM² VERMELHO 
 20 x CONECTOR MC4 PAR EMBALADO 
 ESTRUTURA FIBROCIMENTO MADEIRA</t>
  </si>
  <si>
    <t>106 x MODULO FV 570WP N-TYPE BIFACIAL DAH SOLAR DHN-72X16/DG 
 1 x INVERSOR SUNGROW SG50CX-P2 AFCI 380V COM MONITORAMENTO 
 200 x CABO FOTOVOLTAICO 4MM² PRETO 
 200 x CABO FOTOVOLTAICO 4MM² VERMELHO 
 20 x CONECTOR MC4 PAR EMBALADO 
 ESTRUTURA FIBROCIMENTO MADEIRA</t>
  </si>
  <si>
    <t>106 x MODULO FV 570WP N-TYPE BIFACIAL DUAL GLASS DAS-DH144NA 
 1 x INVERSOR SUNGROW SG50CX-P2 AFCI 380V COM MONITORAMENTO 
 200 x CABO FOTOVOLTAICO 4MM² PRETO 
 200 x CABO FOTOVOLTAICO 4MM² VERMELHO 
 20 x CONECTOR MC4 PAR EMBALADO 
 ESTRUTURA FIBROCIMENTO MADEIRA</t>
  </si>
  <si>
    <t>106 x MODULO FV 570WP N-TYPE BIFACIAL DAH SOLAR DHN-72X16/DG 
 1 x INVERSOR SOLIS 50KW 220V 50K-LV-5G-PRO COM MONITORAMENTO 
 200 x CABO FOTOVOLTAICO 4MM² PRETO 
 200 x CABO FOTOVOLTAICO 4MM² VERMELHO 
 16 x CONECTOR MC4 PAR EMBALADO 
 ESTRUTURA FIBROCIMENTO MADEIRA</t>
  </si>
  <si>
    <t>106 x MODULO FV 570WP N-TYPE BIFACIAL DUAL GLASS DAS-DH144NA 
 1 x INVERSOR SOLIS 50KW 220V 50K-LV-5G-PRO COM MONITORAMENTO 
 200 x CABO FOTOVOLTAICO 4MM² PRETO 
 200 x CABO FOTOVOLTAICO 4MM² VERMELHO 
 16 x CONECTOR MC4 PAR EMBALADO 
 ESTRUTURA FIBROCIMENTO MADEIRA</t>
  </si>
  <si>
    <t>106 x MODULO FV 570WP N-TYPE BIFACIAL DAH SOLAR DHN-72X16/DG 
 27 x HMS-2000-4T - MICRO HOYMILES 2000W DTU EXTERNA 
 4 x CABO FOTOVOLTAICO 4MM² PRETO 
 108 x CABO FOTOVOLTAICO 4MM² VERMELHO 
 216 x CONECTOR MC4 PAR EMBALADO 
 ESTRUTURA FIBROCIMENTO MADEIRA 
 27 x AC TRUNK CONNECTOR - CONECTOR CA HOYMILES 
 9 x AC TRUNK END CAP - TERMINAL ENDCAP HOYMILES 
 1 x AC TRUNK CONNECTOR UNLOCK TOOL - CHAVE DESBLOQUEIO CONECTOR CA 
 1 x HMS DISCONNECT TOOL-1PCS - CHAVE DESCONEXAO MICROINVERSOR 
 54 x CABO CA MULTIPOLAR 10AWG 
 2 x DTU-LITE-S(WIFI) - MONIT DTU-LITE S (ATÉ 25 MICROS)</t>
  </si>
  <si>
    <t>106 x MODULO FV 570WP N-TYPE BIFACIAL DUAL GLASS DAS-DH144NA 
 27 x HMS-2000-4T - MICRO HOYMILES 2000W DTU EXTERNA 
 4 x CABO FOTOVOLTAICO 4MM² PRETO 
 108 x CABO FOTOVOLTAICO 4MM² VERMELHO 
 216 x CONECTOR MC4 PAR EMBALADO 
 ESTRUTURA FIBROCIMENTO MADEIRA 
 27 x AC TRUNK CONNECTOR - CONECTOR CA HOYMILES 
 9 x AC TRUNK END CAP - TERMINAL ENDCAP HOYMILES 
 1 x AC TRUNK CONNECTOR UNLOCK TOOL - CHAVE DESBLOQUEIO CONECTOR CA 
 1 x HMS DISCONNECT TOOL-1PCS - CHAVE DESCONEXAO MICROINVERSOR 
 54 x CABO CA MULTIPOLAR 10AWG 
 2 x DTU-LITE-S(WIFI) - MONIT DTU-LITE S (ATÉ 25 MICROS)</t>
  </si>
  <si>
    <t>107 x MODULO FV 570WP N-TYPE BIFACIAL DAH SOLAR DHN-72X16/DG 
 1 x INVERSOR SOLIS 50KW 380V S5-GC50K COM MONITORAMENTO 
 200 x CABO FOTOVOLTAICO 4MM² PRETO 
 200 x CABO FOTOVOLTAICO 4MM² VERMELHO 
 20 x CONECTOR MC4 PAR EMBALADO 
 ESTRUTURA FIBROCIMENTO MADEIRA</t>
  </si>
  <si>
    <t>107 x MODULO FV 570WP N-TYPE BIFACIAL DUAL GLASS DAS-DH144NA 
 1 x INVERSOR SOLIS 50KW 380V S5-GC50K COM MONITORAMENTO 
 200 x CABO FOTOVOLTAICO 4MM² PRETO 
 200 x CABO FOTOVOLTAICO 4MM² VERMELHO 
 20 x CONECTOR MC4 PAR EMBALADO 
 ESTRUTURA FIBROCIMENTO MADEIRA</t>
  </si>
  <si>
    <t>107 x MODULO FV 570WP N-TYPE BIFACIAL DAH SOLAR DHN-72X16/DG 
 1 x INVERSOR SUNGROW SG50CX-P2 AFCI 380V COM MONITORAMENTO 
 200 x CABO FOTOVOLTAICO 4MM² PRETO 
 200 x CABO FOTOVOLTAICO 4MM² VERMELHO 
 20 x CONECTOR MC4 PAR EMBALADO 
 ESTRUTURA FIBROCIMENTO MADEIRA</t>
  </si>
  <si>
    <t>107 x MODULO FV 570WP N-TYPE BIFACIAL DUAL GLASS DAS-DH144NA 
 1 x INVERSOR SUNGROW SG50CX-P2 AFCI 380V COM MONITORAMENTO 
 200 x CABO FOTOVOLTAICO 4MM² PRETO 
 200 x CABO FOTOVOLTAICO 4MM² VERMELHO 
 20 x CONECTOR MC4 PAR EMBALADO 
 ESTRUTURA FIBROCIMENTO MADEIRA</t>
  </si>
  <si>
    <t>107 x MODULO FV 570WP N-TYPE BIFACIAL DAH SOLAR DHN-72X16/DG 
 1 x INVERSOR SOLIS 50KW 220V 50K-LV-5G-PRO COM MONITORAMENTO 
 200 x CABO FOTOVOLTAICO 4MM² PRETO 
 200 x CABO FOTOVOLTAICO 4MM² VERMELHO 
 16 x CONECTOR MC4 PAR EMBALADO 
 ESTRUTURA FIBROCIMENTO MADEIRA</t>
  </si>
  <si>
    <t>107 x MODULO FV 570WP N-TYPE BIFACIAL DUAL GLASS DAS-DH144NA 
 1 x INVERSOR SOLIS 50KW 220V 50K-LV-5G-PRO COM MONITORAMENTO 
 200 x CABO FOTOVOLTAICO 4MM² PRETO 
 200 x CABO FOTOVOLTAICO 4MM² VERMELHO 
 16 x CONECTOR MC4 PAR EMBALADO 
 ESTRUTURA FIBROCIMENTO MADEIRA</t>
  </si>
  <si>
    <t>107 x MODULO FV 570WP N-TYPE BIFACIAL DAH SOLAR DHN-72X16/DG 
 27 x HMS-2000-4T - MICRO HOYMILES 2000W DTU EXTERNA 
 4 x CABO FOTOVOLTAICO 4MM² PRETO 
 108 x CABO FOTOVOLTAICO 4MM² VERMELHO 
 216 x CONECTOR MC4 PAR EMBALADO 
 ESTRUTURA FIBROCIMENTO MADEIRA 
 27 x AC TRUNK CONNECTOR - CONECTOR CA HOYMILES 
 9 x AC TRUNK END CAP - TERMINAL ENDCAP HOYMILES 
 1 x AC TRUNK CONNECTOR UNLOCK TOOL - CHAVE DESBLOQUEIO CONECTOR CA 
 1 x HMS DISCONNECT TOOL-1PCS - CHAVE DESCONEXAO MICROINVERSOR 
 54 x CABO CA MULTIPOLAR 10AWG 
 2 x DTU-LITE-S(WIFI) - MONIT DTU-LITE S (ATÉ 25 MICROS)</t>
  </si>
  <si>
    <t>107 x MODULO FV 570WP N-TYPE BIFACIAL DUAL GLASS DAS-DH144NA 
 27 x HMS-2000-4T - MICRO HOYMILES 2000W DTU EXTERNA 
 4 x CABO FOTOVOLTAICO 4MM² PRETO 
 108 x CABO FOTOVOLTAICO 4MM² VERMELHO 
 216 x CONECTOR MC4 PAR EMBALADO 
 ESTRUTURA FIBROCIMENTO MADEIRA 
 27 x AC TRUNK CONNECTOR - CONECTOR CA HOYMILES 
 9 x AC TRUNK END CAP - TERMINAL ENDCAP HOYMILES 
 1 x AC TRUNK CONNECTOR UNLOCK TOOL - CHAVE DESBLOQUEIO CONECTOR CA 
 1 x HMS DISCONNECT TOOL-1PCS - CHAVE DESCONEXAO MICROINVERSOR 
 54 x CABO CA MULTIPOLAR 10AWG 
 2 x DTU-LITE-S(WIFI) - MONIT DTU-LITE S (ATÉ 25 MICROS)</t>
  </si>
  <si>
    <t>86 x MODULO FV 710WP BIFACIAL DUAL-GLASS TRINA TSM-NEG21C.20 
 22 x HMS-2000-4T - MICRO HOYMILES 2000W DTU EXTERNA 
 4 x CABO FOTOVOLTAICO 4MM² PRETO 
 88 x CABO FOTOVOLTAICO 4MM² VERMELHO 
 176 x CONECTOR MC4 PAR TRINA 
 ESTRUTURA FIBROCIMENTO MADEIRA 
 22 x AC TRUNK CONNECTOR - CONECTOR CA HOYMILES 
 8 x AC TRUNK END CAP - TERMINAL ENDCAP HOYMILES 
 1 x AC TRUNK CONNECTOR UNLOCK TOOL - CHAVE DESBLOQUEIO CONECTOR CA 
 1 x HMS DISCONNECT TOOL-1PCS - CHAVE DESCONEXAO MICROINVERSOR 
 42 x CABO CA MULTIPOLAR 10AWG 
 1 x DTU-LITE-S(WIFI) - MONIT DTU-LITE S (ATÉ 25 MICROS)</t>
  </si>
  <si>
    <t>108 x MODULO FV 570WP N-TYPE BIFACIAL DAH SOLAR DHN-72X16/DG 
 1 x INVERSOR SOLIS 50KW 380V S5-GC50K COM MONITORAMENTO 
 200 x CABO FOTOVOLTAICO 4MM² PRETO 
 200 x CABO FOTOVOLTAICO 4MM² VERMELHO 
 20 x CONECTOR MC4 PAR EMBALADO 
 ESTRUTURA FIBROCIMENTO MADEIRA</t>
  </si>
  <si>
    <t>108 x MODULO FV 570WP N-TYPE BIFACIAL DUAL GLASS DAS-DH144NA 
 1 x INVERSOR SOLIS 50KW 380V S5-GC50K COM MONITORAMENTO 
 200 x CABO FOTOVOLTAICO 4MM² PRETO 
 200 x CABO FOTOVOLTAICO 4MM² VERMELHO 
 20 x CONECTOR MC4 PAR EMBALADO 
 ESTRUTURA FIBROCIMENTO MADEIRA</t>
  </si>
  <si>
    <t>108 x MODULO FV 570WP N-TYPE BIFACIAL DAH SOLAR DHN-72X16/DG 
 1 x INVERSOR SUNGROW SG50CX-P2 AFCI 380V COM MONITORAMENTO 
 200 x CABO FOTOVOLTAICO 4MM² PRETO 
 200 x CABO FOTOVOLTAICO 4MM² VERMELHO 
 20 x CONECTOR MC4 PAR EMBALADO 
 ESTRUTURA FIBROCIMENTO MADEIRA</t>
  </si>
  <si>
    <t>108 x MODULO FV 570WP N-TYPE BIFACIAL DUAL GLASS DAS-DH144NA 
 1 x INVERSOR SUNGROW SG50CX-P2 AFCI 380V COM MONITORAMENTO 
 200 x CABO FOTOVOLTAICO 4MM² PRETO 
 200 x CABO FOTOVOLTAICO 4MM² VERMELHO 
 20 x CONECTOR MC4 PAR EMBALADO 
 ESTRUTURA FIBROCIMENTO MADEIRA</t>
  </si>
  <si>
    <t>108 x MODULO FV 570WP N-TYPE BIFACIAL DAH SOLAR DHN-72X16/DG 
 1 x INVERSOR SOLIS 50KW 220V 50K-LV-5G-PRO COM MONITORAMENTO 
 200 x CABO FOTOVOLTAICO 4MM² PRETO 
 200 x CABO FOTOVOLTAICO 4MM² VERMELHO 
 16 x CONECTOR MC4 PAR EMBALADO 
 ESTRUTURA FIBROCIMENTO MADEIRA</t>
  </si>
  <si>
    <t>108 x MODULO FV 570WP N-TYPE BIFACIAL DUAL GLASS DAS-DH144NA 
 1 x INVERSOR SOLIS 50KW 220V 50K-LV-5G-PRO COM MONITORAMENTO 
 200 x CABO FOTOVOLTAICO 4MM² PRETO 
 200 x CABO FOTOVOLTAICO 4MM² VERMELHO 
 16 x CONECTOR MC4 PAR EMBALADO 
 ESTRUTURA FIBROCIMENTO MADEIRA</t>
  </si>
  <si>
    <t>108 x MODULO FV 570WP N-TYPE BIFACIAL DAH SOLAR DHN-72X16/DG 
 27 x HMS-2000-4T - MICRO HOYMILES 2000W DTU EXTERNA 
 4 x CABO FOTOVOLTAICO 4MM² PRETO 
 108 x CABO FOTOVOLTAICO 4MM² VERMELHO 
 216 x CONECTOR MC4 PAR EMBALADO 
 ESTRUTURA FIBROCIMENTO MADEIRA 
 27 x AC TRUNK CONNECTOR - CONECTOR CA HOYMILES 
 9 x AC TRUNK END CAP - TERMINAL ENDCAP HOYMILES 
 1 x AC TRUNK CONNECTOR UNLOCK TOOL - CHAVE DESBLOQUEIO CONECTOR CA 
 1 x HMS DISCONNECT TOOL-1PCS - CHAVE DESCONEXAO MICROINVERSOR 
 54 x CABO CA MULTIPOLAR 10AWG 
 2 x DTU-LITE-S(WIFI) - MONIT DTU-LITE S (ATÉ 25 MICROS)</t>
  </si>
  <si>
    <t>108 x MODULO FV 570WP N-TYPE BIFACIAL DUAL GLASS DAS-DH144NA 
 27 x HMS-2000-4T - MICRO HOYMILES 2000W DTU EXTERNA 
 4 x CABO FOTOVOLTAICO 4MM² PRETO 
 108 x CABO FOTOVOLTAICO 4MM² VERMELHO 
 216 x CONECTOR MC4 PAR EMBALADO 
 ESTRUTURA FIBROCIMENTO MADEIRA 
 27 x AC TRUNK CONNECTOR - CONECTOR CA HOYMILES 
 9 x AC TRUNK END CAP - TERMINAL ENDCAP HOYMILES 
 1 x AC TRUNK CONNECTOR UNLOCK TOOL - CHAVE DESBLOQUEIO CONECTOR CA 
 1 x HMS DISCONNECT TOOL-1PCS - CHAVE DESCONEXAO MICROINVERSOR 
 54 x CABO CA MULTIPOLAR 10AWG 
 2 x DTU-LITE-S(WIFI) - MONIT DTU-LITE S (ATÉ 25 MICROS)</t>
  </si>
  <si>
    <t>87 x MODULO FV 710WP BIFACIAL DUAL-GLASS TRINA TSM-NEG21C.20 
 22 x HMS-2000-4T - MICRO HOYMILES 2000W DTU EXTERNA 
 4 x CABO FOTOVOLTAICO 4MM² PRETO 
 88 x CABO FOTOVOLTAICO 4MM² VERMELHO 
 176 x CONECTOR MC4 PAR TRINA 
 ESTRUTURA FIBROCIMENTO MADEIRA 
 22 x AC TRUNK CONNECTOR - CONECTOR CA HOYMILES 
 8 x AC TRUNK END CAP - TERMINAL ENDCAP HOYMILES 
 1 x AC TRUNK CONNECTOR UNLOCK TOOL - CHAVE DESBLOQUEIO CONECTOR CA 
 1 x HMS DISCONNECT TOOL-1PCS - CHAVE DESCONEXAO MICROINVERSOR 
 42 x CABO CA MULTIPOLAR 10AWG 
 1 x DTU-LITE-S(WIFI) - MONIT DTU-LITE S (ATÉ 25 MICROS)</t>
  </si>
  <si>
    <t>109 x MODULO FV 570WP N-TYPE BIFACIAL DAH SOLAR DHN-72X16/DG 
 1 x INVERSOR SOLIS 50KW 380V S5-GC50K COM MONITORAMENTO 
 200 x CABO FOTOVOLTAICO 4MM² PRETO 
 200 x CABO FOTOVOLTAICO 4MM² VERMELHO 
 20 x CONECTOR MC4 PAR EMBALADO 
 ESTRUTURA FIBROCIMENTO MADEIRA</t>
  </si>
  <si>
    <t>109 x MODULO FV 570WP N-TYPE BIFACIAL DUAL GLASS DAS-DH144NA 
 1 x INVERSOR SOLIS 50KW 380V S5-GC50K COM MONITORAMENTO 
 200 x CABO FOTOVOLTAICO 4MM² PRETO 
 200 x CABO FOTOVOLTAICO 4MM² VERMELHO 
 20 x CONECTOR MC4 PAR EMBALADO 
 ESTRUTURA FIBROCIMENTO MADEIRA</t>
  </si>
  <si>
    <t>109 x MODULO FV 570WP N-TYPE BIFACIAL DAH SOLAR DHN-72X16/DG 
 1 x INVERSOR SUNGROW SG50CX-P2 AFCI 380V COM MONITORAMENTO 
 200 x CABO FOTOVOLTAICO 4MM² PRETO 
 200 x CABO FOTOVOLTAICO 4MM² VERMELHO 
 20 x CONECTOR MC4 PAR EMBALADO 
 ESTRUTURA FIBROCIMENTO MADEIRA</t>
  </si>
  <si>
    <t>109 x MODULO FV 570WP N-TYPE BIFACIAL DUAL GLASS DAS-DH144NA 
 1 x INVERSOR SUNGROW SG50CX-P2 AFCI 380V COM MONITORAMENTO 
 200 x CABO FOTOVOLTAICO 4MM² PRETO 
 200 x CABO FOTOVOLTAICO 4MM² VERMELHO 
 20 x CONECTOR MC4 PAR EMBALADO 
 ESTRUTURA FIBROCIMENTO MADEIRA</t>
  </si>
  <si>
    <t>109 x MODULO FV 570WP N-TYPE BIFACIAL DAH SOLAR DHN-72X16/DG 
 1 x INVERSOR SOLIS 50KW 220V 50K-LV-5G-PRO COM MONITORAMENTO 
 200 x CABO FOTOVOLTAICO 4MM² PRETO 
 200 x CABO FOTOVOLTAICO 4MM² VERMELHO 
 16 x CONECTOR MC4 PAR EMBALADO 
 ESTRUTURA FIBROCIMENTO MADEIRA</t>
  </si>
  <si>
    <t>109 x MODULO FV 570WP N-TYPE BIFACIAL DUAL GLASS DAS-DH144NA 
 1 x INVERSOR SOLIS 50KW 220V 50K-LV-5G-PRO COM MONITORAMENTO 
 200 x CABO FOTOVOLTAICO 4MM² PRETO 
 200 x CABO FOTOVOLTAICO 4MM² VERMELHO 
 16 x CONECTOR MC4 PAR EMBALADO 
 ESTRUTURA FIBROCIMENTO MADEIRA</t>
  </si>
  <si>
    <t>109 x MODULO FV 570WP N-TYPE BIFACIAL DAH SOLAR DHN-72X16/DG 
 28 x HMS-2000-4T - MICRO HOYMILES 2000W DTU EXTERNA 
 4 x CABO FOTOVOLTAICO 4MM² PRETO 
 112 x CABO FOTOVOLTAICO 4MM² VERMELHO 
 224 x CONECTOR MC4 PAR EMBALADO 
 ESTRUTURA FIBROCIMENTO MADEIRA 
 28 x AC TRUNK CONNECTOR - CONECTOR CA HOYMILES 
 10 x AC TRUNK END CAP - TERMINAL ENDCAP HOYMILES 
 1 x AC TRUNK CONNECTOR UNLOCK TOOL - CHAVE DESBLOQUEIO CONECTOR CA 
 1 x HMS DISCONNECT TOOL-1PCS - CHAVE DESCONEXAO MICROINVERSOR 
 54 x CABO CA MULTIPOLAR 10AWG 
 2 x DTU-LITE-S(WIFI) - MONIT DTU-LITE S (ATÉ 25 MICROS)</t>
  </si>
  <si>
    <t>109 x MODULO FV 570WP N-TYPE BIFACIAL DUAL GLASS DAS-DH144NA 
 28 x HMS-2000-4T - MICRO HOYMILES 2000W DTU EXTERNA 
 4 x CABO FOTOVOLTAICO 4MM² PRETO 
 112 x CABO FOTOVOLTAICO 4MM² VERMELHO 
 224 x CONECTOR MC4 PAR EMBALADO 
 ESTRUTURA FIBROCIMENTO MADEIRA 
 28 x AC TRUNK CONNECTOR - CONECTOR CA HOYMILES 
 10 x AC TRUNK END CAP - TERMINAL ENDCAP HOYMILES 
 1 x AC TRUNK CONNECTOR UNLOCK TOOL - CHAVE DESBLOQUEIO CONECTOR CA 
 1 x HMS DISCONNECT TOOL-1PCS - CHAVE DESCONEXAO MICROINVERSOR 
 54 x CABO CA MULTIPOLAR 10AWG 
 2 x DTU-LITE-S(WIFI) - MONIT DTU-LITE S (ATÉ 25 MICROS)</t>
  </si>
  <si>
    <t>88 x MODULO FV 710WP BIFACIAL DUAL-GLASS TRINA TSM-NEG21C.20 
 22 x HMS-2000-4T - MICRO HOYMILES 2000W DTU EXTERNA 
 4 x CABO FOTOVOLTAICO 4MM² PRETO 
 88 x CABO FOTOVOLTAICO 4MM² VERMELHO 
 176 x CONECTOR MC4 PAR TRINA 
 ESTRUTURA FIBROCIMENTO MADEIRA 
 22 x AC TRUNK CONNECTOR - CONECTOR CA HOYMILES 
 8 x AC TRUNK END CAP - TERMINAL ENDCAP HOYMILES 
 1 x AC TRUNK CONNECTOR UNLOCK TOOL - CHAVE DESBLOQUEIO CONECTOR CA 
 1 x HMS DISCONNECT TOOL-1PCS - CHAVE DESCONEXAO MICROINVERSOR 
 42 x CABO CA MULTIPOLAR 10AWG 
 1 x DTU-LITE-S(WIFI) - MONIT DTU-LITE S (ATÉ 25 MICROS)</t>
  </si>
  <si>
    <t>110 x MODULO FV 570WP N-TYPE BIFACIAL DAH SOLAR DHN-72X16/DG 
 1 x INVERSOR SOLIS 50KW 380V S5-GC50K COM MONITORAMENTO 
 200 x CABO FOTOVOLTAICO 4MM² PRETO 
 200 x CABO FOTOVOLTAICO 4MM² VERMELHO 
 20 x CONECTOR MC4 PAR EMBALADO 
 ESTRUTURA FIBROCIMENTO MADEIRA</t>
  </si>
  <si>
    <t>110 x MODULO FV 570WP N-TYPE BIFACIAL DUAL GLASS DAS-DH144NA 
 1 x INVERSOR SOLIS 50KW 380V S5-GC50K COM MONITORAMENTO 
 200 x CABO FOTOVOLTAICO 4MM² PRETO 
 200 x CABO FOTOVOLTAICO 4MM² VERMELHO 
 20 x CONECTOR MC4 PAR EMBALADO 
 ESTRUTURA FIBROCIMENTO MADEIRA</t>
  </si>
  <si>
    <t>110 x MODULO FV 570WP N-TYPE BIFACIAL DAH SOLAR DHN-72X16/DG 
 1 x INVERSOR SUNGROW SG50CX-P2 AFCI 380V COM MONITORAMENTO 
 200 x CABO FOTOVOLTAICO 4MM² PRETO 
 200 x CABO FOTOVOLTAICO 4MM² VERMELHO 
 20 x CONECTOR MC4 PAR EMBALADO 
 ESTRUTURA FIBROCIMENTO MADEIRA</t>
  </si>
  <si>
    <t>110 x MODULO FV 570WP N-TYPE BIFACIAL DUAL GLASS DAS-DH144NA 
 1 x INVERSOR SUNGROW SG50CX-P2 AFCI 380V COM MONITORAMENTO 
 200 x CABO FOTOVOLTAICO 4MM² PRETO 
 200 x CABO FOTOVOLTAICO 4MM² VERMELHO 
 20 x CONECTOR MC4 PAR EMBALADO 
 ESTRUTURA FIBROCIMENTO MADEIRA</t>
  </si>
  <si>
    <t>110 x MODULO FV 570WP N-TYPE BIFACIAL DAH SOLAR DHN-72X16/DG 
 1 x INVERSOR SOLIS 50KW 220V 50K-LV-5G-PRO COM MONITORAMENTO 
 200 x CABO FOTOVOLTAICO 4MM² PRETO 
 200 x CABO FOTOVOLTAICO 4MM² VERMELHO 
 16 x CONECTOR MC4 PAR EMBALADO 
 ESTRUTURA FIBROCIMENTO MADEIRA</t>
  </si>
  <si>
    <t>110 x MODULO FV 570WP N-TYPE BIFACIAL DUAL GLASS DAS-DH144NA 
 1 x INVERSOR SOLIS 50KW 220V 50K-LV-5G-PRO COM MONITORAMENTO 
 200 x CABO FOTOVOLTAICO 4MM² PRETO 
 200 x CABO FOTOVOLTAICO 4MM² VERMELHO 
 16 x CONECTOR MC4 PAR EMBALADO 
 ESTRUTURA FIBROCIMENTO MADEIRA</t>
  </si>
  <si>
    <t>110 x MODULO FV 570WP N-TYPE BIFACIAL DAH SOLAR DHN-72X16/DG 
 28 x HMS-2000-4T - MICRO HOYMILES 2000W DTU EXTERNA 
 4 x CABO FOTOVOLTAICO 4MM² PRETO 
 112 x CABO FOTOVOLTAICO 4MM² VERMELHO 
 224 x CONECTOR MC4 PAR EMBALADO 
 ESTRUTURA FIBROCIMENTO MADEIRA 
 28 x AC TRUNK CONNECTOR - CONECTOR CA HOYMILES 
 10 x AC TRUNK END CAP - TERMINAL ENDCAP HOYMILES 
 1 x AC TRUNK CONNECTOR UNLOCK TOOL - CHAVE DESBLOQUEIO CONECTOR CA 
 1 x HMS DISCONNECT TOOL-1PCS - CHAVE DESCONEXAO MICROINVERSOR 
 54 x CABO CA MULTIPOLAR 10AWG 
 2 x DTU-LITE-S(WIFI) - MONIT DTU-LITE S (ATÉ 25 MICROS)</t>
  </si>
  <si>
    <t>110 x MODULO FV 570WP N-TYPE BIFACIAL DUAL GLASS DAS-DH144NA 
 28 x HMS-2000-4T - MICRO HOYMILES 2000W DTU EXTERNA 
 4 x CABO FOTOVOLTAICO 4MM² PRETO 
 112 x CABO FOTOVOLTAICO 4MM² VERMELHO 
 224 x CONECTOR MC4 PAR EMBALADO 
 ESTRUTURA FIBROCIMENTO MADEIRA 
 28 x AC TRUNK CONNECTOR - CONECTOR CA HOYMILES 
 10 x AC TRUNK END CAP - TERMINAL ENDCAP HOYMILES 
 1 x AC TRUNK CONNECTOR UNLOCK TOOL - CHAVE DESBLOQUEIO CONECTOR CA 
 1 x HMS DISCONNECT TOOL-1PCS - CHAVE DESCONEXAO MICROINVERSOR 
 54 x CABO CA MULTIPOLAR 10AWG 
 2 x DTU-LITE-S(WIFI) - MONIT DTU-LITE S (ATÉ 25 MICROS)</t>
  </si>
  <si>
    <t>89 x MODULO FV 710WP BIFACIAL DUAL-GLASS TRINA TSM-NEG21C.20 
 23 x HMS-2000-4T - MICRO HOYMILES 2000W DTU EXTERNA 
 4 x CABO FOTOVOLTAICO 4MM² PRETO 
 92 x CABO FOTOVOLTAICO 4MM² VERMELHO 
 184 x CONECTOR MC4 PAR TRINA 
 ESTRUTURA FIBROCIMENTO MADEIRA 
 23 x AC TRUNK CONNECTOR - CONECTOR CA HOYMILES 
 8 x AC TRUNK END CAP - TERMINAL ENDCAP HOYMILES 
 1 x AC TRUNK CONNECTOR UNLOCK TOOL - CHAVE DESBLOQUEIO CONECTOR CA 
 1 x HMS DISCONNECT TOOL-1PCS - CHAVE DESCONEXAO MICROINVERSOR 
 45 x CABO CA MULTIPOLAR 10AWG 
 1 x DTU-LITE-S(WIFI) - MONIT DTU-LITE S (ATÉ 25 MICROS)</t>
  </si>
  <si>
    <t>111 x MODULO FV 570WP N-TYPE BIFACIAL DAH SOLAR DHN-72X16/DG 
 1 x INVERSOR SOLIS 50KW 380V S5-GC50K COM MONITORAMENTO 
 200 x CABO FOTOVOLTAICO 4MM² PRETO 
 200 x CABO FOTOVOLTAICO 4MM² VERMELHO 
 20 x CONECTOR MC4 PAR EMBALADO 
 ESTRUTURA FIBROCIMENTO MADEIRA</t>
  </si>
  <si>
    <t>111 x MODULO FV 570WP N-TYPE BIFACIAL DUAL GLASS DAS-DH144NA 
 1 x INVERSOR SOLIS 50KW 380V S5-GC50K COM MONITORAMENTO 
 200 x CABO FOTOVOLTAICO 4MM² PRETO 
 200 x CABO FOTOVOLTAICO 4MM² VERMELHO 
 20 x CONECTOR MC4 PAR EMBALADO 
 ESTRUTURA FIBROCIMENTO MADEIRA</t>
  </si>
  <si>
    <t>111 x MODULO FV 570WP N-TYPE BIFACIAL DAH SOLAR DHN-72X16/DG 
 1 x INVERSOR SUNGROW SG50CX-P2 AFCI 380V COM MONITORAMENTO 
 200 x CABO FOTOVOLTAICO 4MM² PRETO 
 200 x CABO FOTOVOLTAICO 4MM² VERMELHO 
 20 x CONECTOR MC4 PAR EMBALADO 
 ESTRUTURA FIBROCIMENTO MADEIRA</t>
  </si>
  <si>
    <t>111 x MODULO FV 570WP N-TYPE BIFACIAL DUAL GLASS DAS-DH144NA 
 1 x INVERSOR SUNGROW SG50CX-P2 AFCI 380V COM MONITORAMENTO 
 200 x CABO FOTOVOLTAICO 4MM² PRETO 
 200 x CABO FOTOVOLTAICO 4MM² VERMELHO 
 20 x CONECTOR MC4 PAR EMBALADO 
 ESTRUTURA FIBROCIMENTO MADEIRA</t>
  </si>
  <si>
    <t>111 x MODULO FV 570WP N-TYPE BIFACIAL DAH SOLAR DHN-72X16/DG 
 1 x INVERSOR SOLIS 50KW 220V 50K-LV-5G-PRO COM MONITORAMENTO 
 200 x CABO FOTOVOLTAICO 4MM² PRETO 
 200 x CABO FOTOVOLTAICO 4MM² VERMELHO 
 16 x CONECTOR MC4 PAR EMBALADO 
 ESTRUTURA FIBROCIMENTO MADEIRA</t>
  </si>
  <si>
    <t>111 x MODULO FV 570WP N-TYPE BIFACIAL DUAL GLASS DAS-DH144NA 
 1 x INVERSOR SOLIS 50KW 220V 50K-LV-5G-PRO COM MONITORAMENTO 
 200 x CABO FOTOVOLTAICO 4MM² PRETO 
 200 x CABO FOTOVOLTAICO 4MM² VERMELHO 
 16 x CONECTOR MC4 PAR EMBALADO 
 ESTRUTURA FIBROCIMENTO MADEIRA</t>
  </si>
  <si>
    <t>111 x MODULO FV 570WP N-TYPE BIFACIAL DAH SOLAR DHN-72X16/DG 
 28 x HMS-2000-4T - MICRO HOYMILES 2000W DTU EXTERNA 
 4 x CABO FOTOVOLTAICO 4MM² PRETO 
 112 x CABO FOTOVOLTAICO 4MM² VERMELHO 
 224 x CONECTOR MC4 PAR EMBALADO 
 ESTRUTURA FIBROCIMENTO MADEIRA 
 28 x AC TRUNK CONNECTOR - CONECTOR CA HOYMILES 
 10 x AC TRUNK END CAP - TERMINAL ENDCAP HOYMILES 
 1 x AC TRUNK CONNECTOR UNLOCK TOOL - CHAVE DESBLOQUEIO CONECTOR CA 
 1 x HMS DISCONNECT TOOL-1PCS - CHAVE DESCONEXAO MICROINVERSOR 
 54 x CABO CA MULTIPOLAR 10AWG 
 2 x DTU-LITE-S(WIFI) - MONIT DTU-LITE S (ATÉ 25 MICROS)</t>
  </si>
  <si>
    <t>111 x MODULO FV 570WP N-TYPE BIFACIAL DUAL GLASS DAS-DH144NA 
 28 x HMS-2000-4T - MICRO HOYMILES 2000W DTU EXTERNA 
 4 x CABO FOTOVOLTAICO 4MM² PRETO 
 112 x CABO FOTOVOLTAICO 4MM² VERMELHO 
 224 x CONECTOR MC4 PAR EMBALADO 
 ESTRUTURA FIBROCIMENTO MADEIRA 
 28 x AC TRUNK CONNECTOR - CONECTOR CA HOYMILES 
 10 x AC TRUNK END CAP - TERMINAL ENDCAP HOYMILES 
 1 x AC TRUNK CONNECTOR UNLOCK TOOL - CHAVE DESBLOQUEIO CONECTOR CA 
 1 x HMS DISCONNECT TOOL-1PCS - CHAVE DESCONEXAO MICROINVERSOR 
 54 x CABO CA MULTIPOLAR 10AWG 
 2 x DTU-LITE-S(WIFI) - MONIT DTU-LITE S (ATÉ 25 MICROS)</t>
  </si>
  <si>
    <t>112 x MODULO FV 570WP N-TYPE BIFACIAL DAH SOLAR DHN-72X16/DG 
 1 x INVERSOR SOLIS 50KW 380V S5-GC50K COM MONITORAMENTO 
 200 x CABO FOTOVOLTAICO 4MM² PRETO 
 200 x CABO FOTOVOLTAICO 4MM² VERMELHO 
 20 x CONECTOR MC4 PAR EMBALADO 
 ESTRUTURA FIBROCIMENTO MADEIRA</t>
  </si>
  <si>
    <t>112 x MODULO FV 570WP N-TYPE BIFACIAL DUAL GLASS DAS-DH144NA 
 1 x INVERSOR SOLIS 50KW 380V S5-GC50K COM MONITORAMENTO 
 200 x CABO FOTOVOLTAICO 4MM² PRETO 
 200 x CABO FOTOVOLTAICO 4MM² VERMELHO 
 20 x CONECTOR MC4 PAR EMBALADO 
 ESTRUTURA FIBROCIMENTO MADEIRA</t>
  </si>
  <si>
    <t>112 x MODULO FV 570WP N-TYPE BIFACIAL DAH SOLAR DHN-72X16/DG 
 1 x INVERSOR SUNGROW SG50CX-P2 AFCI 380V COM MONITORAMENTO 
 200 x CABO FOTOVOLTAICO 4MM² PRETO 
 200 x CABO FOTOVOLTAICO 4MM² VERMELHO 
 20 x CONECTOR MC4 PAR EMBALADO 
 ESTRUTURA FIBROCIMENTO MADEIRA</t>
  </si>
  <si>
    <t>112 x MODULO FV 570WP N-TYPE BIFACIAL DUAL GLASS DAS-DH144NA 
 1 x INVERSOR SUNGROW SG50CX-P2 AFCI 380V COM MONITORAMENTO 
 200 x CABO FOTOVOLTAICO 4MM² PRETO 
 200 x CABO FOTOVOLTAICO 4MM² VERMELHO 
 20 x CONECTOR MC4 PAR EMBALADO 
 ESTRUTURA FIBROCIMENTO MADEIRA</t>
  </si>
  <si>
    <t>112 x MODULO FV 570WP N-TYPE BIFACIAL DAH SOLAR DHN-72X16/DG 
 1 x INVERSOR SOLIS 50KW 220V 50K-LV-5G-PRO COM MONITORAMENTO 
 200 x CABO FOTOVOLTAICO 4MM² PRETO 
 200 x CABO FOTOVOLTAICO 4MM² VERMELHO 
 16 x CONECTOR MC4 PAR EMBALADO 
 ESTRUTURA FIBROCIMENTO MADEIRA</t>
  </si>
  <si>
    <t>112 x MODULO FV 570WP N-TYPE BIFACIAL DUAL GLASS DAS-DH144NA 
 1 x INVERSOR SOLIS 50KW 220V 50K-LV-5G-PRO COM MONITORAMENTO 
 200 x CABO FOTOVOLTAICO 4MM² PRETO 
 200 x CABO FOTOVOLTAICO 4MM² VERMELHO 
 16 x CONECTOR MC4 PAR EMBALADO 
 ESTRUTURA FIBROCIMENTO MADEIRA</t>
  </si>
  <si>
    <t>112 x MODULO FV 570WP N-TYPE BIFACIAL DAH SOLAR DHN-72X16/DG 
 28 x HMS-2000-4T - MICRO HOYMILES 2000W DTU EXTERNA 
 4 x CABO FOTOVOLTAICO 4MM² PRETO 
 112 x CABO FOTOVOLTAICO 4MM² VERMELHO 
 224 x CONECTOR MC4 PAR EMBALADO 
 ESTRUTURA FIBROCIMENTO MADEIRA 
 28 x AC TRUNK CONNECTOR - CONECTOR CA HOYMILES 
 10 x AC TRUNK END CAP - TERMINAL ENDCAP HOYMILES 
 1 x AC TRUNK CONNECTOR UNLOCK TOOL - CHAVE DESBLOQUEIO CONECTOR CA 
 1 x HMS DISCONNECT TOOL-1PCS - CHAVE DESCONEXAO MICROINVERSOR 
 54 x CABO CA MULTIPOLAR 10AWG 
 2 x DTU-LITE-S(WIFI) - MONIT DTU-LITE S (ATÉ 25 MICROS)</t>
  </si>
  <si>
    <t>112 x MODULO FV 570WP N-TYPE BIFACIAL DUAL GLASS DAS-DH144NA 
 28 x HMS-2000-4T - MICRO HOYMILES 2000W DTU EXTERNA 
 4 x CABO FOTOVOLTAICO 4MM² PRETO 
 112 x CABO FOTOVOLTAICO 4MM² VERMELHO 
 224 x CONECTOR MC4 PAR EMBALADO 
 ESTRUTURA FIBROCIMENTO MADEIRA 
 28 x AC TRUNK CONNECTOR - CONECTOR CA HOYMILES 
 10 x AC TRUNK END CAP - TERMINAL ENDCAP HOYMILES 
 1 x AC TRUNK CONNECTOR UNLOCK TOOL - CHAVE DESBLOQUEIO CONECTOR CA 
 1 x HMS DISCONNECT TOOL-1PCS - CHAVE DESCONEXAO MICROINVERSOR 
 54 x CABO CA MULTIPOLAR 10AWG 
 2 x DTU-LITE-S(WIFI) - MONIT DTU-LITE S (ATÉ 25 MICROS)</t>
  </si>
  <si>
    <t>90 x MODULO FV 710WP BIFACIAL DUAL-GLASS TRINA TSM-NEG21C.20 
 23 x HMS-2000-4T - MICRO HOYMILES 2000W DTU EXTERNA 
 4 x CABO FOTOVOLTAICO 4MM² PRETO 
 92 x CABO FOTOVOLTAICO 4MM² VERMELHO 
 184 x CONECTOR MC4 PAR TRINA 
 ESTRUTURA FIBROCIMENTO MADEIRA 
 23 x AC TRUNK CONNECTOR - CONECTOR CA HOYMILES 
 8 x AC TRUNK END CAP - TERMINAL ENDCAP HOYMILES 
 1 x AC TRUNK CONNECTOR UNLOCK TOOL - CHAVE DESBLOQUEIO CONECTOR CA 
 1 x HMS DISCONNECT TOOL-1PCS - CHAVE DESCONEXAO MICROINVERSOR 
 45 x CABO CA MULTIPOLAR 10AWG 
 1 x DTU-LITE-S(WIFI) - MONIT DTU-LITE S (ATÉ 25 MICROS)</t>
  </si>
  <si>
    <t>113 x MODULO FV 570WP N-TYPE BIFACIAL DAH SOLAR DHN-72X16/DG 
 1 x INVERSOR SOLIS 50KW 380V S5-GC50K COM MONITORAMENTO 
 200 x CABO FOTOVOLTAICO 4MM² PRETO 
 200 x CABO FOTOVOLTAICO 4MM² VERMELHO 
 20 x CONECTOR MC4 PAR EMBALADO 
 ESTRUTURA FIBROCIMENTO MADEIRA</t>
  </si>
  <si>
    <t>113 x MODULO FV 570WP N-TYPE BIFACIAL DUAL GLASS DAS-DH144NA 
 1 x INVERSOR SOLIS 50KW 380V S5-GC50K COM MONITORAMENTO 
 200 x CABO FOTOVOLTAICO 4MM² PRETO 
 200 x CABO FOTOVOLTAICO 4MM² VERMELHO 
 20 x CONECTOR MC4 PAR EMBALADO 
 ESTRUTURA FIBROCIMENTO MADEIRA</t>
  </si>
  <si>
    <t>113 x MODULO FV 570WP N-TYPE BIFACIAL DAH SOLAR DHN-72X16/DG 
 1 x INVERSOR SUNGROW SG50CX-P2 AFCI 380V COM MONITORAMENTO 
 200 x CABO FOTOVOLTAICO 4MM² PRETO 
 200 x CABO FOTOVOLTAICO 4MM² VERMELHO 
 20 x CONECTOR MC4 PAR EMBALADO 
 ESTRUTURA FIBROCIMENTO MADEIRA</t>
  </si>
  <si>
    <t>113 x MODULO FV 570WP N-TYPE BIFACIAL DUAL GLASS DAS-DH144NA 
 1 x INVERSOR SUNGROW SG50CX-P2 AFCI 380V COM MONITORAMENTO 
 200 x CABO FOTOVOLTAICO 4MM² PRETO 
 200 x CABO FOTOVOLTAICO 4MM² VERMELHO 
 20 x CONECTOR MC4 PAR EMBALADO 
 ESTRUTURA FIBROCIMENTO MADEIRA</t>
  </si>
  <si>
    <t>113 x MODULO FV 570WP N-TYPE BIFACIAL DAH SOLAR DHN-72X16/DG 
 1 x INVERSOR SOLIS 60KW 220V 60K-LV-5G-PRO COM MONITORAMENTO 
 200 x CABO FOTOVOLTAICO 4MM² PRETO 
 200 x CABO FOTOVOLTAICO 4MM² VERMELHO 
 32 x CONECTOR MC4 PAR EMBALADO 
 ESTRUTURA FIBROCIMENTO MADEIRA</t>
  </si>
  <si>
    <t>113 x MODULO FV 570WP N-TYPE BIFACIAL DUAL GLASS DAS-DH144NA 
 1 x INVERSOR SOLIS 60KW 220V 60K-LV-5G-PRO COM MONITORAMENTO 
 200 x CABO FOTOVOLTAICO 4MM² PRETO 
 200 x CABO FOTOVOLTAICO 4MM² VERMELHO 
 32 x CONECTOR MC4 PAR EMBALADO 
 ESTRUTURA FIBROCIMENTO MADEIRA</t>
  </si>
  <si>
    <t>57</t>
  </si>
  <si>
    <t>113 x MODULO FV 570WP N-TYPE BIFACIAL DAH SOLAR DHN-72X16/DG 
 29 x HMS-2000-4T - MICRO HOYMILES 2000W DTU EXTERNA 
 4 x CABO FOTOVOLTAICO 4MM² PRETO 
 116 x CABO FOTOVOLTAICO 4MM² VERMELHO 
 232 x CONECTOR MC4 PAR EMBALADO 
 ESTRUTURA FIBROCIMENTO MADEIRA 
 29 x AC TRUNK CONNECTOR - CONECTOR CA HOYMILES 
 10 x AC TRUNK END CAP - TERMINAL ENDCAP HOYMILES 
 1 x AC TRUNK CONNECTOR UNLOCK TOOL - CHAVE DESBLOQUEIO CONECTOR CA 
 1 x HMS DISCONNECT TOOL-1PCS - CHAVE DESCONEXAO MICROINVERSOR 
 57 x CABO CA MULTIPOLAR 10AWG 
 2 x DTU-LITE-S(WIFI) - MONIT DTU-LITE S (ATÉ 25 MICROS)</t>
  </si>
  <si>
    <t>113 x MODULO FV 570WP N-TYPE BIFACIAL DUAL GLASS DAS-DH144NA 
 29 x HMS-2000-4T - MICRO HOYMILES 2000W DTU EXTERNA 
 4 x CABO FOTOVOLTAICO 4MM² PRETO 
 116 x CABO FOTOVOLTAICO 4MM² VERMELHO 
 232 x CONECTOR MC4 PAR EMBALADO 
 ESTRUTURA FIBROCIMENTO MADEIRA 
 29 x AC TRUNK CONNECTOR - CONECTOR CA HOYMILES 
 10 x AC TRUNK END CAP - TERMINAL ENDCAP HOYMILES 
 1 x AC TRUNK CONNECTOR UNLOCK TOOL - CHAVE DESBLOQUEIO CONECTOR CA 
 1 x HMS DISCONNECT TOOL-1PCS - CHAVE DESCONEXAO MICROINVERSOR 
 57 x CABO CA MULTIPOLAR 10AWG 
 2 x DTU-LITE-S(WIFI) - MONIT DTU-LITE S (ATÉ 25 MICROS)</t>
  </si>
  <si>
    <t>91 x MODULO FV 710WP BIFACIAL DUAL-GLASS TRINA TSM-NEG21C.20 
 23 x HMS-2000-4T - MICRO HOYMILES 2000W DTU EXTERNA 
 4 x CABO FOTOVOLTAICO 4MM² PRETO 
 92 x CABO FOTOVOLTAICO 4MM² VERMELHO 
 184 x CONECTOR MC4 PAR TRINA 
 ESTRUTURA FIBROCIMENTO MADEIRA 
 23 x AC TRUNK CONNECTOR - CONECTOR CA HOYMILES 
 8 x AC TRUNK END CAP - TERMINAL ENDCAP HOYMILES 
 1 x AC TRUNK CONNECTOR UNLOCK TOOL - CHAVE DESBLOQUEIO CONECTOR CA 
 1 x HMS DISCONNECT TOOL-1PCS - CHAVE DESCONEXAO MICROINVERSOR 
 45 x CABO CA MULTIPOLAR 10AWG 
 1 x DTU-LITE-S(WIFI) - MONIT DTU-LITE S (ATÉ 25 MICROS)</t>
  </si>
  <si>
    <t>114 x MODULO FV 570WP N-TYPE BIFACIAL DAH SOLAR DHN-72X16/DG 
 1 x INVERSOR SOLIS 50KW 380V S5-GC50K COM MONITORAMENTO 
 200 x CABO FOTOVOLTAICO 4MM² PRETO 
 200 x CABO FOTOVOLTAICO 4MM² VERMELHO 
 20 x CONECTOR MC4 PAR EMBALADO 
 ESTRUTURA FIBROCIMENTO MADEIRA</t>
  </si>
  <si>
    <t>114 x MODULO FV 570WP N-TYPE BIFACIAL DUAL GLASS DAS-DH144NA 
 1 x INVERSOR SOLIS 50KW 380V S5-GC50K COM MONITORAMENTO 
 200 x CABO FOTOVOLTAICO 4MM² PRETO 
 200 x CABO FOTOVOLTAICO 4MM² VERMELHO 
 20 x CONECTOR MC4 PAR EMBALADO 
 ESTRUTURA FIBROCIMENTO MADEIRA</t>
  </si>
  <si>
    <t>114 x MODULO FV 570WP N-TYPE BIFACIAL DAH SOLAR DHN-72X16/DG 
 1 x INVERSOR SUNGROW SG50CX-P2 AFCI 380V COM MONITORAMENTO 
 200 x CABO FOTOVOLTAICO 4MM² PRETO 
 200 x CABO FOTOVOLTAICO 4MM² VERMELHO 
 20 x CONECTOR MC4 PAR EMBALADO 
 ESTRUTURA FIBROCIMENTO MADEIRA</t>
  </si>
  <si>
    <t>114 x MODULO FV 570WP N-TYPE BIFACIAL DUAL GLASS DAS-DH144NA 
 1 x INVERSOR SUNGROW SG50CX-P2 AFCI 380V COM MONITORAMENTO 
 200 x CABO FOTOVOLTAICO 4MM² PRETO 
 200 x CABO FOTOVOLTAICO 4MM² VERMELHO 
 20 x CONECTOR MC4 PAR EMBALADO 
 ESTRUTURA FIBROCIMENTO MADEIRA</t>
  </si>
  <si>
    <t>114 x MODULO FV 570WP N-TYPE BIFACIAL DAH SOLAR DHN-72X16/DG 
 1 x INVERSOR SOLIS 60KW 220V 60K-LV-5G-PRO COM MONITORAMENTO 
 200 x CABO FOTOVOLTAICO 4MM² PRETO 
 200 x CABO FOTOVOLTAICO 4MM² VERMELHO 
 32 x CONECTOR MC4 PAR EMBALADO 
 ESTRUTURA FIBROCIMENTO MADEIRA</t>
  </si>
  <si>
    <t>114 x MODULO FV 570WP N-TYPE BIFACIAL DUAL GLASS DAS-DH144NA 
 1 x INVERSOR SOLIS 60KW 220V 60K-LV-5G-PRO COM MONITORAMENTO 
 200 x CABO FOTOVOLTAICO 4MM² PRETO 
 200 x CABO FOTOVOLTAICO 4MM² VERMELHO 
 32 x CONECTOR MC4 PAR EMBALADO 
 ESTRUTURA FIBROCIMENTO MADEIRA</t>
  </si>
  <si>
    <t>114 x MODULO FV 570WP N-TYPE BIFACIAL DAH SOLAR DHN-72X16/DG 
 29 x HMS-2000-4T - MICRO HOYMILES 2000W DTU EXTERNA 
 4 x CABO FOTOVOLTAICO 4MM² PRETO 
 116 x CABO FOTOVOLTAICO 4MM² VERMELHO 
 232 x CONECTOR MC4 PAR EMBALADO 
 ESTRUTURA FIBROCIMENTO MADEIRA 
 29 x AC TRUNK CONNECTOR - CONECTOR CA HOYMILES 
 10 x AC TRUNK END CAP - TERMINAL ENDCAP HOYMILES 
 1 x AC TRUNK CONNECTOR UNLOCK TOOL - CHAVE DESBLOQUEIO CONECTOR CA 
 1 x HMS DISCONNECT TOOL-1PCS - CHAVE DESCONEXAO MICROINVERSOR 
 57 x CABO CA MULTIPOLAR 10AWG 
 2 x DTU-LITE-S(WIFI) - MONIT DTU-LITE S (ATÉ 25 MICROS)</t>
  </si>
  <si>
    <t>114 x MODULO FV 570WP N-TYPE BIFACIAL DUAL GLASS DAS-DH144NA 
 29 x HMS-2000-4T - MICRO HOYMILES 2000W DTU EXTERNA 
 4 x CABO FOTOVOLTAICO 4MM² PRETO 
 116 x CABO FOTOVOLTAICO 4MM² VERMELHO 
 232 x CONECTOR MC4 PAR EMBALADO 
 ESTRUTURA FIBROCIMENTO MADEIRA 
 29 x AC TRUNK CONNECTOR - CONECTOR CA HOYMILES 
 10 x AC TRUNK END CAP - TERMINAL ENDCAP HOYMILES 
 1 x AC TRUNK CONNECTOR UNLOCK TOOL - CHAVE DESBLOQUEIO CONECTOR CA 
 1 x HMS DISCONNECT TOOL-1PCS - CHAVE DESCONEXAO MICROINVERSOR 
 57 x CABO CA MULTIPOLAR 10AWG 
 2 x DTU-LITE-S(WIFI) - MONIT DTU-LITE S (ATÉ 25 MICROS)</t>
  </si>
  <si>
    <t>92 x MODULO FV 710WP BIFACIAL DUAL-GLASS TRINA TSM-NEG21C.20 
 23 x HMS-2000-4T - MICRO HOYMILES 2000W DTU EXTERNA 
 4 x CABO FOTOVOLTAICO 4MM² PRETO 
 92 x CABO FOTOVOLTAICO 4MM² VERMELHO 
 184 x CONECTOR MC4 PAR TRINA 
 ESTRUTURA FIBROCIMENTO MADEIRA 
 23 x AC TRUNK CONNECTOR - CONECTOR CA HOYMILES 
 8 x AC TRUNK END CAP - TERMINAL ENDCAP HOYMILES 
 1 x AC TRUNK CONNECTOR UNLOCK TOOL - CHAVE DESBLOQUEIO CONECTOR CA 
 1 x HMS DISCONNECT TOOL-1PCS - CHAVE DESCONEXAO MICROINVERSOR 
 45 x CABO CA MULTIPOLAR 10AWG 
 1 x DTU-LITE-S(WIFI) - MONIT DTU-LITE S (ATÉ 25 MICROS)</t>
  </si>
  <si>
    <t>115 x MODULO FV 570WP N-TYPE BIFACIAL DAH SOLAR DHN-72X16/DG 
 1 x INVERSOR SOLIS 50KW 380V S5-GC50K COM MONITORAMENTO 
 200 x CABO FOTOVOLTAICO 4MM² PRETO 
 200 x CABO FOTOVOLTAICO 4MM² VERMELHO 
 20 x CONECTOR MC4 PAR EMBALADO 
 ESTRUTURA FIBROCIMENTO MADEIRA</t>
  </si>
  <si>
    <t>115 x MODULO FV 570WP N-TYPE BIFACIAL DUAL GLASS DAS-DH144NA 
 1 x INVERSOR SOLIS 50KW 380V S5-GC50K COM MONITORAMENTO 
 200 x CABO FOTOVOLTAICO 4MM² PRETO 
 200 x CABO FOTOVOLTAICO 4MM² VERMELHO 
 20 x CONECTOR MC4 PAR EMBALADO 
 ESTRUTURA FIBROCIMENTO MADEIRA</t>
  </si>
  <si>
    <t>115 x MODULO FV 570WP N-TYPE BIFACIAL DAH SOLAR DHN-72X16/DG 
 1 x INVERSOR SUNGROW SG50CX-P2 AFCI 380V COM MONITORAMENTO 
 200 x CABO FOTOVOLTAICO 4MM² PRETO 
 200 x CABO FOTOVOLTAICO 4MM² VERMELHO 
 20 x CONECTOR MC4 PAR EMBALADO 
 ESTRUTURA FIBROCIMENTO MADEIRA</t>
  </si>
  <si>
    <t>115 x MODULO FV 570WP N-TYPE BIFACIAL DUAL GLASS DAS-DH144NA 
 1 x INVERSOR SUNGROW SG50CX-P2 AFCI 380V COM MONITORAMENTO 
 200 x CABO FOTOVOLTAICO 4MM² PRETO 
 200 x CABO FOTOVOLTAICO 4MM² VERMELHO 
 20 x CONECTOR MC4 PAR EMBALADO 
 ESTRUTURA FIBROCIMENTO MADEIRA</t>
  </si>
  <si>
    <t>115 x MODULO FV 570WP N-TYPE BIFACIAL DAH SOLAR DHN-72X16/DG 
 1 x INVERSOR SOLIS 60KW 220V 60K-LV-5G-PRO COM MONITORAMENTO 
 200 x CABO FOTOVOLTAICO 4MM² PRETO 
 200 x CABO FOTOVOLTAICO 4MM² VERMELHO 
 32 x CONECTOR MC4 PAR EMBALADO 
 ESTRUTURA FIBROCIMENTO MADEIRA</t>
  </si>
  <si>
    <t>115 x MODULO FV 570WP N-TYPE BIFACIAL DUAL GLASS DAS-DH144NA 
 1 x INVERSOR SOLIS 60KW 220V 60K-LV-5G-PRO COM MONITORAMENTO 
 200 x CABO FOTOVOLTAICO 4MM² PRETO 
 200 x CABO FOTOVOLTAICO 4MM² VERMELHO 
 32 x CONECTOR MC4 PAR EMBALADO 
 ESTRUTURA FIBROCIMENTO MADEIRA</t>
  </si>
  <si>
    <t>115 x MODULO FV 570WP N-TYPE BIFACIAL DAH SOLAR DHN-72X16/DG 
 29 x HMS-2000-4T - MICRO HOYMILES 2000W DTU EXTERNA 
 4 x CABO FOTOVOLTAICO 4MM² PRETO 
 116 x CABO FOTOVOLTAICO 4MM² VERMELHO 
 232 x CONECTOR MC4 PAR EMBALADO 
 ESTRUTURA FIBROCIMENTO MADEIRA 
 29 x AC TRUNK CONNECTOR - CONECTOR CA HOYMILES 
 10 x AC TRUNK END CAP - TERMINAL ENDCAP HOYMILES 
 1 x AC TRUNK CONNECTOR UNLOCK TOOL - CHAVE DESBLOQUEIO CONECTOR CA 
 1 x HMS DISCONNECT TOOL-1PCS - CHAVE DESCONEXAO MICROINVERSOR 
 57 x CABO CA MULTIPOLAR 10AWG 
 2 x DTU-LITE-S(WIFI) - MONIT DTU-LITE S (ATÉ 25 MICROS)</t>
  </si>
  <si>
    <t>115 x MODULO FV 570WP N-TYPE BIFACIAL DUAL GLASS DAS-DH144NA 
 29 x HMS-2000-4T - MICRO HOYMILES 2000W DTU EXTERNA 
 4 x CABO FOTOVOLTAICO 4MM² PRETO 
 116 x CABO FOTOVOLTAICO 4MM² VERMELHO 
 232 x CONECTOR MC4 PAR EMBALADO 
 ESTRUTURA FIBROCIMENTO MADEIRA 
 29 x AC TRUNK CONNECTOR - CONECTOR CA HOYMILES 
 10 x AC TRUNK END CAP - TERMINAL ENDCAP HOYMILES 
 1 x AC TRUNK CONNECTOR UNLOCK TOOL - CHAVE DESBLOQUEIO CONECTOR CA 
 1 x HMS DISCONNECT TOOL-1PCS - CHAVE DESCONEXAO MICROINVERSOR 
 57 x CABO CA MULTIPOLAR 10AWG 
 2 x DTU-LITE-S(WIFI) - MONIT DTU-LITE S (ATÉ 25 MICROS)</t>
  </si>
  <si>
    <t>93 x MODULO FV 710WP BIFACIAL DUAL-GLASS TRINA TSM-NEG21C.20 
 24 x HMS-2000-4T - MICRO HOYMILES 2000W DTU EXTERNA 
 4 x CABO FOTOVOLTAICO 4MM² PRETO 
 96 x CABO FOTOVOLTAICO 4MM² VERMELHO 
 192 x CONECTOR MC4 PAR TRINA 
 ESTRUTURA FIBROCIMENTO MADEIRA 
 24 x AC TRUNK CONNECTOR - CONECTOR CA HOYMILES 
 8 x AC TRUNK END CAP - TERMINAL ENDCAP HOYMILES 
 1 x AC TRUNK CONNECTOR UNLOCK TOOL - CHAVE DESBLOQUEIO CONECTOR CA 
 1 x HMS DISCONNECT TOOL-1PCS - CHAVE DESCONEXAO MICROINVERSOR 
 48 x CABO CA MULTIPOLAR 10AWG 
 1 x DTU-LITE-S(WIFI) - MONIT DTU-LITE S (ATÉ 25 MICROS)</t>
  </si>
  <si>
    <t>116 x MODULO FV 570WP N-TYPE BIFACIAL DAH SOLAR DHN-72X16/DG 
 1 x INVERSOR SOLIS 50KW 380V S5-GC50K COM MONITORAMENTO 
 200 x CABO FOTOVOLTAICO 4MM² PRETO 
 200 x CABO FOTOVOLTAICO 4MM² VERMELHO 
 20 x CONECTOR MC4 PAR EMBALADO 
 ESTRUTURA FIBROCIMENTO MADEIRA</t>
  </si>
  <si>
    <t>116 x MODULO FV 570WP N-TYPE BIFACIAL DUAL GLASS DAS-DH144NA 
 1 x INVERSOR SOLIS 50KW 380V S5-GC50K COM MONITORAMENTO 
 200 x CABO FOTOVOLTAICO 4MM² PRETO 
 200 x CABO FOTOVOLTAICO 4MM² VERMELHO 
 20 x CONECTOR MC4 PAR EMBALADO 
 ESTRUTURA FIBROCIMENTO MADEIRA</t>
  </si>
  <si>
    <t>116 x MODULO FV 570WP N-TYPE BIFACIAL DAH SOLAR DHN-72X16/DG 
 1 x INVERSOR SUNGROW SG50CX-P2 AFCI 380V COM MONITORAMENTO 
 200 x CABO FOTOVOLTAICO 4MM² PRETO 
 200 x CABO FOTOVOLTAICO 4MM² VERMELHO 
 20 x CONECTOR MC4 PAR EMBALADO 
 ESTRUTURA FIBROCIMENTO MADEIRA</t>
  </si>
  <si>
    <t>116 x MODULO FV 570WP N-TYPE BIFACIAL DUAL GLASS DAS-DH144NA 
 1 x INVERSOR SUNGROW SG50CX-P2 AFCI 380V COM MONITORAMENTO 
 200 x CABO FOTOVOLTAICO 4MM² PRETO 
 200 x CABO FOTOVOLTAICO 4MM² VERMELHO 
 20 x CONECTOR MC4 PAR EMBALADO 
 ESTRUTURA FIBROCIMENTO MADEIRA</t>
  </si>
  <si>
    <t>116 x MODULO FV 570WP N-TYPE BIFACIAL DAH SOLAR DHN-72X16/DG 
 1 x INVERSOR SOLIS 60KW 220V 60K-LV-5G-PRO COM MONITORAMENTO 
 200 x CABO FOTOVOLTAICO 4MM² PRETO 
 200 x CABO FOTOVOLTAICO 4MM² VERMELHO 
 32 x CONECTOR MC4 PAR EMBALADO 
 ESTRUTURA FIBROCIMENTO MADEIRA</t>
  </si>
  <si>
    <t>116 x MODULO FV 570WP N-TYPE BIFACIAL DUAL GLASS DAS-DH144NA 
 1 x INVERSOR SOLIS 60KW 220V 60K-LV-5G-PRO COM MONITORAMENTO 
 200 x CABO FOTOVOLTAICO 4MM² PRETO 
 200 x CABO FOTOVOLTAICO 4MM² VERMELHO 
 32 x CONECTOR MC4 PAR EMBALADO 
 ESTRUTURA FIBROCIMENTO MADEIRA</t>
  </si>
  <si>
    <t>116 x MODULO FV 570WP N-TYPE BIFACIAL DAH SOLAR DHN-72X16/DG 
 29 x HMS-2000-4T - MICRO HOYMILES 2000W DTU EXTERNA 
 4 x CABO FOTOVOLTAICO 4MM² PRETO 
 116 x CABO FOTOVOLTAICO 4MM² VERMELHO 
 232 x CONECTOR MC4 PAR EMBALADO 
 ESTRUTURA FIBROCIMENTO MADEIRA 
 29 x AC TRUNK CONNECTOR - CONECTOR CA HOYMILES 
 10 x AC TRUNK END CAP - TERMINAL ENDCAP HOYMILES 
 1 x AC TRUNK CONNECTOR UNLOCK TOOL - CHAVE DESBLOQUEIO CONECTOR CA 
 1 x HMS DISCONNECT TOOL-1PCS - CHAVE DESCONEXAO MICROINVERSOR 
 57 x CABO CA MULTIPOLAR 10AWG 
 2 x DTU-LITE-S(WIFI) - MONIT DTU-LITE S (ATÉ 25 MICROS)</t>
  </si>
  <si>
    <t>116 x MODULO FV 570WP N-TYPE BIFACIAL DUAL GLASS DAS-DH144NA 
 29 x HMS-2000-4T - MICRO HOYMILES 2000W DTU EXTERNA 
 4 x CABO FOTOVOLTAICO 4MM² PRETO 
 116 x CABO FOTOVOLTAICO 4MM² VERMELHO 
 232 x CONECTOR MC4 PAR EMBALADO 
 ESTRUTURA FIBROCIMENTO MADEIRA 
 29 x AC TRUNK CONNECTOR - CONECTOR CA HOYMILES 
 10 x AC TRUNK END CAP - TERMINAL ENDCAP HOYMILES 
 1 x AC TRUNK CONNECTOR UNLOCK TOOL - CHAVE DESBLOQUEIO CONECTOR CA 
 1 x HMS DISCONNECT TOOL-1PCS - CHAVE DESCONEXAO MICROINVERSOR 
 57 x CABO CA MULTIPOLAR 10AWG 
 2 x DTU-LITE-S(WIFI) - MONIT DTU-LITE S (ATÉ 25 MICROS)</t>
  </si>
  <si>
    <t>117 x MODULO FV 570WP N-TYPE BIFACIAL DAH SOLAR DHN-72X16/DG 
 1 x INVERSOR SOLIS 50KW 380V S5-GC50K COM MONITORAMENTO 
 200 x CABO FOTOVOLTAICO 4MM² PRETO 
 200 x CABO FOTOVOLTAICO 4MM² VERMELHO 
 20 x CONECTOR MC4 PAR EMBALADO 
 ESTRUTURA FIBROCIMENTO MADEIRA</t>
  </si>
  <si>
    <t>117 x MODULO FV 570WP N-TYPE BIFACIAL DUAL GLASS DAS-DH144NA 
 1 x INVERSOR SOLIS 50KW 380V S5-GC50K COM MONITORAMENTO 
 200 x CABO FOTOVOLTAICO 4MM² PRETO 
 200 x CABO FOTOVOLTAICO 4MM² VERMELHO 
 20 x CONECTOR MC4 PAR EMBALADO 
 ESTRUTURA FIBROCIMENTO MADEIRA</t>
  </si>
  <si>
    <t>117 x MODULO FV 570WP N-TYPE BIFACIAL DAH SOLAR DHN-72X16/DG 
 1 x INVERSOR SUNGROW SG50CX-P2 AFCI 380V COM MONITORAMENTO 
 200 x CABO FOTOVOLTAICO 4MM² PRETO 
 200 x CABO FOTOVOLTAICO 4MM² VERMELHO 
 20 x CONECTOR MC4 PAR EMBALADO 
 ESTRUTURA FIBROCIMENTO MADEIRA</t>
  </si>
  <si>
    <t>117 x MODULO FV 570WP N-TYPE BIFACIAL DUAL GLASS DAS-DH144NA 
 1 x INVERSOR SUNGROW SG50CX-P2 AFCI 380V COM MONITORAMENTO 
 200 x CABO FOTOVOLTAICO 4MM² PRETO 
 200 x CABO FOTOVOLTAICO 4MM² VERMELHO 
 20 x CONECTOR MC4 PAR EMBALADO 
 ESTRUTURA FIBROCIMENTO MADEIRA</t>
  </si>
  <si>
    <t>117 x MODULO FV 570WP N-TYPE BIFACIAL DAH SOLAR DHN-72X16/DG 
 1 x INVERSOR SOLIS 60KW 220V 60K-LV-5G-PRO COM MONITORAMENTO 
 200 x CABO FOTOVOLTAICO 4MM² PRETO 
 200 x CABO FOTOVOLTAICO 4MM² VERMELHO 
 32 x CONECTOR MC4 PAR EMBALADO 
 ESTRUTURA FIBROCIMENTO MADEIRA</t>
  </si>
  <si>
    <t>117 x MODULO FV 570WP N-TYPE BIFACIAL DUAL GLASS DAS-DH144NA 
 1 x INVERSOR SOLIS 60KW 220V 60K-LV-5G-PRO COM MONITORAMENTO 
 200 x CABO FOTOVOLTAICO 4MM² PRETO 
 200 x CABO FOTOVOLTAICO 4MM² VERMELHO 
 32 x CONECTOR MC4 PAR EMBALADO 
 ESTRUTURA FIBROCIMENTO MADEIRA</t>
  </si>
  <si>
    <t>60</t>
  </si>
  <si>
    <t>117 x MODULO FV 570WP N-TYPE BIFACIAL DAH SOLAR DHN-72X16/DG 
 30 x HMS-2000-4T - MICRO HOYMILES 2000W DTU EXTERNA 
 4 x CABO FOTOVOLTAICO 4MM² PRETO 
 120 x CABO FOTOVOLTAICO 4MM² VERMELHO 
 240 x CONECTOR MC4 PAR EMBALADO 
 ESTRUTURA FIBROCIMENTO MADEIRA 
 30 x AC TRUNK CONNECTOR - CONECTOR CA HOYMILES 
 10 x AC TRUNK END CAP - TERMINAL ENDCAP HOYMILES 
 1 x AC TRUNK CONNECTOR UNLOCK TOOL - CHAVE DESBLOQUEIO CONECTOR CA 
 1 x HMS DISCONNECT TOOL-1PCS - CHAVE DESCONEXAO MICROINVERSOR 
 60 x CABO CA MULTIPOLAR 10AWG 
 2 x DTU-LITE-S(WIFI) - MONIT DTU-LITE S (ATÉ 25 MICROS)</t>
  </si>
  <si>
    <t>117 x MODULO FV 570WP N-TYPE BIFACIAL DUAL GLASS DAS-DH144NA 
 30 x HMS-2000-4T - MICRO HOYMILES 2000W DTU EXTERNA 
 4 x CABO FOTOVOLTAICO 4MM² PRETO 
 120 x CABO FOTOVOLTAICO 4MM² VERMELHO 
 240 x CONECTOR MC4 PAR EMBALADO 
 ESTRUTURA FIBROCIMENTO MADEIRA 
 30 x AC TRUNK CONNECTOR - CONECTOR CA HOYMILES 
 10 x AC TRUNK END CAP - TERMINAL ENDCAP HOYMILES 
 1 x AC TRUNK CONNECTOR UNLOCK TOOL - CHAVE DESBLOQUEIO CONECTOR CA 
 1 x HMS DISCONNECT TOOL-1PCS - CHAVE DESCONEXAO MICROINVERSOR 
 60 x CABO CA MULTIPOLAR 10AWG 
 2 x DTU-LITE-S(WIFI) - MONIT DTU-LITE S (ATÉ 25 MICROS)</t>
  </si>
  <si>
    <t>94 x MODULO FV 710WP BIFACIAL DUAL-GLASS TRINA TSM-NEG21C.20 
 24 x HMS-2000-4T - MICRO HOYMILES 2000W DTU EXTERNA 
 4 x CABO FOTOVOLTAICO 4MM² PRETO 
 96 x CABO FOTOVOLTAICO 4MM² VERMELHO 
 192 x CONECTOR MC4 PAR TRINA 
 ESTRUTURA FIBROCIMENTO MADEIRA 
 24 x AC TRUNK CONNECTOR - CONECTOR CA HOYMILES 
 8 x AC TRUNK END CAP - TERMINAL ENDCAP HOYMILES 
 1 x AC TRUNK CONNECTOR UNLOCK TOOL - CHAVE DESBLOQUEIO CONECTOR CA 
 1 x HMS DISCONNECT TOOL-1PCS - CHAVE DESCONEXAO MICROINVERSOR 
 48 x CABO CA MULTIPOLAR 10AWG 
 1 x DTU-LITE-S(WIFI) - MONIT DTU-LITE S (ATÉ 25 MICROS)</t>
  </si>
  <si>
    <t>118 x MODULO FV 570WP N-TYPE BIFACIAL DAH SOLAR DHN-72X16/DG 
 1 x INVERSOR SOLIS 50KW 380V S5-GC50K COM MONITORAMENTO 
 200 x CABO FOTOVOLTAICO 4MM² PRETO 
 200 x CABO FOTOVOLTAICO 4MM² VERMELHO 
 20 x CONECTOR MC4 PAR EMBALADO 
 ESTRUTURA FIBROCIMENTO MADEIRA</t>
  </si>
  <si>
    <t>118 x MODULO FV 570WP N-TYPE BIFACIAL DUAL GLASS DAS-DH144NA 
 1 x INVERSOR SOLIS 50KW 380V S5-GC50K COM MONITORAMENTO 
 200 x CABO FOTOVOLTAICO 4MM² PRETO 
 200 x CABO FOTOVOLTAICO 4MM² VERMELHO 
 20 x CONECTOR MC4 PAR EMBALADO 
 ESTRUTURA FIBROCIMENTO MADEIRA</t>
  </si>
  <si>
    <t>118 x MODULO FV 570WP N-TYPE BIFACIAL DAH SOLAR DHN-72X16/DG 
 1 x INVERSOR SUNGROW SG50CX-P2 AFCI 380V COM MONITORAMENTO 
 200 x CABO FOTOVOLTAICO 4MM² PRETO 
 200 x CABO FOTOVOLTAICO 4MM² VERMELHO 
 20 x CONECTOR MC4 PAR EMBALADO 
 ESTRUTURA FIBROCIMENTO MADEIRA</t>
  </si>
  <si>
    <t>118 x MODULO FV 570WP N-TYPE BIFACIAL DUAL GLASS DAS-DH144NA 
 1 x INVERSOR SUNGROW SG50CX-P2 AFCI 380V COM MONITORAMENTO 
 200 x CABO FOTOVOLTAICO 4MM² PRETO 
 200 x CABO FOTOVOLTAICO 4MM² VERMELHO 
 20 x CONECTOR MC4 PAR EMBALADO 
 ESTRUTURA FIBROCIMENTO MADEIRA</t>
  </si>
  <si>
    <t>118 x MODULO FV 570WP N-TYPE BIFACIAL DAH SOLAR DHN-72X16/DG 
 1 x INVERSOR SOLIS 60KW 220V 60K-LV-5G-PRO COM MONITORAMENTO 
 200 x CABO FOTOVOLTAICO 4MM² PRETO 
 200 x CABO FOTOVOLTAICO 4MM² VERMELHO 
 32 x CONECTOR MC4 PAR EMBALADO 
 ESTRUTURA FIBROCIMENTO MADEIRA</t>
  </si>
  <si>
    <t>118 x MODULO FV 570WP N-TYPE BIFACIAL DUAL GLASS DAS-DH144NA 
 1 x INVERSOR SOLIS 60KW 220V 60K-LV-5G-PRO COM MONITORAMENTO 
 200 x CABO FOTOVOLTAICO 4MM² PRETO 
 200 x CABO FOTOVOLTAICO 4MM² VERMELHO 
 32 x CONECTOR MC4 PAR EMBALADO 
 ESTRUTURA FIBROCIMENTO MADEIRA</t>
  </si>
  <si>
    <t>118 x MODULO FV 570WP N-TYPE BIFACIAL DAH SOLAR DHN-72X16/DG 
 30 x HMS-2000-4T - MICRO HOYMILES 2000W DTU EXTERNA 
 4 x CABO FOTOVOLTAICO 4MM² PRETO 
 120 x CABO FOTOVOLTAICO 4MM² VERMELHO 
 240 x CONECTOR MC4 PAR EMBALADO 
 ESTRUTURA FIBROCIMENTO MADEIRA 
 30 x AC TRUNK CONNECTOR - CONECTOR CA HOYMILES 
 10 x AC TRUNK END CAP - TERMINAL ENDCAP HOYMILES 
 1 x AC TRUNK CONNECTOR UNLOCK TOOL - CHAVE DESBLOQUEIO CONECTOR CA 
 1 x HMS DISCONNECT TOOL-1PCS - CHAVE DESCONEXAO MICROINVERSOR 
 60 x CABO CA MULTIPOLAR 10AWG 
 2 x DTU-LITE-S(WIFI) - MONIT DTU-LITE S (ATÉ 25 MICROS)</t>
  </si>
  <si>
    <t>118 x MODULO FV 570WP N-TYPE BIFACIAL DUAL GLASS DAS-DH144NA 
 30 x HMS-2000-4T - MICRO HOYMILES 2000W DTU EXTERNA 
 4 x CABO FOTOVOLTAICO 4MM² PRETO 
 120 x CABO FOTOVOLTAICO 4MM² VERMELHO 
 240 x CONECTOR MC4 PAR EMBALADO 
 ESTRUTURA FIBROCIMENTO MADEIRA 
 30 x AC TRUNK CONNECTOR - CONECTOR CA HOYMILES 
 10 x AC TRUNK END CAP - TERMINAL ENDCAP HOYMILES 
 1 x AC TRUNK CONNECTOR UNLOCK TOOL - CHAVE DESBLOQUEIO CONECTOR CA 
 1 x HMS DISCONNECT TOOL-1PCS - CHAVE DESCONEXAO MICROINVERSOR 
 60 x CABO CA MULTIPOLAR 10AWG 
 2 x DTU-LITE-S(WIFI) - MONIT DTU-LITE S (ATÉ 25 MICROS)</t>
  </si>
  <si>
    <t>95 x MODULO FV 710WP BIFACIAL DUAL-GLASS TRINA TSM-NEG21C.20 
 24 x HMS-2000-4T - MICRO HOYMILES 2000W DTU EXTERNA 
 4 x CABO FOTOVOLTAICO 4MM² PRETO 
 96 x CABO FOTOVOLTAICO 4MM² VERMELHO 
 192 x CONECTOR MC4 PAR TRINA 
 ESTRUTURA FIBROCIMENTO MADEIRA 
 24 x AC TRUNK CONNECTOR - CONECTOR CA HOYMILES 
 8 x AC TRUNK END CAP - TERMINAL ENDCAP HOYMILES 
 1 x AC TRUNK CONNECTOR UNLOCK TOOL - CHAVE DESBLOQUEIO CONECTOR CA 
 1 x HMS DISCONNECT TOOL-1PCS - CHAVE DESCONEXAO MICROINVERSOR 
 48 x CABO CA MULTIPOLAR 10AWG 
 1 x DTU-LITE-S(WIFI) - MONIT DTU-LITE S (ATÉ 25 MICROS)</t>
  </si>
  <si>
    <t>119 x MODULO FV 570WP N-TYPE BIFACIAL DAH SOLAR DHN-72X16/DG 
 1 x INVERSOR SOLIS 50KW 380V S5-GC50K COM MONITORAMENTO 
 200 x CABO FOTOVOLTAICO 4MM² PRETO 
 200 x CABO FOTOVOLTAICO 4MM² VERMELHO 
 20 x CONECTOR MC4 PAR EMBALADO 
 ESTRUTURA FIBROCIMENTO MADEIRA</t>
  </si>
  <si>
    <t>119 x MODULO FV 570WP N-TYPE BIFACIAL DUAL GLASS DAS-DH144NA 
 1 x INVERSOR SOLIS 50KW 380V S5-GC50K COM MONITORAMENTO 
 200 x CABO FOTOVOLTAICO 4MM² PRETO 
 200 x CABO FOTOVOLTAICO 4MM² VERMELHO 
 20 x CONECTOR MC4 PAR EMBALADO 
 ESTRUTURA FIBROCIMENTO MADEIRA</t>
  </si>
  <si>
    <t>119 x MODULO FV 570WP N-TYPE BIFACIAL DAH SOLAR DHN-72X16/DG 
 1 x INVERSOR SUNGROW SG50CX-P2 AFCI 380V COM MONITORAMENTO 
 200 x CABO FOTOVOLTAICO 4MM² PRETO 
 200 x CABO FOTOVOLTAICO 4MM² VERMELHO 
 20 x CONECTOR MC4 PAR EMBALADO 
 ESTRUTURA FIBROCIMENTO MADEIRA</t>
  </si>
  <si>
    <t>119 x MODULO FV 570WP N-TYPE BIFACIAL DUAL GLASS DAS-DH144NA 
 1 x INVERSOR SUNGROW SG50CX-P2 AFCI 380V COM MONITORAMENTO 
 200 x CABO FOTOVOLTAICO 4MM² PRETO 
 200 x CABO FOTOVOLTAICO 4MM² VERMELHO 
 20 x CONECTOR MC4 PAR EMBALADO 
 ESTRUTURA FIBROCIMENTO MADEIRA</t>
  </si>
  <si>
    <t>119 x MODULO FV 570WP N-TYPE BIFACIAL DAH SOLAR DHN-72X16/DG 
 1 x INVERSOR SOLIS 60KW 220V 60K-LV-5G-PRO COM MONITORAMENTO 
 200 x CABO FOTOVOLTAICO 4MM² PRETO 
 200 x CABO FOTOVOLTAICO 4MM² VERMELHO 
 32 x CONECTOR MC4 PAR EMBALADO 
 ESTRUTURA FIBROCIMENTO MADEIRA</t>
  </si>
  <si>
    <t>119 x MODULO FV 570WP N-TYPE BIFACIAL DUAL GLASS DAS-DH144NA 
 1 x INVERSOR SOLIS 60KW 220V 60K-LV-5G-PRO COM MONITORAMENTO 
 200 x CABO FOTOVOLTAICO 4MM² PRETO 
 200 x CABO FOTOVOLTAICO 4MM² VERMELHO 
 32 x CONECTOR MC4 PAR EMBALADO 
 ESTRUTURA FIBROCIMENTO MADEIRA</t>
  </si>
  <si>
    <t>119 x MODULO FV 570WP N-TYPE BIFACIAL DAH SOLAR DHN-72X16/DG 
 30 x HMS-2000-4T - MICRO HOYMILES 2000W DTU EXTERNA 
 4 x CABO FOTOVOLTAICO 4MM² PRETO 
 120 x CABO FOTOVOLTAICO 4MM² VERMELHO 
 240 x CONECTOR MC4 PAR EMBALADO 
 ESTRUTURA FIBROCIMENTO MADEIRA 
 30 x AC TRUNK CONNECTOR - CONECTOR CA HOYMILES 
 10 x AC TRUNK END CAP - TERMINAL ENDCAP HOYMILES 
 1 x AC TRUNK CONNECTOR UNLOCK TOOL - CHAVE DESBLOQUEIO CONECTOR CA 
 1 x HMS DISCONNECT TOOL-1PCS - CHAVE DESCONEXAO MICROINVERSOR 
 60 x CABO CA MULTIPOLAR 10AWG 
 2 x DTU-LITE-S(WIFI) - MONIT DTU-LITE S (ATÉ 25 MICROS)</t>
  </si>
  <si>
    <t>119 x MODULO FV 570WP N-TYPE BIFACIAL DUAL GLASS DAS-DH144NA 
 30 x HMS-2000-4T - MICRO HOYMILES 2000W DTU EXTERNA 
 4 x CABO FOTOVOLTAICO 4MM² PRETO 
 120 x CABO FOTOVOLTAICO 4MM² VERMELHO 
 240 x CONECTOR MC4 PAR EMBALADO 
 ESTRUTURA FIBROCIMENTO MADEIRA 
 30 x AC TRUNK CONNECTOR - CONECTOR CA HOYMILES 
 10 x AC TRUNK END CAP - TERMINAL ENDCAP HOYMILES 
 1 x AC TRUNK CONNECTOR UNLOCK TOOL - CHAVE DESBLOQUEIO CONECTOR CA 
 1 x HMS DISCONNECT TOOL-1PCS - CHAVE DESCONEXAO MICROINVERSOR 
 60 x CABO CA MULTIPOLAR 10AWG 
 2 x DTU-LITE-S(WIFI) - MONIT DTU-LITE S (ATÉ 25 MICROS)</t>
  </si>
  <si>
    <t>96 x MODULO FV 710WP BIFACIAL DUAL-GLASS TRINA TSM-NEG21C.20 
 24 x HMS-2000-4T - MICRO HOYMILES 2000W DTU EXTERNA 
 4 x CABO FOTOVOLTAICO 4MM² PRETO 
 96 x CABO FOTOVOLTAICO 4MM² VERMELHO 
 192 x CONECTOR MC4 PAR TRINA 
 ESTRUTURA FIBROCIMENTO MADEIRA 
 24 x AC TRUNK CONNECTOR - CONECTOR CA HOYMILES 
 8 x AC TRUNK END CAP - TERMINAL ENDCAP HOYMILES 
 1 x AC TRUNK CONNECTOR UNLOCK TOOL - CHAVE DESBLOQUEIO CONECTOR CA 
 1 x HMS DISCONNECT TOOL-1PCS - CHAVE DESCONEXAO MICROINVERSOR 
 48 x CABO CA MULTIPOLAR 10AWG 
 1 x DTU-LITE-S(WIFI) - MONIT DTU-LITE S (ATÉ 25 MICROS)</t>
  </si>
  <si>
    <t>120 x MODULO FV 570WP N-TYPE BIFACIAL DAH SOLAR DHN-72X16/DG 
 1 x INVERSOR SOLIS 50KW 380V S5-GC50K COM MONITORAMENTO 
 200 x CABO FOTOVOLTAICO 4MM² PRETO 
 200 x CABO FOTOVOLTAICO 4MM² VERMELHO 
 20 x CONECTOR MC4 PAR EMBALADO 
 ESTRUTURA FIBROCIMENTO MADEIRA</t>
  </si>
  <si>
    <t>120 x MODULO FV 570WP N-TYPE BIFACIAL DUAL GLASS DAS-DH144NA 
 1 x INVERSOR SOLIS 50KW 380V S5-GC50K COM MONITORAMENTO 
 200 x CABO FOTOVOLTAICO 4MM² PRETO 
 200 x CABO FOTOVOLTAICO 4MM² VERMELHO 
 20 x CONECTOR MC4 PAR EMBALADO 
 ESTRUTURA FIBROCIMENTO MADEIRA</t>
  </si>
  <si>
    <t>120 x MODULO FV 570WP N-TYPE BIFACIAL DAH SOLAR DHN-72X16/DG 
 1 x INVERSOR SUNGROW SG50CX-P2 AFCI 380V COM MONITORAMENTO 
 200 x CABO FOTOVOLTAICO 4MM² PRETO 
 200 x CABO FOTOVOLTAICO 4MM² VERMELHO 
 20 x CONECTOR MC4 PAR EMBALADO 
 ESTRUTURA FIBROCIMENTO MADEIRA</t>
  </si>
  <si>
    <t>120 x MODULO FV 570WP N-TYPE BIFACIAL DUAL GLASS DAS-DH144NA 
 1 x INVERSOR SUNGROW SG50CX-P2 AFCI 380V COM MONITORAMENTO 
 200 x CABO FOTOVOLTAICO 4MM² PRETO 
 200 x CABO FOTOVOLTAICO 4MM² VERMELHO 
 20 x CONECTOR MC4 PAR EMBALADO 
 ESTRUTURA FIBROCIMENTO MADEIRA</t>
  </si>
  <si>
    <t>120 x MODULO FV 570WP N-TYPE BIFACIAL DAH SOLAR DHN-72X16/DG 
 1 x INVERSOR SOLIS 60KW 220V 60K-LV-5G-PRO COM MONITORAMENTO 
 200 x CABO FOTOVOLTAICO 4MM² PRETO 
 200 x CABO FOTOVOLTAICO 4MM² VERMELHO 
 32 x CONECTOR MC4 PAR EMBALADO 
 ESTRUTURA FIBROCIMENTO MADEIRA</t>
  </si>
  <si>
    <t>120 x MODULO FV 570WP N-TYPE BIFACIAL DUAL GLASS DAS-DH144NA 
 1 x INVERSOR SOLIS 60KW 220V 60K-LV-5G-PRO COM MONITORAMENTO 
 200 x CABO FOTOVOLTAICO 4MM² PRETO 
 200 x CABO FOTOVOLTAICO 4MM² VERMELHO 
 32 x CONECTOR MC4 PAR EMBALADO 
 ESTRUTURA FIBROCIMENTO MADEIRA</t>
  </si>
  <si>
    <t>120 x MODULO FV 570WP N-TYPE BIFACIAL DAH SOLAR DHN-72X16/DG 
 30 x HMS-2000-4T - MICRO HOYMILES 2000W DTU EXTERNA 
 4 x CABO FOTOVOLTAICO 4MM² PRETO 
 120 x CABO FOTOVOLTAICO 4MM² VERMELHO 
 240 x CONECTOR MC4 PAR EMBALADO 
 ESTRUTURA FIBROCIMENTO MADEIRA 
 30 x AC TRUNK CONNECTOR - CONECTOR CA HOYMILES 
 10 x AC TRUNK END CAP - TERMINAL ENDCAP HOYMILES 
 1 x AC TRUNK CONNECTOR UNLOCK TOOL - CHAVE DESBLOQUEIO CONECTOR CA 
 1 x HMS DISCONNECT TOOL-1PCS - CHAVE DESCONEXAO MICROINVERSOR 
 60 x CABO CA MULTIPOLAR 10AWG 
 2 x DTU-LITE-S(WIFI) - MONIT DTU-LITE S (ATÉ 25 MICROS)</t>
  </si>
  <si>
    <t>120 x MODULO FV 570WP N-TYPE BIFACIAL DUAL GLASS DAS-DH144NA 
 30 x HMS-2000-4T - MICRO HOYMILES 2000W DTU EXTERNA 
 4 x CABO FOTOVOLTAICO 4MM² PRETO 
 120 x CABO FOTOVOLTAICO 4MM² VERMELHO 
 240 x CONECTOR MC4 PAR EMBALADO 
 ESTRUTURA FIBROCIMENTO MADEIRA 
 30 x AC TRUNK CONNECTOR - CONECTOR CA HOYMILES 
 10 x AC TRUNK END CAP - TERMINAL ENDCAP HOYMILES 
 1 x AC TRUNK CONNECTOR UNLOCK TOOL - CHAVE DESBLOQUEIO CONECTOR CA 
 1 x HMS DISCONNECT TOOL-1PCS - CHAVE DESCONEXAO MICROINVERSOR 
 60 x CABO CA MULTIPOLAR 10AWG 
 2 x DTU-LITE-S(WIFI) - MONIT DTU-LITE S (ATÉ 25 MICROS)</t>
  </si>
  <si>
    <t>97 x MODULO FV 710WP BIFACIAL DUAL-GLASS TRINA TSM-NEG21C.20 
 25 x HMS-2000-4T - MICRO HOYMILES 2000W DTU EXTERNA 
 4 x CABO FOTOVOLTAICO 4MM² PRETO 
 100 x CABO FOTOVOLTAICO 4MM² VERMELHO 
 200 x CONECTOR MC4 PAR TRINA 
 ESTRUTURA FIBROCIMENTO MADEIRA 
 25 x AC TRUNK CONNECTOR - CONECTOR CA HOYMILES 
 9 x AC TRUNK END CAP - TERMINAL ENDCAP HOYMILES 
 1 x AC TRUNK CONNECTOR UNLOCK TOOL - CHAVE DESBLOQUEIO CONECTOR CA 
 1 x HMS DISCONNECT TOOL-1PCS - CHAVE DESCONEXAO MICROINVERSOR 
 48 x CABO CA MULTIPOLAR 10AWG 
 1 x DTU-LITE-S(WIFI) - MONIT DTU-LITE S (ATÉ 25 MICROS)</t>
  </si>
  <si>
    <t>121 x MODULO FV 570WP N-TYPE BIFACIAL DAH SOLAR DHN-72X16/DG 
 1 x INVERSOR SOLIS 50KW 380V S5-GC50K COM MONITORAMENTO 
 200 x CABO FOTOVOLTAICO 4MM² PRETO 
 200 x CABO FOTOVOLTAICO 4MM² VERMELHO 
 20 x CONECTOR MC4 PAR EMBALADO 
 ESTRUTURA FIBROCIMENTO MADEIRA</t>
  </si>
  <si>
    <t>121 x MODULO FV 570WP N-TYPE BIFACIAL DUAL GLASS DAS-DH144NA 
 1 x INVERSOR SOLIS 50KW 380V S5-GC50K COM MONITORAMENTO 
 200 x CABO FOTOVOLTAICO 4MM² PRETO 
 200 x CABO FOTOVOLTAICO 4MM² VERMELHO 
 20 x CONECTOR MC4 PAR EMBALADO 
 ESTRUTURA FIBROCIMENTO MADEIRA</t>
  </si>
  <si>
    <t>121 x MODULO FV 570WP N-TYPE BIFACIAL DAH SOLAR DHN-72X16/DG 
 1 x INVERSOR SUNGROW SG50CX-P2 AFCI 380V COM MONITORAMENTO 
 200 x CABO FOTOVOLTAICO 4MM² PRETO 
 200 x CABO FOTOVOLTAICO 4MM² VERMELHO 
 20 x CONECTOR MC4 PAR EMBALADO 
 ESTRUTURA FIBROCIMENTO MADEIRA</t>
  </si>
  <si>
    <t>121 x MODULO FV 570WP N-TYPE BIFACIAL DUAL GLASS DAS-DH144NA 
 1 x INVERSOR SUNGROW SG50CX-P2 AFCI 380V COM MONITORAMENTO 
 200 x CABO FOTOVOLTAICO 4MM² PRETO 
 200 x CABO FOTOVOLTAICO 4MM² VERMELHO 
 20 x CONECTOR MC4 PAR EMBALADO 
 ESTRUTURA FIBROCIMENTO MADEIRA</t>
  </si>
  <si>
    <t>121 x MODULO FV 570WP N-TYPE BIFACIAL DAH SOLAR DHN-72X16/DG 
 1 x INVERSOR SOLIS 60KW 220V 60K-LV-5G-PRO COM MONITORAMENTO 
 200 x CABO FOTOVOLTAICO 4MM² PRETO 
 200 x CABO FOTOVOLTAICO 4MM² VERMELHO 
 32 x CONECTOR MC4 PAR EMBALADO 
 ESTRUTURA FIBROCIMENTO MADEIRA</t>
  </si>
  <si>
    <t>121 x MODULO FV 570WP N-TYPE BIFACIAL DUAL GLASS DAS-DH144NA 
 1 x INVERSOR SOLIS 60KW 220V 60K-LV-5G-PRO COM MONITORAMENTO 
 200 x CABO FOTOVOLTAICO 4MM² PRETO 
 200 x CABO FOTOVOLTAICO 4MM² VERMELHO 
 32 x CONECTOR MC4 PAR EMBALADO 
 ESTRUTURA FIBROCIMENTO MADEIRA</t>
  </si>
  <si>
    <t>121 x MODULO FV 570WP N-TYPE BIFACIAL DAH SOLAR DHN-72X16/DG 
 31 x HMS-2000-4T - MICRO HOYMILES 2000W DTU EXTERNA 
 4 x CABO FOTOVOLTAICO 4MM² PRETO 
 124 x CABO FOTOVOLTAICO 4MM² VERMELHO 
 248 x CONECTOR MC4 PAR EMBALADO 
 ESTRUTURA FIBROCIMENTO MADEIRA 
 31 x AC TRUNK CONNECTOR - CONECTOR CA HOYMILES 
 11 x AC TRUNK END CAP - TERMINAL ENDCAP HOYMILES 
 1 x AC TRUNK CONNECTOR UNLOCK TOOL - CHAVE DESBLOQUEIO CONECTOR CA 
 1 x HMS DISCONNECT TOOL-1PCS - CHAVE DESCONEXAO MICROINVERSOR 
 60 x CABO CA MULTIPOLAR 10AWG 
 2 x DTU-LITE-S(WIFI) - MONIT DTU-LITE S (ATÉ 25 MICROS)</t>
  </si>
  <si>
    <t>121 x MODULO FV 570WP N-TYPE BIFACIAL DUAL GLASS DAS-DH144NA 
 31 x HMS-2000-4T - MICRO HOYMILES 2000W DTU EXTERNA 
 4 x CABO FOTOVOLTAICO 4MM² PRETO 
 124 x CABO FOTOVOLTAICO 4MM² VERMELHO 
 248 x CONECTOR MC4 PAR EMBALADO 
 ESTRUTURA FIBROCIMENTO MADEIRA 
 31 x AC TRUNK CONNECTOR - CONECTOR CA HOYMILES 
 11 x AC TRUNK END CAP - TERMINAL ENDCAP HOYMILES 
 1 x AC TRUNK CONNECTOR UNLOCK TOOL - CHAVE DESBLOQUEIO CONECTOR CA 
 1 x HMS DISCONNECT TOOL-1PCS - CHAVE DESCONEXAO MICROINVERSOR 
 60 x CABO CA MULTIPOLAR 10AWG 
 2 x DTU-LITE-S(WIFI) - MONIT DTU-LITE S (ATÉ 25 MICROS)</t>
  </si>
  <si>
    <t>122 x MODULO FV 570WP N-TYPE BIFACIAL DAH SOLAR DHN-72X16/DG 
 1 x INVERSOR SUNGROW SG50CX-P2 AFCI 380V COM MONITORAMENTO 
 200 x CABO FOTOVOLTAICO 4MM² PRETO 
 200 x CABO FOTOVOLTAICO 4MM² VERMELHO 
 20 x CONECTOR MC4 PAR EMBALADO 
 ESTRUTURA FIBROCIMENTO MADEIRA</t>
  </si>
  <si>
    <t>122 x MODULO FV 570WP N-TYPE BIFACIAL DUAL GLASS DAS-DH144NA 
 1 x INVERSOR SUNGROW SG50CX-P2 AFCI 380V COM MONITORAMENTO 
 200 x CABO FOTOVOLTAICO 4MM² PRETO 
 200 x CABO FOTOVOLTAICO 4MM² VERMELHO 
 20 x CONECTOR MC4 PAR EMBALADO 
 ESTRUTURA FIBROCIMENTO MADEIRA</t>
  </si>
  <si>
    <t>122 x MODULO FV 570WP N-TYPE BIFACIAL DAH SOLAR DHN-72X16/DG 
 1 x INVERSOR SOLIS 60KW 380V S5-GC60K COM MONITORAMENTO 
 200 x CABO FOTOVOLTAICO 4MM² PRETO 
 200 x CABO FOTOVOLTAICO 4MM² VERMELHO 
 24 x CONECTOR MC4 PAR EMBALADO 
 ESTRUTURA FIBROCIMENTO MADEIRA</t>
  </si>
  <si>
    <t>122 x MODULO FV 570WP N-TYPE BIFACIAL DUAL GLASS DAS-DH144NA 
 1 x INVERSOR SOLIS 60KW 380V S5-GC60K COM MONITORAMENTO 
 200 x CABO FOTOVOLTAICO 4MM² PRETO 
 200 x CABO FOTOVOLTAICO 4MM² VERMELHO 
 24 x CONECTOR MC4 PAR EMBALADO 
 ESTRUTURA FIBROCIMENTO MADEIRA</t>
  </si>
  <si>
    <t>122 x MODULO FV 570WP N-TYPE BIFACIAL DAH SOLAR DHN-72X16/DG 
 1 x INVERSOR SOLIS 60KW 220V 60K-LV-5G-PRO COM MONITORAMENTO 
 200 x CABO FOTOVOLTAICO 4MM² PRETO 
 200 x CABO FOTOVOLTAICO 4MM² VERMELHO 
 32 x CONECTOR MC4 PAR EMBALADO 
 ESTRUTURA FIBROCIMENTO MADEIRA</t>
  </si>
  <si>
    <t>122 x MODULO FV 570WP N-TYPE BIFACIAL DUAL GLASS DAS-DH144NA 
 1 x INVERSOR SOLIS 60KW 220V 60K-LV-5G-PRO COM MONITORAMENTO 
 200 x CABO FOTOVOLTAICO 4MM² PRETO 
 200 x CABO FOTOVOLTAICO 4MM² VERMELHO 
 32 x CONECTOR MC4 PAR EMBALADO 
 ESTRUTURA FIBROCIMENTO MADEIRA</t>
  </si>
  <si>
    <t>122 x MODULO FV 570WP N-TYPE BIFACIAL DAH SOLAR DHN-72X16/DG 
 31 x HMS-2000-4T - MICRO HOYMILES 2000W DTU EXTERNA 
 4 x CABO FOTOVOLTAICO 4MM² PRETO 
 124 x CABO FOTOVOLTAICO 4MM² VERMELHO 
 248 x CONECTOR MC4 PAR EMBALADO 
 ESTRUTURA FIBROCIMENTO MADEIRA 
 31 x AC TRUNK CONNECTOR - CONECTOR CA HOYMILES 
 11 x AC TRUNK END CAP - TERMINAL ENDCAP HOYMILES 
 1 x AC TRUNK CONNECTOR UNLOCK TOOL - CHAVE DESBLOQUEIO CONECTOR CA 
 1 x HMS DISCONNECT TOOL-1PCS - CHAVE DESCONEXAO MICROINVERSOR 
 60 x CABO CA MULTIPOLAR 10AWG 
 2 x DTU-LITE-S(WIFI) - MONIT DTU-LITE S (ATÉ 25 MICROS)</t>
  </si>
  <si>
    <t>122 x MODULO FV 570WP N-TYPE BIFACIAL DUAL GLASS DAS-DH144NA 
 31 x HMS-2000-4T - MICRO HOYMILES 2000W DTU EXTERNA 
 4 x CABO FOTOVOLTAICO 4MM² PRETO 
 124 x CABO FOTOVOLTAICO 4MM² VERMELHO 
 248 x CONECTOR MC4 PAR EMBALADO 
 ESTRUTURA FIBROCIMENTO MADEIRA 
 31 x AC TRUNK CONNECTOR - CONECTOR CA HOYMILES 
 11 x AC TRUNK END CAP - TERMINAL ENDCAP HOYMILES 
 1 x AC TRUNK CONNECTOR UNLOCK TOOL - CHAVE DESBLOQUEIO CONECTOR CA 
 1 x HMS DISCONNECT TOOL-1PCS - CHAVE DESCONEXAO MICROINVERSOR 
 60 x CABO CA MULTIPOLAR 10AWG 
 2 x DTU-LITE-S(WIFI) - MONIT DTU-LITE S (ATÉ 25 MICROS)</t>
  </si>
  <si>
    <t>98 x MODULO FV 710WP BIFACIAL DUAL-GLASS TRINA TSM-NEG21C.20 
 25 x HMS-2000-4T - MICRO HOYMILES 2000W DTU EXTERNA 
 4 x CABO FOTOVOLTAICO 4MM² PRETO 
 100 x CABO FOTOVOLTAICO 4MM² VERMELHO 
 200 x CONECTOR MC4 PAR TRINA 
 ESTRUTURA FIBROCIMENTO MADEIRA 
 25 x AC TRUNK CONNECTOR - CONECTOR CA HOYMILES 
 9 x AC TRUNK END CAP - TERMINAL ENDCAP HOYMILES 
 1 x AC TRUNK CONNECTOR UNLOCK TOOL - CHAVE DESBLOQUEIO CONECTOR CA 
 1 x HMS DISCONNECT TOOL-1PCS - CHAVE DESCONEXAO MICROINVERSOR 
 48 x CABO CA MULTIPOLAR 10AWG 
 1 x DTU-LITE-S(WIFI) - MONIT DTU-LITE S (ATÉ 25 MICROS)</t>
  </si>
  <si>
    <t>123 x MODULO FV 570WP N-TYPE BIFACIAL DAH SOLAR DHN-72X16/DG 
 1 x INVERSOR SUNGROW SG50CX-P2 AFCI 380V COM MONITORAMENTO 
 200 x CABO FOTOVOLTAICO 4MM² PRETO 
 200 x CABO FOTOVOLTAICO 4MM² VERMELHO 
 20 x CONECTOR MC4 PAR EMBALADO 
 ESTRUTURA FIBROCIMENTO MADEIRA</t>
  </si>
  <si>
    <t>123 x MODULO FV 570WP N-TYPE BIFACIAL DUAL GLASS DAS-DH144NA 
 1 x INVERSOR SUNGROW SG50CX-P2 AFCI 380V COM MONITORAMENTO 
 200 x CABO FOTOVOLTAICO 4MM² PRETO 
 200 x CABO FOTOVOLTAICO 4MM² VERMELHO 
 20 x CONECTOR MC4 PAR EMBALADO 
 ESTRUTURA FIBROCIMENTO MADEIRA</t>
  </si>
  <si>
    <t>123 x MODULO FV 570WP N-TYPE BIFACIAL DAH SOLAR DHN-72X16/DG 
 1 x INVERSOR SOLIS 60KW 380V S5-GC60K COM MONITORAMENTO 
 200 x CABO FOTOVOLTAICO 4MM² PRETO 
 200 x CABO FOTOVOLTAICO 4MM² VERMELHO 
 24 x CONECTOR MC4 PAR EMBALADO 
 ESTRUTURA FIBROCIMENTO MADEIRA</t>
  </si>
  <si>
    <t>123 x MODULO FV 570WP N-TYPE BIFACIAL DUAL GLASS DAS-DH144NA 
 1 x INVERSOR SOLIS 60KW 380V S5-GC60K COM MONITORAMENTO 
 200 x CABO FOTOVOLTAICO 4MM² PRETO 
 200 x CABO FOTOVOLTAICO 4MM² VERMELHO 
 24 x CONECTOR MC4 PAR EMBALADO 
 ESTRUTURA FIBROCIMENTO MADEIRA</t>
  </si>
  <si>
    <t>123 x MODULO FV 570WP N-TYPE BIFACIAL DAH SOLAR DHN-72X16/DG 
 1 x INVERSOR SOLIS 60KW 220V 60K-LV-5G-PRO COM MONITORAMENTO 
 200 x CABO FOTOVOLTAICO 4MM² PRETO 
 200 x CABO FOTOVOLTAICO 4MM² VERMELHO 
 32 x CONECTOR MC4 PAR EMBALADO 
 ESTRUTURA FIBROCIMENTO MADEIRA</t>
  </si>
  <si>
    <t>123 x MODULO FV 570WP N-TYPE BIFACIAL DUAL GLASS DAS-DH144NA 
 1 x INVERSOR SOLIS 60KW 220V 60K-LV-5G-PRO COM MONITORAMENTO 
 200 x CABO FOTOVOLTAICO 4MM² PRETO 
 200 x CABO FOTOVOLTAICO 4MM² VERMELHO 
 32 x CONECTOR MC4 PAR EMBALADO 
 ESTRUTURA FIBROCIMENTO MADEIRA</t>
  </si>
  <si>
    <t>123 x MODULO FV 570WP N-TYPE BIFACIAL DAH SOLAR DHN-72X16/DG 
 31 x HMS-2000-4T - MICRO HOYMILES 2000W DTU EXTERNA 
 4 x CABO FOTOVOLTAICO 4MM² PRETO 
 124 x CABO FOTOVOLTAICO 4MM² VERMELHO 
 248 x CONECTOR MC4 PAR EMBALADO 
 ESTRUTURA FIBROCIMENTO MADEIRA 
 31 x AC TRUNK CONNECTOR - CONECTOR CA HOYMILES 
 11 x AC TRUNK END CAP - TERMINAL ENDCAP HOYMILES 
 1 x AC TRUNK CONNECTOR UNLOCK TOOL - CHAVE DESBLOQUEIO CONECTOR CA 
 1 x HMS DISCONNECT TOOL-1PCS - CHAVE DESCONEXAO MICROINVERSOR 
 60 x CABO CA MULTIPOLAR 10AWG 
 2 x DTU-LITE-S(WIFI) - MONIT DTU-LITE S (ATÉ 25 MICROS)</t>
  </si>
  <si>
    <t>123 x MODULO FV 570WP N-TYPE BIFACIAL DUAL GLASS DAS-DH144NA 
 31 x HMS-2000-4T - MICRO HOYMILES 2000W DTU EXTERNA 
 4 x CABO FOTOVOLTAICO 4MM² PRETO 
 124 x CABO FOTOVOLTAICO 4MM² VERMELHO 
 248 x CONECTOR MC4 PAR EMBALADO 
 ESTRUTURA FIBROCIMENTO MADEIRA 
 31 x AC TRUNK CONNECTOR - CONECTOR CA HOYMILES 
 11 x AC TRUNK END CAP - TERMINAL ENDCAP HOYMILES 
 1 x AC TRUNK CONNECTOR UNLOCK TOOL - CHAVE DESBLOQUEIO CONECTOR CA 
 1 x HMS DISCONNECT TOOL-1PCS - CHAVE DESCONEXAO MICROINVERSOR 
 60 x CABO CA MULTIPOLAR 10AWG 
 2 x DTU-LITE-S(WIFI) - MONIT DTU-LITE S (ATÉ 25 MICROS)</t>
  </si>
  <si>
    <t>99 x MODULO FV 710WP BIFACIAL DUAL-GLASS TRINA TSM-NEG21C.20 
 25 x HMS-2000-4T - MICRO HOYMILES 2000W DTU EXTERNA 
 4 x CABO FOTOVOLTAICO 4MM² PRETO 
 100 x CABO FOTOVOLTAICO 4MM² VERMELHO 
 200 x CONECTOR MC4 PAR TRINA 
 ESTRUTURA FIBROCIMENTO MADEIRA 
 25 x AC TRUNK CONNECTOR - CONECTOR CA HOYMILES 
 9 x AC TRUNK END CAP - TERMINAL ENDCAP HOYMILES 
 1 x AC TRUNK CONNECTOR UNLOCK TOOL - CHAVE DESBLOQUEIO CONECTOR CA 
 1 x HMS DISCONNECT TOOL-1PCS - CHAVE DESCONEXAO MICROINVERSOR 
 48 x CABO CA MULTIPOLAR 10AWG 
 1 x DTU-LITE-S(WIFI) - MONIT DTU-LITE S (ATÉ 25 MICROS)</t>
  </si>
  <si>
    <t>124 x MODULO FV 570WP N-TYPE BIFACIAL DAH SOLAR DHN-72X16/DG 
 1 x INVERSOR SUNGROW SG50CX-P2 AFCI 380V COM MONITORAMENTO 
 200 x CABO FOTOVOLTAICO 4MM² PRETO 
 200 x CABO FOTOVOLTAICO 4MM² VERMELHO 
 20 x CONECTOR MC4 PAR EMBALADO 
 ESTRUTURA FIBROCIMENTO MADEIRA</t>
  </si>
  <si>
    <t>124 x MODULO FV 570WP N-TYPE BIFACIAL DUAL GLASS DAS-DH144NA 
 1 x INVERSOR SUNGROW SG50CX-P2 AFCI 380V COM MONITORAMENTO 
 200 x CABO FOTOVOLTAICO 4MM² PRETO 
 200 x CABO FOTOVOLTAICO 4MM² VERMELHO 
 20 x CONECTOR MC4 PAR EMBALADO 
 ESTRUTURA FIBROCIMENTO MADEIRA</t>
  </si>
  <si>
    <t>124 x MODULO FV 570WP N-TYPE BIFACIAL DAH SOLAR DHN-72X16/DG 
 1 x INVERSOR SOLIS 60KW 380V S5-GC60K COM MONITORAMENTO 
 200 x CABO FOTOVOLTAICO 4MM² PRETO 
 200 x CABO FOTOVOLTAICO 4MM² VERMELHO 
 24 x CONECTOR MC4 PAR EMBALADO 
 ESTRUTURA FIBROCIMENTO MADEIRA</t>
  </si>
  <si>
    <t>124 x MODULO FV 570WP N-TYPE BIFACIAL DUAL GLASS DAS-DH144NA 
 1 x INVERSOR SOLIS 60KW 380V S5-GC60K COM MONITORAMENTO 
 200 x CABO FOTOVOLTAICO 4MM² PRETO 
 200 x CABO FOTOVOLTAICO 4MM² VERMELHO 
 24 x CONECTOR MC4 PAR EMBALADO 
 ESTRUTURA FIBROCIMENTO MADEIRA</t>
  </si>
  <si>
    <t>124 x MODULO FV 570WP N-TYPE BIFACIAL DAH SOLAR DHN-72X16/DG 
 1 x INVERSOR SOLIS 60KW 220V 60K-LV-5G-PRO COM MONITORAMENTO 
 200 x CABO FOTOVOLTAICO 4MM² PRETO 
 200 x CABO FOTOVOLTAICO 4MM² VERMELHO 
 32 x CONECTOR MC4 PAR EMBALADO 
 ESTRUTURA FIBROCIMENTO MADEIRA</t>
  </si>
  <si>
    <t>124 x MODULO FV 570WP N-TYPE BIFACIAL DUAL GLASS DAS-DH144NA 
 1 x INVERSOR SOLIS 60KW 220V 60K-LV-5G-PRO COM MONITORAMENTO 
 200 x CABO FOTOVOLTAICO 4MM² PRETO 
 200 x CABO FOTOVOLTAICO 4MM² VERMELHO 
 32 x CONECTOR MC4 PAR EMBALADO 
 ESTRUTURA FIBROCIMENTO MADEIRA</t>
  </si>
  <si>
    <t>124 x MODULO FV 570WP N-TYPE BIFACIAL DAH SOLAR DHN-72X16/DG 
 31 x HMS-2000-4T - MICRO HOYMILES 2000W DTU EXTERNA 
 4 x CABO FOTOVOLTAICO 4MM² PRETO 
 124 x CABO FOTOVOLTAICO 4MM² VERMELHO 
 248 x CONECTOR MC4 PAR EMBALADO 
 ESTRUTURA FIBROCIMENTO MADEIRA 
 31 x AC TRUNK CONNECTOR - CONECTOR CA HOYMILES 
 11 x AC TRUNK END CAP - TERMINAL ENDCAP HOYMILES 
 1 x AC TRUNK CONNECTOR UNLOCK TOOL - CHAVE DESBLOQUEIO CONECTOR CA 
 1 x HMS DISCONNECT TOOL-1PCS - CHAVE DESCONEXAO MICROINVERSOR 
 60 x CABO CA MULTIPOLAR 10AWG 
 2 x DTU-LITE-S(WIFI) - MONIT DTU-LITE S (ATÉ 25 MICROS)</t>
  </si>
  <si>
    <t>124 x MODULO FV 570WP N-TYPE BIFACIAL DUAL GLASS DAS-DH144NA 
 31 x HMS-2000-4T - MICRO HOYMILES 2000W DTU EXTERNA 
 4 x CABO FOTOVOLTAICO 4MM² PRETO 
 124 x CABO FOTOVOLTAICO 4MM² VERMELHO 
 248 x CONECTOR MC4 PAR EMBALADO 
 ESTRUTURA FIBROCIMENTO MADEIRA 
 31 x AC TRUNK CONNECTOR - CONECTOR CA HOYMILES 
 11 x AC TRUNK END CAP - TERMINAL ENDCAP HOYMILES 
 1 x AC TRUNK CONNECTOR UNLOCK TOOL - CHAVE DESBLOQUEIO CONECTOR CA 
 1 x HMS DISCONNECT TOOL-1PCS - CHAVE DESCONEXAO MICROINVERSOR 
 60 x CABO CA MULTIPOLAR 10AWG 
 2 x DTU-LITE-S(WIFI) - MONIT DTU-LITE S (ATÉ 25 MICROS)</t>
  </si>
  <si>
    <t>100 x MODULO FV 710WP BIFACIAL DUAL-GLASS TRINA TSM-NEG21C.20 
 25 x HMS-2000-4T - MICRO HOYMILES 2000W DTU EXTERNA 
 4 x CABO FOTOVOLTAICO 4MM² PRETO 
 100 x CABO FOTOVOLTAICO 4MM² VERMELHO 
 200 x CONECTOR MC4 PAR TRINA 
 ESTRUTURA FIBROCIMENTO MADEIRA 
 25 x AC TRUNK CONNECTOR - CONECTOR CA HOYMILES 
 9 x AC TRUNK END CAP - TERMINAL ENDCAP HOYMILES 
 1 x AC TRUNK CONNECTOR UNLOCK TOOL - CHAVE DESBLOQUEIO CONECTOR CA 
 1 x HMS DISCONNECT TOOL-1PCS - CHAVE DESCONEXAO MICROINVERSOR 
 48 x CABO CA MULTIPOLAR 10AWG 
 1 x DTU-LITE-S(WIFI) - MONIT DTU-LITE S (ATÉ 25 MICROS)</t>
  </si>
  <si>
    <t>125 x MODULO FV 570WP N-TYPE BIFACIAL DAH SOLAR DHN-72X16/DG 
 1 x INVERSOR SUNGROW SG50CX-P2 AFCI 380V COM MONITORAMENTO 
 200 x CABO FOTOVOLTAICO 4MM² PRETO 
 200 x CABO FOTOVOLTAICO 4MM² VERMELHO 
 20 x CONECTOR MC4 PAR EMBALADO 
 ESTRUTURA FIBROCIMENTO MADEIRA</t>
  </si>
  <si>
    <t>125 x MODULO FV 570WP N-TYPE BIFACIAL DUAL GLASS DAS-DH144NA 
 1 x INVERSOR SUNGROW SG50CX-P2 AFCI 380V COM MONITORAMENTO 
 200 x CABO FOTOVOLTAICO 4MM² PRETO 
 200 x CABO FOTOVOLTAICO 4MM² VERMELHO 
 20 x CONECTOR MC4 PAR EMBALADO 
 ESTRUTURA FIBROCIMENTO MADEIRA</t>
  </si>
  <si>
    <t>125 x MODULO FV 570WP N-TYPE BIFACIAL DAH SOLAR DHN-72X16/DG 
 1 x INVERSOR SOLIS 60KW 380V S5-GC60K COM MONITORAMENTO 
 200 x CABO FOTOVOLTAICO 4MM² PRETO 
 200 x CABO FOTOVOLTAICO 4MM² VERMELHO 
 24 x CONECTOR MC4 PAR EMBALADO 
 ESTRUTURA FIBROCIMENTO MADEIRA</t>
  </si>
  <si>
    <t>125 x MODULO FV 570WP N-TYPE BIFACIAL DUAL GLASS DAS-DH144NA 
 1 x INVERSOR SOLIS 60KW 380V S5-GC60K COM MONITORAMENTO 
 200 x CABO FOTOVOLTAICO 4MM² PRETO 
 200 x CABO FOTOVOLTAICO 4MM² VERMELHO 
 24 x CONECTOR MC4 PAR EMBALADO 
 ESTRUTURA FIBROCIMENTO MADEIRA</t>
  </si>
  <si>
    <t>125 x MODULO FV 570WP N-TYPE BIFACIAL DAH SOLAR DHN-72X16/DG 
 1 x INVERSOR SOLIS 60KW 220V 60K-LV-5G-PRO COM MONITORAMENTO 
 200 x CABO FOTOVOLTAICO 4MM² PRETO 
 200 x CABO FOTOVOLTAICO 4MM² VERMELHO 
 32 x CONECTOR MC4 PAR EMBALADO 
 ESTRUTURA FIBROCIMENTO MADEIRA</t>
  </si>
  <si>
    <t>125 x MODULO FV 570WP N-TYPE BIFACIAL DUAL GLASS DAS-DH144NA 
 1 x INVERSOR SOLIS 60KW 220V 60K-LV-5G-PRO COM MONITORAMENTO 
 200 x CABO FOTOVOLTAICO 4MM² PRETO 
 200 x CABO FOTOVOLTAICO 4MM² VERMELHO 
 32 x CONECTOR MC4 PAR EMBALADO 
 ESTRUTURA FIBROCIMENTO MADEIRA</t>
  </si>
  <si>
    <t>63</t>
  </si>
  <si>
    <t>125 x MODULO FV 570WP N-TYPE BIFACIAL DAH SOLAR DHN-72X16/DG 
 32 x HMS-2000-4T - MICRO HOYMILES 2000W DTU EXTERNA 
 4 x CABO FOTOVOLTAICO 4MM² PRETO 
 128 x CABO FOTOVOLTAICO 4MM² VERMELHO 
 256 x CONECTOR MC4 PAR EMBALADO 
 ESTRUTURA FIBROCIMENTO MADEIRA 
 32 x AC TRUNK CONNECTOR - CONECTOR CA HOYMILES 
 11 x AC TRUNK END CAP - TERMINAL ENDCAP HOYMILES 
 1 x AC TRUNK CONNECTOR UNLOCK TOOL - CHAVE DESBLOQUEIO CONECTOR CA 
 1 x HMS DISCONNECT TOOL-1PCS - CHAVE DESCONEXAO MICROINVERSOR 
 63 x CABO CA MULTIPOLAR 10AWG 
 2 x DTU-LITE-S(WIFI) - MONIT DTU-LITE S (ATÉ 25 MICROS)</t>
  </si>
  <si>
    <t>125 x MODULO FV 570WP N-TYPE BIFACIAL DUAL GLASS DAS-DH144NA 
 32 x HMS-2000-4T - MICRO HOYMILES 2000W DTU EXTERNA 
 4 x CABO FOTOVOLTAICO 4MM² PRETO 
 128 x CABO FOTOVOLTAICO 4MM² VERMELHO 
 256 x CONECTOR MC4 PAR EMBALADO 
 ESTRUTURA FIBROCIMENTO MADEIRA 
 32 x AC TRUNK CONNECTOR - CONECTOR CA HOYMILES 
 11 x AC TRUNK END CAP - TERMINAL ENDCAP HOYMILES 
 1 x AC TRUNK CONNECTOR UNLOCK TOOL - CHAVE DESBLOQUEIO CONECTOR CA 
 1 x HMS DISCONNECT TOOL-1PCS - CHAVE DESCONEXAO MICROINVERSOR 
 63 x CABO CA MULTIPOLAR 10AWG 
 2 x DTU-LITE-S(WIFI) - MONIT DTU-LITE S (ATÉ 25 MICROS)</t>
  </si>
  <si>
    <t>101 x MODULO FV 710WP BIFACIAL DUAL-GLASS TRINA TSM-NEG21C.20 
 26 x HMS-2000-4T - MICRO HOYMILES 2000W DTU EXTERNA 
 4 x CABO FOTOVOLTAICO 4MM² PRETO 
 104 x CABO FOTOVOLTAICO 4MM² VERMELHO 
 208 x CONECTOR MC4 PAR TRINA 
 ESTRUTURA FIBROCIMENTO MADEIRA 
 26 x AC TRUNK CONNECTOR - CONECTOR CA HOYMILES 
 9 x AC TRUNK END CAP - TERMINAL ENDCAP HOYMILES 
 1 x AC TRUNK CONNECTOR UNLOCK TOOL - CHAVE DESBLOQUEIO CONECTOR CA 
 1 x HMS DISCONNECT TOOL-1PCS - CHAVE DESCONEXAO MICROINVERSOR 
 51 x CABO CA MULTIPOLAR 10AWG 
 2 x DTU-LITE-S(WIFI) - MONIT DTU-LITE S (ATÉ 25 MICROS)</t>
  </si>
  <si>
    <t>126 x MODULO FV 570WP N-TYPE BIFACIAL DAH SOLAR DHN-72X16/DG 
 1 x INVERSOR SUNGROW SG50CX-P2 AFCI 380V COM MONITORAMENTO 
 200 x CABO FOTOVOLTAICO 4MM² PRETO 
 200 x CABO FOTOVOLTAICO 4MM² VERMELHO 
 20 x CONECTOR MC4 PAR EMBALADO 
 ESTRUTURA FIBROCIMENTO MADEIRA</t>
  </si>
  <si>
    <t>126 x MODULO FV 570WP N-TYPE BIFACIAL DUAL GLASS DAS-DH144NA 
 1 x INVERSOR SUNGROW SG50CX-P2 AFCI 380V COM MONITORAMENTO 
 200 x CABO FOTOVOLTAICO 4MM² PRETO 
 200 x CABO FOTOVOLTAICO 4MM² VERMELHO 
 20 x CONECTOR MC4 PAR EMBALADO 
 ESTRUTURA FIBROCIMENTO MADEIRA</t>
  </si>
  <si>
    <t>126 x MODULO FV 570WP N-TYPE BIFACIAL DAH SOLAR DHN-72X16/DG 
 1 x INVERSOR SOLIS 60KW 380V S5-GC60K COM MONITORAMENTO 
 200 x CABO FOTOVOLTAICO 4MM² PRETO 
 200 x CABO FOTOVOLTAICO 4MM² VERMELHO 
 24 x CONECTOR MC4 PAR EMBALADO 
 ESTRUTURA FIBROCIMENTO MADEIRA</t>
  </si>
  <si>
    <t>126 x MODULO FV 570WP N-TYPE BIFACIAL DUAL GLASS DAS-DH144NA 
 1 x INVERSOR SOLIS 60KW 380V S5-GC60K COM MONITORAMENTO 
 200 x CABO FOTOVOLTAICO 4MM² PRETO 
 200 x CABO FOTOVOLTAICO 4MM² VERMELHO 
 24 x CONECTOR MC4 PAR EMBALADO 
 ESTRUTURA FIBROCIMENTO MADEIRA</t>
  </si>
  <si>
    <t>126 x MODULO FV 570WP N-TYPE BIFACIAL DAH SOLAR DHN-72X16/DG 
 1 x INVERSOR SOLIS 60KW 220V 60K-LV-5G-PRO COM MONITORAMENTO 
 200 x CABO FOTOVOLTAICO 4MM² PRETO 
 200 x CABO FOTOVOLTAICO 4MM² VERMELHO 
 32 x CONECTOR MC4 PAR EMBALADO 
 ESTRUTURA FIBROCIMENTO MADEIRA</t>
  </si>
  <si>
    <t>126 x MODULO FV 570WP N-TYPE BIFACIAL DUAL GLASS DAS-DH144NA 
 1 x INVERSOR SOLIS 60KW 220V 60K-LV-5G-PRO COM MONITORAMENTO 
 200 x CABO FOTOVOLTAICO 4MM² PRETO 
 200 x CABO FOTOVOLTAICO 4MM² VERMELHO 
 32 x CONECTOR MC4 PAR EMBALADO 
 ESTRUTURA FIBROCIMENTO MADEIRA</t>
  </si>
  <si>
    <t>126 x MODULO FV 570WP N-TYPE BIFACIAL DAH SOLAR DHN-72X16/DG 
 32 x HMS-2000-4T - MICRO HOYMILES 2000W DTU EXTERNA 
 4 x CABO FOTOVOLTAICO 4MM² PRETO 
 128 x CABO FOTOVOLTAICO 4MM² VERMELHO 
 256 x CONECTOR MC4 PAR EMBALADO 
 ESTRUTURA FIBROCIMENTO MADEIRA 
 32 x AC TRUNK CONNECTOR - CONECTOR CA HOYMILES 
 11 x AC TRUNK END CAP - TERMINAL ENDCAP HOYMILES 
 1 x AC TRUNK CONNECTOR UNLOCK TOOL - CHAVE DESBLOQUEIO CONECTOR CA 
 1 x HMS DISCONNECT TOOL-1PCS - CHAVE DESCONEXAO MICROINVERSOR 
 63 x CABO CA MULTIPOLAR 10AWG 
 2 x DTU-LITE-S(WIFI) - MONIT DTU-LITE S (ATÉ 25 MICROS)</t>
  </si>
  <si>
    <t>126 x MODULO FV 570WP N-TYPE BIFACIAL DUAL GLASS DAS-DH144NA 
 32 x HMS-2000-4T - MICRO HOYMILES 2000W DTU EXTERNA 
 4 x CABO FOTOVOLTAICO 4MM² PRETO 
 128 x CABO FOTOVOLTAICO 4MM² VERMELHO 
 256 x CONECTOR MC4 PAR EMBALADO 
 ESTRUTURA FIBROCIMENTO MADEIRA 
 32 x AC TRUNK CONNECTOR - CONECTOR CA HOYMILES 
 11 x AC TRUNK END CAP - TERMINAL ENDCAP HOYMILES 
 1 x AC TRUNK CONNECTOR UNLOCK TOOL - CHAVE DESBLOQUEIO CONECTOR CA 
 1 x HMS DISCONNECT TOOL-1PCS - CHAVE DESCONEXAO MICROINVERSOR 
 63 x CABO CA MULTIPOLAR 10AWG 
 2 x DTU-LITE-S(WIFI) - MONIT DTU-LITE S (ATÉ 25 MICROS)</t>
  </si>
  <si>
    <t>127 x MODULO FV 570WP N-TYPE BIFACIAL DAH SOLAR DHN-72X16/DG 
 1 x INVERSOR SUNGROW SG50CX-P2 AFCI 380V COM MONITORAMENTO 
 200 x CABO FOTOVOLTAICO 4MM² PRETO 
 200 x CABO FOTOVOLTAICO 4MM² VERMELHO 
 20 x CONECTOR MC4 PAR EMBALADO 
 ESTRUTURA FIBROCIMENTO MADEIRA</t>
  </si>
  <si>
    <t>127 x MODULO FV 570WP N-TYPE BIFACIAL DUAL GLASS DAS-DH144NA 
 1 x INVERSOR SUNGROW SG50CX-P2 AFCI 380V COM MONITORAMENTO 
 200 x CABO FOTOVOLTAICO 4MM² PRETO 
 200 x CABO FOTOVOLTAICO 4MM² VERMELHO 
 20 x CONECTOR MC4 PAR EMBALADO 
 ESTRUTURA FIBROCIMENTO MADEIRA</t>
  </si>
  <si>
    <t>127 x MODULO FV 570WP N-TYPE BIFACIAL DAH SOLAR DHN-72X16/DG 
 1 x INVERSOR SOLIS 60KW 380V S5-GC60K COM MONITORAMENTO 
 200 x CABO FOTOVOLTAICO 4MM² PRETO 
 200 x CABO FOTOVOLTAICO 4MM² VERMELHO 
 24 x CONECTOR MC4 PAR EMBALADO 
 ESTRUTURA FIBROCIMENTO MADEIRA</t>
  </si>
  <si>
    <t>127 x MODULO FV 570WP N-TYPE BIFACIAL DUAL GLASS DAS-DH144NA 
 1 x INVERSOR SOLIS 60KW 380V S5-GC60K COM MONITORAMENTO 
 200 x CABO FOTOVOLTAICO 4MM² PRETO 
 200 x CABO FOTOVOLTAICO 4MM² VERMELHO 
 24 x CONECTOR MC4 PAR EMBALADO 
 ESTRUTURA FIBROCIMENTO MADEIRA</t>
  </si>
  <si>
    <t>127 x MODULO FV 570WP N-TYPE BIFACIAL DAH SOLAR DHN-72X16/DG 
 1 x INVERSOR SOLIS 60KW 220V 60K-LV-5G-PRO COM MONITORAMENTO 
 200 x CABO FOTOVOLTAICO 4MM² PRETO 
 200 x CABO FOTOVOLTAICO 4MM² VERMELHO 
 32 x CONECTOR MC4 PAR EMBALADO 
 ESTRUTURA FIBROCIMENTO MADEIRA</t>
  </si>
  <si>
    <t>127 x MODULO FV 570WP N-TYPE BIFACIAL DUAL GLASS DAS-DH144NA 
 1 x INVERSOR SOLIS 60KW 220V 60K-LV-5G-PRO COM MONITORAMENTO 
 200 x CABO FOTOVOLTAICO 4MM² PRETO 
 200 x CABO FOTOVOLTAICO 4MM² VERMELHO 
 32 x CONECTOR MC4 PAR EMBALADO 
 ESTRUTURA FIBROCIMENTO MADEIRA</t>
  </si>
  <si>
    <t>127 x MODULO FV 570WP N-TYPE BIFACIAL DAH SOLAR DHN-72X16/DG 
 32 x HMS-2000-4T - MICRO HOYMILES 2000W DTU EXTERNA 
 4 x CABO FOTOVOLTAICO 4MM² PRETO 
 128 x CABO FOTOVOLTAICO 4MM² VERMELHO 
 256 x CONECTOR MC4 PAR EMBALADO 
 ESTRUTURA FIBROCIMENTO MADEIRA 
 32 x AC TRUNK CONNECTOR - CONECTOR CA HOYMILES 
 11 x AC TRUNK END CAP - TERMINAL ENDCAP HOYMILES 
 1 x AC TRUNK CONNECTOR UNLOCK TOOL - CHAVE DESBLOQUEIO CONECTOR CA 
 1 x HMS DISCONNECT TOOL-1PCS - CHAVE DESCONEXAO MICROINVERSOR 
 63 x CABO CA MULTIPOLAR 10AWG 
 2 x DTU-LITE-S(WIFI) - MONIT DTU-LITE S (ATÉ 25 MICROS)</t>
  </si>
  <si>
    <t>127 x MODULO FV 570WP N-TYPE BIFACIAL DUAL GLASS DAS-DH144NA 
 32 x HMS-2000-4T - MICRO HOYMILES 2000W DTU EXTERNA 
 4 x CABO FOTOVOLTAICO 4MM² PRETO 
 128 x CABO FOTOVOLTAICO 4MM² VERMELHO 
 256 x CONECTOR MC4 PAR EMBALADO 
 ESTRUTURA FIBROCIMENTO MADEIRA 
 32 x AC TRUNK CONNECTOR - CONECTOR CA HOYMILES 
 11 x AC TRUNK END CAP - TERMINAL ENDCAP HOYMILES 
 1 x AC TRUNK CONNECTOR UNLOCK TOOL - CHAVE DESBLOQUEIO CONECTOR CA 
 1 x HMS DISCONNECT TOOL-1PCS - CHAVE DESCONEXAO MICROINVERSOR 
 63 x CABO CA MULTIPOLAR 10AWG 
 2 x DTU-LITE-S(WIFI) - MONIT DTU-LITE S (ATÉ 25 MICROS)</t>
  </si>
  <si>
    <t>102 x MODULO FV 710WP BIFACIAL DUAL-GLASS TRINA TSM-NEG21C.20 
 26 x HMS-2000-4T - MICRO HOYMILES 2000W DTU EXTERNA 
 4 x CABO FOTOVOLTAICO 4MM² PRETO 
 104 x CABO FOTOVOLTAICO 4MM² VERMELHO 
 208 x CONECTOR MC4 PAR TRINA 
 ESTRUTURA FIBROCIMENTO MADEIRA 
 26 x AC TRUNK CONNECTOR - CONECTOR CA HOYMILES 
 9 x AC TRUNK END CAP - TERMINAL ENDCAP HOYMILES 
 1 x AC TRUNK CONNECTOR UNLOCK TOOL - CHAVE DESBLOQUEIO CONECTOR CA 
 1 x HMS DISCONNECT TOOL-1PCS - CHAVE DESCONEXAO MICROINVERSOR 
 51 x CABO CA MULTIPOLAR 10AWG 
 2 x DTU-LITE-S(WIFI) - MONIT DTU-LITE S (ATÉ 25 MICROS)</t>
  </si>
  <si>
    <t>128 x MODULO FV 570WP N-TYPE BIFACIAL DAH SOLAR DHN-72X16/DG 
 1 x INVERSOR SUNGROW SG50CX-P2 AFCI 380V COM MONITORAMENTO 
 200 x CABO FOTOVOLTAICO 4MM² PRETO 
 200 x CABO FOTOVOLTAICO 4MM² VERMELHO 
 20 x CONECTOR MC4 PAR EMBALADO 
 ESTRUTURA FIBROCIMENTO MADEIRA</t>
  </si>
  <si>
    <t>128 x MODULO FV 570WP N-TYPE BIFACIAL DUAL GLASS DAS-DH144NA 
 1 x INVERSOR SUNGROW SG50CX-P2 AFCI 380V COM MONITORAMENTO 
 200 x CABO FOTOVOLTAICO 4MM² PRETO 
 200 x CABO FOTOVOLTAICO 4MM² VERMELHO 
 20 x CONECTOR MC4 PAR EMBALADO 
 ESTRUTURA FIBROCIMENTO MADEIRA</t>
  </si>
  <si>
    <t>128 x MODULO FV 570WP N-TYPE BIFACIAL DAH SOLAR DHN-72X16/DG 
 1 x INVERSOR SOLIS 60KW 380V S5-GC60K COM MONITORAMENTO 
 200 x CABO FOTOVOLTAICO 4MM² PRETO 
 200 x CABO FOTOVOLTAICO 4MM² VERMELHO 
 24 x CONECTOR MC4 PAR EMBALADO 
 ESTRUTURA FIBROCIMENTO MADEIRA</t>
  </si>
  <si>
    <t>128 x MODULO FV 570WP N-TYPE BIFACIAL DUAL GLASS DAS-DH144NA 
 1 x INVERSOR SOLIS 60KW 380V S5-GC60K COM MONITORAMENTO 
 200 x CABO FOTOVOLTAICO 4MM² PRETO 
 200 x CABO FOTOVOLTAICO 4MM² VERMELHO 
 24 x CONECTOR MC4 PAR EMBALADO 
 ESTRUTURA FIBROCIMENTO MADEIRA</t>
  </si>
  <si>
    <t>128 x MODULO FV 570WP N-TYPE BIFACIAL DAH SOLAR DHN-72X16/DG 
 1 x INVERSOR SOLIS 60KW 220V 60K-LV-5G-PRO COM MONITORAMENTO 
 200 x CABO FOTOVOLTAICO 4MM² PRETO 
 200 x CABO FOTOVOLTAICO 4MM² VERMELHO 
 32 x CONECTOR MC4 PAR EMBALADO 
 ESTRUTURA FIBROCIMENTO MADEIRA</t>
  </si>
  <si>
    <t>128 x MODULO FV 570WP N-TYPE BIFACIAL DUAL GLASS DAS-DH144NA 
 1 x INVERSOR SOLIS 60KW 220V 60K-LV-5G-PRO COM MONITORAMENTO 
 200 x CABO FOTOVOLTAICO 4MM² PRETO 
 200 x CABO FOTOVOLTAICO 4MM² VERMELHO 
 32 x CONECTOR MC4 PAR EMBALADO 
 ESTRUTURA FIBROCIMENTO MADEIRA</t>
  </si>
  <si>
    <t>128 x MODULO FV 570WP N-TYPE BIFACIAL DAH SOLAR DHN-72X16/DG 
 32 x HMS-2000-4T - MICRO HOYMILES 2000W DTU EXTERNA 
 4 x CABO FOTOVOLTAICO 4MM² PRETO 
 128 x CABO FOTOVOLTAICO 4MM² VERMELHO 
 256 x CONECTOR MC4 PAR EMBALADO 
 ESTRUTURA FIBROCIMENTO MADEIRA 
 32 x AC TRUNK CONNECTOR - CONECTOR CA HOYMILES 
 11 x AC TRUNK END CAP - TERMINAL ENDCAP HOYMILES 
 1 x AC TRUNK CONNECTOR UNLOCK TOOL - CHAVE DESBLOQUEIO CONECTOR CA 
 1 x HMS DISCONNECT TOOL-1PCS - CHAVE DESCONEXAO MICROINVERSOR 
 63 x CABO CA MULTIPOLAR 10AWG 
 2 x DTU-LITE-S(WIFI) - MONIT DTU-LITE S (ATÉ 25 MICROS)</t>
  </si>
  <si>
    <t>128 x MODULO FV 570WP N-TYPE BIFACIAL DUAL GLASS DAS-DH144NA 
 32 x HMS-2000-4T - MICRO HOYMILES 2000W DTU EXTERNA 
 4 x CABO FOTOVOLTAICO 4MM² PRETO 
 128 x CABO FOTOVOLTAICO 4MM² VERMELHO 
 256 x CONECTOR MC4 PAR EMBALADO 
 ESTRUTURA FIBROCIMENTO MADEIRA 
 32 x AC TRUNK CONNECTOR - CONECTOR CA HOYMILES 
 11 x AC TRUNK END CAP - TERMINAL ENDCAP HOYMILES 
 1 x AC TRUNK CONNECTOR UNLOCK TOOL - CHAVE DESBLOQUEIO CONECTOR CA 
 1 x HMS DISCONNECT TOOL-1PCS - CHAVE DESCONEXAO MICROINVERSOR 
 63 x CABO CA MULTIPOLAR 10AWG 
 2 x DTU-LITE-S(WIFI) - MONIT DTU-LITE S (ATÉ 25 MICROS)</t>
  </si>
  <si>
    <t>103 x MODULO FV 710WP BIFACIAL DUAL-GLASS TRINA TSM-NEG21C.20 
 26 x HMS-2000-4T - MICRO HOYMILES 2000W DTU EXTERNA 
 4 x CABO FOTOVOLTAICO 4MM² PRETO 
 104 x CABO FOTOVOLTAICO 4MM² VERMELHO 
 208 x CONECTOR MC4 PAR TRINA 
 ESTRUTURA FIBROCIMENTO MADEIRA 
 26 x AC TRUNK CONNECTOR - CONECTOR CA HOYMILES 
 9 x AC TRUNK END CAP - TERMINAL ENDCAP HOYMILES 
 1 x AC TRUNK CONNECTOR UNLOCK TOOL - CHAVE DESBLOQUEIO CONECTOR CA 
 1 x HMS DISCONNECT TOOL-1PCS - CHAVE DESCONEXAO MICROINVERSOR 
 51 x CABO CA MULTIPOLAR 10AWG 
 2 x DTU-LITE-S(WIFI) - MONIT DTU-LITE S (ATÉ 25 MICROS)</t>
  </si>
  <si>
    <t>129 x MODULO FV 570WP N-TYPE BIFACIAL DAH SOLAR DHN-72X16/DG 
 1 x INVERSOR SOLIS 60KW 380V S5-GC60K COM MONITORAMENTO 
 200 x CABO FOTOVOLTAICO 4MM² PRETO 
 200 x CABO FOTOVOLTAICO 4MM² VERMELHO 
 24 x CONECTOR MC4 PAR EMBALADO 
 ESTRUTURA FIBROCIMENTO MADEIRA</t>
  </si>
  <si>
    <t>129 x MODULO FV 570WP N-TYPE BIFACIAL DUAL GLASS DAS-DH144NA 
 1 x INVERSOR SOLIS 60KW 380V S5-GC60K COM MONITORAMENTO 
 200 x CABO FOTOVOLTAICO 4MM² PRETO 
 200 x CABO FOTOVOLTAICO 4MM² VERMELHO 
 24 x CONECTOR MC4 PAR EMBALADO 
 ESTRUTURA FIBROCIMENTO MADEIRA</t>
  </si>
  <si>
    <t>129 x MODULO FV 570WP N-TYPE BIFACIAL DAH SOLAR DHN-72X16/DG 
 1 x INVERSOR SOLIS 60KW 220V 60K-LV-5G-PRO COM MONITORAMENTO 
 200 x CABO FOTOVOLTAICO 4MM² PRETO 
 200 x CABO FOTOVOLTAICO 4MM² VERMELHO 
 32 x CONECTOR MC4 PAR EMBALADO 
 ESTRUTURA FIBROCIMENTO MADEIRA</t>
  </si>
  <si>
    <t>129 x MODULO FV 570WP N-TYPE BIFACIAL DUAL GLASS DAS-DH144NA 
 1 x INVERSOR SOLIS 60KW 220V 60K-LV-5G-PRO COM MONITORAMENTO 
 200 x CABO FOTOVOLTAICO 4MM² PRETO 
 200 x CABO FOTOVOLTAICO 4MM² VERMELHO 
 32 x CONECTOR MC4 PAR EMBALADO 
 ESTRUTURA FIBROCIMENTO MADEIRA</t>
  </si>
  <si>
    <t>66</t>
  </si>
  <si>
    <t>129 x MODULO FV 570WP N-TYPE BIFACIAL DAH SOLAR DHN-72X16/DG 
 33 x HMS-2000-4T - MICRO HOYMILES 2000W DTU EXTERNA 
 4 x CABO FOTOVOLTAICO 4MM² PRETO 
 132 x CABO FOTOVOLTAICO 4MM² VERMELHO 
 264 x CONECTOR MC4 PAR EMBALADO 
 ESTRUTURA FIBROCIMENTO MADEIRA 
 33 x AC TRUNK CONNECTOR - CONECTOR CA HOYMILES 
 11 x AC TRUNK END CAP - TERMINAL ENDCAP HOYMILES 
 1 x AC TRUNK CONNECTOR UNLOCK TOOL - CHAVE DESBLOQUEIO CONECTOR CA 
 1 x HMS DISCONNECT TOOL-1PCS - CHAVE DESCONEXAO MICROINVERSOR 
 66 x CABO CA MULTIPOLAR 10AWG 
 2 x DTU-LITE-S(WIFI) - MONIT DTU-LITE S (ATÉ 25 MICROS)</t>
  </si>
  <si>
    <t>129 x MODULO FV 570WP N-TYPE BIFACIAL DUAL GLASS DAS-DH144NA 
 33 x HMS-2000-4T - MICRO HOYMILES 2000W DTU EXTERNA 
 4 x CABO FOTOVOLTAICO 4MM² PRETO 
 132 x CABO FOTOVOLTAICO 4MM² VERMELHO 
 264 x CONECTOR MC4 PAR EMBALADO 
 ESTRUTURA FIBROCIMENTO MADEIRA 
 33 x AC TRUNK CONNECTOR - CONECTOR CA HOYMILES 
 11 x AC TRUNK END CAP - TERMINAL ENDCAP HOYMILES 
 1 x AC TRUNK CONNECTOR UNLOCK TOOL - CHAVE DESBLOQUEIO CONECTOR CA 
 1 x HMS DISCONNECT TOOL-1PCS - CHAVE DESCONEXAO MICROINVERSOR 
 66 x CABO CA MULTIPOLAR 10AWG 
 2 x DTU-LITE-S(WIFI) - MONIT DTU-LITE S (ATÉ 25 MICROS)</t>
  </si>
  <si>
    <t>104 x MODULO FV 710WP BIFACIAL DUAL-GLASS TRINA TSM-NEG21C.20 
 26 x HMS-2000-4T - MICRO HOYMILES 2000W DTU EXTERNA 
 4 x CABO FOTOVOLTAICO 4MM² PRETO 
 104 x CABO FOTOVOLTAICO 4MM² VERMELHO 
 208 x CONECTOR MC4 PAR TRINA 
 ESTRUTURA FIBROCIMENTO MADEIRA 
 26 x AC TRUNK CONNECTOR - CONECTOR CA HOYMILES 
 9 x AC TRUNK END CAP - TERMINAL ENDCAP HOYMILES 
 1 x AC TRUNK CONNECTOR UNLOCK TOOL - CHAVE DESBLOQUEIO CONECTOR CA 
 1 x HMS DISCONNECT TOOL-1PCS - CHAVE DESCONEXAO MICROINVERSOR 
 51 x CABO CA MULTIPOLAR 10AWG 
 2 x DTU-LITE-S(WIFI) - MONIT DTU-LITE S (ATÉ 25 MICROS)</t>
  </si>
  <si>
    <t>130 x MODULO FV 570WP N-TYPE BIFACIAL DAH SOLAR DHN-72X16/DG 
 1 x INVERSOR SOLIS 60KW 380V S5-GC60K COM MONITORAMENTO 
 200 x CABO FOTOVOLTAICO 4MM² PRETO 
 200 x CABO FOTOVOLTAICO 4MM² VERMELHO 
 24 x CONECTOR MC4 PAR EMBALADO 
 ESTRUTURA FIBROCIMENTO MADEIRA</t>
  </si>
  <si>
    <t>130 x MODULO FV 570WP N-TYPE BIFACIAL DUAL GLASS DAS-DH144NA 
 1 x INVERSOR SOLIS 60KW 380V S5-GC60K COM MONITORAMENTO 
 200 x CABO FOTOVOLTAICO 4MM² PRETO 
 200 x CABO FOTOVOLTAICO 4MM² VERMELHO 
 24 x CONECTOR MC4 PAR EMBALADO 
 ESTRUTURA FIBROCIMENTO MADEIRA</t>
  </si>
  <si>
    <t>130 x MODULO FV 570WP N-TYPE BIFACIAL DAH SOLAR DHN-72X16/DG 
 1 x INVERSOR SOLIS 60KW 220V 60K-LV-5G-PRO COM MONITORAMENTO 
 200 x CABO FOTOVOLTAICO 4MM² PRETO 
 200 x CABO FOTOVOLTAICO 4MM² VERMELHO 
 32 x CONECTOR MC4 PAR EMBALADO 
 ESTRUTURA FIBROCIMENTO MADEIRA</t>
  </si>
  <si>
    <t>130 x MODULO FV 570WP N-TYPE BIFACIAL DUAL GLASS DAS-DH144NA 
 1 x INVERSOR SOLIS 60KW 220V 60K-LV-5G-PRO COM MONITORAMENTO 
 200 x CABO FOTOVOLTAICO 4MM² PRETO 
 200 x CABO FOTOVOLTAICO 4MM² VERMELHO 
 32 x CONECTOR MC4 PAR EMBALADO 
 ESTRUTURA FIBROCIMENTO MADEIRA</t>
  </si>
  <si>
    <t>130 x MODULO FV 570WP N-TYPE BIFACIAL DAH SOLAR DHN-72X16/DG 
 33 x HMS-2000-4T - MICRO HOYMILES 2000W DTU EXTERNA 
 4 x CABO FOTOVOLTAICO 4MM² PRETO 
 132 x CABO FOTOVOLTAICO 4MM² VERMELHO 
 264 x CONECTOR MC4 PAR EMBALADO 
 ESTRUTURA FIBROCIMENTO MADEIRA 
 33 x AC TRUNK CONNECTOR - CONECTOR CA HOYMILES 
 11 x AC TRUNK END CAP - TERMINAL ENDCAP HOYMILES 
 1 x AC TRUNK CONNECTOR UNLOCK TOOL - CHAVE DESBLOQUEIO CONECTOR CA 
 1 x HMS DISCONNECT TOOL-1PCS - CHAVE DESCONEXAO MICROINVERSOR 
 66 x CABO CA MULTIPOLAR 10AWG 
 2 x DTU-LITE-S(WIFI) - MONIT DTU-LITE S (ATÉ 25 MICROS)</t>
  </si>
  <si>
    <t>130 x MODULO FV 570WP N-TYPE BIFACIAL DUAL GLASS DAS-DH144NA 
 33 x HMS-2000-4T - MICRO HOYMILES 2000W DTU EXTERNA 
 4 x CABO FOTOVOLTAICO 4MM² PRETO 
 132 x CABO FOTOVOLTAICO 4MM² VERMELHO 
 264 x CONECTOR MC4 PAR EMBALADO 
 ESTRUTURA FIBROCIMENTO MADEIRA 
 33 x AC TRUNK CONNECTOR - CONECTOR CA HOYMILES 
 11 x AC TRUNK END CAP - TERMINAL ENDCAP HOYMILES 
 1 x AC TRUNK CONNECTOR UNLOCK TOOL - CHAVE DESBLOQUEIO CONECTOR CA 
 1 x HMS DISCONNECT TOOL-1PCS - CHAVE DESCONEXAO MICROINVERSOR 
 66 x CABO CA MULTIPOLAR 10AWG 
 2 x DTU-LITE-S(WIFI) - MONIT DTU-LITE S (ATÉ 25 MICROS)</t>
  </si>
  <si>
    <t>105 x MODULO FV 710WP BIFACIAL DUAL-GLASS TRINA TSM-NEG21C.20 
 27 x HMS-2000-4T - MICRO HOYMILES 2000W DTU EXTERNA 
 4 x CABO FOTOVOLTAICO 4MM² PRETO 
 108 x CABO FOTOVOLTAICO 4MM² VERMELHO 
 216 x CONECTOR MC4 PAR TRINA 
 ESTRUTURA FIBROCIMENTO MADEIRA 
 27 x AC TRUNK CONNECTOR - CONECTOR CA HOYMILES 
 9 x AC TRUNK END CAP - TERMINAL ENDCAP HOYMILES 
 1 x AC TRUNK CONNECTOR UNLOCK TOOL - CHAVE DESBLOQUEIO CONECTOR CA 
 1 x HMS DISCONNECT TOOL-1PCS - CHAVE DESCONEXAO MICROINVERSOR 
 54 x CABO CA MULTIPOLAR 10AWG 
 2 x DTU-LITE-S(WIFI) - MONIT DTU-LITE S (ATÉ 25 MICROS)</t>
  </si>
  <si>
    <t>131 x MODULO FV 570WP N-TYPE BIFACIAL DAH SOLAR DHN-72X16/DG 
 1 x INVERSOR SOLIS 60KW 380V S5-GC60K COM MONITORAMENTO 
 200 x CABO FOTOVOLTAICO 4MM² PRETO 
 200 x CABO FOTOVOLTAICO 4MM² VERMELHO 
 24 x CONECTOR MC4 PAR EMBALADO 
 ESTRUTURA FIBROCIMENTO MADEIRA</t>
  </si>
  <si>
    <t>131 x MODULO FV 570WP N-TYPE BIFACIAL DUAL GLASS DAS-DH144NA 
 1 x INVERSOR SOLIS 60KW 380V S5-GC60K COM MONITORAMENTO 
 200 x CABO FOTOVOLTAICO 4MM² PRETO 
 200 x CABO FOTOVOLTAICO 4MM² VERMELHO 
 24 x CONECTOR MC4 PAR EMBALADO 
 ESTRUTURA FIBROCIMENTO MADEIRA</t>
  </si>
  <si>
    <t>131 x MODULO FV 570WP N-TYPE BIFACIAL DAH SOLAR DHN-72X16/DG 
 1 x INVERSOR SOLIS 60KW 220V 60K-LV-5G-PRO COM MONITORAMENTO 
 200 x CABO FOTOVOLTAICO 4MM² PRETO 
 200 x CABO FOTOVOLTAICO 4MM² VERMELHO 
 32 x CONECTOR MC4 PAR EMBALADO 
 ESTRUTURA FIBROCIMENTO MADEIRA</t>
  </si>
  <si>
    <t>131 x MODULO FV 570WP N-TYPE BIFACIAL DUAL GLASS DAS-DH144NA 
 1 x INVERSOR SOLIS 60KW 220V 60K-LV-5G-PRO COM MONITORAMENTO 
 200 x CABO FOTOVOLTAICO 4MM² PRETO 
 200 x CABO FOTOVOLTAICO 4MM² VERMELHO 
 32 x CONECTOR MC4 PAR EMBALADO 
 ESTRUTURA FIBROCIMENTO MADEIRA</t>
  </si>
  <si>
    <t>131 x MODULO FV 570WP N-TYPE BIFACIAL DAH SOLAR DHN-72X16/DG 
 33 x HMS-2000-4T - MICRO HOYMILES 2000W DTU EXTERNA 
 4 x CABO FOTOVOLTAICO 4MM² PRETO 
 132 x CABO FOTOVOLTAICO 4MM² VERMELHO 
 264 x CONECTOR MC4 PAR EMBALADO 
 ESTRUTURA FIBROCIMENTO MADEIRA 
 33 x AC TRUNK CONNECTOR - CONECTOR CA HOYMILES 
 11 x AC TRUNK END CAP - TERMINAL ENDCAP HOYMILES 
 1 x AC TRUNK CONNECTOR UNLOCK TOOL - CHAVE DESBLOQUEIO CONECTOR CA 
 1 x HMS DISCONNECT TOOL-1PCS - CHAVE DESCONEXAO MICROINVERSOR 
 66 x CABO CA MULTIPOLAR 10AWG 
 2 x DTU-LITE-S(WIFI) - MONIT DTU-LITE S (ATÉ 25 MICROS)</t>
  </si>
  <si>
    <t>131 x MODULO FV 570WP N-TYPE BIFACIAL DUAL GLASS DAS-DH144NA 
 33 x HMS-2000-4T - MICRO HOYMILES 2000W DTU EXTERNA 
 4 x CABO FOTOVOLTAICO 4MM² PRETO 
 132 x CABO FOTOVOLTAICO 4MM² VERMELHO 
 264 x CONECTOR MC4 PAR EMBALADO 
 ESTRUTURA FIBROCIMENTO MADEIRA 
 33 x AC TRUNK CONNECTOR - CONECTOR CA HOYMILES 
 11 x AC TRUNK END CAP - TERMINAL ENDCAP HOYMILES 
 1 x AC TRUNK CONNECTOR UNLOCK TOOL - CHAVE DESBLOQUEIO CONECTOR CA 
 1 x HMS DISCONNECT TOOL-1PCS - CHAVE DESCONEXAO MICROINVERSOR 
 66 x CABO CA MULTIPOLAR 10AWG 
 2 x DTU-LITE-S(WIFI) - MONIT DTU-LITE S (ATÉ 25 MICROS)</t>
  </si>
  <si>
    <t>132 x MODULO FV 570WP N-TYPE BIFACIAL DAH SOLAR DHN-72X16/DG 
 1 x INVERSOR SOLIS 60KW 380V S5-GC60K COM MONITORAMENTO 
 200 x CABO FOTOVOLTAICO 4MM² PRETO 
 200 x CABO FOTOVOLTAICO 4MM² VERMELHO 
 24 x CONECTOR MC4 PAR EMBALADO 
 ESTRUTURA FIBROCIMENTO MADEIRA</t>
  </si>
  <si>
    <t>132 x MODULO FV 570WP N-TYPE BIFACIAL DUAL GLASS DAS-DH144NA 
 1 x INVERSOR SOLIS 60KW 380V S5-GC60K COM MONITORAMENTO 
 200 x CABO FOTOVOLTAICO 4MM² PRETO 
 200 x CABO FOTOVOLTAICO 4MM² VERMELHO 
 24 x CONECTOR MC4 PAR EMBALADO 
 ESTRUTURA FIBROCIMENTO MADEIRA</t>
  </si>
  <si>
    <t>132 x MODULO FV 570WP N-TYPE BIFACIAL DAH SOLAR DHN-72X16/DG 
 1 x INVERSOR SUNGROW SG75CX-P2 AFCI 380V COM MONITORAMENTO 
 350 x CABO FOTOVOLTAICO 4MM² PRETO 
 350 x CABO FOTOVOLTAICO 4MM² VERMELHO 
 20 x CONECTOR MC4 PAR EMBALADO 
 ESTRUTURA FIBROCIMENTO MADEIRA</t>
  </si>
  <si>
    <t>132 x MODULO FV 570WP N-TYPE BIFACIAL DUAL GLASS DAS-DH144NA 
 1 x INVERSOR SUNGROW SG75CX-P2 AFCI 380V COM MONITORAMENTO 
 350 x CABO FOTOVOLTAICO 4MM² PRETO 
 350 x CABO FOTOVOLTAICO 4MM² VERMELHO 
 20 x CONECTOR MC4 PAR EMBALADO 
 ESTRUTURA FIBROCIMENTO MADEIRA</t>
  </si>
  <si>
    <t>132 x MODULO FV 570WP N-TYPE BIFACIAL DAH SOLAR DHN-72X16/DG 
 1 x INVERSOR SOLIS 60KW 220V 60K-LV-5G-PRO COM MONITORAMENTO 
 200 x CABO FOTOVOLTAICO 4MM² PRETO 
 200 x CABO FOTOVOLTAICO 4MM² VERMELHO 
 32 x CONECTOR MC4 PAR EMBALADO 
 ESTRUTURA FIBROCIMENTO MADEIRA</t>
  </si>
  <si>
    <t>132 x MODULO FV 570WP N-TYPE BIFACIAL DUAL GLASS DAS-DH144NA 
 1 x INVERSOR SOLIS 60KW 220V 60K-LV-5G-PRO COM MONITORAMENTO 
 200 x CABO FOTOVOLTAICO 4MM² PRETO 
 200 x CABO FOTOVOLTAICO 4MM² VERMELHO 
 32 x CONECTOR MC4 PAR EMBALADO 
 ESTRUTURA FIBROCIMENTO MADEIRA</t>
  </si>
  <si>
    <t>132 x MODULO FV 570WP N-TYPE BIFACIAL DAH SOLAR DHN-72X16/DG 
 33 x HMS-2000-4T - MICRO HOYMILES 2000W DTU EXTERNA 
 4 x CABO FOTOVOLTAICO 4MM² PRETO 
 132 x CABO FOTOVOLTAICO 4MM² VERMELHO 
 264 x CONECTOR MC4 PAR EMBALADO 
 ESTRUTURA FIBROCIMENTO MADEIRA 
 33 x AC TRUNK CONNECTOR - CONECTOR CA HOYMILES 
 11 x AC TRUNK END CAP - TERMINAL ENDCAP HOYMILES 
 1 x AC TRUNK CONNECTOR UNLOCK TOOL - CHAVE DESBLOQUEIO CONECTOR CA 
 1 x HMS DISCONNECT TOOL-1PCS - CHAVE DESCONEXAO MICROINVERSOR 
 66 x CABO CA MULTIPOLAR 10AWG 
 2 x DTU-LITE-S(WIFI) - MONIT DTU-LITE S (ATÉ 25 MICROS)</t>
  </si>
  <si>
    <t>132 x MODULO FV 570WP N-TYPE BIFACIAL DUAL GLASS DAS-DH144NA 
 33 x HMS-2000-4T - MICRO HOYMILES 2000W DTU EXTERNA 
 4 x CABO FOTOVOLTAICO 4MM² PRETO 
 132 x CABO FOTOVOLTAICO 4MM² VERMELHO 
 264 x CONECTOR MC4 PAR EMBALADO 
 ESTRUTURA FIBROCIMENTO MADEIRA 
 33 x AC TRUNK CONNECTOR - CONECTOR CA HOYMILES 
 11 x AC TRUNK END CAP - TERMINAL ENDCAP HOYMILES 
 1 x AC TRUNK CONNECTOR UNLOCK TOOL - CHAVE DESBLOQUEIO CONECTOR CA 
 1 x HMS DISCONNECT TOOL-1PCS - CHAVE DESCONEXAO MICROINVERSOR 
 66 x CABO CA MULTIPOLAR 10AWG 
 2 x DTU-LITE-S(WIFI) - MONIT DTU-LITE S (ATÉ 25 MICROS)</t>
  </si>
  <si>
    <t>106 x MODULO FV 710WP BIFACIAL DUAL-GLASS TRINA TSM-NEG21C.20 
 27 x HMS-2000-4T - MICRO HOYMILES 2000W DTU EXTERNA 
 4 x CABO FOTOVOLTAICO 4MM² PRETO 
 108 x CABO FOTOVOLTAICO 4MM² VERMELHO 
 216 x CONECTOR MC4 PAR TRINA 
 ESTRUTURA FIBROCIMENTO MADEIRA 
 27 x AC TRUNK CONNECTOR - CONECTOR CA HOYMILES 
 9 x AC TRUNK END CAP - TERMINAL ENDCAP HOYMILES 
 1 x AC TRUNK CONNECTOR UNLOCK TOOL - CHAVE DESBLOQUEIO CONECTOR CA 
 1 x HMS DISCONNECT TOOL-1PCS - CHAVE DESCONEXAO MICROINVERSOR 
 54 x CABO CA MULTIPOLAR 10AWG 
 2 x DTU-LITE-S(WIFI) - MONIT DTU-LITE S (ATÉ 25 MICROS)</t>
  </si>
  <si>
    <t>133 x MODULO FV 570WP N-TYPE BIFACIAL DAH SOLAR DHN-72X16/DG 
 1 x INVERSOR SOLIS 60KW 380V S5-GC60K COM MONITORAMENTO 
 200 x CABO FOTOVOLTAICO 4MM² PRETO 
 200 x CABO FOTOVOLTAICO 4MM² VERMELHO 
 24 x CONECTOR MC4 PAR EMBALADO 
 ESTRUTURA FIBROCIMENTO MADEIRA</t>
  </si>
  <si>
    <t>133 x MODULO FV 570WP N-TYPE BIFACIAL DUAL GLASS DAS-DH144NA 
 1 x INVERSOR SOLIS 60KW 380V S5-GC60K COM MONITORAMENTO 
 200 x CABO FOTOVOLTAICO 4MM² PRETO 
 200 x CABO FOTOVOLTAICO 4MM² VERMELHO 
 24 x CONECTOR MC4 PAR EMBALADO 
 ESTRUTURA FIBROCIMENTO MADEIRA</t>
  </si>
  <si>
    <t>133 x MODULO FV 570WP N-TYPE BIFACIAL DAH SOLAR DHN-72X16/DG 
 1 x INVERSOR SUNGROW SG75CX-P2 AFCI 380V COM MONITORAMENTO 
 350 x CABO FOTOVOLTAICO 4MM² PRETO 
 350 x CABO FOTOVOLTAICO 4MM² VERMELHO 
 20 x CONECTOR MC4 PAR EMBALADO 
 ESTRUTURA FIBROCIMENTO MADEIRA</t>
  </si>
  <si>
    <t>133 x MODULO FV 570WP N-TYPE BIFACIAL DUAL GLASS DAS-DH144NA 
 1 x INVERSOR SUNGROW SG75CX-P2 AFCI 380V COM MONITORAMENTO 
 350 x CABO FOTOVOLTAICO 4MM² PRETO 
 350 x CABO FOTOVOLTAICO 4MM² VERMELHO 
 20 x CONECTOR MC4 PAR EMBALADO 
 ESTRUTURA FIBROCIMENTO MADEIRA</t>
  </si>
  <si>
    <t>133 x MODULO FV 570WP N-TYPE BIFACIAL DAH SOLAR DHN-72X16/DG 
 1 x INVERSOR SOLIS 60KW 220V 60K-LV-5G-PRO COM MONITORAMENTO 
 200 x CABO FOTOVOLTAICO 4MM² PRETO 
 200 x CABO FOTOVOLTAICO 4MM² VERMELHO 
 32 x CONECTOR MC4 PAR EMBALADO 
 ESTRUTURA FIBROCIMENTO MADEIRA</t>
  </si>
  <si>
    <t>133 x MODULO FV 570WP N-TYPE BIFACIAL DUAL GLASS DAS-DH144NA 
 1 x INVERSOR SOLIS 60KW 220V 60K-LV-5G-PRO COM MONITORAMENTO 
 200 x CABO FOTOVOLTAICO 4MM² PRETO 
 200 x CABO FOTOVOLTAICO 4MM² VERMELHO 
 32 x CONECTOR MC4 PAR EMBALADO 
 ESTRUTURA FIBROCIMENTO MADEIRA</t>
  </si>
  <si>
    <t>133 x MODULO FV 570WP N-TYPE BIFACIAL DAH SOLAR DHN-72X16/DG 
 34 x HMS-2000-4T - MICRO HOYMILES 2000W DTU EXTERNA 
 4 x CABO FOTOVOLTAICO 4MM² PRETO 
 136 x CABO FOTOVOLTAICO 4MM² VERMELHO 
 272 x CONECTOR MC4 PAR EMBALADO 
 ESTRUTURA FIBROCIMENTO MADEIRA 
 34 x AC TRUNK CONNECTOR - CONECTOR CA HOYMILES 
 12 x AC TRUNK END CAP - TERMINAL ENDCAP HOYMILES 
 1 x AC TRUNK CONNECTOR UNLOCK TOOL - CHAVE DESBLOQUEIO CONECTOR CA 
 1 x HMS DISCONNECT TOOL-1PCS - CHAVE DESCONEXAO MICROINVERSOR 
 66 x CABO CA MULTIPOLAR 10AWG 
 2 x DTU-LITE-S(WIFI) - MONIT DTU-LITE S (ATÉ 25 MICROS)</t>
  </si>
  <si>
    <t>133 x MODULO FV 570WP N-TYPE BIFACIAL DUAL GLASS DAS-DH144NA 
 34 x HMS-2000-4T - MICRO HOYMILES 2000W DTU EXTERNA 
 4 x CABO FOTOVOLTAICO 4MM² PRETO 
 136 x CABO FOTOVOLTAICO 4MM² VERMELHO 
 272 x CONECTOR MC4 PAR EMBALADO 
 ESTRUTURA FIBROCIMENTO MADEIRA 
 34 x AC TRUNK CONNECTOR - CONECTOR CA HOYMILES 
 12 x AC TRUNK END CAP - TERMINAL ENDCAP HOYMILES 
 1 x AC TRUNK CONNECTOR UNLOCK TOOL - CHAVE DESBLOQUEIO CONECTOR CA 
 1 x HMS DISCONNECT TOOL-1PCS - CHAVE DESCONEXAO MICROINVERSOR 
 66 x CABO CA MULTIPOLAR 10AWG 
 2 x DTU-LITE-S(WIFI) - MONIT DTU-LITE S (ATÉ 25 MICROS)</t>
  </si>
  <si>
    <t>107 x MODULO FV 710WP BIFACIAL DUAL-GLASS TRINA TSM-NEG21C.20 
 27 x HMS-2000-4T - MICRO HOYMILES 2000W DTU EXTERNA 
 4 x CABO FOTOVOLTAICO 4MM² PRETO 
 108 x CABO FOTOVOLTAICO 4MM² VERMELHO 
 216 x CONECTOR MC4 PAR TRINA 
 ESTRUTURA FIBROCIMENTO MADEIRA 
 27 x AC TRUNK CONNECTOR - CONECTOR CA HOYMILES 
 9 x AC TRUNK END CAP - TERMINAL ENDCAP HOYMILES 
 1 x AC TRUNK CONNECTOR UNLOCK TOOL - CHAVE DESBLOQUEIO CONECTOR CA 
 1 x HMS DISCONNECT TOOL-1PCS - CHAVE DESCONEXAO MICROINVERSOR 
 54 x CABO CA MULTIPOLAR 10AWG 
 2 x DTU-LITE-S(WIFI) - MONIT DTU-LITE S (ATÉ 25 MICROS)</t>
  </si>
  <si>
    <t>134 x MODULO FV 570WP N-TYPE BIFACIAL DAH SOLAR DHN-72X16/DG 
 1 x INVERSOR SOLIS 60KW 380V S5-GC60K COM MONITORAMENTO 
 200 x CABO FOTOVOLTAICO 4MM² PRETO 
 200 x CABO FOTOVOLTAICO 4MM² VERMELHO 
 24 x CONECTOR MC4 PAR EMBALADO 
 ESTRUTURA FIBROCIMENTO MADEIRA</t>
  </si>
  <si>
    <t>134 x MODULO FV 570WP N-TYPE BIFACIAL DUAL GLASS DAS-DH144NA 
 1 x INVERSOR SOLIS 60KW 380V S5-GC60K COM MONITORAMENTO 
 200 x CABO FOTOVOLTAICO 4MM² PRETO 
 200 x CABO FOTOVOLTAICO 4MM² VERMELHO 
 24 x CONECTOR MC4 PAR EMBALADO 
 ESTRUTURA FIBROCIMENTO MADEIRA</t>
  </si>
  <si>
    <t>134 x MODULO FV 570WP N-TYPE BIFACIAL DAH SOLAR DHN-72X16/DG 
 1 x INVERSOR SUNGROW SG75CX-P2 AFCI 380V COM MONITORAMENTO 
 350 x CABO FOTOVOLTAICO 4MM² PRETO 
 350 x CABO FOTOVOLTAICO 4MM² VERMELHO 
 20 x CONECTOR MC4 PAR EMBALADO 
 ESTRUTURA FIBROCIMENTO MADEIRA</t>
  </si>
  <si>
    <t>134 x MODULO FV 570WP N-TYPE BIFACIAL DUAL GLASS DAS-DH144NA 
 1 x INVERSOR SUNGROW SG75CX-P2 AFCI 380V COM MONITORAMENTO 
 350 x CABO FOTOVOLTAICO 4MM² PRETO 
 350 x CABO FOTOVOLTAICO 4MM² VERMELHO 
 20 x CONECTOR MC4 PAR EMBALADO 
 ESTRUTURA FIBROCIMENTO MADEIRA</t>
  </si>
  <si>
    <t>134 x MODULO FV 570WP N-TYPE BIFACIAL DAH SOLAR DHN-72X16/DG 
 1 x INVERSOR SOLIS 60KW 220V 60K-LV-5G-PRO COM MONITORAMENTO 
 200 x CABO FOTOVOLTAICO 4MM² PRETO 
 200 x CABO FOTOVOLTAICO 4MM² VERMELHO 
 32 x CONECTOR MC4 PAR EMBALADO 
 ESTRUTURA FIBROCIMENTO MADEIRA</t>
  </si>
  <si>
    <t>134 x MODULO FV 570WP N-TYPE BIFACIAL DUAL GLASS DAS-DH144NA 
 1 x INVERSOR SOLIS 60KW 220V 60K-LV-5G-PRO COM MONITORAMENTO 
 200 x CABO FOTOVOLTAICO 4MM² PRETO 
 200 x CABO FOTOVOLTAICO 4MM² VERMELHO 
 32 x CONECTOR MC4 PAR EMBALADO 
 ESTRUTURA FIBROCIMENTO MADEIRA</t>
  </si>
  <si>
    <t>134 x MODULO FV 570WP N-TYPE BIFACIAL DAH SOLAR DHN-72X16/DG 
 34 x HMS-2000-4T - MICRO HOYMILES 2000W DTU EXTERNA 
 4 x CABO FOTOVOLTAICO 4MM² PRETO 
 136 x CABO FOTOVOLTAICO 4MM² VERMELHO 
 272 x CONECTOR MC4 PAR EMBALADO 
 ESTRUTURA FIBROCIMENTO MADEIRA 
 34 x AC TRUNK CONNECTOR - CONECTOR CA HOYMILES 
 12 x AC TRUNK END CAP - TERMINAL ENDCAP HOYMILES 
 1 x AC TRUNK CONNECTOR UNLOCK TOOL - CHAVE DESBLOQUEIO CONECTOR CA 
 1 x HMS DISCONNECT TOOL-1PCS - CHAVE DESCONEXAO MICROINVERSOR 
 66 x CABO CA MULTIPOLAR 10AWG 
 2 x DTU-LITE-S(WIFI) - MONIT DTU-LITE S (ATÉ 25 MICROS)</t>
  </si>
  <si>
    <t>134 x MODULO FV 570WP N-TYPE BIFACIAL DUAL GLASS DAS-DH144NA 
 34 x HMS-2000-4T - MICRO HOYMILES 2000W DTU EXTERNA 
 4 x CABO FOTOVOLTAICO 4MM² PRETO 
 136 x CABO FOTOVOLTAICO 4MM² VERMELHO 
 272 x CONECTOR MC4 PAR EMBALADO 
 ESTRUTURA FIBROCIMENTO MADEIRA 
 34 x AC TRUNK CONNECTOR - CONECTOR CA HOYMILES 
 12 x AC TRUNK END CAP - TERMINAL ENDCAP HOYMILES 
 1 x AC TRUNK CONNECTOR UNLOCK TOOL - CHAVE DESBLOQUEIO CONECTOR CA 
 1 x HMS DISCONNECT TOOL-1PCS - CHAVE DESCONEXAO MICROINVERSOR 
 66 x CABO CA MULTIPOLAR 10AWG 
 2 x DTU-LITE-S(WIFI) - MONIT DTU-LITE S (ATÉ 25 MICROS)</t>
  </si>
  <si>
    <t>108 x MODULO FV 710WP BIFACIAL DUAL-GLASS TRINA TSM-NEG21C.20 
 27 x HMS-2000-4T - MICRO HOYMILES 2000W DTU EXTERNA 
 4 x CABO FOTOVOLTAICO 4MM² PRETO 
 108 x CABO FOTOVOLTAICO 4MM² VERMELHO 
 216 x CONECTOR MC4 PAR TRINA 
 ESTRUTURA FIBROCIMENTO MADEIRA 
 27 x AC TRUNK CONNECTOR - CONECTOR CA HOYMILES 
 9 x AC TRUNK END CAP - TERMINAL ENDCAP HOYMILES 
 1 x AC TRUNK CONNECTOR UNLOCK TOOL - CHAVE DESBLOQUEIO CONECTOR CA 
 1 x HMS DISCONNECT TOOL-1PCS - CHAVE DESCONEXAO MICROINVERSOR 
 54 x CABO CA MULTIPOLAR 10AWG 
 2 x DTU-LITE-S(WIFI) - MONIT DTU-LITE S (ATÉ 25 MICROS)</t>
  </si>
  <si>
    <t>135 x MODULO FV 570WP N-TYPE BIFACIAL DAH SOLAR DHN-72X16/DG 
 1 x INVERSOR SOLIS 60KW 380V S5-GC60K COM MONITORAMENTO 
 200 x CABO FOTOVOLTAICO 4MM² PRETO 
 200 x CABO FOTOVOLTAICO 4MM² VERMELHO 
 24 x CONECTOR MC4 PAR EMBALADO 
 ESTRUTURA FIBROCIMENTO MADEIRA</t>
  </si>
  <si>
    <t>135 x MODULO FV 570WP N-TYPE BIFACIAL DUAL GLASS DAS-DH144NA 
 1 x INVERSOR SOLIS 60KW 380V S5-GC60K COM MONITORAMENTO 
 200 x CABO FOTOVOLTAICO 4MM² PRETO 
 200 x CABO FOTOVOLTAICO 4MM² VERMELHO 
 24 x CONECTOR MC4 PAR EMBALADO 
 ESTRUTURA FIBROCIMENTO MADEIRA</t>
  </si>
  <si>
    <t>135 x MODULO FV 570WP N-TYPE BIFACIAL DAH SOLAR DHN-72X16/DG 
 1 x INVERSOR SUNGROW SG75CX-P2 AFCI 380V COM MONITORAMENTO 
 350 x CABO FOTOVOLTAICO 4MM² PRETO 
 350 x CABO FOTOVOLTAICO 4MM² VERMELHO 
 20 x CONECTOR MC4 PAR EMBALADO 
 ESTRUTURA FIBROCIMENTO MADEIRA</t>
  </si>
  <si>
    <t>135 x MODULO FV 570WP N-TYPE BIFACIAL DUAL GLASS DAS-DH144NA 
 1 x INVERSOR SUNGROW SG75CX-P2 AFCI 380V COM MONITORAMENTO 
 350 x CABO FOTOVOLTAICO 4MM² PRETO 
 350 x CABO FOTOVOLTAICO 4MM² VERMELHO 
 20 x CONECTOR MC4 PAR EMBALADO 
 ESTRUTURA FIBROCIMENTO MADEIRA</t>
  </si>
  <si>
    <t>135 x MODULO FV 570WP N-TYPE BIFACIAL DAH SOLAR DHN-72X16/DG 
 1 x INVERSOR SOLIS 60KW 220V 60K-LV-5G-PRO COM MONITORAMENTO 
 200 x CABO FOTOVOLTAICO 4MM² PRETO 
 200 x CABO FOTOVOLTAICO 4MM² VERMELHO 
 32 x CONECTOR MC4 PAR EMBALADO 
 ESTRUTURA FIBROCIMENTO MADEIRA</t>
  </si>
  <si>
    <t>135 x MODULO FV 570WP N-TYPE BIFACIAL DUAL GLASS DAS-DH144NA 
 1 x INVERSOR SOLIS 60KW 220V 60K-LV-5G-PRO COM MONITORAMENTO 
 200 x CABO FOTOVOLTAICO 4MM² PRETO 
 200 x CABO FOTOVOLTAICO 4MM² VERMELHO 
 32 x CONECTOR MC4 PAR EMBALADO 
 ESTRUTURA FIBROCIMENTO MADEIRA</t>
  </si>
  <si>
    <t>135 x MODULO FV 570WP N-TYPE BIFACIAL DAH SOLAR DHN-72X16/DG 
 34 x HMS-2000-4T - MICRO HOYMILES 2000W DTU EXTERNA 
 4 x CABO FOTOVOLTAICO 4MM² PRETO 
 136 x CABO FOTOVOLTAICO 4MM² VERMELHO 
 272 x CONECTOR MC4 PAR EMBALADO 
 ESTRUTURA FIBROCIMENTO MADEIRA 
 34 x AC TRUNK CONNECTOR - CONECTOR CA HOYMILES 
 12 x AC TRUNK END CAP - TERMINAL ENDCAP HOYMILES 
 1 x AC TRUNK CONNECTOR UNLOCK TOOL - CHAVE DESBLOQUEIO CONECTOR CA 
 1 x HMS DISCONNECT TOOL-1PCS - CHAVE DESCONEXAO MICROINVERSOR 
 66 x CABO CA MULTIPOLAR 10AWG 
 2 x DTU-LITE-S(WIFI) - MONIT DTU-LITE S (ATÉ 25 MICROS)</t>
  </si>
  <si>
    <t>135 x MODULO FV 570WP N-TYPE BIFACIAL DUAL GLASS DAS-DH144NA 
 34 x HMS-2000-4T - MICRO HOYMILES 2000W DTU EXTERNA 
 4 x CABO FOTOVOLTAICO 4MM² PRETO 
 136 x CABO FOTOVOLTAICO 4MM² VERMELHO 
 272 x CONECTOR MC4 PAR EMBALADO 
 ESTRUTURA FIBROCIMENTO MADEIRA 
 34 x AC TRUNK CONNECTOR - CONECTOR CA HOYMILES 
 12 x AC TRUNK END CAP - TERMINAL ENDCAP HOYMILES 
 1 x AC TRUNK CONNECTOR UNLOCK TOOL - CHAVE DESBLOQUEIO CONECTOR CA 
 1 x HMS DISCONNECT TOOL-1PCS - CHAVE DESCONEXAO MICROINVERSOR 
 66 x CABO CA MULTIPOLAR 10AWG 
 2 x DTU-LITE-S(WIFI) - MONIT DTU-LITE S (ATÉ 25 MICROS)</t>
  </si>
  <si>
    <t>109 x MODULO FV 710WP BIFACIAL DUAL-GLASS TRINA TSM-NEG21C.20 
 28 x HMS-2000-4T - MICRO HOYMILES 2000W DTU EXTERNA 
 4 x CABO FOTOVOLTAICO 4MM² PRETO 
 112 x CABO FOTOVOLTAICO 4MM² VERMELHO 
 224 x CONECTOR MC4 PAR TRINA 
 ESTRUTURA FIBROCIMENTO MADEIRA 
 28 x AC TRUNK CONNECTOR - CONECTOR CA HOYMILES 
 10 x AC TRUNK END CAP - TERMINAL ENDCAP HOYMILES 
 1 x AC TRUNK CONNECTOR UNLOCK TOOL - CHAVE DESBLOQUEIO CONECTOR CA 
 1 x HMS DISCONNECT TOOL-1PCS - CHAVE DESCONEXAO MICROINVERSOR 
 54 x CABO CA MULTIPOLAR 10AWG 
 2 x DTU-LITE-S(WIFI) - MONIT DTU-LITE S (ATÉ 25 MICROS)</t>
  </si>
  <si>
    <t>136 x MODULO FV 570WP N-TYPE BIFACIAL DAH SOLAR DHN-72X16/DG 
 1 x INVERSOR SOLIS 60KW 380V S5-GC60K COM MONITORAMENTO 
 200 x CABO FOTOVOLTAICO 4MM² PRETO 
 200 x CABO FOTOVOLTAICO 4MM² VERMELHO 
 24 x CONECTOR MC4 PAR EMBALADO 
 ESTRUTURA FIBROCIMENTO MADEIRA</t>
  </si>
  <si>
    <t>136 x MODULO FV 570WP N-TYPE BIFACIAL DUAL GLASS DAS-DH144NA 
 1 x INVERSOR SOLIS 60KW 380V S5-GC60K COM MONITORAMENTO 
 200 x CABO FOTOVOLTAICO 4MM² PRETO 
 200 x CABO FOTOVOLTAICO 4MM² VERMELHO 
 24 x CONECTOR MC4 PAR EMBALADO 
 ESTRUTURA FIBROCIMENTO MADEIRA</t>
  </si>
  <si>
    <t>136 x MODULO FV 570WP N-TYPE BIFACIAL DAH SOLAR DHN-72X16/DG 
 1 x INVERSOR SUNGROW SG75CX-P2 AFCI 380V COM MONITORAMENTO 
 350 x CABO FOTOVOLTAICO 4MM² PRETO 
 350 x CABO FOTOVOLTAICO 4MM² VERMELHO 
 20 x CONECTOR MC4 PAR EMBALADO 
 ESTRUTURA FIBROCIMENTO MADEIRA</t>
  </si>
  <si>
    <t>136 x MODULO FV 570WP N-TYPE BIFACIAL DUAL GLASS DAS-DH144NA 
 1 x INVERSOR SUNGROW SG75CX-P2 AFCI 380V COM MONITORAMENTO 
 350 x CABO FOTOVOLTAICO 4MM² PRETO 
 350 x CABO FOTOVOLTAICO 4MM² VERMELHO 
 20 x CONECTOR MC4 PAR EMBALADO 
 ESTRUTURA FIBROCIMENTO MADEIRA</t>
  </si>
  <si>
    <t>136 x MODULO FV 570WP N-TYPE BIFACIAL DAH SOLAR DHN-72X16/DG 
 1 x INVERSOR SOLIS 60KW 220V 60K-LV-5G-PRO COM MONITORAMENTO 
 200 x CABO FOTOVOLTAICO 4MM² PRETO 
 200 x CABO FOTOVOLTAICO 4MM² VERMELHO 
 32 x CONECTOR MC4 PAR EMBALADO 
 ESTRUTURA FIBROCIMENTO MADEIRA</t>
  </si>
  <si>
    <t>136 x MODULO FV 570WP N-TYPE BIFACIAL DUAL GLASS DAS-DH144NA 
 1 x INVERSOR SOLIS 60KW 220V 60K-LV-5G-PRO COM MONITORAMENTO 
 200 x CABO FOTOVOLTAICO 4MM² PRETO 
 200 x CABO FOTOVOLTAICO 4MM² VERMELHO 
 32 x CONECTOR MC4 PAR EMBALADO 
 ESTRUTURA FIBROCIMENTO MADEIRA</t>
  </si>
  <si>
    <t>136 x MODULO FV 570WP N-TYPE BIFACIAL DAH SOLAR DHN-72X16/DG 
 34 x HMS-2000-4T - MICRO HOYMILES 2000W DTU EXTERNA 
 4 x CABO FOTOVOLTAICO 4MM² PRETO 
 136 x CABO FOTOVOLTAICO 4MM² VERMELHO 
 272 x CONECTOR MC4 PAR EMBALADO 
 ESTRUTURA FIBROCIMENTO MADEIRA 
 34 x AC TRUNK CONNECTOR - CONECTOR CA HOYMILES 
 12 x AC TRUNK END CAP - TERMINAL ENDCAP HOYMILES 
 1 x AC TRUNK CONNECTOR UNLOCK TOOL - CHAVE DESBLOQUEIO CONECTOR CA 
 1 x HMS DISCONNECT TOOL-1PCS - CHAVE DESCONEXAO MICROINVERSOR 
 66 x CABO CA MULTIPOLAR 10AWG 
 2 x DTU-LITE-S(WIFI) - MONIT DTU-LITE S (ATÉ 25 MICROS)</t>
  </si>
  <si>
    <t>136 x MODULO FV 570WP N-TYPE BIFACIAL DUAL GLASS DAS-DH144NA 
 34 x HMS-2000-4T - MICRO HOYMILES 2000W DTU EXTERNA 
 4 x CABO FOTOVOLTAICO 4MM² PRETO 
 136 x CABO FOTOVOLTAICO 4MM² VERMELHO 
 272 x CONECTOR MC4 PAR EMBALADO 
 ESTRUTURA FIBROCIMENTO MADEIRA 
 34 x AC TRUNK CONNECTOR - CONECTOR CA HOYMILES 
 12 x AC TRUNK END CAP - TERMINAL ENDCAP HOYMILES 
 1 x AC TRUNK CONNECTOR UNLOCK TOOL - CHAVE DESBLOQUEIO CONECTOR CA 
 1 x HMS DISCONNECT TOOL-1PCS - CHAVE DESCONEXAO MICROINVERSOR 
 66 x CABO CA MULTIPOLAR 10AWG 
 2 x DTU-LITE-S(WIFI) - MONIT DTU-LITE S (ATÉ 25 MICROS)</t>
  </si>
  <si>
    <t>137 x MODULO FV 570WP N-TYPE BIFACIAL DAH SOLAR DHN-72X16/DG 
 1 x INVERSOR SOLIS 60KW 380V S5-GC60K COM MONITORAMENTO 
 200 x CABO FOTOVOLTAICO 4MM² PRETO 
 200 x CABO FOTOVOLTAICO 4MM² VERMELHO 
 24 x CONECTOR MC4 PAR EMBALADO 
 ESTRUTURA FIBROCIMENTO MADEIRA</t>
  </si>
  <si>
    <t>137 x MODULO FV 570WP N-TYPE BIFACIAL DUAL GLASS DAS-DH144NA 
 1 x INVERSOR SOLIS 60KW 380V S5-GC60K COM MONITORAMENTO 
 200 x CABO FOTOVOLTAICO 4MM² PRETO 
 200 x CABO FOTOVOLTAICO 4MM² VERMELHO 
 24 x CONECTOR MC4 PAR EMBALADO 
 ESTRUTURA FIBROCIMENTO MADEIRA</t>
  </si>
  <si>
    <t>137 x MODULO FV 570WP N-TYPE BIFACIAL DAH SOLAR DHN-72X16/DG 
 1 x INVERSOR SUNGROW SG75CX-P2 AFCI 380V COM MONITORAMENTO 
 350 x CABO FOTOVOLTAICO 4MM² PRETO 
 350 x CABO FOTOVOLTAICO 4MM² VERMELHO 
 20 x CONECTOR MC4 PAR EMBALADO 
 ESTRUTURA FIBROCIMENTO MADEIRA</t>
  </si>
  <si>
    <t>137 x MODULO FV 570WP N-TYPE BIFACIAL DUAL GLASS DAS-DH144NA 
 1 x INVERSOR SUNGROW SG75CX-P2 AFCI 380V COM MONITORAMENTO 
 350 x CABO FOTOVOLTAICO 4MM² PRETO 
 350 x CABO FOTOVOLTAICO 4MM² VERMELHO 
 20 x CONECTOR MC4 PAR EMBALADO 
 ESTRUTURA FIBROCIMENTO MADEIRA</t>
  </si>
  <si>
    <t>137 x MODULO FV 570WP N-TYPE BIFACIAL DAH SOLAR DHN-72X16/DG 
 1 x INVERSOR SOLIS 60KW 220V 60K-LV-5G-PRO COM MONITORAMENTO 
 200 x CABO FOTOVOLTAICO 4MM² PRETO 
 200 x CABO FOTOVOLTAICO 4MM² VERMELHO 
 32 x CONECTOR MC4 PAR EMBALADO 
 ESTRUTURA FIBROCIMENTO MADEIRA</t>
  </si>
  <si>
    <t>137 x MODULO FV 570WP N-TYPE BIFACIAL DUAL GLASS DAS-DH144NA 
 1 x INVERSOR SOLIS 60KW 220V 60K-LV-5G-PRO COM MONITORAMENTO 
 200 x CABO FOTOVOLTAICO 4MM² PRETO 
 200 x CABO FOTOVOLTAICO 4MM² VERMELHO 
 32 x CONECTOR MC4 PAR EMBALADO 
 ESTRUTURA FIBROCIMENTO MADEIRA</t>
  </si>
  <si>
    <t>69</t>
  </si>
  <si>
    <t>137 x MODULO FV 570WP N-TYPE BIFACIAL DAH SOLAR DHN-72X16/DG 
 35 x HMS-2000-4T - MICRO HOYMILES 2000W DTU EXTERNA 
 4 x CABO FOTOVOLTAICO 4MM² PRETO 
 140 x CABO FOTOVOLTAICO 4MM² VERMELHO 
 280 x CONECTOR MC4 PAR EMBALADO 
 ESTRUTURA FIBROCIMENTO MADEIRA 
 35 x AC TRUNK CONNECTOR - CONECTOR CA HOYMILES 
 12 x AC TRUNK END CAP - TERMINAL ENDCAP HOYMILES 
 1 x AC TRUNK CONNECTOR UNLOCK TOOL - CHAVE DESBLOQUEIO CONECTOR CA 
 1 x HMS DISCONNECT TOOL-1PCS - CHAVE DESCONEXAO MICROINVERSOR 
 69 x CABO CA MULTIPOLAR 10AWG 
 2 x DTU-LITE-S(WIFI) - MONIT DTU-LITE S (ATÉ 25 MICROS)</t>
  </si>
  <si>
    <t>137 x MODULO FV 570WP N-TYPE BIFACIAL DUAL GLASS DAS-DH144NA 
 35 x HMS-2000-4T - MICRO HOYMILES 2000W DTU EXTERNA 
 4 x CABO FOTOVOLTAICO 4MM² PRETO 
 140 x CABO FOTOVOLTAICO 4MM² VERMELHO 
 280 x CONECTOR MC4 PAR EMBALADO 
 ESTRUTURA FIBROCIMENTO MADEIRA 
 35 x AC TRUNK CONNECTOR - CONECTOR CA HOYMILES 
 12 x AC TRUNK END CAP - TERMINAL ENDCAP HOYMILES 
 1 x AC TRUNK CONNECTOR UNLOCK TOOL - CHAVE DESBLOQUEIO CONECTOR CA 
 1 x HMS DISCONNECT TOOL-1PCS - CHAVE DESCONEXAO MICROINVERSOR 
 69 x CABO CA MULTIPOLAR 10AWG 
 2 x DTU-LITE-S(WIFI) - MONIT DTU-LITE S (ATÉ 25 MICROS)</t>
  </si>
  <si>
    <t>110 x MODULO FV 710WP BIFACIAL DUAL-GLASS TRINA TSM-NEG21C.20 
 28 x HMS-2000-4T - MICRO HOYMILES 2000W DTU EXTERNA 
 4 x CABO FOTOVOLTAICO 4MM² PRETO 
 112 x CABO FOTOVOLTAICO 4MM² VERMELHO 
 224 x CONECTOR MC4 PAR TRINA 
 ESTRUTURA FIBROCIMENTO MADEIRA 
 28 x AC TRUNK CONNECTOR - CONECTOR CA HOYMILES 
 10 x AC TRUNK END CAP - TERMINAL ENDCAP HOYMILES 
 1 x AC TRUNK CONNECTOR UNLOCK TOOL - CHAVE DESBLOQUEIO CONECTOR CA 
 1 x HMS DISCONNECT TOOL-1PCS - CHAVE DESCONEXAO MICROINVERSOR 
 54 x CABO CA MULTIPOLAR 10AWG 
 2 x DTU-LITE-S(WIFI) - MONIT DTU-LITE S (ATÉ 25 MICROS)</t>
  </si>
  <si>
    <t>138 x MODULO FV 570WP N-TYPE BIFACIAL DAH SOLAR DHN-72X16/DG 
 1 x INVERSOR SOLIS 60KW 380V S5-GC60K COM MONITORAMENTO 
 200 x CABO FOTOVOLTAICO 4MM² PRETO 
 200 x CABO FOTOVOLTAICO 4MM² VERMELHO 
 24 x CONECTOR MC4 PAR EMBALADO 
 ESTRUTURA FIBROCIMENTO MADEIRA</t>
  </si>
  <si>
    <t>138 x MODULO FV 570WP N-TYPE BIFACIAL DUAL GLASS DAS-DH144NA 
 1 x INVERSOR SOLIS 60KW 380V S5-GC60K COM MONITORAMENTO 
 200 x CABO FOTOVOLTAICO 4MM² PRETO 
 200 x CABO FOTOVOLTAICO 4MM² VERMELHO 
 24 x CONECTOR MC4 PAR EMBALADO 
 ESTRUTURA FIBROCIMENTO MADEIRA</t>
  </si>
  <si>
    <t>138 x MODULO FV 570WP N-TYPE BIFACIAL DAH SOLAR DHN-72X16/DG 
 1 x INVERSOR SUNGROW SG75CX-P2 AFCI 380V COM MONITORAMENTO 
 350 x CABO FOTOVOLTAICO 4MM² PRETO 
 350 x CABO FOTOVOLTAICO 4MM² VERMELHO 
 20 x CONECTOR MC4 PAR EMBALADO 
 ESTRUTURA FIBROCIMENTO MADEIRA</t>
  </si>
  <si>
    <t>138 x MODULO FV 570WP N-TYPE BIFACIAL DUAL GLASS DAS-DH144NA 
 1 x INVERSOR SUNGROW SG75CX-P2 AFCI 380V COM MONITORAMENTO 
 350 x CABO FOTOVOLTAICO 4MM² PRETO 
 350 x CABO FOTOVOLTAICO 4MM² VERMELHO 
 20 x CONECTOR MC4 PAR EMBALADO 
 ESTRUTURA FIBROCIMENTO MADEIRA</t>
  </si>
  <si>
    <t>138 x MODULO FV 570WP N-TYPE BIFACIAL DAH SOLAR DHN-72X16/DG 
 1 x INVERSOR SOLIS 60KW 220V 60K-LV-5G-PRO COM MONITORAMENTO 
 200 x CABO FOTOVOLTAICO 4MM² PRETO 
 200 x CABO FOTOVOLTAICO 4MM² VERMELHO 
 32 x CONECTOR MC4 PAR EMBALADO 
 ESTRUTURA FIBROCIMENTO MADEIRA</t>
  </si>
  <si>
    <t>138 x MODULO FV 570WP N-TYPE BIFACIAL DUAL GLASS DAS-DH144NA 
 1 x INVERSOR SOLIS 60KW 220V 60K-LV-5G-PRO COM MONITORAMENTO 
 200 x CABO FOTOVOLTAICO 4MM² PRETO 
 200 x CABO FOTOVOLTAICO 4MM² VERMELHO 
 32 x CONECTOR MC4 PAR EMBALADO 
 ESTRUTURA FIBROCIMENTO MADEIRA</t>
  </si>
  <si>
    <t>138 x MODULO FV 570WP N-TYPE BIFACIAL DAH SOLAR DHN-72X16/DG 
 35 x HMS-2000-4T - MICRO HOYMILES 2000W DTU EXTERNA 
 4 x CABO FOTOVOLTAICO 4MM² PRETO 
 140 x CABO FOTOVOLTAICO 4MM² VERMELHO 
 280 x CONECTOR MC4 PAR EMBALADO 
 ESTRUTURA FIBROCIMENTO MADEIRA 
 35 x AC TRUNK CONNECTOR - CONECTOR CA HOYMILES 
 12 x AC TRUNK END CAP - TERMINAL ENDCAP HOYMILES 
 1 x AC TRUNK CONNECTOR UNLOCK TOOL - CHAVE DESBLOQUEIO CONECTOR CA 
 1 x HMS DISCONNECT TOOL-1PCS - CHAVE DESCONEXAO MICROINVERSOR 
 69 x CABO CA MULTIPOLAR 10AWG 
 2 x DTU-LITE-S(WIFI) - MONIT DTU-LITE S (ATÉ 25 MICROS)</t>
  </si>
  <si>
    <t>138 x MODULO FV 570WP N-TYPE BIFACIAL DUAL GLASS DAS-DH144NA 
 35 x HMS-2000-4T - MICRO HOYMILES 2000W DTU EXTERNA 
 4 x CABO FOTOVOLTAICO 4MM² PRETO 
 140 x CABO FOTOVOLTAICO 4MM² VERMELHO 
 280 x CONECTOR MC4 PAR EMBALADO 
 ESTRUTURA FIBROCIMENTO MADEIRA 
 35 x AC TRUNK CONNECTOR - CONECTOR CA HOYMILES 
 12 x AC TRUNK END CAP - TERMINAL ENDCAP HOYMILES 
 1 x AC TRUNK CONNECTOR UNLOCK TOOL - CHAVE DESBLOQUEIO CONECTOR CA 
 1 x HMS DISCONNECT TOOL-1PCS - CHAVE DESCONEXAO MICROINVERSOR 
 69 x CABO CA MULTIPOLAR 10AWG 
 2 x DTU-LITE-S(WIFI) - MONIT DTU-LITE S (ATÉ 25 MICROS)</t>
  </si>
  <si>
    <t>111 x MODULO FV 710WP BIFACIAL DUAL-GLASS TRINA TSM-NEG21C.20 
 28 x HMS-2000-4T - MICRO HOYMILES 2000W DTU EXTERNA 
 4 x CABO FOTOVOLTAICO 4MM² PRETO 
 112 x CABO FOTOVOLTAICO 4MM² VERMELHO 
 224 x CONECTOR MC4 PAR TRINA 
 ESTRUTURA FIBROCIMENTO MADEIRA 
 28 x AC TRUNK CONNECTOR - CONECTOR CA HOYMILES 
 10 x AC TRUNK END CAP - TERMINAL ENDCAP HOYMILES 
 1 x AC TRUNK CONNECTOR UNLOCK TOOL - CHAVE DESBLOQUEIO CONECTOR CA 
 1 x HMS DISCONNECT TOOL-1PCS - CHAVE DESCONEXAO MICROINVERSOR 
 54 x CABO CA MULTIPOLAR 10AWG 
 2 x DTU-LITE-S(WIFI) - MONIT DTU-LITE S (ATÉ 25 MICROS)</t>
  </si>
  <si>
    <t>139 x MODULO FV 570WP N-TYPE BIFACIAL DAH SOLAR DHN-72X16/DG 
 1 x INVERSOR SOLIS 60KW 380V S5-GC60K COM MONITORAMENTO 
 200 x CABO FOTOVOLTAICO 4MM² PRETO 
 200 x CABO FOTOVOLTAICO 4MM² VERMELHO 
 24 x CONECTOR MC4 PAR EMBALADO 
 ESTRUTURA FIBROCIMENTO MADEIRA</t>
  </si>
  <si>
    <t>139 x MODULO FV 570WP N-TYPE BIFACIAL DUAL GLASS DAS-DH144NA 
 1 x INVERSOR SOLIS 60KW 380V S5-GC60K COM MONITORAMENTO 
 200 x CABO FOTOVOLTAICO 4MM² PRETO 
 200 x CABO FOTOVOLTAICO 4MM² VERMELHO 
 24 x CONECTOR MC4 PAR EMBALADO 
 ESTRUTURA FIBROCIMENTO MADEIRA</t>
  </si>
  <si>
    <t>139 x MODULO FV 570WP N-TYPE BIFACIAL DAH SOLAR DHN-72X16/DG 
 1 x INVERSOR SUNGROW SG75CX-P2 AFCI 380V COM MONITORAMENTO 
 350 x CABO FOTOVOLTAICO 4MM² PRETO 
 350 x CABO FOTOVOLTAICO 4MM² VERMELHO 
 20 x CONECTOR MC4 PAR EMBALADO 
 ESTRUTURA FIBROCIMENTO MADEIRA</t>
  </si>
  <si>
    <t>139 x MODULO FV 570WP N-TYPE BIFACIAL DUAL GLASS DAS-DH144NA 
 1 x INVERSOR SUNGROW SG75CX-P2 AFCI 380V COM MONITORAMENTO 
 350 x CABO FOTOVOLTAICO 4MM² PRETO 
 350 x CABO FOTOVOLTAICO 4MM² VERMELHO 
 20 x CONECTOR MC4 PAR EMBALADO 
 ESTRUTURA FIBROCIMENTO MADEIRA</t>
  </si>
  <si>
    <t>139 x MODULO FV 570WP N-TYPE BIFACIAL DAH SOLAR DHN-72X16/DG 
 1 x INVERSOR SOLIS 60KW 220V 60K-LV-5G-PRO COM MONITORAMENTO 
 200 x CABO FOTOVOLTAICO 4MM² PRETO 
 200 x CABO FOTOVOLTAICO 4MM² VERMELHO 
 32 x CONECTOR MC4 PAR EMBALADO 
 ESTRUTURA FIBROCIMENTO MADEIRA</t>
  </si>
  <si>
    <t>139 x MODULO FV 570WP N-TYPE BIFACIAL DUAL GLASS DAS-DH144NA 
 1 x INVERSOR SOLIS 60KW 220V 60K-LV-5G-PRO COM MONITORAMENTO 
 200 x CABO FOTOVOLTAICO 4MM² PRETO 
 200 x CABO FOTOVOLTAICO 4MM² VERMELHO 
 32 x CONECTOR MC4 PAR EMBALADO 
 ESTRUTURA FIBROCIMENTO MADEIRA</t>
  </si>
  <si>
    <t>139 x MODULO FV 570WP N-TYPE BIFACIAL DAH SOLAR DHN-72X16/DG 
 35 x HMS-2000-4T - MICRO HOYMILES 2000W DTU EXTERNA 
 4 x CABO FOTOVOLTAICO 4MM² PRETO 
 140 x CABO FOTOVOLTAICO 4MM² VERMELHO 
 280 x CONECTOR MC4 PAR EMBALADO 
 ESTRUTURA FIBROCIMENTO MADEIRA 
 35 x AC TRUNK CONNECTOR - CONECTOR CA HOYMILES 
 12 x AC TRUNK END CAP - TERMINAL ENDCAP HOYMILES 
 1 x AC TRUNK CONNECTOR UNLOCK TOOL - CHAVE DESBLOQUEIO CONECTOR CA 
 1 x HMS DISCONNECT TOOL-1PCS - CHAVE DESCONEXAO MICROINVERSOR 
 69 x CABO CA MULTIPOLAR 10AWG 
 2 x DTU-LITE-S(WIFI) - MONIT DTU-LITE S (ATÉ 25 MICROS)</t>
  </si>
  <si>
    <t>139 x MODULO FV 570WP N-TYPE BIFACIAL DUAL GLASS DAS-DH144NA 
 35 x HMS-2000-4T - MICRO HOYMILES 2000W DTU EXTERNA 
 4 x CABO FOTOVOLTAICO 4MM² PRETO 
 140 x CABO FOTOVOLTAICO 4MM² VERMELHO 
 280 x CONECTOR MC4 PAR EMBALADO 
 ESTRUTURA FIBROCIMENTO MADEIRA 
 35 x AC TRUNK CONNECTOR - CONECTOR CA HOYMILES 
 12 x AC TRUNK END CAP - TERMINAL ENDCAP HOYMILES 
 1 x AC TRUNK CONNECTOR UNLOCK TOOL - CHAVE DESBLOQUEIO CONECTOR CA 
 1 x HMS DISCONNECT TOOL-1PCS - CHAVE DESCONEXAO MICROINVERSOR 
 69 x CABO CA MULTIPOLAR 10AWG 
 2 x DTU-LITE-S(WIFI) - MONIT DTU-LITE S (ATÉ 25 MICROS)</t>
  </si>
  <si>
    <t>112 x MODULO FV 710WP BIFACIAL DUAL-GLASS TRINA TSM-NEG21C.20 
 28 x HMS-2000-4T - MICRO HOYMILES 2000W DTU EXTERNA 
 4 x CABO FOTOVOLTAICO 4MM² PRETO 
 112 x CABO FOTOVOLTAICO 4MM² VERMELHO 
 224 x CONECTOR MC4 PAR TRINA 
 ESTRUTURA FIBROCIMENTO MADEIRA 
 28 x AC TRUNK CONNECTOR - CONECTOR CA HOYMILES 
 10 x AC TRUNK END CAP - TERMINAL ENDCAP HOYMILES 
 1 x AC TRUNK CONNECTOR UNLOCK TOOL - CHAVE DESBLOQUEIO CONECTOR CA 
 1 x HMS DISCONNECT TOOL-1PCS - CHAVE DESCONEXAO MICROINVERSOR 
 54 x CABO CA MULTIPOLAR 10AWG 
 2 x DTU-LITE-S(WIFI) - MONIT DTU-LITE S (ATÉ 25 MICROS)</t>
  </si>
  <si>
    <t>140 x MODULO FV 570WP N-TYPE BIFACIAL DAH SOLAR DHN-72X16/DG 
 1 x INVERSOR SOLIS 60KW 380V S5-GC60K COM MONITORAMENTO 
 200 x CABO FOTOVOLTAICO 4MM² PRETO 
 200 x CABO FOTOVOLTAICO 4MM² VERMELHO 
 24 x CONECTOR MC4 PAR EMBALADO 
 ESTRUTURA FIBROCIMENTO MADEIRA</t>
  </si>
  <si>
    <t>140 x MODULO FV 570WP N-TYPE BIFACIAL DUAL GLASS DAS-DH144NA 
 1 x INVERSOR SOLIS 60KW 380V S5-GC60K COM MONITORAMENTO 
 200 x CABO FOTOVOLTAICO 4MM² PRETO 
 200 x CABO FOTOVOLTAICO 4MM² VERMELHO 
 24 x CONECTOR MC4 PAR EMBALADO 
 ESTRUTURA FIBROCIMENTO MADEIRA</t>
  </si>
  <si>
    <t>140 x MODULO FV 570WP N-TYPE BIFACIAL DAH SOLAR DHN-72X16/DG 
 1 x INVERSOR SUNGROW SG75CX-P2 AFCI 380V COM MONITORAMENTO 
 350 x CABO FOTOVOLTAICO 4MM² PRETO 
 350 x CABO FOTOVOLTAICO 4MM² VERMELHO 
 20 x CONECTOR MC4 PAR EMBALADO 
 ESTRUTURA FIBROCIMENTO MADEIRA</t>
  </si>
  <si>
    <t>140 x MODULO FV 570WP N-TYPE BIFACIAL DUAL GLASS DAS-DH144NA 
 1 x INVERSOR SUNGROW SG75CX-P2 AFCI 380V COM MONITORAMENTO 
 350 x CABO FOTOVOLTAICO 4MM² PRETO 
 350 x CABO FOTOVOLTAICO 4MM² VERMELHO 
 20 x CONECTOR MC4 PAR EMBALADO 
 ESTRUTURA FIBROCIMENTO MADEIRA</t>
  </si>
  <si>
    <t>140 x MODULO FV 570WP N-TYPE BIFACIAL DAH SOLAR DHN-72X16/DG 
 1 x INVERSOR SOLIS 60KW 220V 60K-LV-5G-PRO COM MONITORAMENTO 
 200 x CABO FOTOVOLTAICO 4MM² PRETO 
 200 x CABO FOTOVOLTAICO 4MM² VERMELHO 
 32 x CONECTOR MC4 PAR EMBALADO 
 ESTRUTURA FIBROCIMENTO MADEIRA</t>
  </si>
  <si>
    <t>140 x MODULO FV 570WP N-TYPE BIFACIAL DUAL GLASS DAS-DH144NA 
 1 x INVERSOR SOLIS 60KW 220V 60K-LV-5G-PRO COM MONITORAMENTO 
 200 x CABO FOTOVOLTAICO 4MM² PRETO 
 200 x CABO FOTOVOLTAICO 4MM² VERMELHO 
 32 x CONECTOR MC4 PAR EMBALADO 
 ESTRUTURA FIBROCIMENTO MADEIRA</t>
  </si>
  <si>
    <t>140 x MODULO FV 570WP N-TYPE BIFACIAL DAH SOLAR DHN-72X16/DG 
 35 x HMS-2000-4T - MICRO HOYMILES 2000W DTU EXTERNA 
 4 x CABO FOTOVOLTAICO 4MM² PRETO 
 140 x CABO FOTOVOLTAICO 4MM² VERMELHO 
 280 x CONECTOR MC4 PAR EMBALADO 
 ESTRUTURA FIBROCIMENTO MADEIRA 
 35 x AC TRUNK CONNECTOR - CONECTOR CA HOYMILES 
 12 x AC TRUNK END CAP - TERMINAL ENDCAP HOYMILES 
 1 x AC TRUNK CONNECTOR UNLOCK TOOL - CHAVE DESBLOQUEIO CONECTOR CA 
 1 x HMS DISCONNECT TOOL-1PCS - CHAVE DESCONEXAO MICROINVERSOR 
 69 x CABO CA MULTIPOLAR 10AWG 
 2 x DTU-LITE-S(WIFI) - MONIT DTU-LITE S (ATÉ 25 MICROS)</t>
  </si>
  <si>
    <t>140 x MODULO FV 570WP N-TYPE BIFACIAL DUAL GLASS DAS-DH144NA 
 35 x HMS-2000-4T - MICRO HOYMILES 2000W DTU EXTERNA 
 4 x CABO FOTOVOLTAICO 4MM² PRETO 
 140 x CABO FOTOVOLTAICO 4MM² VERMELHO 
 280 x CONECTOR MC4 PAR EMBALADO 
 ESTRUTURA FIBROCIMENTO MADEIRA 
 35 x AC TRUNK CONNECTOR - CONECTOR CA HOYMILES 
 12 x AC TRUNK END CAP - TERMINAL ENDCAP HOYMILES 
 1 x AC TRUNK CONNECTOR UNLOCK TOOL - CHAVE DESBLOQUEIO CONECTOR CA 
 1 x HMS DISCONNECT TOOL-1PCS - CHAVE DESCONEXAO MICROINVERSOR 
 69 x CABO CA MULTIPOLAR 10AWG 
 2 x DTU-LITE-S(WIFI) - MONIT DTU-LITE S (ATÉ 25 MICROS)</t>
  </si>
  <si>
    <t>113 x MODULO FV 710WP BIFACIAL DUAL-GLASS TRINA TSM-NEG21C.20 
 29 x HMS-2000-4T - MICRO HOYMILES 2000W DTU EXTERNA 
 4 x CABO FOTOVOLTAICO 4MM² PRETO 
 116 x CABO FOTOVOLTAICO 4MM² VERMELHO 
 232 x CONECTOR MC4 PAR TRINA 
 ESTRUTURA FIBROCIMENTO MADEIRA 
 29 x AC TRUNK CONNECTOR - CONECTOR CA HOYMILES 
 10 x AC TRUNK END CAP - TERMINAL ENDCAP HOYMILES 
 1 x AC TRUNK CONNECTOR UNLOCK TOOL - CHAVE DESBLOQUEIO CONECTOR CA 
 1 x HMS DISCONNECT TOOL-1PCS - CHAVE DESCONEXAO MICROINVERSOR 
 57 x CABO CA MULTIPOLAR 10AWG 
 2 x DTU-LITE-S(WIFI) - MONIT DTU-LITE S (ATÉ 25 MICROS)</t>
  </si>
  <si>
    <t>141 x MODULO FV 570WP N-TYPE BIFACIAL DAH SOLAR DHN-72X16/DG 
 1 x INVERSOR SOLIS 60KW 380V S5-GC60K COM MONITORAMENTO 
 200 x CABO FOTOVOLTAICO 4MM² PRETO 
 200 x CABO FOTOVOLTAICO 4MM² VERMELHO 
 24 x CONECTOR MC4 PAR EMBALADO 
 ESTRUTURA FIBROCIMENTO MADEIRA</t>
  </si>
  <si>
    <t>141 x MODULO FV 570WP N-TYPE BIFACIAL DUAL GLASS DAS-DH144NA 
 1 x INVERSOR SOLIS 60KW 380V S5-GC60K COM MONITORAMENTO 
 200 x CABO FOTOVOLTAICO 4MM² PRETO 
 200 x CABO FOTOVOLTAICO 4MM² VERMELHO 
 24 x CONECTOR MC4 PAR EMBALADO 
 ESTRUTURA FIBROCIMENTO MADEIRA</t>
  </si>
  <si>
    <t>141 x MODULO FV 570WP N-TYPE BIFACIAL DAH SOLAR DHN-72X16/DG 
 1 x INVERSOR SUNGROW SG75CX-P2 AFCI 380V COM MONITORAMENTO 
 350 x CABO FOTOVOLTAICO 4MM² PRETO 
 350 x CABO FOTOVOLTAICO 4MM² VERMELHO 
 20 x CONECTOR MC4 PAR EMBALADO 
 ESTRUTURA FIBROCIMENTO MADEIRA</t>
  </si>
  <si>
    <t>141 x MODULO FV 570WP N-TYPE BIFACIAL DUAL GLASS DAS-DH144NA 
 1 x INVERSOR SUNGROW SG75CX-P2 AFCI 380V COM MONITORAMENTO 
 350 x CABO FOTOVOLTAICO 4MM² PRETO 
 350 x CABO FOTOVOLTAICO 4MM² VERMELHO 
 20 x CONECTOR MC4 PAR EMBALADO 
 ESTRUTURA FIBROCIMENTO MADEIRA</t>
  </si>
  <si>
    <t>141 x MODULO FV 570WP N-TYPE BIFACIAL DAH SOLAR DHN-72X16/DG 
 1 x INVERSOR SOLIS 60KW 220V 60K-LV-5G-PRO COM MONITORAMENTO 
 200 x CABO FOTOVOLTAICO 4MM² PRETO 
 200 x CABO FOTOVOLTAICO 4MM² VERMELHO 
 32 x CONECTOR MC4 PAR EMBALADO 
 ESTRUTURA FIBROCIMENTO MADEIRA</t>
  </si>
  <si>
    <t>141 x MODULO FV 570WP N-TYPE BIFACIAL DUAL GLASS DAS-DH144NA 
 1 x INVERSOR SOLIS 60KW 220V 60K-LV-5G-PRO COM MONITORAMENTO 
 200 x CABO FOTOVOLTAICO 4MM² PRETO 
 200 x CABO FOTOVOLTAICO 4MM² VERMELHO 
 32 x CONECTOR MC4 PAR EMBALADO 
 ESTRUTURA FIBROCIMENTO MADEIRA</t>
  </si>
  <si>
    <t>72</t>
  </si>
  <si>
    <t>141 x MODULO FV 570WP N-TYPE BIFACIAL DAH SOLAR DHN-72X16/DG 
 36 x HMS-2000-4T - MICRO HOYMILES 2000W DTU EXTERNA 
 4 x CABO FOTOVOLTAICO 4MM² PRETO 
 144 x CABO FOTOVOLTAICO 4MM² VERMELHO 
 288 x CONECTOR MC4 PAR EMBALADO 
 ESTRUTURA FIBROCIMENTO MADEIRA 
 36 x AC TRUNK CONNECTOR - CONECTOR CA HOYMILES 
 12 x AC TRUNK END CAP - TERMINAL ENDCAP HOYMILES 
 1 x AC TRUNK CONNECTOR UNLOCK TOOL - CHAVE DESBLOQUEIO CONECTOR CA 
 1 x HMS DISCONNECT TOOL-1PCS - CHAVE DESCONEXAO MICROINVERSOR 
 72 x CABO CA MULTIPOLAR 10AWG 
 2 x DTU-LITE-S(WIFI) - MONIT DTU-LITE S (ATÉ 25 MICROS)</t>
  </si>
  <si>
    <t>141 x MODULO FV 570WP N-TYPE BIFACIAL DUAL GLASS DAS-DH144NA 
 36 x HMS-2000-4T - MICRO HOYMILES 2000W DTU EXTERNA 
 4 x CABO FOTOVOLTAICO 4MM² PRETO 
 144 x CABO FOTOVOLTAICO 4MM² VERMELHO 
 288 x CONECTOR MC4 PAR EMBALADO 
 ESTRUTURA FIBROCIMENTO MADEIRA 
 36 x AC TRUNK CONNECTOR - CONECTOR CA HOYMILES 
 12 x AC TRUNK END CAP - TERMINAL ENDCAP HOYMILES 
 1 x AC TRUNK CONNECTOR UNLOCK TOOL - CHAVE DESBLOQUEIO CONECTOR CA 
 1 x HMS DISCONNECT TOOL-1PCS - CHAVE DESCONEXAO MICROINVERSOR 
 72 x CABO CA MULTIPOLAR 10AWG 
 2 x DTU-LITE-S(WIFI) - MONIT DTU-LITE S (ATÉ 25 MICROS)</t>
  </si>
  <si>
    <t>142 x MODULO FV 570WP N-TYPE BIFACIAL DAH SOLAR DHN-72X16/DG 
 1 x INVERSOR SOLIS 60KW 380V S5-GC60K COM MONITORAMENTO 
 200 x CABO FOTOVOLTAICO 4MM² PRETO 
 200 x CABO FOTOVOLTAICO 4MM² VERMELHO 
 24 x CONECTOR MC4 PAR EMBALADO 
 ESTRUTURA FIBROCIMENTO MADEIRA</t>
  </si>
  <si>
    <t>142 x MODULO FV 570WP N-TYPE BIFACIAL DUAL GLASS DAS-DH144NA 
 1 x INVERSOR SOLIS 60KW 380V S5-GC60K COM MONITORAMENTO 
 200 x CABO FOTOVOLTAICO 4MM² PRETO 
 200 x CABO FOTOVOLTAICO 4MM² VERMELHO 
 24 x CONECTOR MC4 PAR EMBALADO 
 ESTRUTURA FIBROCIMENTO MADEIRA</t>
  </si>
  <si>
    <t>142 x MODULO FV 570WP N-TYPE BIFACIAL DAH SOLAR DHN-72X16/DG 
 1 x INVERSOR SUNGROW SG75CX-P2 AFCI 380V COM MONITORAMENTO 
 350 x CABO FOTOVOLTAICO 4MM² PRETO 
 350 x CABO FOTOVOLTAICO 4MM² VERMELHO 
 20 x CONECTOR MC4 PAR EMBALADO 
 ESTRUTURA FIBROCIMENTO MADEIRA</t>
  </si>
  <si>
    <t>142 x MODULO FV 570WP N-TYPE BIFACIAL DUAL GLASS DAS-DH144NA 
 1 x INVERSOR SUNGROW SG75CX-P2 AFCI 380V COM MONITORAMENTO 
 350 x CABO FOTOVOLTAICO 4MM² PRETO 
 350 x CABO FOTOVOLTAICO 4MM² VERMELHO 
 20 x CONECTOR MC4 PAR EMBALADO 
 ESTRUTURA FIBROCIMENTO MADEIRA</t>
  </si>
  <si>
    <t>142 x MODULO FV 570WP N-TYPE BIFACIAL DAH SOLAR DHN-72X16/DG 
 1 x INVERSOR SOLIS 60KW 220V 60K-LV-5G-PRO COM MONITORAMENTO 
 200 x CABO FOTOVOLTAICO 4MM² PRETO 
 200 x CABO FOTOVOLTAICO 4MM² VERMELHO 
 32 x CONECTOR MC4 PAR EMBALADO 
 ESTRUTURA FIBROCIMENTO MADEIRA</t>
  </si>
  <si>
    <t>142 x MODULO FV 570WP N-TYPE BIFACIAL DUAL GLASS DAS-DH144NA 
 1 x INVERSOR SOLIS 60KW 220V 60K-LV-5G-PRO COM MONITORAMENTO 
 200 x CABO FOTOVOLTAICO 4MM² PRETO 
 200 x CABO FOTOVOLTAICO 4MM² VERMELHO 
 32 x CONECTOR MC4 PAR EMBALADO 
 ESTRUTURA FIBROCIMENTO MADEIRA</t>
  </si>
  <si>
    <t>114 x MODULO FV 710WP BIFACIAL DUAL-GLASS TRINA TSM-NEG21C.20 
 29 x HMS-2000-4T - MICRO HOYMILES 2000W DTU EXTERNA 
 4 x CABO FOTOVOLTAICO 4MM² PRETO 
 116 x CABO FOTOVOLTAICO 4MM² VERMELHO 
 232 x CONECTOR MC4 PAR TRINA 
 ESTRUTURA FIBROCIMENTO MADEIRA 
 29 x AC TRUNK CONNECTOR - CONECTOR CA HOYMILES 
 10 x AC TRUNK END CAP - TERMINAL ENDCAP HOYMILES 
 1 x AC TRUNK CONNECTOR UNLOCK TOOL - CHAVE DESBLOQUEIO CONECTOR CA 
 1 x HMS DISCONNECT TOOL-1PCS - CHAVE DESCONEXAO MICROINVERSOR 
 57 x CABO CA MULTIPOLAR 10AWG 
 2 x DTU-LITE-S(WIFI) - MONIT DTU-LITE S (ATÉ 25 MICROS)</t>
  </si>
  <si>
    <t>142 x MODULO FV 570WP N-TYPE BIFACIAL DAH SOLAR DHN-72X16/DG 
 36 x HMS-2000-4T - MICRO HOYMILES 2000W DTU EXTERNA 
 4 x CABO FOTOVOLTAICO 4MM² PRETO 
 144 x CABO FOTOVOLTAICO 4MM² VERMELHO 
 288 x CONECTOR MC4 PAR EMBALADO 
 ESTRUTURA FIBROCIMENTO MADEIRA 
 36 x AC TRUNK CONNECTOR - CONECTOR CA HOYMILES 
 12 x AC TRUNK END CAP - TERMINAL ENDCAP HOYMILES 
 1 x AC TRUNK CONNECTOR UNLOCK TOOL - CHAVE DESBLOQUEIO CONECTOR CA 
 1 x HMS DISCONNECT TOOL-1PCS - CHAVE DESCONEXAO MICROINVERSOR 
 72 x CABO CA MULTIPOLAR 10AWG 
 2 x DTU-LITE-S(WIFI) - MONIT DTU-LITE S (ATÉ 25 MICROS)</t>
  </si>
  <si>
    <t>142 x MODULO FV 570WP N-TYPE BIFACIAL DUAL GLASS DAS-DH144NA 
 36 x HMS-2000-4T - MICRO HOYMILES 2000W DTU EXTERNA 
 4 x CABO FOTOVOLTAICO 4MM² PRETO 
 144 x CABO FOTOVOLTAICO 4MM² VERMELHO 
 288 x CONECTOR MC4 PAR EMBALADO 
 ESTRUTURA FIBROCIMENTO MADEIRA 
 36 x AC TRUNK CONNECTOR - CONECTOR CA HOYMILES 
 12 x AC TRUNK END CAP - TERMINAL ENDCAP HOYMILES 
 1 x AC TRUNK CONNECTOR UNLOCK TOOL - CHAVE DESBLOQUEIO CONECTOR CA 
 1 x HMS DISCONNECT TOOL-1PCS - CHAVE DESCONEXAO MICROINVERSOR 
 72 x CABO CA MULTIPOLAR 10AWG 
 2 x DTU-LITE-S(WIFI) - MONIT DTU-LITE S (ATÉ 25 MICROS)</t>
  </si>
  <si>
    <t>143 x MODULO FV 570WP N-TYPE BIFACIAL DAH SOLAR DHN-72X16/DG 
 1 x INVERSOR SOLIS 60KW 380V S5-GC60K COM MONITORAMENTO 
 200 x CABO FOTOVOLTAICO 4MM² PRETO 
 200 x CABO FOTOVOLTAICO 4MM² VERMELHO 
 24 x CONECTOR MC4 PAR EMBALADO 
 ESTRUTURA FIBROCIMENTO MADEIRA</t>
  </si>
  <si>
    <t>143 x MODULO FV 570WP N-TYPE BIFACIAL DUAL GLASS DAS-DH144NA 
 1 x INVERSOR SOLIS 60KW 380V S5-GC60K COM MONITORAMENTO 
 200 x CABO FOTOVOLTAICO 4MM² PRETO 
 200 x CABO FOTOVOLTAICO 4MM² VERMELHO 
 24 x CONECTOR MC4 PAR EMBALADO 
 ESTRUTURA FIBROCIMENTO MADEIRA</t>
  </si>
  <si>
    <t>143 x MODULO FV 570WP N-TYPE BIFACIAL DAH SOLAR DHN-72X16/DG 
 1 x INVERSOR SUNGROW SG75CX-P2 AFCI 380V COM MONITORAMENTO 
 350 x CABO FOTOVOLTAICO 4MM² PRETO 
 350 x CABO FOTOVOLTAICO 4MM² VERMELHO 
 20 x CONECTOR MC4 PAR EMBALADO 
 ESTRUTURA FIBROCIMENTO MADEIRA</t>
  </si>
  <si>
    <t>143 x MODULO FV 570WP N-TYPE BIFACIAL DUAL GLASS DAS-DH144NA 
 1 x INVERSOR SUNGROW SG75CX-P2 AFCI 380V COM MONITORAMENTO 
 350 x CABO FOTOVOLTAICO 4MM² PRETO 
 350 x CABO FOTOVOLTAICO 4MM² VERMELHO 
 20 x CONECTOR MC4 PAR EMBALADO 
 ESTRUTURA FIBROCIMENTO MADEIRA</t>
  </si>
  <si>
    <t>143 x MODULO FV 570WP N-TYPE BIFACIAL DAH SOLAR DHN-72X16/DG 
 1 x INVERSOR SOLIS 60KW 220V 60K-LV-5G-PRO COM MONITORAMENTO 
 200 x CABO FOTOVOLTAICO 4MM² PRETO 
 200 x CABO FOTOVOLTAICO 4MM² VERMELHO 
 32 x CONECTOR MC4 PAR EMBALADO 
 ESTRUTURA FIBROCIMENTO MADEIRA</t>
  </si>
  <si>
    <t>143 x MODULO FV 570WP N-TYPE BIFACIAL DUAL GLASS DAS-DH144NA 
 1 x INVERSOR SOLIS 60KW 220V 60K-LV-5G-PRO COM MONITORAMENTO 
 200 x CABO FOTOVOLTAICO 4MM² PRETO 
 200 x CABO FOTOVOLTAICO 4MM² VERMELHO 
 32 x CONECTOR MC4 PAR EMBALADO 
 ESTRUTURA FIBROCIMENTO MADEIRA</t>
  </si>
  <si>
    <t>143 x MODULO FV 570WP N-TYPE BIFACIAL DAH SOLAR DHN-72X16/DG 
 36 x HMS-2000-4T - MICRO HOYMILES 2000W DTU EXTERNA 
 4 x CABO FOTOVOLTAICO 4MM² PRETO 
 144 x CABO FOTOVOLTAICO 4MM² VERMELHO 
 288 x CONECTOR MC4 PAR EMBALADO 
 ESTRUTURA FIBROCIMENTO MADEIRA 
 36 x AC TRUNK CONNECTOR - CONECTOR CA HOYMILES 
 12 x AC TRUNK END CAP - TERMINAL ENDCAP HOYMILES 
 1 x AC TRUNK CONNECTOR UNLOCK TOOL - CHAVE DESBLOQUEIO CONECTOR CA 
 1 x HMS DISCONNECT TOOL-1PCS - CHAVE DESCONEXAO MICROINVERSOR 
 72 x CABO CA MULTIPOLAR 10AWG 
 2 x DTU-LITE-S(WIFI) - MONIT DTU-LITE S (ATÉ 25 MICROS)</t>
  </si>
  <si>
    <t>143 x MODULO FV 570WP N-TYPE BIFACIAL DUAL GLASS DAS-DH144NA 
 36 x HMS-2000-4T - MICRO HOYMILES 2000W DTU EXTERNA 
 4 x CABO FOTOVOLTAICO 4MM² PRETO 
 144 x CABO FOTOVOLTAICO 4MM² VERMELHO 
 288 x CONECTOR MC4 PAR EMBALADO 
 ESTRUTURA FIBROCIMENTO MADEIRA 
 36 x AC TRUNK CONNECTOR - CONECTOR CA HOYMILES 
 12 x AC TRUNK END CAP - TERMINAL ENDCAP HOYMILES 
 1 x AC TRUNK CONNECTOR UNLOCK TOOL - CHAVE DESBLOQUEIO CONECTOR CA 
 1 x HMS DISCONNECT TOOL-1PCS - CHAVE DESCONEXAO MICROINVERSOR 
 72 x CABO CA MULTIPOLAR 10AWG 
 2 x DTU-LITE-S(WIFI) - MONIT DTU-LITE S (ATÉ 25 MICROS)</t>
  </si>
  <si>
    <t>115 x MODULO FV 710WP BIFACIAL DUAL-GLASS TRINA TSM-NEG21C.20 
 29 x HMS-2000-4T - MICRO HOYMILES 2000W DTU EXTERNA 
 4 x CABO FOTOVOLTAICO 4MM² PRETO 
 116 x CABO FOTOVOLTAICO 4MM² VERMELHO 
 232 x CONECTOR MC4 PAR TRINA 
 ESTRUTURA FIBROCIMENTO MADEIRA 
 29 x AC TRUNK CONNECTOR - CONECTOR CA HOYMILES 
 10 x AC TRUNK END CAP - TERMINAL ENDCAP HOYMILES 
 1 x AC TRUNK CONNECTOR UNLOCK TOOL - CHAVE DESBLOQUEIO CONECTOR CA 
 1 x HMS DISCONNECT TOOL-1PCS - CHAVE DESCONEXAO MICROINVERSOR 
 57 x CABO CA MULTIPOLAR 10AWG 
 2 x DTU-LITE-S(WIFI) - MONIT DTU-LITE S (ATÉ 25 MICROS)</t>
  </si>
  <si>
    <t>144 x MODULO FV 570WP N-TYPE BIFACIAL DAH SOLAR DHN-72X16/DG 
 1 x INVERSOR SOLIS 60KW 380V S5-GC60K COM MONITORAMENTO 
 200 x CABO FOTOVOLTAICO 4MM² PRETO 
 200 x CABO FOTOVOLTAICO 4MM² VERMELHO 
 24 x CONECTOR MC4 PAR EMBALADO 
 ESTRUTURA FIBROCIMENTO MADEIRA</t>
  </si>
  <si>
    <t>144 x MODULO FV 570WP N-TYPE BIFACIAL DUAL GLASS DAS-DH144NA 
 1 x INVERSOR SOLIS 60KW 380V S5-GC60K COM MONITORAMENTO 
 200 x CABO FOTOVOLTAICO 4MM² PRETO 
 200 x CABO FOTOVOLTAICO 4MM² VERMELHO 
 24 x CONECTOR MC4 PAR EMBALADO 
 ESTRUTURA FIBROCIMENTO MADEIRA</t>
  </si>
  <si>
    <t>144 x MODULO FV 570WP N-TYPE BIFACIAL DAH SOLAR DHN-72X16/DG 
 1 x INVERSOR SUNGROW SG75CX-P2 AFCI 380V COM MONITORAMENTO 
 350 x CABO FOTOVOLTAICO 4MM² PRETO 
 350 x CABO FOTOVOLTAICO 4MM² VERMELHO 
 20 x CONECTOR MC4 PAR EMBALADO 
 ESTRUTURA FIBROCIMENTO MADEIRA</t>
  </si>
  <si>
    <t>144 x MODULO FV 570WP N-TYPE BIFACIAL DUAL GLASS DAS-DH144NA 
 1 x INVERSOR SUNGROW SG75CX-P2 AFCI 380V COM MONITORAMENTO 
 350 x CABO FOTOVOLTAICO 4MM² PRETO 
 350 x CABO FOTOVOLTAICO 4MM² VERMELHO 
 20 x CONECTOR MC4 PAR EMBALADO 
 ESTRUTURA FIBROCIMENTO MADEIRA</t>
  </si>
  <si>
    <t>144 x MODULO FV 570WP N-TYPE BIFACIAL DAH SOLAR DHN-72X16/DG 
 1 x INVERSOR SOLIS 60KW 220V 60K-LV-5G-PRO COM MONITORAMENTO 
 200 x CABO FOTOVOLTAICO 4MM² PRETO 
 200 x CABO FOTOVOLTAICO 4MM² VERMELHO 
 32 x CONECTOR MC4 PAR EMBALADO 
 ESTRUTURA FIBROCIMENTO MADEIRA</t>
  </si>
  <si>
    <t>144 x MODULO FV 570WP N-TYPE BIFACIAL DUAL GLASS DAS-DH144NA 
 1 x INVERSOR SOLIS 60KW 220V 60K-LV-5G-PRO COM MONITORAMENTO 
 200 x CABO FOTOVOLTAICO 4MM² PRETO 
 200 x CABO FOTOVOLTAICO 4MM² VERMELHO 
 32 x CONECTOR MC4 PAR EMBALADO 
 ESTRUTURA FIBROCIMENTO MADEIRA</t>
  </si>
  <si>
    <t>144 x MODULO FV 570WP N-TYPE BIFACIAL DAH SOLAR DHN-72X16/DG 
 36 x HMS-2000-4T - MICRO HOYMILES 2000W DTU EXTERNA 
 4 x CABO FOTOVOLTAICO 4MM² PRETO 
 144 x CABO FOTOVOLTAICO 4MM² VERMELHO 
 288 x CONECTOR MC4 PAR EMBALADO 
 ESTRUTURA FIBROCIMENTO MADEIRA 
 36 x AC TRUNK CONNECTOR - CONECTOR CA HOYMILES 
 12 x AC TRUNK END CAP - TERMINAL ENDCAP HOYMILES 
 1 x AC TRUNK CONNECTOR UNLOCK TOOL - CHAVE DESBLOQUEIO CONECTOR CA 
 1 x HMS DISCONNECT TOOL-1PCS - CHAVE DESCONEXAO MICROINVERSOR 
 72 x CABO CA MULTIPOLAR 10AWG 
 2 x DTU-LITE-S(WIFI) - MONIT DTU-LITE S (ATÉ 25 MICROS)</t>
  </si>
  <si>
    <t>144 x MODULO FV 570WP N-TYPE BIFACIAL DUAL GLASS DAS-DH144NA 
 36 x HMS-2000-4T - MICRO HOYMILES 2000W DTU EXTERNA 
 4 x CABO FOTOVOLTAICO 4MM² PRETO 
 144 x CABO FOTOVOLTAICO 4MM² VERMELHO 
 288 x CONECTOR MC4 PAR EMBALADO 
 ESTRUTURA FIBROCIMENTO MADEIRA 
 36 x AC TRUNK CONNECTOR - CONECTOR CA HOYMILES 
 12 x AC TRUNK END CAP - TERMINAL ENDCAP HOYMILES 
 1 x AC TRUNK CONNECTOR UNLOCK TOOL - CHAVE DESBLOQUEIO CONECTOR CA 
 1 x HMS DISCONNECT TOOL-1PCS - CHAVE DESCONEXAO MICROINVERSOR 
 72 x CABO CA MULTIPOLAR 10AWG 
 2 x DTU-LITE-S(WIFI) - MONIT DTU-LITE S (ATÉ 25 MICROS)</t>
  </si>
  <si>
    <t>116 x MODULO FV 710WP BIFACIAL DUAL-GLASS TRINA TSM-NEG21C.20 
 29 x HMS-2000-4T - MICRO HOYMILES 2000W DTU EXTERNA 
 4 x CABO FOTOVOLTAICO 4MM² PRETO 
 116 x CABO FOTOVOLTAICO 4MM² VERMELHO 
 232 x CONECTOR MC4 PAR TRINA 
 ESTRUTURA FIBROCIMENTO MADEIRA 
 29 x AC TRUNK CONNECTOR - CONECTOR CA HOYMILES 
 10 x AC TRUNK END CAP - TERMINAL ENDCAP HOYMILES 
 1 x AC TRUNK CONNECTOR UNLOCK TOOL - CHAVE DESBLOQUEIO CONECTOR CA 
 1 x HMS DISCONNECT TOOL-1PCS - CHAVE DESCONEXAO MICROINVERSOR 
 57 x CABO CA MULTIPOLAR 10AWG 
 2 x DTU-LITE-S(WIFI) - MONIT DTU-LITE S (ATÉ 25 MICROS)</t>
  </si>
  <si>
    <t>145 x MODULO FV 570WP N-TYPE BIFACIAL DAH SOLAR DHN-72X16/DG 
 1 x INVERSOR SOLIS 60KW 380V S5-GC60K COM MONITORAMENTO 
 200 x CABO FOTOVOLTAICO 4MM² PRETO 
 200 x CABO FOTOVOLTAICO 4MM² VERMELHO 
 24 x CONECTOR MC4 PAR EMBALADO 
 ESTRUTURA FIBROCIMENTO MADEIRA</t>
  </si>
  <si>
    <t>145 x MODULO FV 570WP N-TYPE BIFACIAL DUAL GLASS DAS-DH144NA 
 1 x INVERSOR SOLIS 60KW 380V S5-GC60K COM MONITORAMENTO 
 200 x CABO FOTOVOLTAICO 4MM² PRETO 
 200 x CABO FOTOVOLTAICO 4MM² VERMELHO 
 24 x CONECTOR MC4 PAR EMBALADO 
 ESTRUTURA FIBROCIMENTO MADEIRA</t>
  </si>
  <si>
    <t>145 x MODULO FV 570WP N-TYPE BIFACIAL DAH SOLAR DHN-72X16/DG 
 1 x INVERSOR SUNGROW SG75CX-P2 AFCI 380V COM MONITORAMENTO 
 350 x CABO FOTOVOLTAICO 4MM² PRETO 
 350 x CABO FOTOVOLTAICO 4MM² VERMELHO 
 20 x CONECTOR MC4 PAR EMBALADO 
 ESTRUTURA FIBROCIMENTO MADEIRA</t>
  </si>
  <si>
    <t>145 x MODULO FV 570WP N-TYPE BIFACIAL DUAL GLASS DAS-DH144NA 
 1 x INVERSOR SUNGROW SG75CX-P2 AFCI 380V COM MONITORAMENTO 
 350 x CABO FOTOVOLTAICO 4MM² PRETO 
 350 x CABO FOTOVOLTAICO 4MM² VERMELHO 
 20 x CONECTOR MC4 PAR EMBALADO 
 ESTRUTURA FIBROCIMENTO MADEIRA</t>
  </si>
  <si>
    <t>145 x MODULO FV 570WP N-TYPE BIFACIAL DAH SOLAR DHN-72X16/DG 
 37 x HMS-2000-4T - MICRO HOYMILES 2000W DTU EXTERNA 
 4 x CABO FOTOVOLTAICO 4MM² PRETO 
 148 x CABO FOTOVOLTAICO 4MM² VERMELHO 
 296 x CONECTOR MC4 PAR EMBALADO 
 ESTRUTURA FIBROCIMENTO MADEIRA 
 37 x AC TRUNK CONNECTOR - CONECTOR CA HOYMILES 
 13 x AC TRUNK END CAP - TERMINAL ENDCAP HOYMILES 
 1 x AC TRUNK CONNECTOR UNLOCK TOOL - CHAVE DESBLOQUEIO CONECTOR CA 
 1 x HMS DISCONNECT TOOL-1PCS - CHAVE DESCONEXAO MICROINVERSOR 
 72 x CABO CA MULTIPOLAR 10AWG 
 2 x DTU-LITE-S(WIFI) - MONIT DTU-LITE S (ATÉ 25 MICROS)</t>
  </si>
  <si>
    <t>145 x MODULO FV 570WP N-TYPE BIFACIAL DUAL GLASS DAS-DH144NA 
 37 x HMS-2000-4T - MICRO HOYMILES 2000W DTU EXTERNA 
 4 x CABO FOTOVOLTAICO 4MM² PRETO 
 148 x CABO FOTOVOLTAICO 4MM² VERMELHO 
 296 x CONECTOR MC4 PAR EMBALADO 
 ESTRUTURA FIBROCIMENTO MADEIRA 
 37 x AC TRUNK CONNECTOR - CONECTOR CA HOYMILES 
 13 x AC TRUNK END CAP - TERMINAL ENDCAP HOYMILES 
 1 x AC TRUNK CONNECTOR UNLOCK TOOL - CHAVE DESBLOQUEIO CONECTOR CA 
 1 x HMS DISCONNECT TOOL-1PCS - CHAVE DESCONEXAO MICROINVERSOR 
 72 x CABO CA MULTIPOLAR 10AWG 
 2 x DTU-LITE-S(WIFI) - MONIT DTU-LITE S (ATÉ 25 MICROS)</t>
  </si>
  <si>
    <t>117 x MODULO FV 710WP BIFACIAL DUAL-GLASS TRINA TSM-NEG21C.20 
 30 x HMS-2000-4T - MICRO HOYMILES 2000W DTU EXTERNA 
 4 x CABO FOTOVOLTAICO 4MM² PRETO 
 120 x CABO FOTOVOLTAICO 4MM² VERMELHO 
 240 x CONECTOR MC4 PAR TRINA 
 ESTRUTURA FIBROCIMENTO MADEIRA 
 30 x AC TRUNK CONNECTOR - CONECTOR CA HOYMILES 
 10 x AC TRUNK END CAP - TERMINAL ENDCAP HOYMILES 
 1 x AC TRUNK CONNECTOR UNLOCK TOOL - CHAVE DESBLOQUEIO CONECTOR CA 
 1 x HMS DISCONNECT TOOL-1PCS - CHAVE DESCONEXAO MICROINVERSOR 
 60 x CABO CA MULTIPOLAR 10AWG 
 2 x DTU-LITE-S(WIFI) - MONIT DTU-LITE S (ATÉ 25 MICROS)</t>
  </si>
  <si>
    <t>146 x MODULO FV 570WP N-TYPE BIFACIAL DAH SOLAR DHN-72X16/DG 
 1 x INVERSOR SUNGROW SG75CX-P2 AFCI 380V COM MONITORAMENTO 
 350 x CABO FOTOVOLTAICO 4MM² PRETO 
 350 x CABO FOTOVOLTAICO 4MM² VERMELHO 
 20 x CONECTOR MC4 PAR EMBALADO 
 ESTRUTURA FIBROCIMENTO MADEIRA</t>
  </si>
  <si>
    <t>146 x MODULO FV 570WP N-TYPE BIFACIAL DUAL GLASS DAS-DH144NA 
 1 x INVERSOR SUNGROW SG75CX-P2 AFCI 380V COM MONITORAMENTO 
 350 x CABO FOTOVOLTAICO 4MM² PRETO 
 350 x CABO FOTOVOLTAICO 4MM² VERMELHO 
 20 x CONECTOR MC4 PAR EMBALADO 
 ESTRUTURA FIBROCIMENTO MADEIRA</t>
  </si>
  <si>
    <t>146 x MODULO FV 570WP N-TYPE BIFACIAL DAH SOLAR DHN-72X16/DG 
 1 x INVERSOR SOLIS 75KW 220V 75K-LV-5G-PRO COM MONITORAMENTO 
 350 x CABO FOTOVOLTAICO 4MM² PRETO 
 350 x CABO FOTOVOLTAICO 4MM² VERMELHO 
 32 x CONECTOR MC4 PAR EMBALADO 
 ESTRUTURA FIBROCIMENTO MADEIRA</t>
  </si>
  <si>
    <t>146 x MODULO FV 570WP N-TYPE BIFACIAL DUAL GLASS DAS-DH144NA 
 1 x INVERSOR SOLIS 75KW 220V 75K-LV-5G-PRO COM MONITORAMENTO 
 350 x CABO FOTOVOLTAICO 4MM² PRETO 
 350 x CABO FOTOVOLTAICO 4MM² VERMELHO 
 32 x CONECTOR MC4 PAR EMBALADO 
 ESTRUTURA FIBROCIMENTO MADEIRA</t>
  </si>
  <si>
    <t>146 x MODULO FV 570WP N-TYPE BIFACIAL DAH SOLAR DHN-72X16/DG 
 37 x HMS-2000-4T - MICRO HOYMILES 2000W DTU EXTERNA 
 4 x CABO FOTOVOLTAICO 4MM² PRETO 
 148 x CABO FOTOVOLTAICO 4MM² VERMELHO 
 296 x CONECTOR MC4 PAR EMBALADO 
 ESTRUTURA FIBROCIMENTO MADEIRA 
 37 x AC TRUNK CONNECTOR - CONECTOR CA HOYMILES 
 13 x AC TRUNK END CAP - TERMINAL ENDCAP HOYMILES 
 1 x AC TRUNK CONNECTOR UNLOCK TOOL - CHAVE DESBLOQUEIO CONECTOR CA 
 1 x HMS DISCONNECT TOOL-1PCS - CHAVE DESCONEXAO MICROINVERSOR 
 72 x CABO CA MULTIPOLAR 10AWG 
 2 x DTU-LITE-S(WIFI) - MONIT DTU-LITE S (ATÉ 25 MICROS)</t>
  </si>
  <si>
    <t>146 x MODULO FV 570WP N-TYPE BIFACIAL DUAL GLASS DAS-DH144NA 
 37 x HMS-2000-4T - MICRO HOYMILES 2000W DTU EXTERNA 
 4 x CABO FOTOVOLTAICO 4MM² PRETO 
 148 x CABO FOTOVOLTAICO 4MM² VERMELHO 
 296 x CONECTOR MC4 PAR EMBALADO 
 ESTRUTURA FIBROCIMENTO MADEIRA 
 37 x AC TRUNK CONNECTOR - CONECTOR CA HOYMILES 
 13 x AC TRUNK END CAP - TERMINAL ENDCAP HOYMILES 
 1 x AC TRUNK CONNECTOR UNLOCK TOOL - CHAVE DESBLOQUEIO CONECTOR CA 
 1 x HMS DISCONNECT TOOL-1PCS - CHAVE DESCONEXAO MICROINVERSOR 
 72 x CABO CA MULTIPOLAR 10AWG 
 2 x DTU-LITE-S(WIFI) - MONIT DTU-LITE S (ATÉ 25 MICROS)</t>
  </si>
  <si>
    <t>118 x MODULO FV 710WP BIFACIAL DUAL-GLASS TRINA TSM-NEG21C.20 
 30 x HMS-2000-4T - MICRO HOYMILES 2000W DTU EXTERNA 
 4 x CABO FOTOVOLTAICO 4MM² PRETO 
 120 x CABO FOTOVOLTAICO 4MM² VERMELHO 
 240 x CONECTOR MC4 PAR TRINA 
 ESTRUTURA FIBROCIMENTO MADEIRA 
 30 x AC TRUNK CONNECTOR - CONECTOR CA HOYMILES 
 10 x AC TRUNK END CAP - TERMINAL ENDCAP HOYMILES 
 1 x AC TRUNK CONNECTOR UNLOCK TOOL - CHAVE DESBLOQUEIO CONECTOR CA 
 1 x HMS DISCONNECT TOOL-1PCS - CHAVE DESCONEXAO MICROINVERSOR 
 60 x CABO CA MULTIPOLAR 10AWG 
 2 x DTU-LITE-S(WIFI) - MONIT DTU-LITE S (ATÉ 25 MICROS)</t>
  </si>
  <si>
    <t>147 x MODULO FV 570WP N-TYPE BIFACIAL DAH SOLAR DHN-72X16/DG 
 1 x INVERSOR SOLIS 75KW 380V 75K-5G-PRO COM MONITORAMENTO 
 350 x CABO FOTOVOLTAICO 4MM² PRETO 
 350 x CABO FOTOVOLTAICO 4MM² VERMELHO 
 24 x CONECTOR MC4 PAR EMBALADO 
 ESTRUTURA FIBROCIMENTO MADEIRA</t>
  </si>
  <si>
    <t>147 x MODULO FV 570WP N-TYPE BIFACIAL DUAL GLASS DAS-DH144NA 
 1 x INVERSOR SOLIS 75KW 380V 75K-5G-PRO COM MONITORAMENTO 
 350 x CABO FOTOVOLTAICO 4MM² PRETO 
 350 x CABO FOTOVOLTAICO 4MM² VERMELHO 
 24 x CONECTOR MC4 PAR EMBALADO 
 ESTRUTURA FIBROCIMENTO MADEIRA</t>
  </si>
  <si>
    <t>147 x MODULO FV 570WP N-TYPE BIFACIAL DAH SOLAR DHN-72X16/DG 
 1 x INVERSOR SOLIS 75KW 220V 75K-LV-5G-PRO COM MONITORAMENTO 
 350 x CABO FOTOVOLTAICO 4MM² PRETO 
 350 x CABO FOTOVOLTAICO 4MM² VERMELHO 
 32 x CONECTOR MC4 PAR EMBALADO 
 ESTRUTURA FIBROCIMENTO MADEIRA</t>
  </si>
  <si>
    <t>147 x MODULO FV 570WP N-TYPE BIFACIAL DUAL GLASS DAS-DH144NA 
 1 x INVERSOR SOLIS 75KW 220V 75K-LV-5G-PRO COM MONITORAMENTO 
 350 x CABO FOTOVOLTAICO 4MM² PRETO 
 350 x CABO FOTOVOLTAICO 4MM² VERMELHO 
 32 x CONECTOR MC4 PAR EMBALADO 
 ESTRUTURA FIBROCIMENTO MADEIRA</t>
  </si>
  <si>
    <t>147 x MODULO FV 570WP N-TYPE BIFACIAL DAH SOLAR DHN-72X16/DG 
 37 x HMS-2000-4T - MICRO HOYMILES 2000W DTU EXTERNA 
 4 x CABO FOTOVOLTAICO 4MM² PRETO 
 148 x CABO FOTOVOLTAICO 4MM² VERMELHO 
 296 x CONECTOR MC4 PAR EMBALADO 
 ESTRUTURA FIBROCIMENTO MADEIRA 
 37 x AC TRUNK CONNECTOR - CONECTOR CA HOYMILES 
 13 x AC TRUNK END CAP - TERMINAL ENDCAP HOYMILES 
 1 x AC TRUNK CONNECTOR UNLOCK TOOL - CHAVE DESBLOQUEIO CONECTOR CA 
 1 x HMS DISCONNECT TOOL-1PCS - CHAVE DESCONEXAO MICROINVERSOR 
 72 x CABO CA MULTIPOLAR 10AWG 
 2 x DTU-LITE-S(WIFI) - MONIT DTU-LITE S (ATÉ 25 MICROS)</t>
  </si>
  <si>
    <t>147 x MODULO FV 570WP N-TYPE BIFACIAL DUAL GLASS DAS-DH144NA 
 37 x HMS-2000-4T - MICRO HOYMILES 2000W DTU EXTERNA 
 4 x CABO FOTOVOLTAICO 4MM² PRETO 
 148 x CABO FOTOVOLTAICO 4MM² VERMELHO 
 296 x CONECTOR MC4 PAR EMBALADO 
 ESTRUTURA FIBROCIMENTO MADEIRA 
 37 x AC TRUNK CONNECTOR - CONECTOR CA HOYMILES 
 13 x AC TRUNK END CAP - TERMINAL ENDCAP HOYMILES 
 1 x AC TRUNK CONNECTOR UNLOCK TOOL - CHAVE DESBLOQUEIO CONECTOR CA 
 1 x HMS DISCONNECT TOOL-1PCS - CHAVE DESCONEXAO MICROINVERSOR 
 72 x CABO CA MULTIPOLAR 10AWG 
 2 x DTU-LITE-S(WIFI) - MONIT DTU-LITE S (ATÉ 25 MICROS)</t>
  </si>
  <si>
    <t>148 x MODULO FV 570WP N-TYPE BIFACIAL DAH SOLAR DHN-72X16/DG 
 1 x INVERSOR SOLIS 75KW 380V 75K-5G-PRO COM MONITORAMENTO 
 350 x CABO FOTOVOLTAICO 4MM² PRETO 
 350 x CABO FOTOVOLTAICO 4MM² VERMELHO 
 24 x CONECTOR MC4 PAR EMBALADO 
 ESTRUTURA FIBROCIMENTO MADEIRA</t>
  </si>
  <si>
    <t>148 x MODULO FV 570WP N-TYPE BIFACIAL DUAL GLASS DAS-DH144NA 
 1 x INVERSOR SOLIS 75KW 380V 75K-5G-PRO COM MONITORAMENTO 
 350 x CABO FOTOVOLTAICO 4MM² PRETO 
 350 x CABO FOTOVOLTAICO 4MM² VERMELHO 
 24 x CONECTOR MC4 PAR EMBALADO 
 ESTRUTURA FIBROCIMENTO MADEIRA</t>
  </si>
  <si>
    <t>148 x MODULO FV 570WP N-TYPE BIFACIAL DAH SOLAR DHN-72X16/DG 
 1 x INVERSOR SUNGROW SG75CX-P2 AFCI 380V COM MONITORAMENTO 
 350 x CABO FOTOVOLTAICO 4MM² PRETO 
 350 x CABO FOTOVOLTAICO 4MM² VERMELHO 
 20 x CONECTOR MC4 PAR EMBALADO 
 ESTRUTURA FIBROCIMENTO MADEIRA</t>
  </si>
  <si>
    <t>148 x MODULO FV 570WP N-TYPE BIFACIAL DUAL GLASS DAS-DH144NA 
 1 x INVERSOR SUNGROW SG75CX-P2 AFCI 380V COM MONITORAMENTO 
 350 x CABO FOTOVOLTAICO 4MM² PRETO 
 350 x CABO FOTOVOLTAICO 4MM² VERMELHO 
 20 x CONECTOR MC4 PAR EMBALADO 
 ESTRUTURA FIBROCIMENTO MADEIRA</t>
  </si>
  <si>
    <t>148 x MODULO FV 570WP N-TYPE BIFACIAL DAH SOLAR DHN-72X16/DG 
 37 x HMS-2000-4T - MICRO HOYMILES 2000W DTU EXTERNA 
 4 x CABO FOTOVOLTAICO 4MM² PRETO 
 148 x CABO FOTOVOLTAICO 4MM² VERMELHO 
 296 x CONECTOR MC4 PAR EMBALADO 
 ESTRUTURA FIBROCIMENTO MADEIRA 
 37 x AC TRUNK CONNECTOR - CONECTOR CA HOYMILES 
 13 x AC TRUNK END CAP - TERMINAL ENDCAP HOYMILES 
 1 x AC TRUNK CONNECTOR UNLOCK TOOL - CHAVE DESBLOQUEIO CONECTOR CA 
 1 x HMS DISCONNECT TOOL-1PCS - CHAVE DESCONEXAO MICROINVERSOR 
 72 x CABO CA MULTIPOLAR 10AWG 
 2 x DTU-LITE-S(WIFI) - MONIT DTU-LITE S (ATÉ 25 MICROS)</t>
  </si>
  <si>
    <t>148 x MODULO FV 570WP N-TYPE BIFACIAL DUAL GLASS DAS-DH144NA 
 37 x HMS-2000-4T - MICRO HOYMILES 2000W DTU EXTERNA 
 4 x CABO FOTOVOLTAICO 4MM² PRETO 
 148 x CABO FOTOVOLTAICO 4MM² VERMELHO 
 296 x CONECTOR MC4 PAR EMBALADO 
 ESTRUTURA FIBROCIMENTO MADEIRA 
 37 x AC TRUNK CONNECTOR - CONECTOR CA HOYMILES 
 13 x AC TRUNK END CAP - TERMINAL ENDCAP HOYMILES 
 1 x AC TRUNK CONNECTOR UNLOCK TOOL - CHAVE DESBLOQUEIO CONECTOR CA 
 1 x HMS DISCONNECT TOOL-1PCS - CHAVE DESCONEXAO MICROINVERSOR 
 72 x CABO CA MULTIPOLAR 10AWG 
 2 x DTU-LITE-S(WIFI) - MONIT DTU-LITE S (ATÉ 25 MICROS)</t>
  </si>
  <si>
    <t>119 x MODULO FV 710WP BIFACIAL DUAL-GLASS TRINA TSM-NEG21C.20 
 30 x HMS-2000-4T - MICRO HOYMILES 2000W DTU EXTERNA 
 4 x CABO FOTOVOLTAICO 4MM² PRETO 
 120 x CABO FOTOVOLTAICO 4MM² VERMELHO 
 240 x CONECTOR MC4 PAR TRINA 
 ESTRUTURA FIBROCIMENTO MADEIRA 
 30 x AC TRUNK CONNECTOR - CONECTOR CA HOYMILES 
 10 x AC TRUNK END CAP - TERMINAL ENDCAP HOYMILES 
 1 x AC TRUNK CONNECTOR UNLOCK TOOL - CHAVE DESBLOQUEIO CONECTOR CA 
 1 x HMS DISCONNECT TOOL-1PCS - CHAVE DESCONEXAO MICROINVERSOR 
 60 x CABO CA MULTIPOLAR 10AWG 
 2 x DTU-LITE-S(WIFI) - MONIT DTU-LITE S (ATÉ 25 MICROS)</t>
  </si>
  <si>
    <t>149 x MODULO FV 570WP N-TYPE BIFACIAL DAH SOLAR DHN-72X16/DG 
 1 x INVERSOR SUNGROW SG75CX-P2 AFCI 380V COM MONITORAMENTO 
 350 x CABO FOTOVOLTAICO 4MM² PRETO 
 350 x CABO FOTOVOLTAICO 4MM² VERMELHO 
 20 x CONECTOR MC4 PAR EMBALADO 
 ESTRUTURA FIBROCIMENTO MADEIRA</t>
  </si>
  <si>
    <t>149 x MODULO FV 570WP N-TYPE BIFACIAL DUAL GLASS DAS-DH144NA 
 1 x INVERSOR SUNGROW SG75CX-P2 AFCI 380V COM MONITORAMENTO 
 350 x CABO FOTOVOLTAICO 4MM² PRETO 
 350 x CABO FOTOVOLTAICO 4MM² VERMELHO 
 20 x CONECTOR MC4 PAR EMBALADO 
 ESTRUTURA FIBROCIMENTO MADEIRA</t>
  </si>
  <si>
    <t>149 x MODULO FV 570WP N-TYPE BIFACIAL DAH SOLAR DHN-72X16/DG 
 1 x INVERSOR SOLIS 75KW 220V 75K-LV-5G-PRO COM MONITORAMENTO 
 350 x CABO FOTOVOLTAICO 4MM² PRETO 
 350 x CABO FOTOVOLTAICO 4MM² VERMELHO 
 32 x CONECTOR MC4 PAR EMBALADO 
 ESTRUTURA FIBROCIMENTO MADEIRA</t>
  </si>
  <si>
    <t>149 x MODULO FV 570WP N-TYPE BIFACIAL DUAL GLASS DAS-DH144NA 
 1 x INVERSOR SOLIS 75KW 220V 75K-LV-5G-PRO COM MONITORAMENTO 
 350 x CABO FOTOVOLTAICO 4MM² PRETO 
 350 x CABO FOTOVOLTAICO 4MM² VERMELHO 
 32 x CONECTOR MC4 PAR EMBALADO 
 ESTRUTURA FIBROCIMENTO MADEIRA</t>
  </si>
  <si>
    <t>75</t>
  </si>
  <si>
    <t>149 x MODULO FV 570WP N-TYPE BIFACIAL DAH SOLAR DHN-72X16/DG 
 38 x HMS-2000-4T - MICRO HOYMILES 2000W DTU EXTERNA 
 4 x CABO FOTOVOLTAICO 4MM² PRETO 
 152 x CABO FOTOVOLTAICO 4MM² VERMELHO 
 304 x CONECTOR MC4 PAR EMBALADO 
 ESTRUTURA FIBROCIMENTO MADEIRA 
 38 x AC TRUNK CONNECTOR - CONECTOR CA HOYMILES 
 13 x AC TRUNK END CAP - TERMINAL ENDCAP HOYMILES 
 1 x AC TRUNK CONNECTOR UNLOCK TOOL - CHAVE DESBLOQUEIO CONECTOR CA 
 1 x HMS DISCONNECT TOOL-1PCS - CHAVE DESCONEXAO MICROINVERSOR 
 75 x CABO CA MULTIPOLAR 10AWG 
 2 x DTU-LITE-S(WIFI) - MONIT DTU-LITE S (ATÉ 25 MICROS)</t>
  </si>
  <si>
    <t>149 x MODULO FV 570WP N-TYPE BIFACIAL DUAL GLASS DAS-DH144NA 
 38 x HMS-2000-4T - MICRO HOYMILES 2000W DTU EXTERNA 
 4 x CABO FOTOVOLTAICO 4MM² PRETO 
 152 x CABO FOTOVOLTAICO 4MM² VERMELHO 
 304 x CONECTOR MC4 PAR EMBALADO 
 ESTRUTURA FIBROCIMENTO MADEIRA 
 38 x AC TRUNK CONNECTOR - CONECTOR CA HOYMILES 
 13 x AC TRUNK END CAP - TERMINAL ENDCAP HOYMILES 
 1 x AC TRUNK CONNECTOR UNLOCK TOOL - CHAVE DESBLOQUEIO CONECTOR CA 
 1 x HMS DISCONNECT TOOL-1PCS - CHAVE DESCONEXAO MICROINVERSOR 
 75 x CABO CA MULTIPOLAR 10AWG 
 2 x DTU-LITE-S(WIFI) - MONIT DTU-LITE S (ATÉ 25 MICROS)</t>
  </si>
  <si>
    <t>120 x MODULO FV 710WP BIFACIAL DUAL-GLASS TRINA TSM-NEG21C.20 
 30 x HMS-2000-4T - MICRO HOYMILES 2000W DTU EXTERNA 
 4 x CABO FOTOVOLTAICO 4MM² PRETO 
 120 x CABO FOTOVOLTAICO 4MM² VERMELHO 
 240 x CONECTOR MC4 PAR TRINA 
 ESTRUTURA FIBROCIMENTO MADEIRA 
 30 x AC TRUNK CONNECTOR - CONECTOR CA HOYMILES 
 10 x AC TRUNK END CAP - TERMINAL ENDCAP HOYMILES 
 1 x AC TRUNK CONNECTOR UNLOCK TOOL - CHAVE DESBLOQUEIO CONECTOR CA 
 1 x HMS DISCONNECT TOOL-1PCS - CHAVE DESCONEXAO MICROINVERSOR 
 60 x CABO CA MULTIPOLAR 10AWG 
 2 x DTU-LITE-S(WIFI) - MONIT DTU-LITE S (ATÉ 25 MICROS)</t>
  </si>
  <si>
    <t>150 x MODULO FV 570WP N-TYPE BIFACIAL DAH SOLAR DHN-72X16/DG 
 1 x INVERSOR SOLIS 75KW 380V 75K-5G-PRO COM MONITORAMENTO 
 350 x CABO FOTOVOLTAICO 4MM² PRETO 
 350 x CABO FOTOVOLTAICO 4MM² VERMELHO 
 24 x CONECTOR MC4 PAR EMBALADO 
 ESTRUTURA FIBROCIMENTO MADEIRA</t>
  </si>
  <si>
    <t>150 x MODULO FV 570WP N-TYPE BIFACIAL DUAL GLASS DAS-DH144NA 
 1 x INVERSOR SOLIS 75KW 380V 75K-5G-PRO COM MONITORAMENTO 
 350 x CABO FOTOVOLTAICO 4MM² PRETO 
 350 x CABO FOTOVOLTAICO 4MM² VERMELHO 
 24 x CONECTOR MC4 PAR EMBALADO 
 ESTRUTURA FIBROCIMENTO MADEIRA</t>
  </si>
  <si>
    <t>150 x MODULO FV 570WP N-TYPE BIFACIAL DAH SOLAR DHN-72X16/DG 
 1 x INVERSOR SOLIS 75KW 220V 75K-LV-5G-PRO COM MONITORAMENTO 
 350 x CABO FOTOVOLTAICO 4MM² PRETO 
 350 x CABO FOTOVOLTAICO 4MM² VERMELHO 
 32 x CONECTOR MC4 PAR EMBALADO 
 ESTRUTURA FIBROCIMENTO MADEIRA</t>
  </si>
  <si>
    <t>150 x MODULO FV 570WP N-TYPE BIFACIAL DUAL GLASS DAS-DH144NA 
 1 x INVERSOR SOLIS 75KW 220V 75K-LV-5G-PRO COM MONITORAMENTO 
 350 x CABO FOTOVOLTAICO 4MM² PRETO 
 350 x CABO FOTOVOLTAICO 4MM² VERMELHO 
 32 x CONECTOR MC4 PAR EMBALADO 
 ESTRUTURA FIBROCIMENTO MADEIRA</t>
  </si>
  <si>
    <t>150 x MODULO FV 570WP N-TYPE BIFACIAL DAH SOLAR DHN-72X16/DG 
 38 x HMS-2000-4T - MICRO HOYMILES 2000W DTU EXTERNA 
 4 x CABO FOTOVOLTAICO 4MM² PRETO 
 152 x CABO FOTOVOLTAICO 4MM² VERMELHO 
 304 x CONECTOR MC4 PAR EMBALADO 
 ESTRUTURA FIBROCIMENTO MADEIRA 
 38 x AC TRUNK CONNECTOR - CONECTOR CA HOYMILES 
 13 x AC TRUNK END CAP - TERMINAL ENDCAP HOYMILES 
 1 x AC TRUNK CONNECTOR UNLOCK TOOL - CHAVE DESBLOQUEIO CONECTOR CA 
 1 x HMS DISCONNECT TOOL-1PCS - CHAVE DESCONEXAO MICROINVERSOR 
 75 x CABO CA MULTIPOLAR 10AWG 
 2 x DTU-LITE-S(WIFI) - MONIT DTU-LITE S (ATÉ 25 MICROS)</t>
  </si>
  <si>
    <t>150 x MODULO FV 570WP N-TYPE BIFACIAL DUAL GLASS DAS-DH144NA 
 38 x HMS-2000-4T - MICRO HOYMILES 2000W DTU EXTERNA 
 4 x CABO FOTOVOLTAICO 4MM² PRETO 
 152 x CABO FOTOVOLTAICO 4MM² VERMELHO 
 304 x CONECTOR MC4 PAR EMBALADO 
 ESTRUTURA FIBROCIMENTO MADEIRA 
 38 x AC TRUNK CONNECTOR - CONECTOR CA HOYMILES 
 13 x AC TRUNK END CAP - TERMINAL ENDCAP HOYMILES 
 1 x AC TRUNK CONNECTOR UNLOCK TOOL - CHAVE DESBLOQUEIO CONECTOR CA 
 1 x HMS DISCONNECT TOOL-1PCS - CHAVE DESCONEXAO MICROINVERSOR 
 75 x CABO CA MULTIPOLAR 10AWG 
 2 x DTU-LITE-S(WIFI) - MONIT DTU-LITE S (ATÉ 25 MICROS)</t>
  </si>
  <si>
    <t>121 x MODULO FV 710WP BIFACIAL DUAL-GLASS TRINA TSM-NEG21C.20 
 31 x HMS-2000-4T - MICRO HOYMILES 2000W DTU EXTERNA 
 4 x CABO FOTOVOLTAICO 4MM² PRETO 
 124 x CABO FOTOVOLTAICO 4MM² VERMELHO 
 248 x CONECTOR MC4 PAR TRINA 
 ESTRUTURA FIBROCIMENTO MADEIRA 
 31 x AC TRUNK CONNECTOR - CONECTOR CA HOYMILES 
 11 x AC TRUNK END CAP - TERMINAL ENDCAP HOYMILES 
 1 x AC TRUNK CONNECTOR UNLOCK TOOL - CHAVE DESBLOQUEIO CONECTOR CA 
 1 x HMS DISCONNECT TOOL-1PCS - CHAVE DESCONEXAO MICROINVERSOR 
 60 x CABO CA MULTIPOLAR 10AWG 
 2 x DTU-LITE-S(WIFI) - MONIT DTU-LITE S (ATÉ 25 MICROS)</t>
  </si>
  <si>
    <t>151 x MODULO FV 570WP N-TYPE BIFACIAL DAH SOLAR DHN-72X16/DG 
 1 x INVERSOR SOLIS 75KW 380V 75K-5G-PRO COM MONITORAMENTO 
 350 x CABO FOTOVOLTAICO 4MM² PRETO 
 350 x CABO FOTOVOLTAICO 4MM² VERMELHO 
 24 x CONECTOR MC4 PAR EMBALADO 
 ESTRUTURA FIBROCIMENTO MADEIRA</t>
  </si>
  <si>
    <t>151 x MODULO FV 570WP N-TYPE BIFACIAL DUAL GLASS DAS-DH144NA 
 1 x INVERSOR SOLIS 75KW 380V 75K-5G-PRO COM MONITORAMENTO 
 350 x CABO FOTOVOLTAICO 4MM² PRETO 
 350 x CABO FOTOVOLTAICO 4MM² VERMELHO 
 24 x CONECTOR MC4 PAR EMBALADO 
 ESTRUTURA FIBROCIMENTO MADEIRA</t>
  </si>
  <si>
    <t>151 x MODULO FV 570WP N-TYPE BIFACIAL DAH SOLAR DHN-72X16/DG 
 1 x INVERSOR SUNGROW SG75CX-P2 AFCI 380V COM MONITORAMENTO 
 350 x CABO FOTOVOLTAICO 4MM² PRETO 
 350 x CABO FOTOVOLTAICO 4MM² VERMELHO 
 20 x CONECTOR MC4 PAR EMBALADO 
 ESTRUTURA FIBROCIMENTO MADEIRA</t>
  </si>
  <si>
    <t>151 x MODULO FV 570WP N-TYPE BIFACIAL DUAL GLASS DAS-DH144NA 
 1 x INVERSOR SUNGROW SG75CX-P2 AFCI 380V COM MONITORAMENTO 
 350 x CABO FOTOVOLTAICO 4MM² PRETO 
 350 x CABO FOTOVOLTAICO 4MM² VERMELHO 
 20 x CONECTOR MC4 PAR EMBALADO 
 ESTRUTURA FIBROCIMENTO MADEIRA</t>
  </si>
  <si>
    <t>151 x MODULO FV 570WP N-TYPE BIFACIAL DAH SOLAR DHN-72X16/DG 
 38 x HMS-2000-4T - MICRO HOYMILES 2000W DTU EXTERNA 
 4 x CABO FOTOVOLTAICO 4MM² PRETO 
 152 x CABO FOTOVOLTAICO 4MM² VERMELHO 
 304 x CONECTOR MC4 PAR EMBALADO 
 ESTRUTURA FIBROCIMENTO MADEIRA 
 38 x AC TRUNK CONNECTOR - CONECTOR CA HOYMILES 
 13 x AC TRUNK END CAP - TERMINAL ENDCAP HOYMILES 
 1 x AC TRUNK CONNECTOR UNLOCK TOOL - CHAVE DESBLOQUEIO CONECTOR CA 
 1 x HMS DISCONNECT TOOL-1PCS - CHAVE DESCONEXAO MICROINVERSOR 
 75 x CABO CA MULTIPOLAR 10AWG 
 2 x DTU-LITE-S(WIFI) - MONIT DTU-LITE S (ATÉ 25 MICROS)</t>
  </si>
  <si>
    <t>151 x MODULO FV 570WP N-TYPE BIFACIAL DUAL GLASS DAS-DH144NA 
 38 x HMS-2000-4T - MICRO HOYMILES 2000W DTU EXTERNA 
 4 x CABO FOTOVOLTAICO 4MM² PRETO 
 152 x CABO FOTOVOLTAICO 4MM² VERMELHO 
 304 x CONECTOR MC4 PAR EMBALADO 
 ESTRUTURA FIBROCIMENTO MADEIRA 
 38 x AC TRUNK CONNECTOR - CONECTOR CA HOYMILES 
 13 x AC TRUNK END CAP - TERMINAL ENDCAP HOYMILES 
 1 x AC TRUNK CONNECTOR UNLOCK TOOL - CHAVE DESBLOQUEIO CONECTOR CA 
 1 x HMS DISCONNECT TOOL-1PCS - CHAVE DESCONEXAO MICROINVERSOR 
 75 x CABO CA MULTIPOLAR 10AWG 
 2 x DTU-LITE-S(WIFI) - MONIT DTU-LITE S (ATÉ 25 MICROS)</t>
  </si>
  <si>
    <t>122 x MODULO FV 710WP BIFACIAL DUAL-GLASS TRINA TSM-NEG21C.20 
 31 x HMS-2000-4T - MICRO HOYMILES 2000W DTU EXTERNA 
 4 x CABO FOTOVOLTAICO 4MM² PRETO 
 124 x CABO FOTOVOLTAICO 4MM² VERMELHO 
 248 x CONECTOR MC4 PAR TRINA 
 ESTRUTURA FIBROCIMENTO MADEIRA 
 31 x AC TRUNK CONNECTOR - CONECTOR CA HOYMILES 
 11 x AC TRUNK END CAP - TERMINAL ENDCAP HOYMILES 
 1 x AC TRUNK CONNECTOR UNLOCK TOOL - CHAVE DESBLOQUEIO CONECTOR CA 
 1 x HMS DISCONNECT TOOL-1PCS - CHAVE DESCONEXAO MICROINVERSOR 
 60 x CABO CA MULTIPOLAR 10AWG 
 2 x DTU-LITE-S(WIFI) - MONIT DTU-LITE S (ATÉ 25 MICROS)</t>
  </si>
  <si>
    <t>152 x MODULO FV 570WP N-TYPE BIFACIAL DAH SOLAR DHN-72X16/DG 
 1 x INVERSOR SUNGROW SG75CX-P2 AFCI 380V COM MONITORAMENTO 
 350 x CABO FOTOVOLTAICO 4MM² PRETO 
 350 x CABO FOTOVOLTAICO 4MM² VERMELHO 
 20 x CONECTOR MC4 PAR EMBALADO 
 ESTRUTURA FIBROCIMENTO MADEIRA</t>
  </si>
  <si>
    <t>152 x MODULO FV 570WP N-TYPE BIFACIAL DUAL GLASS DAS-DH144NA 
 1 x INVERSOR SUNGROW SG75CX-P2 AFCI 380V COM MONITORAMENTO 
 350 x CABO FOTOVOLTAICO 4MM² PRETO 
 350 x CABO FOTOVOLTAICO 4MM² VERMELHO 
 20 x CONECTOR MC4 PAR EMBALADO 
 ESTRUTURA FIBROCIMENTO MADEIRA</t>
  </si>
  <si>
    <t>152 x MODULO FV 570WP N-TYPE BIFACIAL DAH SOLAR DHN-72X16/DG 
 1 x INVERSOR SOLIS 75KW 220V 75K-LV-5G-PRO COM MONITORAMENTO 
 350 x CABO FOTOVOLTAICO 4MM² PRETO 
 350 x CABO FOTOVOLTAICO 4MM² VERMELHO 
 32 x CONECTOR MC4 PAR EMBALADO 
 ESTRUTURA FIBROCIMENTO MADEIRA</t>
  </si>
  <si>
    <t>152 x MODULO FV 570WP N-TYPE BIFACIAL DUAL GLASS DAS-DH144NA 
 1 x INVERSOR SOLIS 75KW 220V 75K-LV-5G-PRO COM MONITORAMENTO 
 350 x CABO FOTOVOLTAICO 4MM² PRETO 
 350 x CABO FOTOVOLTAICO 4MM² VERMELHO 
 32 x CONECTOR MC4 PAR EMBALADO 
 ESTRUTURA FIBROCIMENTO MADEIRA</t>
  </si>
  <si>
    <t>152 x MODULO FV 570WP N-TYPE BIFACIAL DAH SOLAR DHN-72X16/DG 
 38 x HMS-2000-4T - MICRO HOYMILES 2000W DTU EXTERNA 
 4 x CABO FOTOVOLTAICO 4MM² PRETO 
 152 x CABO FOTOVOLTAICO 4MM² VERMELHO 
 304 x CONECTOR MC4 PAR EMBALADO 
 ESTRUTURA FIBROCIMENTO MADEIRA 
 38 x AC TRUNK CONNECTOR - CONECTOR CA HOYMILES 
 13 x AC TRUNK END CAP - TERMINAL ENDCAP HOYMILES 
 1 x AC TRUNK CONNECTOR UNLOCK TOOL - CHAVE DESBLOQUEIO CONECTOR CA 
 1 x HMS DISCONNECT TOOL-1PCS - CHAVE DESCONEXAO MICROINVERSOR 
 75 x CABO CA MULTIPOLAR 10AWG 
 2 x DTU-LITE-S(WIFI) - MONIT DTU-LITE S (ATÉ 25 MICROS)</t>
  </si>
  <si>
    <t>152 x MODULO FV 570WP N-TYPE BIFACIAL DUAL GLASS DAS-DH144NA 
 38 x HMS-2000-4T - MICRO HOYMILES 2000W DTU EXTERNA 
 4 x CABO FOTOVOLTAICO 4MM² PRETO 
 152 x CABO FOTOVOLTAICO 4MM² VERMELHO 
 304 x CONECTOR MC4 PAR EMBALADO 
 ESTRUTURA FIBROCIMENTO MADEIRA 
 38 x AC TRUNK CONNECTOR - CONECTOR CA HOYMILES 
 13 x AC TRUNK END CAP - TERMINAL ENDCAP HOYMILES 
 1 x AC TRUNK CONNECTOR UNLOCK TOOL - CHAVE DESBLOQUEIO CONECTOR CA 
 1 x HMS DISCONNECT TOOL-1PCS - CHAVE DESCONEXAO MICROINVERSOR 
 75 x CABO CA MULTIPOLAR 10AWG 
 2 x DTU-LITE-S(WIFI) - MONIT DTU-LITE S (ATÉ 25 MICROS)</t>
  </si>
  <si>
    <t>153 x MODULO FV 570WP N-TYPE BIFACIAL DAH SOLAR DHN-72X16/DG 
 1 x INVERSOR SOLIS 75KW 380V 75K-5G-PRO COM MONITORAMENTO 
 350 x CABO FOTOVOLTAICO 4MM² PRETO 
 350 x CABO FOTOVOLTAICO 4MM² VERMELHO 
 24 x CONECTOR MC4 PAR EMBALADO 
 ESTRUTURA FIBROCIMENTO MADEIRA</t>
  </si>
  <si>
    <t>153 x MODULO FV 570WP N-TYPE BIFACIAL DUAL GLASS DAS-DH144NA 
 1 x INVERSOR SOLIS 75KW 380V 75K-5G-PRO COM MONITORAMENTO 
 350 x CABO FOTOVOLTAICO 4MM² PRETO 
 350 x CABO FOTOVOLTAICO 4MM² VERMELHO 
 24 x CONECTOR MC4 PAR EMBALADO 
 ESTRUTURA FIBROCIMENTO MADEIRA</t>
  </si>
  <si>
    <t>153 x MODULO FV 570WP N-TYPE BIFACIAL DAH SOLAR DHN-72X16/DG 
 1 x INVERSOR SOLIS 75KW 220V 75K-LV-5G-PRO COM MONITORAMENTO 
 350 x CABO FOTOVOLTAICO 4MM² PRETO 
 350 x CABO FOTOVOLTAICO 4MM² VERMELHO 
 32 x CONECTOR MC4 PAR EMBALADO 
 ESTRUTURA FIBROCIMENTO MADEIRA</t>
  </si>
  <si>
    <t>153 x MODULO FV 570WP N-TYPE BIFACIAL DUAL GLASS DAS-DH144NA 
 1 x INVERSOR SOLIS 75KW 220V 75K-LV-5G-PRO COM MONITORAMENTO 
 350 x CABO FOTOVOLTAICO 4MM² PRETO 
 350 x CABO FOTOVOLTAICO 4MM² VERMELHO 
 32 x CONECTOR MC4 PAR EMBALADO 
 ESTRUTURA FIBROCIMENTO MADEIRA</t>
  </si>
  <si>
    <t>78</t>
  </si>
  <si>
    <t>153 x MODULO FV 570WP N-TYPE BIFACIAL DAH SOLAR DHN-72X16/DG 
 39 x HMS-2000-4T - MICRO HOYMILES 2000W DTU EXTERNA 
 4 x CABO FOTOVOLTAICO 4MM² PRETO 
 156 x CABO FOTOVOLTAICO 4MM² VERMELHO 
 312 x CONECTOR MC4 PAR EMBALADO 
 ESTRUTURA FIBROCIMENTO MADEIRA 
 39 x AC TRUNK CONNECTOR - CONECTOR CA HOYMILES 
 13 x AC TRUNK END CAP - TERMINAL ENDCAP HOYMILES 
 1 x AC TRUNK CONNECTOR UNLOCK TOOL - CHAVE DESBLOQUEIO CONECTOR CA 
 1 x HMS DISCONNECT TOOL-1PCS - CHAVE DESCONEXAO MICROINVERSOR 
 78 x CABO CA MULTIPOLAR 10AWG 
 2 x DTU-LITE-S(WIFI) - MONIT DTU-LITE S (ATÉ 25 MICROS)</t>
  </si>
  <si>
    <t>153 x MODULO FV 570WP N-TYPE BIFACIAL DUAL GLASS DAS-DH144NA 
 39 x HMS-2000-4T - MICRO HOYMILES 2000W DTU EXTERNA 
 4 x CABO FOTOVOLTAICO 4MM² PRETO 
 156 x CABO FOTOVOLTAICO 4MM² VERMELHO 
 312 x CONECTOR MC4 PAR EMBALADO 
 ESTRUTURA FIBROCIMENTO MADEIRA 
 39 x AC TRUNK CONNECTOR - CONECTOR CA HOYMILES 
 13 x AC TRUNK END CAP - TERMINAL ENDCAP HOYMILES 
 1 x AC TRUNK CONNECTOR UNLOCK TOOL - CHAVE DESBLOQUEIO CONECTOR CA 
 1 x HMS DISCONNECT TOOL-1PCS - CHAVE DESCONEXAO MICROINVERSOR 
 78 x CABO CA MULTIPOLAR 10AWG 
 2 x DTU-LITE-S(WIFI) - MONIT DTU-LITE S (ATÉ 25 MICROS)</t>
  </si>
  <si>
    <t>123 x MODULO FV 710WP BIFACIAL DUAL-GLASS TRINA TSM-NEG21C.20 
 31 x HMS-2000-4T - MICRO HOYMILES 2000W DTU EXTERNA 
 4 x CABO FOTOVOLTAICO 4MM² PRETO 
 124 x CABO FOTOVOLTAICO 4MM² VERMELHO 
 248 x CONECTOR MC4 PAR TRINA 
 ESTRUTURA FIBROCIMENTO MADEIRA 
 31 x AC TRUNK CONNECTOR - CONECTOR CA HOYMILES 
 11 x AC TRUNK END CAP - TERMINAL ENDCAP HOYMILES 
 1 x AC TRUNK CONNECTOR UNLOCK TOOL - CHAVE DESBLOQUEIO CONECTOR CA 
 1 x HMS DISCONNECT TOOL-1PCS - CHAVE DESCONEXAO MICROINVERSOR 
 60 x CABO CA MULTIPOLAR 10AWG 
 2 x DTU-LITE-S(WIFI) - MONIT DTU-LITE S (ATÉ 25 MICROS)</t>
  </si>
  <si>
    <t>154 x MODULO FV 570WP N-TYPE BIFACIAL DAH SOLAR DHN-72X16/DG 
 1 x INVERSOR SOLIS 75KW 380V 75K-5G-PRO COM MONITORAMENTO 
 350 x CABO FOTOVOLTAICO 4MM² PRETO 
 350 x CABO FOTOVOLTAICO 4MM² VERMELHO 
 24 x CONECTOR MC4 PAR EMBALADO 
 ESTRUTURA FIBROCIMENTO MADEIRA</t>
  </si>
  <si>
    <t>154 x MODULO FV 570WP N-TYPE BIFACIAL DUAL GLASS DAS-DH144NA 
 1 x INVERSOR SOLIS 75KW 380V 75K-5G-PRO COM MONITORAMENTO 
 350 x CABO FOTOVOLTAICO 4MM² PRETO 
 350 x CABO FOTOVOLTAICO 4MM² VERMELHO 
 24 x CONECTOR MC4 PAR EMBALADO 
 ESTRUTURA FIBROCIMENTO MADEIRA</t>
  </si>
  <si>
    <t>154 x MODULO FV 570WP N-TYPE BIFACIAL DAH SOLAR DHN-72X16/DG 
 1 x INVERSOR SUNGROW SG75CX-P2 AFCI 380V COM MONITORAMENTO 
 350 x CABO FOTOVOLTAICO 4MM² PRETO 
 350 x CABO FOTOVOLTAICO 4MM² VERMELHO 
 20 x CONECTOR MC4 PAR EMBALADO 
 ESTRUTURA FIBROCIMENTO MADEIRA</t>
  </si>
  <si>
    <t>154 x MODULO FV 570WP N-TYPE BIFACIAL DUAL GLASS DAS-DH144NA 
 1 x INVERSOR SUNGROW SG75CX-P2 AFCI 380V COM MONITORAMENTO 
 350 x CABO FOTOVOLTAICO 4MM² PRETO 
 350 x CABO FOTOVOLTAICO 4MM² VERMELHO 
 20 x CONECTOR MC4 PAR EMBALADO 
 ESTRUTURA FIBROCIMENTO MADEIRA</t>
  </si>
  <si>
    <t>154 x MODULO FV 570WP N-TYPE BIFACIAL DAH SOLAR DHN-72X16/DG 
 39 x HMS-2000-4T - MICRO HOYMILES 2000W DTU EXTERNA 
 4 x CABO FOTOVOLTAICO 4MM² PRETO 
 156 x CABO FOTOVOLTAICO 4MM² VERMELHO 
 312 x CONECTOR MC4 PAR EMBALADO 
 ESTRUTURA FIBROCIMENTO MADEIRA 
 39 x AC TRUNK CONNECTOR - CONECTOR CA HOYMILES 
 13 x AC TRUNK END CAP - TERMINAL ENDCAP HOYMILES 
 1 x AC TRUNK CONNECTOR UNLOCK TOOL - CHAVE DESBLOQUEIO CONECTOR CA 
 1 x HMS DISCONNECT TOOL-1PCS - CHAVE DESCONEXAO MICROINVERSOR 
 78 x CABO CA MULTIPOLAR 10AWG 
 2 x DTU-LITE-S(WIFI) - MONIT DTU-LITE S (ATÉ 25 MICROS)</t>
  </si>
  <si>
    <t>154 x MODULO FV 570WP N-TYPE BIFACIAL DUAL GLASS DAS-DH144NA 
 39 x HMS-2000-4T - MICRO HOYMILES 2000W DTU EXTERNA 
 4 x CABO FOTOVOLTAICO 4MM² PRETO 
 156 x CABO FOTOVOLTAICO 4MM² VERMELHO 
 312 x CONECTOR MC4 PAR EMBALADO 
 ESTRUTURA FIBROCIMENTO MADEIRA 
 39 x AC TRUNK CONNECTOR - CONECTOR CA HOYMILES 
 13 x AC TRUNK END CAP - TERMINAL ENDCAP HOYMILES 
 1 x AC TRUNK CONNECTOR UNLOCK TOOL - CHAVE DESBLOQUEIO CONECTOR CA 
 1 x HMS DISCONNECT TOOL-1PCS - CHAVE DESCONEXAO MICROINVERSOR 
 78 x CABO CA MULTIPOLAR 10AWG 
 2 x DTU-LITE-S(WIFI) - MONIT DTU-LITE S (ATÉ 25 MICROS)</t>
  </si>
  <si>
    <t>124 x MODULO FV 710WP BIFACIAL DUAL-GLASS TRINA TSM-NEG21C.20 
 31 x HMS-2000-4T - MICRO HOYMILES 2000W DTU EXTERNA 
 4 x CABO FOTOVOLTAICO 4MM² PRETO 
 124 x CABO FOTOVOLTAICO 4MM² VERMELHO 
 248 x CONECTOR MC4 PAR TRINA 
 ESTRUTURA FIBROCIMENTO MADEIRA 
 31 x AC TRUNK CONNECTOR - CONECTOR CA HOYMILES 
 11 x AC TRUNK END CAP - TERMINAL ENDCAP HOYMILES 
 1 x AC TRUNK CONNECTOR UNLOCK TOOL - CHAVE DESBLOQUEIO CONECTOR CA 
 1 x HMS DISCONNECT TOOL-1PCS - CHAVE DESCONEXAO MICROINVERSOR 
 60 x CABO CA MULTIPOLAR 10AWG 
 2 x DTU-LITE-S(WIFI) - MONIT DTU-LITE S (ATÉ 25 MICROS)</t>
  </si>
  <si>
    <t>155 x MODULO FV 570WP N-TYPE BIFACIAL DAH SOLAR DHN-72X16/DG 
 1 x INVERSOR SUNGROW SG75CX-P2 AFCI 380V COM MONITORAMENTO 
 350 x CABO FOTOVOLTAICO 4MM² PRETO 
 350 x CABO FOTOVOLTAICO 4MM² VERMELHO 
 20 x CONECTOR MC4 PAR EMBALADO 
 ESTRUTURA FIBROCIMENTO MADEIRA</t>
  </si>
  <si>
    <t>155 x MODULO FV 570WP N-TYPE BIFACIAL DUAL GLASS DAS-DH144NA 
 1 x INVERSOR SUNGROW SG75CX-P2 AFCI 380V COM MONITORAMENTO 
 350 x CABO FOTOVOLTAICO 4MM² PRETO 
 350 x CABO FOTOVOLTAICO 4MM² VERMELHO 
 20 x CONECTOR MC4 PAR EMBALADO 
 ESTRUTURA FIBROCIMENTO MADEIRA</t>
  </si>
  <si>
    <t>155 x MODULO FV 570WP N-TYPE BIFACIAL DAH SOLAR DHN-72X16/DG 
 1 x INVERSOR SOLIS 75KW 220V 75K-LV-5G-PRO COM MONITORAMENTO 
 350 x CABO FOTOVOLTAICO 4MM² PRETO 
 350 x CABO FOTOVOLTAICO 4MM² VERMELHO 
 32 x CONECTOR MC4 PAR EMBALADO 
 ESTRUTURA FIBROCIMENTO MADEIRA</t>
  </si>
  <si>
    <t>155 x MODULO FV 570WP N-TYPE BIFACIAL DUAL GLASS DAS-DH144NA 
 1 x INVERSOR SOLIS 75KW 220V 75K-LV-5G-PRO COM MONITORAMENTO 
 350 x CABO FOTOVOLTAICO 4MM² PRETO 
 350 x CABO FOTOVOLTAICO 4MM² VERMELHO 
 32 x CONECTOR MC4 PAR EMBALADO 
 ESTRUTURA FIBROCIMENTO MADEIRA</t>
  </si>
  <si>
    <t>155 x MODULO FV 570WP N-TYPE BIFACIAL DAH SOLAR DHN-72X16/DG 
 39 x HMS-2000-4T - MICRO HOYMILES 2000W DTU EXTERNA 
 4 x CABO FOTOVOLTAICO 4MM² PRETO 
 156 x CABO FOTOVOLTAICO 4MM² VERMELHO 
 312 x CONECTOR MC4 PAR EMBALADO 
 ESTRUTURA FIBROCIMENTO MADEIRA 
 39 x AC TRUNK CONNECTOR - CONECTOR CA HOYMILES 
 13 x AC TRUNK END CAP - TERMINAL ENDCAP HOYMILES 
 1 x AC TRUNK CONNECTOR UNLOCK TOOL - CHAVE DESBLOQUEIO CONECTOR CA 
 1 x HMS DISCONNECT TOOL-1PCS - CHAVE DESCONEXAO MICROINVERSOR 
 78 x CABO CA MULTIPOLAR 10AWG 
 2 x DTU-LITE-S(WIFI) - MONIT DTU-LITE S (ATÉ 25 MICROS)</t>
  </si>
  <si>
    <t>155 x MODULO FV 570WP N-TYPE BIFACIAL DUAL GLASS DAS-DH144NA 
 39 x HMS-2000-4T - MICRO HOYMILES 2000W DTU EXTERNA 
 4 x CABO FOTOVOLTAICO 4MM² PRETO 
 156 x CABO FOTOVOLTAICO 4MM² VERMELHO 
 312 x CONECTOR MC4 PAR EMBALADO 
 ESTRUTURA FIBROCIMENTO MADEIRA 
 39 x AC TRUNK CONNECTOR - CONECTOR CA HOYMILES 
 13 x AC TRUNK END CAP - TERMINAL ENDCAP HOYMILES 
 1 x AC TRUNK CONNECTOR UNLOCK TOOL - CHAVE DESBLOQUEIO CONECTOR CA 
 1 x HMS DISCONNECT TOOL-1PCS - CHAVE DESCONEXAO MICROINVERSOR 
 78 x CABO CA MULTIPOLAR 10AWG 
 2 x DTU-LITE-S(WIFI) - MONIT DTU-LITE S (ATÉ 25 MICROS)</t>
  </si>
  <si>
    <t>125 x MODULO FV 710WP BIFACIAL DUAL-GLASS TRINA TSM-NEG21C.20 
 32 x HMS-2000-4T - MICRO HOYMILES 2000W DTU EXTERNA 
 4 x CABO FOTOVOLTAICO 4MM² PRETO 
 128 x CABO FOTOVOLTAICO 4MM² VERMELHO 
 256 x CONECTOR MC4 PAR TRINA 
 ESTRUTURA FIBROCIMENTO MADEIRA 
 32 x AC TRUNK CONNECTOR - CONECTOR CA HOYMILES 
 11 x AC TRUNK END CAP - TERMINAL ENDCAP HOYMILES 
 1 x AC TRUNK CONNECTOR UNLOCK TOOL - CHAVE DESBLOQUEIO CONECTOR CA 
 1 x HMS DISCONNECT TOOL-1PCS - CHAVE DESCONEXAO MICROINVERSOR 
 63 x CABO CA MULTIPOLAR 10AWG 
 2 x DTU-LITE-S(WIFI) - MONIT DTU-LITE S (ATÉ 25 MICROS)</t>
  </si>
  <si>
    <t>156 x MODULO FV 570WP N-TYPE BIFACIAL DAH SOLAR DHN-72X16/DG 
 1 x INVERSOR SOLIS 75KW 380V 75K-5G-PRO COM MONITORAMENTO 
 350 x CABO FOTOVOLTAICO 4MM² PRETO 
 350 x CABO FOTOVOLTAICO 4MM² VERMELHO 
 24 x CONECTOR MC4 PAR EMBALADO 
 ESTRUTURA FIBROCIMENTO MADEIRA</t>
  </si>
  <si>
    <t>156 x MODULO FV 570WP N-TYPE BIFACIAL DUAL GLASS DAS-DH144NA 
 1 x INVERSOR SOLIS 75KW 380V 75K-5G-PRO COM MONITORAMENTO 
 350 x CABO FOTOVOLTAICO 4MM² PRETO 
 350 x CABO FOTOVOLTAICO 4MM² VERMELHO 
 24 x CONECTOR MC4 PAR EMBALADO 
 ESTRUTURA FIBROCIMENTO MADEIRA</t>
  </si>
  <si>
    <t>156 x MODULO FV 570WP N-TYPE BIFACIAL DAH SOLAR DHN-72X16/DG 
 1 x INVERSOR SOLIS 75KW 220V 75K-LV-5G-PRO COM MONITORAMENTO 
 350 x CABO FOTOVOLTAICO 4MM² PRETO 
 350 x CABO FOTOVOLTAICO 4MM² VERMELHO 
 32 x CONECTOR MC4 PAR EMBALADO 
 ESTRUTURA FIBROCIMENTO MADEIRA</t>
  </si>
  <si>
    <t>156 x MODULO FV 570WP N-TYPE BIFACIAL DUAL GLASS DAS-DH144NA 
 1 x INVERSOR SOLIS 75KW 220V 75K-LV-5G-PRO COM MONITORAMENTO 
 350 x CABO FOTOVOLTAICO 4MM² PRETO 
 350 x CABO FOTOVOLTAICO 4MM² VERMELHO 
 32 x CONECTOR MC4 PAR EMBALADO 
 ESTRUTURA FIBROCIMENTO MADEIRA</t>
  </si>
  <si>
    <t>156 x MODULO FV 570WP N-TYPE BIFACIAL DAH SOLAR DHN-72X16/DG 
 39 x HMS-2000-4T - MICRO HOYMILES 2000W DTU EXTERNA 
 4 x CABO FOTOVOLTAICO 4MM² PRETO 
 156 x CABO FOTOVOLTAICO 4MM² VERMELHO 
 312 x CONECTOR MC4 PAR EMBALADO 
 ESTRUTURA FIBROCIMENTO MADEIRA 
 39 x AC TRUNK CONNECTOR - CONECTOR CA HOYMILES 
 13 x AC TRUNK END CAP - TERMINAL ENDCAP HOYMILES 
 1 x AC TRUNK CONNECTOR UNLOCK TOOL - CHAVE DESBLOQUEIO CONECTOR CA 
 1 x HMS DISCONNECT TOOL-1PCS - CHAVE DESCONEXAO MICROINVERSOR 
 78 x CABO CA MULTIPOLAR 10AWG 
 2 x DTU-LITE-S(WIFI) - MONIT DTU-LITE S (ATÉ 25 MICROS)</t>
  </si>
  <si>
    <t>156 x MODULO FV 570WP N-TYPE BIFACIAL DUAL GLASS DAS-DH144NA 
 39 x HMS-2000-4T - MICRO HOYMILES 2000W DTU EXTERNA 
 4 x CABO FOTOVOLTAICO 4MM² PRETO 
 156 x CABO FOTOVOLTAICO 4MM² VERMELHO 
 312 x CONECTOR MC4 PAR EMBALADO 
 ESTRUTURA FIBROCIMENTO MADEIRA 
 39 x AC TRUNK CONNECTOR - CONECTOR CA HOYMILES 
 13 x AC TRUNK END CAP - TERMINAL ENDCAP HOYMILES 
 1 x AC TRUNK CONNECTOR UNLOCK TOOL - CHAVE DESBLOQUEIO CONECTOR CA 
 1 x HMS DISCONNECT TOOL-1PCS - CHAVE DESCONEXAO MICROINVERSOR 
 78 x CABO CA MULTIPOLAR 10AWG 
 2 x DTU-LITE-S(WIFI) - MONIT DTU-LITE S (ATÉ 25 MICROS)</t>
  </si>
  <si>
    <t>126 x MODULO FV 710WP BIFACIAL DUAL-GLASS TRINA TSM-NEG21C.20 
 32 x HMS-2000-4T - MICRO HOYMILES 2000W DTU EXTERNA 
 4 x CABO FOTOVOLTAICO 4MM² PRETO 
 128 x CABO FOTOVOLTAICO 4MM² VERMELHO 
 256 x CONECTOR MC4 PAR TRINA 
 ESTRUTURA FIBROCIMENTO MADEIRA 
 32 x AC TRUNK CONNECTOR - CONECTOR CA HOYMILES 
 11 x AC TRUNK END CAP - TERMINAL ENDCAP HOYMILES 
 1 x AC TRUNK CONNECTOR UNLOCK TOOL - CHAVE DESBLOQUEIO CONECTOR CA 
 1 x HMS DISCONNECT TOOL-1PCS - CHAVE DESCONEXAO MICROINVERSOR 
 63 x CABO CA MULTIPOLAR 10AWG 
 2 x DTU-LITE-S(WIFI) - MONIT DTU-LITE S (ATÉ 25 MICROS)</t>
  </si>
  <si>
    <t>157 x MODULO FV 570WP N-TYPE BIFACIAL DAH SOLAR DHN-72X16/DG 
 1 x INVERSOR SOLIS 75KW 380V 75K-5G-PRO COM MONITORAMENTO 
 350 x CABO FOTOVOLTAICO 4MM² PRETO 
 350 x CABO FOTOVOLTAICO 4MM² VERMELHO 
 24 x CONECTOR MC4 PAR EMBALADO 
 ESTRUTURA FIBROCIMENTO MADEIRA</t>
  </si>
  <si>
    <t>157 x MODULO FV 570WP N-TYPE BIFACIAL DUAL GLASS DAS-DH144NA 
 1 x INVERSOR SOLIS 75KW 380V 75K-5G-PRO COM MONITORAMENTO 
 350 x CABO FOTOVOLTAICO 4MM² PRETO 
 350 x CABO FOTOVOLTAICO 4MM² VERMELHO 
 24 x CONECTOR MC4 PAR EMBALADO 
 ESTRUTURA FIBROCIMENTO MADEIRA</t>
  </si>
  <si>
    <t>157 x MODULO FV 570WP N-TYPE BIFACIAL DAH SOLAR DHN-72X16/DG 
 1 x INVERSOR SUNGROW SG75CX-P2 AFCI 380V COM MONITORAMENTO 
 350 x CABO FOTOVOLTAICO 4MM² PRETO 
 350 x CABO FOTOVOLTAICO 4MM² VERMELHO 
 20 x CONECTOR MC4 PAR EMBALADO 
 ESTRUTURA FIBROCIMENTO MADEIRA</t>
  </si>
  <si>
    <t>157 x MODULO FV 570WP N-TYPE BIFACIAL DUAL GLASS DAS-DH144NA 
 1 x INVERSOR SUNGROW SG75CX-P2 AFCI 380V COM MONITORAMENTO 
 350 x CABO FOTOVOLTAICO 4MM² PRETO 
 350 x CABO FOTOVOLTAICO 4MM² VERMELHO 
 20 x CONECTOR MC4 PAR EMBALADO 
 ESTRUTURA FIBROCIMENTO MADEIRA</t>
  </si>
  <si>
    <t>157 x MODULO FV 570WP N-TYPE BIFACIAL DAH SOLAR DHN-72X16/DG 
 40 x HMS-2000-4T - MICRO HOYMILES 2000W DTU EXTERNA 
 4 x CABO FOTOVOLTAICO 4MM² PRETO 
 160 x CABO FOTOVOLTAICO 4MM² VERMELHO 
 320 x CONECTOR MC4 PAR EMBALADO 
 ESTRUTURA FIBROCIMENTO MADEIRA 
 40 x AC TRUNK CONNECTOR - CONECTOR CA HOYMILES 
 14 x AC TRUNK END CAP - TERMINAL ENDCAP HOYMILES 
 1 x AC TRUNK CONNECTOR UNLOCK TOOL - CHAVE DESBLOQUEIO CONECTOR CA 
 1 x HMS DISCONNECT TOOL-1PCS - CHAVE DESCONEXAO MICROINVERSOR 
 78 x CABO CA MULTIPOLAR 10AWG 
 2 x DTU-LITE-S(WIFI) - MONIT DTU-LITE S (ATÉ 25 MICROS)</t>
  </si>
  <si>
    <t>157 x MODULO FV 570WP N-TYPE BIFACIAL DUAL GLASS DAS-DH144NA 
 40 x HMS-2000-4T - MICRO HOYMILES 2000W DTU EXTERNA 
 4 x CABO FOTOVOLTAICO 4MM² PRETO 
 160 x CABO FOTOVOLTAICO 4MM² VERMELHO 
 320 x CONECTOR MC4 PAR EMBALADO 
 ESTRUTURA FIBROCIMENTO MADEIRA 
 40 x AC TRUNK CONNECTOR - CONECTOR CA HOYMILES 
 14 x AC TRUNK END CAP - TERMINAL ENDCAP HOYMILES 
 1 x AC TRUNK CONNECTOR UNLOCK TOOL - CHAVE DESBLOQUEIO CONECTOR CA 
 1 x HMS DISCONNECT TOOL-1PCS - CHAVE DESCONEXAO MICROINVERSOR 
 78 x CABO CA MULTIPOLAR 10AWG 
 2 x DTU-LITE-S(WIFI) - MONIT DTU-LITE S (ATÉ 25 MICROS)</t>
  </si>
  <si>
    <t>158 x MODULO FV 570WP N-TYPE BIFACIAL DAH SOLAR DHN-72X16/DG 
 1 x INVERSOR SUNGROW SG75CX-P2 AFCI 380V COM MONITORAMENTO 
 350 x CABO FOTOVOLTAICO 4MM² PRETO 
 350 x CABO FOTOVOLTAICO 4MM² VERMELHO 
 20 x CONECTOR MC4 PAR EMBALADO 
 ESTRUTURA FIBROCIMENTO MADEIRA</t>
  </si>
  <si>
    <t>158 x MODULO FV 570WP N-TYPE BIFACIAL DUAL GLASS DAS-DH144NA 
 1 x INVERSOR SUNGROW SG75CX-P2 AFCI 380V COM MONITORAMENTO 
 350 x CABO FOTOVOLTAICO 4MM² PRETO 
 350 x CABO FOTOVOLTAICO 4MM² VERMELHO 
 20 x CONECTOR MC4 PAR EMBALADO 
 ESTRUTURA FIBROCIMENTO MADEIRA</t>
  </si>
  <si>
    <t>158 x MODULO FV 570WP N-TYPE BIFACIAL DAH SOLAR DHN-72X16/DG 
 1 x INVERSOR SOLIS 75KW 220V 75K-LV-5G-PRO COM MONITORAMENTO 
 350 x CABO FOTOVOLTAICO 4MM² PRETO 
 350 x CABO FOTOVOLTAICO 4MM² VERMELHO 
 32 x CONECTOR MC4 PAR EMBALADO 
 ESTRUTURA FIBROCIMENTO MADEIRA</t>
  </si>
  <si>
    <t>158 x MODULO FV 570WP N-TYPE BIFACIAL DUAL GLASS DAS-DH144NA 
 1 x INVERSOR SOLIS 75KW 220V 75K-LV-5G-PRO COM MONITORAMENTO 
 350 x CABO FOTOVOLTAICO 4MM² PRETO 
 350 x CABO FOTOVOLTAICO 4MM² VERMELHO 
 32 x CONECTOR MC4 PAR EMBALADO 
 ESTRUTURA FIBROCIMENTO MADEIRA</t>
  </si>
  <si>
    <t>158 x MODULO FV 570WP N-TYPE BIFACIAL DAH SOLAR DHN-72X16/DG 
 40 x HMS-2000-4T - MICRO HOYMILES 2000W DTU EXTERNA 
 4 x CABO FOTOVOLTAICO 4MM² PRETO 
 160 x CABO FOTOVOLTAICO 4MM² VERMELHO 
 320 x CONECTOR MC4 PAR EMBALADO 
 ESTRUTURA FIBROCIMENTO MADEIRA 
 40 x AC TRUNK CONNECTOR - CONECTOR CA HOYMILES 
 14 x AC TRUNK END CAP - TERMINAL ENDCAP HOYMILES 
 1 x AC TRUNK CONNECTOR UNLOCK TOOL - CHAVE DESBLOQUEIO CONECTOR CA 
 1 x HMS DISCONNECT TOOL-1PCS - CHAVE DESCONEXAO MICROINVERSOR 
 78 x CABO CA MULTIPOLAR 10AWG 
 2 x DTU-LITE-S(WIFI) - MONIT DTU-LITE S (ATÉ 25 MICROS)</t>
  </si>
  <si>
    <t>158 x MODULO FV 570WP N-TYPE BIFACIAL DUAL GLASS DAS-DH144NA 
 40 x HMS-2000-4T - MICRO HOYMILES 2000W DTU EXTERNA 
 4 x CABO FOTOVOLTAICO 4MM² PRETO 
 160 x CABO FOTOVOLTAICO 4MM² VERMELHO 
 320 x CONECTOR MC4 PAR EMBALADO 
 ESTRUTURA FIBROCIMENTO MADEIRA 
 40 x AC TRUNK CONNECTOR - CONECTOR CA HOYMILES 
 14 x AC TRUNK END CAP - TERMINAL ENDCAP HOYMILES 
 1 x AC TRUNK CONNECTOR UNLOCK TOOL - CHAVE DESBLOQUEIO CONECTOR CA 
 1 x HMS DISCONNECT TOOL-1PCS - CHAVE DESCONEXAO MICROINVERSOR 
 78 x CABO CA MULTIPOLAR 10AWG 
 2 x DTU-LITE-S(WIFI) - MONIT DTU-LITE S (ATÉ 25 MICROS)</t>
  </si>
  <si>
    <t>127 x MODULO FV 710WP BIFACIAL DUAL-GLASS TRINA TSM-NEG21C.20 
 32 x HMS-2000-4T - MICRO HOYMILES 2000W DTU EXTERNA 
 4 x CABO FOTOVOLTAICO 4MM² PRETO 
 128 x CABO FOTOVOLTAICO 4MM² VERMELHO 
 256 x CONECTOR MC4 PAR TRINA 
 ESTRUTURA FIBROCIMENTO MADEIRA 
 32 x AC TRUNK CONNECTOR - CONECTOR CA HOYMILES 
 11 x AC TRUNK END CAP - TERMINAL ENDCAP HOYMILES 
 1 x AC TRUNK CONNECTOR UNLOCK TOOL - CHAVE DESBLOQUEIO CONECTOR CA 
 1 x HMS DISCONNECT TOOL-1PCS - CHAVE DESCONEXAO MICROINVERSOR 
 63 x CABO CA MULTIPOLAR 10AWG 
 2 x DTU-LITE-S(WIFI) - MONIT DTU-LITE S (ATÉ 25 MICROS)</t>
  </si>
  <si>
    <t>159 x MODULO FV 570WP N-TYPE BIFACIAL DAH SOLAR DHN-72X16/DG 
 1 x INVERSOR SOLIS 75KW 380V 75K-5G-PRO COM MONITORAMENTO 
 350 x CABO FOTOVOLTAICO 4MM² PRETO 
 350 x CABO FOTOVOLTAICO 4MM² VERMELHO 
 24 x CONECTOR MC4 PAR EMBALADO 
 ESTRUTURA FIBROCIMENTO MADEIRA</t>
  </si>
  <si>
    <t>159 x MODULO FV 570WP N-TYPE BIFACIAL DUAL GLASS DAS-DH144NA 
 1 x INVERSOR SOLIS 75KW 380V 75K-5G-PRO COM MONITORAMENTO 
 350 x CABO FOTOVOLTAICO 4MM² PRETO 
 350 x CABO FOTOVOLTAICO 4MM² VERMELHO 
 24 x CONECTOR MC4 PAR EMBALADO 
 ESTRUTURA FIBROCIMENTO MADEIRA</t>
  </si>
  <si>
    <t>159 x MODULO FV 570WP N-TYPE BIFACIAL DAH SOLAR DHN-72X16/DG 
 1 x INVERSOR SOLIS 75KW 220V 75K-LV-5G-PRO COM MONITORAMENTO 
 350 x CABO FOTOVOLTAICO 4MM² PRETO 
 350 x CABO FOTOVOLTAICO 4MM² VERMELHO 
 32 x CONECTOR MC4 PAR EMBALADO 
 ESTRUTURA FIBROCIMENTO MADEIRA</t>
  </si>
  <si>
    <t>159 x MODULO FV 570WP N-TYPE BIFACIAL DUAL GLASS DAS-DH144NA 
 1 x INVERSOR SOLIS 75KW 220V 75K-LV-5G-PRO COM MONITORAMENTO 
 350 x CABO FOTOVOLTAICO 4MM² PRETO 
 350 x CABO FOTOVOLTAICO 4MM² VERMELHO 
 32 x CONECTOR MC4 PAR EMBALADO 
 ESTRUTURA FIBROCIMENTO MADEIRA</t>
  </si>
  <si>
    <t>159 x MODULO FV 570WP N-TYPE BIFACIAL DAH SOLAR DHN-72X16/DG 
 40 x HMS-2000-4T - MICRO HOYMILES 2000W DTU EXTERNA 
 4 x CABO FOTOVOLTAICO 4MM² PRETO 
 160 x CABO FOTOVOLTAICO 4MM² VERMELHO 
 320 x CONECTOR MC4 PAR EMBALADO 
 ESTRUTURA FIBROCIMENTO MADEIRA 
 40 x AC TRUNK CONNECTOR - CONECTOR CA HOYMILES 
 14 x AC TRUNK END CAP - TERMINAL ENDCAP HOYMILES 
 1 x AC TRUNK CONNECTOR UNLOCK TOOL - CHAVE DESBLOQUEIO CONECTOR CA 
 1 x HMS DISCONNECT TOOL-1PCS - CHAVE DESCONEXAO MICROINVERSOR 
 78 x CABO CA MULTIPOLAR 10AWG 
 2 x DTU-LITE-S(WIFI) - MONIT DTU-LITE S (ATÉ 25 MICROS)</t>
  </si>
  <si>
    <t>159 x MODULO FV 570WP N-TYPE BIFACIAL DUAL GLASS DAS-DH144NA 
 40 x HMS-2000-4T - MICRO HOYMILES 2000W DTU EXTERNA 
 4 x CABO FOTOVOLTAICO 4MM² PRETO 
 160 x CABO FOTOVOLTAICO 4MM² VERMELHO 
 320 x CONECTOR MC4 PAR EMBALADO 
 ESTRUTURA FIBROCIMENTO MADEIRA 
 40 x AC TRUNK CONNECTOR - CONECTOR CA HOYMILES 
 14 x AC TRUNK END CAP - TERMINAL ENDCAP HOYMILES 
 1 x AC TRUNK CONNECTOR UNLOCK TOOL - CHAVE DESBLOQUEIO CONECTOR CA 
 1 x HMS DISCONNECT TOOL-1PCS - CHAVE DESCONEXAO MICROINVERSOR 
 78 x CABO CA MULTIPOLAR 10AWG 
 2 x DTU-LITE-S(WIFI) - MONIT DTU-LITE S (ATÉ 25 MICROS)</t>
  </si>
  <si>
    <t>128 x MODULO FV 710WP BIFACIAL DUAL-GLASS TRINA TSM-NEG21C.20 
 32 x HMS-2000-4T - MICRO HOYMILES 2000W DTU EXTERNA 
 4 x CABO FOTOVOLTAICO 4MM² PRETO 
 128 x CABO FOTOVOLTAICO 4MM² VERMELHO 
 256 x CONECTOR MC4 PAR TRINA 
 ESTRUTURA FIBROCIMENTO MADEIRA 
 32 x AC TRUNK CONNECTOR - CONECTOR CA HOYMILES 
 11 x AC TRUNK END CAP - TERMINAL ENDCAP HOYMILES 
 1 x AC TRUNK CONNECTOR UNLOCK TOOL - CHAVE DESBLOQUEIO CONECTOR CA 
 1 x HMS DISCONNECT TOOL-1PCS - CHAVE DESCONEXAO MICROINVERSOR 
 63 x CABO CA MULTIPOLAR 10AWG 
 2 x DTU-LITE-S(WIFI) - MONIT DTU-LITE S (ATÉ 25 MICROS)</t>
  </si>
  <si>
    <t>160 x MODULO FV 570WP N-TYPE BIFACIAL DAH SOLAR DHN-72X16/DG 
 1 x INVERSOR SOLIS 75KW 380V 75K-5G-PRO COM MONITORAMENTO 
 350 x CABO FOTOVOLTAICO 4MM² PRETO 
 350 x CABO FOTOVOLTAICO 4MM² VERMELHO 
 24 x CONECTOR MC4 PAR EMBALADO 
 ESTRUTURA FIBROCIMENTO MADEIRA</t>
  </si>
  <si>
    <t>160 x MODULO FV 570WP N-TYPE BIFACIAL DUAL GLASS DAS-DH144NA 
 1 x INVERSOR SOLIS 75KW 380V 75K-5G-PRO COM MONITORAMENTO 
 350 x CABO FOTOVOLTAICO 4MM² PRETO 
 350 x CABO FOTOVOLTAICO 4MM² VERMELHO 
 24 x CONECTOR MC4 PAR EMBALADO 
 ESTRUTURA FIBROCIMENTO MADEIRA</t>
  </si>
  <si>
    <t>160 x MODULO FV 570WP N-TYPE BIFACIAL DAH SOLAR DHN-72X16/DG 
 1 x INVERSOR SUNGROW SG75CX-P2 AFCI 380V COM MONITORAMENTO 
 350 x CABO FOTOVOLTAICO 4MM² PRETO 
 350 x CABO FOTOVOLTAICO 4MM² VERMELHO 
 20 x CONECTOR MC4 PAR EMBALADO 
 ESTRUTURA FIBROCIMENTO MADEIRA</t>
  </si>
  <si>
    <t>160 x MODULO FV 570WP N-TYPE BIFACIAL DUAL GLASS DAS-DH144NA 
 1 x INVERSOR SUNGROW SG75CX-P2 AFCI 380V COM MONITORAMENTO 
 350 x CABO FOTOVOLTAICO 4MM² PRETO 
 350 x CABO FOTOVOLTAICO 4MM² VERMELHO 
 20 x CONECTOR MC4 PAR EMBALADO 
 ESTRUTURA FIBROCIMENTO MADEIRA</t>
  </si>
  <si>
    <t>160 x MODULO FV 570WP N-TYPE BIFACIAL DAH SOLAR DHN-72X16/DG 
 40 x HMS-2000-4T - MICRO HOYMILES 2000W DTU EXTERNA 
 4 x CABO FOTOVOLTAICO 4MM² PRETO 
 160 x CABO FOTOVOLTAICO 4MM² VERMELHO 
 320 x CONECTOR MC4 PAR EMBALADO 
 ESTRUTURA FIBROCIMENTO MADEIRA 
 40 x AC TRUNK CONNECTOR - CONECTOR CA HOYMILES 
 14 x AC TRUNK END CAP - TERMINAL ENDCAP HOYMILES 
 1 x AC TRUNK CONNECTOR UNLOCK TOOL - CHAVE DESBLOQUEIO CONECTOR CA 
 1 x HMS DISCONNECT TOOL-1PCS - CHAVE DESCONEXAO MICROINVERSOR 
 78 x CABO CA MULTIPOLAR 10AWG 
 2 x DTU-LITE-S(WIFI) - MONIT DTU-LITE S (ATÉ 25 MICROS)</t>
  </si>
  <si>
    <t>160 x MODULO FV 570WP N-TYPE BIFACIAL DUAL GLASS DAS-DH144NA 
 40 x HMS-2000-4T - MICRO HOYMILES 2000W DTU EXTERNA 
 4 x CABO FOTOVOLTAICO 4MM² PRETO 
 160 x CABO FOTOVOLTAICO 4MM² VERMELHO 
 320 x CONECTOR MC4 PAR EMBALADO 
 ESTRUTURA FIBROCIMENTO MADEIRA 
 40 x AC TRUNK CONNECTOR - CONECTOR CA HOYMILES 
 14 x AC TRUNK END CAP - TERMINAL ENDCAP HOYMILES 
 1 x AC TRUNK CONNECTOR UNLOCK TOOL - CHAVE DESBLOQUEIO CONECTOR CA 
 1 x HMS DISCONNECT TOOL-1PCS - CHAVE DESCONEXAO MICROINVERSOR 
 78 x CABO CA MULTIPOLAR 10AWG 
 2 x DTU-LITE-S(WIFI) - MONIT DTU-LITE S (ATÉ 25 MICROS)</t>
  </si>
  <si>
    <t>129 x MODULO FV 710WP BIFACIAL DUAL-GLASS TRINA TSM-NEG21C.20 
 33 x HMS-2000-4T - MICRO HOYMILES 2000W DTU EXTERNA 
 4 x CABO FOTOVOLTAICO 4MM² PRETO 
 132 x CABO FOTOVOLTAICO 4MM² VERMELHO 
 264 x CONECTOR MC4 PAR TRINA 
 ESTRUTURA FIBROCIMENTO MADEIRA 
 33 x AC TRUNK CONNECTOR - CONECTOR CA HOYMILES 
 11 x AC TRUNK END CAP - TERMINAL ENDCAP HOYMILES 
 1 x AC TRUNK CONNECTOR UNLOCK TOOL - CHAVE DESBLOQUEIO CONECTOR CA 
 1 x HMS DISCONNECT TOOL-1PCS - CHAVE DESCONEXAO MICROINVERSOR 
 66 x CABO CA MULTIPOLAR 10AWG 
 2 x DTU-LITE-S(WIFI) - MONIT DTU-LITE S (ATÉ 25 MICROS)</t>
  </si>
  <si>
    <t>161 x MODULO FV 570WP N-TYPE BIFACIAL DAH SOLAR DHN-72X16/DG 
 1 x INVERSOR SUNGROW SG75CX-P2 AFCI 380V COM MONITORAMENTO 
 350 x CABO FOTOVOLTAICO 4MM² PRETO 
 350 x CABO FOTOVOLTAICO 4MM² VERMELHO 
 20 x CONECTOR MC4 PAR EMBALADO 
 ESTRUTURA FIBROCIMENTO MADEIRA</t>
  </si>
  <si>
    <t>161 x MODULO FV 570WP N-TYPE BIFACIAL DUAL GLASS DAS-DH144NA 
 1 x INVERSOR SUNGROW SG75CX-P2 AFCI 380V COM MONITORAMENTO 
 350 x CABO FOTOVOLTAICO 4MM² PRETO 
 350 x CABO FOTOVOLTAICO 4MM² VERMELHO 
 20 x CONECTOR MC4 PAR EMBALADO 
 ESTRUTURA FIBROCIMENTO MADEIRA</t>
  </si>
  <si>
    <t>161 x MODULO FV 570WP N-TYPE BIFACIAL DAH SOLAR DHN-72X16/DG 
 1 x INVERSOR SOLIS 75KW 220V 75K-LV-5G-PRO COM MONITORAMENTO 
 350 x CABO FOTOVOLTAICO 4MM² PRETO 
 350 x CABO FOTOVOLTAICO 4MM² VERMELHO 
 32 x CONECTOR MC4 PAR EMBALADO 
 ESTRUTURA FIBROCIMENTO MADEIRA</t>
  </si>
  <si>
    <t>161 x MODULO FV 570WP N-TYPE BIFACIAL DUAL GLASS DAS-DH144NA 
 1 x INVERSOR SOLIS 75KW 220V 75K-LV-5G-PRO COM MONITORAMENTO 
 350 x CABO FOTOVOLTAICO 4MM² PRETO 
 350 x CABO FOTOVOLTAICO 4MM² VERMELHO 
 32 x CONECTOR MC4 PAR EMBALADO 
 ESTRUTURA FIBROCIMENTO MADEIRA</t>
  </si>
  <si>
    <t>81</t>
  </si>
  <si>
    <t>161 x MODULO FV 570WP N-TYPE BIFACIAL DAH SOLAR DHN-72X16/DG 
 41 x HMS-2000-4T - MICRO HOYMILES 2000W DTU EXTERNA 
 4 x CABO FOTOVOLTAICO 4MM² PRETO 
 164 x CABO FOTOVOLTAICO 4MM² VERMELHO 
 328 x CONECTOR MC4 PAR EMBALADO 
 ESTRUTURA FIBROCIMENTO MADEIRA 
 41 x AC TRUNK CONNECTOR - CONECTOR CA HOYMILES 
 14 x AC TRUNK END CAP - TERMINAL ENDCAP HOYMILES 
 1 x AC TRUNK CONNECTOR UNLOCK TOOL - CHAVE DESBLOQUEIO CONECTOR CA 
 1 x HMS DISCONNECT TOOL-1PCS - CHAVE DESCONEXAO MICROINVERSOR 
 81 x CABO CA MULTIPOLAR 10AWG 
 2 x DTU-LITE-S(WIFI) - MONIT DTU-LITE S (ATÉ 25 MICROS)</t>
  </si>
  <si>
    <t>161 x MODULO FV 570WP N-TYPE BIFACIAL DUAL GLASS DAS-DH144NA 
 41 x HMS-2000-4T - MICRO HOYMILES 2000W DTU EXTERNA 
 4 x CABO FOTOVOLTAICO 4MM² PRETO 
 164 x CABO FOTOVOLTAICO 4MM² VERMELHO 
 328 x CONECTOR MC4 PAR EMBALADO 
 ESTRUTURA FIBROCIMENTO MADEIRA 
 41 x AC TRUNK CONNECTOR - CONECTOR CA HOYMILES 
 14 x AC TRUNK END CAP - TERMINAL ENDCAP HOYMILES 
 1 x AC TRUNK CONNECTOR UNLOCK TOOL - CHAVE DESBLOQUEIO CONECTOR CA 
 1 x HMS DISCONNECT TOOL-1PCS - CHAVE DESCONEXAO MICROINVERSOR 
 81 x CABO CA MULTIPOLAR 10AWG 
 2 x DTU-LITE-S(WIFI) - MONIT DTU-LITE S (ATÉ 25 MICROS)</t>
  </si>
  <si>
    <t>130 x MODULO FV 710WP BIFACIAL DUAL-GLASS TRINA TSM-NEG21C.20 
 33 x HMS-2000-4T - MICRO HOYMILES 2000W DTU EXTERNA 
 4 x CABO FOTOVOLTAICO 4MM² PRETO 
 132 x CABO FOTOVOLTAICO 4MM² VERMELHO 
 264 x CONECTOR MC4 PAR TRINA 
 ESTRUTURA FIBROCIMENTO MADEIRA 
 33 x AC TRUNK CONNECTOR - CONECTOR CA HOYMILES 
 11 x AC TRUNK END CAP - TERMINAL ENDCAP HOYMILES 
 1 x AC TRUNK CONNECTOR UNLOCK TOOL - CHAVE DESBLOQUEIO CONECTOR CA 
 1 x HMS DISCONNECT TOOL-1PCS - CHAVE DESCONEXAO MICROINVERSOR 
 66 x CABO CA MULTIPOLAR 10AWG 
 2 x DTU-LITE-S(WIFI) - MONIT DTU-LITE S (ATÉ 25 MICROS)</t>
  </si>
  <si>
    <t>162 x MODULO FV 570WP N-TYPE BIFACIAL DAH SOLAR DHN-72X16/DG 
 1 x INVERSOR SOLIS 75KW 380V 75K-5G-PRO COM MONITORAMENTO 
 350 x CABO FOTOVOLTAICO 4MM² PRETO 
 350 x CABO FOTOVOLTAICO 4MM² VERMELHO 
 24 x CONECTOR MC4 PAR EMBALADO 
 ESTRUTURA FIBROCIMENTO MADEIRA</t>
  </si>
  <si>
    <t>162 x MODULO FV 570WP N-TYPE BIFACIAL DUAL GLASS DAS-DH144NA 
 1 x INVERSOR SOLIS 75KW 380V 75K-5G-PRO COM MONITORAMENTO 
 350 x CABO FOTOVOLTAICO 4MM² PRETO 
 350 x CABO FOTOVOLTAICO 4MM² VERMELHO 
 24 x CONECTOR MC4 PAR EMBALADO 
 ESTRUTURA FIBROCIMENTO MADEIRA</t>
  </si>
  <si>
    <t>162 x MODULO FV 570WP N-TYPE BIFACIAL DAH SOLAR DHN-72X16/DG 
 1 x INVERSOR SOLIS 75KW 220V 75K-LV-5G-PRO COM MONITORAMENTO 
 350 x CABO FOTOVOLTAICO 4MM² PRETO 
 350 x CABO FOTOVOLTAICO 4MM² VERMELHO 
 32 x CONECTOR MC4 PAR EMBALADO 
 ESTRUTURA FIBROCIMENTO MADEIRA</t>
  </si>
  <si>
    <t>162 x MODULO FV 570WP N-TYPE BIFACIAL DUAL GLASS DAS-DH144NA 
 1 x INVERSOR SOLIS 75KW 220V 75K-LV-5G-PRO COM MONITORAMENTO 
 350 x CABO FOTOVOLTAICO 4MM² PRETO 
 350 x CABO FOTOVOLTAICO 4MM² VERMELHO 
 32 x CONECTOR MC4 PAR EMBALADO 
 ESTRUTURA FIBROCIMENTO MADEIRA</t>
  </si>
  <si>
    <t>162 x MODULO FV 570WP N-TYPE BIFACIAL DAH SOLAR DHN-72X16/DG 
 41 x HMS-2000-4T - MICRO HOYMILES 2000W DTU EXTERNA 
 4 x CABO FOTOVOLTAICO 4MM² PRETO 
 164 x CABO FOTOVOLTAICO 4MM² VERMELHO 
 328 x CONECTOR MC4 PAR EMBALADO 
 ESTRUTURA FIBROCIMENTO MADEIRA 
 41 x AC TRUNK CONNECTOR - CONECTOR CA HOYMILES 
 14 x AC TRUNK END CAP - TERMINAL ENDCAP HOYMILES 
 1 x AC TRUNK CONNECTOR UNLOCK TOOL - CHAVE DESBLOQUEIO CONECTOR CA 
 1 x HMS DISCONNECT TOOL-1PCS - CHAVE DESCONEXAO MICROINVERSOR 
 81 x CABO CA MULTIPOLAR 10AWG 
 2 x DTU-LITE-S(WIFI) - MONIT DTU-LITE S (ATÉ 25 MICROS)</t>
  </si>
  <si>
    <t>162 x MODULO FV 570WP N-TYPE BIFACIAL DUAL GLASS DAS-DH144NA 
 41 x HMS-2000-4T - MICRO HOYMILES 2000W DTU EXTERNA 
 4 x CABO FOTOVOLTAICO 4MM² PRETO 
 164 x CABO FOTOVOLTAICO 4MM² VERMELHO 
 328 x CONECTOR MC4 PAR EMBALADO 
 ESTRUTURA FIBROCIMENTO MADEIRA 
 41 x AC TRUNK CONNECTOR - CONECTOR CA HOYMILES 
 14 x AC TRUNK END CAP - TERMINAL ENDCAP HOYMILES 
 1 x AC TRUNK CONNECTOR UNLOCK TOOL - CHAVE DESBLOQUEIO CONECTOR CA 
 1 x HMS DISCONNECT TOOL-1PCS - CHAVE DESCONEXAO MICROINVERSOR 
 81 x CABO CA MULTIPOLAR 10AWG 
 2 x DTU-LITE-S(WIFI) - MONIT DTU-LITE S (ATÉ 25 MICROS)</t>
  </si>
  <si>
    <t>163 x MODULO FV 570WP N-TYPE BIFACIAL DAH SOLAR DHN-72X16/DG 
 1 x INVERSOR SOLIS 75KW 380V 75K-5G-PRO COM MONITORAMENTO 
 350 x CABO FOTOVOLTAICO 4MM² PRETO 
 350 x CABO FOTOVOLTAICO 4MM² VERMELHO 
 24 x CONECTOR MC4 PAR EMBALADO 
 ESTRUTURA FIBROCIMENTO MADEIRA</t>
  </si>
  <si>
    <t>163 x MODULO FV 570WP N-TYPE BIFACIAL DUAL GLASS DAS-DH144NA 
 1 x INVERSOR SOLIS 75KW 380V 75K-5G-PRO COM MONITORAMENTO 
 350 x CABO FOTOVOLTAICO 4MM² PRETO 
 350 x CABO FOTOVOLTAICO 4MM² VERMELHO 
 24 x CONECTOR MC4 PAR EMBALADO 
 ESTRUTURA FIBROCIMENTO MADEIRA</t>
  </si>
  <si>
    <t>163 x MODULO FV 570WP N-TYPE BIFACIAL DAH SOLAR DHN-72X16/DG 
 1 x INVERSOR SUNGROW SG75CX-P2 AFCI 380V COM MONITORAMENTO 
 350 x CABO FOTOVOLTAICO 4MM² PRETO 
 350 x CABO FOTOVOLTAICO 4MM² VERMELHO 
 20 x CONECTOR MC4 PAR EMBALADO 
 ESTRUTURA FIBROCIMENTO MADEIRA</t>
  </si>
  <si>
    <t>163 x MODULO FV 570WP N-TYPE BIFACIAL DUAL GLASS DAS-DH144NA 
 1 x INVERSOR SUNGROW SG75CX-P2 AFCI 380V COM MONITORAMENTO 
 350 x CABO FOTOVOLTAICO 4MM² PRETO 
 350 x CABO FOTOVOLTAICO 4MM² VERMELHO 
 20 x CONECTOR MC4 PAR EMBALADO 
 ESTRUTURA FIBROCIMENTO MADEIRA</t>
  </si>
  <si>
    <t>163 x MODULO FV 570WP N-TYPE BIFACIAL DAH SOLAR DHN-72X16/DG 
 41 x HMS-2000-4T - MICRO HOYMILES 2000W DTU EXTERNA 
 4 x CABO FOTOVOLTAICO 4MM² PRETO 
 164 x CABO FOTOVOLTAICO 4MM² VERMELHO 
 328 x CONECTOR MC4 PAR EMBALADO 
 ESTRUTURA FIBROCIMENTO MADEIRA 
 41 x AC TRUNK CONNECTOR - CONECTOR CA HOYMILES 
 14 x AC TRUNK END CAP - TERMINAL ENDCAP HOYMILES 
 1 x AC TRUNK CONNECTOR UNLOCK TOOL - CHAVE DESBLOQUEIO CONECTOR CA 
 1 x HMS DISCONNECT TOOL-1PCS - CHAVE DESCONEXAO MICROINVERSOR 
 81 x CABO CA MULTIPOLAR 10AWG 
 2 x DTU-LITE-S(WIFI) - MONIT DTU-LITE S (ATÉ 25 MICROS)</t>
  </si>
  <si>
    <t>163 x MODULO FV 570WP N-TYPE BIFACIAL DUAL GLASS DAS-DH144NA 
 41 x HMS-2000-4T - MICRO HOYMILES 2000W DTU EXTERNA 
 4 x CABO FOTOVOLTAICO 4MM² PRETO 
 164 x CABO FOTOVOLTAICO 4MM² VERMELHO 
 328 x CONECTOR MC4 PAR EMBALADO 
 ESTRUTURA FIBROCIMENTO MADEIRA 
 41 x AC TRUNK CONNECTOR - CONECTOR CA HOYMILES 
 14 x AC TRUNK END CAP - TERMINAL ENDCAP HOYMILES 
 1 x AC TRUNK CONNECTOR UNLOCK TOOL - CHAVE DESBLOQUEIO CONECTOR CA 
 1 x HMS DISCONNECT TOOL-1PCS - CHAVE DESCONEXAO MICROINVERSOR 
 81 x CABO CA MULTIPOLAR 10AWG 
 2 x DTU-LITE-S(WIFI) - MONIT DTU-LITE S (ATÉ 25 MICROS)</t>
  </si>
  <si>
    <t>131 x MODULO FV 710WP BIFACIAL DUAL-GLASS TRINA TSM-NEG21C.20 
 33 x HMS-2000-4T - MICRO HOYMILES 2000W DTU EXTERNA 
 4 x CABO FOTOVOLTAICO 4MM² PRETO 
 132 x CABO FOTOVOLTAICO 4MM² VERMELHO 
 264 x CONECTOR MC4 PAR TRINA 
 ESTRUTURA FIBROCIMENTO MADEIRA 
 33 x AC TRUNK CONNECTOR - CONECTOR CA HOYMILES 
 11 x AC TRUNK END CAP - TERMINAL ENDCAP HOYMILES 
 1 x AC TRUNK CONNECTOR UNLOCK TOOL - CHAVE DESBLOQUEIO CONECTOR CA 
 1 x HMS DISCONNECT TOOL-1PCS - CHAVE DESCONEXAO MICROINVERSOR 
 66 x CABO CA MULTIPOLAR 10AWG 
 2 x DTU-LITE-S(WIFI) - MONIT DTU-LITE S (ATÉ 25 MICROS)</t>
  </si>
  <si>
    <t>164 x MODULO FV 570WP N-TYPE BIFACIAL DAH SOLAR DHN-72X16/DG 
 1 x INVERSOR SUNGROW SG75CX-P2 AFCI 380V COM MONITORAMENTO 
 350 x CABO FOTOVOLTAICO 4MM² PRETO 
 350 x CABO FOTOVOLTAICO 4MM² VERMELHO 
 20 x CONECTOR MC4 PAR EMBALADO 
 ESTRUTURA FIBROCIMENTO MADEIRA</t>
  </si>
  <si>
    <t>164 x MODULO FV 570WP N-TYPE BIFACIAL DUAL GLASS DAS-DH144NA 
 1 x INVERSOR SUNGROW SG75CX-P2 AFCI 380V COM MONITORAMENTO 
 350 x CABO FOTOVOLTAICO 4MM² PRETO 
 350 x CABO FOTOVOLTAICO 4MM² VERMELHO 
 20 x CONECTOR MC4 PAR EMBALADO 
 ESTRUTURA FIBROCIMENTO MADEIRA</t>
  </si>
  <si>
    <t>164 x MODULO FV 570WP N-TYPE BIFACIAL DAH SOLAR DHN-72X16/DG 
 1 x INVERSOR SOLIS 75KW 220V 75K-LV-5G-PRO COM MONITORAMENTO 
 350 x CABO FOTOVOLTAICO 4MM² PRETO 
 350 x CABO FOTOVOLTAICO 4MM² VERMELHO 
 32 x CONECTOR MC4 PAR EMBALADO 
 ESTRUTURA FIBROCIMENTO MADEIRA</t>
  </si>
  <si>
    <t>164 x MODULO FV 570WP N-TYPE BIFACIAL DUAL GLASS DAS-DH144NA 
 1 x INVERSOR SOLIS 75KW 220V 75K-LV-5G-PRO COM MONITORAMENTO 
 350 x CABO FOTOVOLTAICO 4MM² PRETO 
 350 x CABO FOTOVOLTAICO 4MM² VERMELHO 
 32 x CONECTOR MC4 PAR EMBALADO 
 ESTRUTURA FIBROCIMENTO MADEIRA</t>
  </si>
  <si>
    <t>164 x MODULO FV 570WP N-TYPE BIFACIAL DAH SOLAR DHN-72X16/DG 
 41 x HMS-2000-4T - MICRO HOYMILES 2000W DTU EXTERNA 
 4 x CABO FOTOVOLTAICO 4MM² PRETO 
 164 x CABO FOTOVOLTAICO 4MM² VERMELHO 
 328 x CONECTOR MC4 PAR EMBALADO 
 ESTRUTURA FIBROCIMENTO MADEIRA 
 41 x AC TRUNK CONNECTOR - CONECTOR CA HOYMILES 
 14 x AC TRUNK END CAP - TERMINAL ENDCAP HOYMILES 
 1 x AC TRUNK CONNECTOR UNLOCK TOOL - CHAVE DESBLOQUEIO CONECTOR CA 
 1 x HMS DISCONNECT TOOL-1PCS - CHAVE DESCONEXAO MICROINVERSOR 
 81 x CABO CA MULTIPOLAR 10AWG 
 2 x DTU-LITE-S(WIFI) - MONIT DTU-LITE S (ATÉ 25 MICROS)</t>
  </si>
  <si>
    <t>164 x MODULO FV 570WP N-TYPE BIFACIAL DUAL GLASS DAS-DH144NA 
 41 x HMS-2000-4T - MICRO HOYMILES 2000W DTU EXTERNA 
 4 x CABO FOTOVOLTAICO 4MM² PRETO 
 164 x CABO FOTOVOLTAICO 4MM² VERMELHO 
 328 x CONECTOR MC4 PAR EMBALADO 
 ESTRUTURA FIBROCIMENTO MADEIRA 
 41 x AC TRUNK CONNECTOR - CONECTOR CA HOYMILES 
 14 x AC TRUNK END CAP - TERMINAL ENDCAP HOYMILES 
 1 x AC TRUNK CONNECTOR UNLOCK TOOL - CHAVE DESBLOQUEIO CONECTOR CA 
 1 x HMS DISCONNECT TOOL-1PCS - CHAVE DESCONEXAO MICROINVERSOR 
 81 x CABO CA MULTIPOLAR 10AWG 
 2 x DTU-LITE-S(WIFI) - MONIT DTU-LITE S (ATÉ 25 MICROS)</t>
  </si>
  <si>
    <t>132 x MODULO FV 710WP BIFACIAL DUAL-GLASS TRINA TSM-NEG21C.20 
 33 x HMS-2000-4T - MICRO HOYMILES 2000W DTU EXTERNA 
 4 x CABO FOTOVOLTAICO 4MM² PRETO 
 132 x CABO FOTOVOLTAICO 4MM² VERMELHO 
 264 x CONECTOR MC4 PAR TRINA 
 ESTRUTURA FIBROCIMENTO MADEIRA 
 33 x AC TRUNK CONNECTOR - CONECTOR CA HOYMILES 
 11 x AC TRUNK END CAP - TERMINAL ENDCAP HOYMILES 
 1 x AC TRUNK CONNECTOR UNLOCK TOOL - CHAVE DESBLOQUEIO CONECTOR CA 
 1 x HMS DISCONNECT TOOL-1PCS - CHAVE DESCONEXAO MICROINVERSOR 
 66 x CABO CA MULTIPOLAR 10AWG 
 2 x DTU-LITE-S(WIFI) - MONIT DTU-LITE S (ATÉ 25 MICROS)</t>
  </si>
  <si>
    <t>165 x MODULO FV 570WP N-TYPE BIFACIAL DAH SOLAR DHN-72X16/DG 
 1 x INVERSOR SOLIS 75KW 380V 75K-5G-PRO COM MONITORAMENTO 
 350 x CABO FOTOVOLTAICO 4MM² PRETO 
 350 x CABO FOTOVOLTAICO 4MM² VERMELHO 
 24 x CONECTOR MC4 PAR EMBALADO 
 ESTRUTURA FIBROCIMENTO MADEIRA</t>
  </si>
  <si>
    <t>165 x MODULO FV 570WP N-TYPE BIFACIAL DUAL GLASS DAS-DH144NA 
 1 x INVERSOR SOLIS 75KW 380V 75K-5G-PRO COM MONITORAMENTO 
 350 x CABO FOTOVOLTAICO 4MM² PRETO 
 350 x CABO FOTOVOLTAICO 4MM² VERMELHO 
 24 x CONECTOR MC4 PAR EMBALADO 
 ESTRUTURA FIBROCIMENTO MADEIRA</t>
  </si>
  <si>
    <t>165 x MODULO FV 570WP N-TYPE BIFACIAL DAH SOLAR DHN-72X16/DG 
 1 x INVERSOR SOLIS 75KW 220V 75K-LV-5G-PRO COM MONITORAMENTO 
 350 x CABO FOTOVOLTAICO 4MM² PRETO 
 350 x CABO FOTOVOLTAICO 4MM² VERMELHO 
 32 x CONECTOR MC4 PAR EMBALADO 
 ESTRUTURA FIBROCIMENTO MADEIRA</t>
  </si>
  <si>
    <t>165 x MODULO FV 570WP N-TYPE BIFACIAL DUAL GLASS DAS-DH144NA 
 1 x INVERSOR SOLIS 75KW 220V 75K-LV-5G-PRO COM MONITORAMENTO 
 350 x CABO FOTOVOLTAICO 4MM² PRETO 
 350 x CABO FOTOVOLTAICO 4MM² VERMELHO 
 32 x CONECTOR MC4 PAR EMBALADO 
 ESTRUTURA FIBROCIMENTO MADEIRA</t>
  </si>
  <si>
    <t>84</t>
  </si>
  <si>
    <t>165 x MODULO FV 570WP N-TYPE BIFACIAL DAH SOLAR DHN-72X16/DG 
 42 x HMS-2000-4T - MICRO HOYMILES 2000W DTU EXTERNA 
 4 x CABO FOTOVOLTAICO 4MM² PRETO 
 168 x CABO FOTOVOLTAICO 4MM² VERMELHO 
 336 x CONECTOR MC4 PAR EMBALADO 
 ESTRUTURA FIBROCIMENTO MADEIRA 
 42 x AC TRUNK CONNECTOR - CONECTOR CA HOYMILES 
 14 x AC TRUNK END CAP - TERMINAL ENDCAP HOYMILES 
 1 x AC TRUNK CONNECTOR UNLOCK TOOL - CHAVE DESBLOQUEIO CONECTOR CA 
 1 x HMS DISCONNECT TOOL-1PCS - CHAVE DESCONEXAO MICROINVERSOR 
 84 x CABO CA MULTIPOLAR 10AWG 
 2 x DTU-LITE-S(WIFI) - MONIT DTU-LITE S (ATÉ 25 MICROS)</t>
  </si>
  <si>
    <t>165 x MODULO FV 570WP N-TYPE BIFACIAL DUAL GLASS DAS-DH144NA 
 42 x HMS-2000-4T - MICRO HOYMILES 2000W DTU EXTERNA 
 4 x CABO FOTOVOLTAICO 4MM² PRETO 
 168 x CABO FOTOVOLTAICO 4MM² VERMELHO 
 336 x CONECTOR MC4 PAR EMBALADO 
 ESTRUTURA FIBROCIMENTO MADEIRA 
 42 x AC TRUNK CONNECTOR - CONECTOR CA HOYMILES 
 14 x AC TRUNK END CAP - TERMINAL ENDCAP HOYMILES 
 1 x AC TRUNK CONNECTOR UNLOCK TOOL - CHAVE DESBLOQUEIO CONECTOR CA 
 1 x HMS DISCONNECT TOOL-1PCS - CHAVE DESCONEXAO MICROINVERSOR 
 84 x CABO CA MULTIPOLAR 10AWG 
 2 x DTU-LITE-S(WIFI) - MONIT DTU-LITE S (ATÉ 25 MICROS)</t>
  </si>
  <si>
    <t>133 x MODULO FV 710WP BIFACIAL DUAL-GLASS TRINA TSM-NEG21C.20 
 34 x HMS-2000-4T - MICRO HOYMILES 2000W DTU EXTERNA 
 4 x CABO FOTOVOLTAICO 4MM² PRETO 
 136 x CABO FOTOVOLTAICO 4MM² VERMELHO 
 272 x CONECTOR MC4 PAR TRINA 
 ESTRUTURA FIBROCIMENTO MADEIRA 
 34 x AC TRUNK CONNECTOR - CONECTOR CA HOYMILES 
 12 x AC TRUNK END CAP - TERMINAL ENDCAP HOYMILES 
 1 x AC TRUNK CONNECTOR UNLOCK TOOL - CHAVE DESBLOQUEIO CONECTOR CA 
 1 x HMS DISCONNECT TOOL-1PCS - CHAVE DESCONEXAO MICROINVERSOR 
 66 x CABO CA MULTIPOLAR 10AWG 
 2 x DTU-LITE-S(WIFI) - MONIT DTU-LITE S (ATÉ 25 MICROS)</t>
  </si>
  <si>
    <t>166 x MODULO FV 570WP N-TYPE BIFACIAL DAH SOLAR DHN-72X16/DG 
 1 x INVERSOR SOLIS 75KW 380V 75K-5G-PRO COM MONITORAMENTO 
 350 x CABO FOTOVOLTAICO 4MM² PRETO 
 350 x CABO FOTOVOLTAICO 4MM² VERMELHO 
 24 x CONECTOR MC4 PAR EMBALADO 
 ESTRUTURA FIBROCIMENTO MADEIRA</t>
  </si>
  <si>
    <t>166 x MODULO FV 570WP N-TYPE BIFACIAL DUAL GLASS DAS-DH144NA 
 1 x INVERSOR SOLIS 75KW 380V 75K-5G-PRO COM MONITORAMENTO 
 350 x CABO FOTOVOLTAICO 4MM² PRETO 
 350 x CABO FOTOVOLTAICO 4MM² VERMELHO 
 24 x CONECTOR MC4 PAR EMBALADO 
 ESTRUTURA FIBROCIMENTO MADEIRA</t>
  </si>
  <si>
    <t>166 x MODULO FV 570WP N-TYPE BIFACIAL DAH SOLAR DHN-72X16/DG 
 1 x INVERSOR SUNGROW SG75CX-P2 AFCI 380V COM MONITORAMENTO 
 350 x CABO FOTOVOLTAICO 4MM² PRETO 
 350 x CABO FOTOVOLTAICO 4MM² VERMELHO 
 20 x CONECTOR MC4 PAR EMBALADO 
 ESTRUTURA FIBROCIMENTO MADEIRA</t>
  </si>
  <si>
    <t>166 x MODULO FV 570WP N-TYPE BIFACIAL DUAL GLASS DAS-DH144NA 
 1 x INVERSOR SUNGROW SG75CX-P2 AFCI 380V COM MONITORAMENTO 
 350 x CABO FOTOVOLTAICO 4MM² PRETO 
 350 x CABO FOTOVOLTAICO 4MM² VERMELHO 
 20 x CONECTOR MC4 PAR EMBALADO 
 ESTRUTURA FIBROCIMENTO MADEIRA</t>
  </si>
  <si>
    <t>166 x MODULO FV 570WP N-TYPE BIFACIAL DAH SOLAR DHN-72X16/DG 
 42 x HMS-2000-4T - MICRO HOYMILES 2000W DTU EXTERNA 
 4 x CABO FOTOVOLTAICO 4MM² PRETO 
 168 x CABO FOTOVOLTAICO 4MM² VERMELHO 
 336 x CONECTOR MC4 PAR EMBALADO 
 ESTRUTURA FIBROCIMENTO MADEIRA 
 42 x AC TRUNK CONNECTOR - CONECTOR CA HOYMILES 
 14 x AC TRUNK END CAP - TERMINAL ENDCAP HOYMILES 
 1 x AC TRUNK CONNECTOR UNLOCK TOOL - CHAVE DESBLOQUEIO CONECTOR CA 
 1 x HMS DISCONNECT TOOL-1PCS - CHAVE DESCONEXAO MICROINVERSOR 
 84 x CABO CA MULTIPOLAR 10AWG 
 2 x DTU-LITE-S(WIFI) - MONIT DTU-LITE S (ATÉ 25 MICROS)</t>
  </si>
  <si>
    <t>166 x MODULO FV 570WP N-TYPE BIFACIAL DUAL GLASS DAS-DH144NA 
 42 x HMS-2000-4T - MICRO HOYMILES 2000W DTU EXTERNA 
 4 x CABO FOTOVOLTAICO 4MM² PRETO 
 168 x CABO FOTOVOLTAICO 4MM² VERMELHO 
 336 x CONECTOR MC4 PAR EMBALADO 
 ESTRUTURA FIBROCIMENTO MADEIRA 
 42 x AC TRUNK CONNECTOR - CONECTOR CA HOYMILES 
 14 x AC TRUNK END CAP - TERMINAL ENDCAP HOYMILES 
 1 x AC TRUNK CONNECTOR UNLOCK TOOL - CHAVE DESBLOQUEIO CONECTOR CA 
 1 x HMS DISCONNECT TOOL-1PCS - CHAVE DESCONEXAO MICROINVERSOR 
 84 x CABO CA MULTIPOLAR 10AWG 
 2 x DTU-LITE-S(WIFI) - MONIT DTU-LITE S (ATÉ 25 MICROS)</t>
  </si>
  <si>
    <t>134 x MODULO FV 710WP BIFACIAL DUAL-GLASS TRINA TSM-NEG21C.20 
 34 x HMS-2000-4T - MICRO HOYMILES 2000W DTU EXTERNA 
 4 x CABO FOTOVOLTAICO 4MM² PRETO 
 136 x CABO FOTOVOLTAICO 4MM² VERMELHO 
 272 x CONECTOR MC4 PAR TRINA 
 ESTRUTURA FIBROCIMENTO MADEIRA 
 34 x AC TRUNK CONNECTOR - CONECTOR CA HOYMILES 
 12 x AC TRUNK END CAP - TERMINAL ENDCAP HOYMILES 
 1 x AC TRUNK CONNECTOR UNLOCK TOOL - CHAVE DESBLOQUEIO CONECTOR CA 
 1 x HMS DISCONNECT TOOL-1PCS - CHAVE DESCONEXAO MICROINVERSOR 
 66 x CABO CA MULTIPOLAR 10AWG 
 2 x DTU-LITE-S(WIFI) - MONIT DTU-LITE S (ATÉ 25 MICROS)</t>
  </si>
  <si>
    <t>167 x MODULO FV 570WP N-TYPE BIFACIAL DAH SOLAR DHN-72X16/DG 
 1 x INVERSOR SUNGROW SG75CX-P2 AFCI 380V COM MONITORAMENTO 
 350 x CABO FOTOVOLTAICO 4MM² PRETO 
 350 x CABO FOTOVOLTAICO 4MM² VERMELHO 
 20 x CONECTOR MC4 PAR EMBALADO 
 ESTRUTURA FIBROCIMENTO MADEIRA</t>
  </si>
  <si>
    <t>167 x MODULO FV 570WP N-TYPE BIFACIAL DUAL GLASS DAS-DH144NA 
 1 x INVERSOR SUNGROW SG75CX-P2 AFCI 380V COM MONITORAMENTO 
 350 x CABO FOTOVOLTAICO 4MM² PRETO 
 350 x CABO FOTOVOLTAICO 4MM² VERMELHO 
 20 x CONECTOR MC4 PAR EMBALADO 
 ESTRUTURA FIBROCIMENTO MADEIRA</t>
  </si>
  <si>
    <t>167 x MODULO FV 570WP N-TYPE BIFACIAL DAH SOLAR DHN-72X16/DG 
 1 x INVERSOR SOLIS 75KW 220V 75K-LV-5G-PRO COM MONITORAMENTO 
 350 x CABO FOTOVOLTAICO 4MM² PRETO 
 350 x CABO FOTOVOLTAICO 4MM² VERMELHO 
 32 x CONECTOR MC4 PAR EMBALADO 
 ESTRUTURA FIBROCIMENTO MADEIRA</t>
  </si>
  <si>
    <t>167 x MODULO FV 570WP N-TYPE BIFACIAL DUAL GLASS DAS-DH144NA 
 1 x INVERSOR SOLIS 75KW 220V 75K-LV-5G-PRO COM MONITORAMENTO 
 350 x CABO FOTOVOLTAICO 4MM² PRETO 
 350 x CABO FOTOVOLTAICO 4MM² VERMELHO 
 32 x CONECTOR MC4 PAR EMBALADO 
 ESTRUTURA FIBROCIMENTO MADEIRA</t>
  </si>
  <si>
    <t>167 x MODULO FV 570WP N-TYPE BIFACIAL DAH SOLAR DHN-72X16/DG 
 42 x HMS-2000-4T - MICRO HOYMILES 2000W DTU EXTERNA 
 4 x CABO FOTOVOLTAICO 4MM² PRETO 
 168 x CABO FOTOVOLTAICO 4MM² VERMELHO 
 336 x CONECTOR MC4 PAR EMBALADO 
 ESTRUTURA FIBROCIMENTO MADEIRA 
 42 x AC TRUNK CONNECTOR - CONECTOR CA HOYMILES 
 14 x AC TRUNK END CAP - TERMINAL ENDCAP HOYMILES 
 1 x AC TRUNK CONNECTOR UNLOCK TOOL - CHAVE DESBLOQUEIO CONECTOR CA 
 1 x HMS DISCONNECT TOOL-1PCS - CHAVE DESCONEXAO MICROINVERSOR 
 84 x CABO CA MULTIPOLAR 10AWG 
 2 x DTU-LITE-S(WIFI) - MONIT DTU-LITE S (ATÉ 25 MICROS)</t>
  </si>
  <si>
    <t>167 x MODULO FV 570WP N-TYPE BIFACIAL DUAL GLASS DAS-DH144NA 
 42 x HMS-2000-4T - MICRO HOYMILES 2000W DTU EXTERNA 
 4 x CABO FOTOVOLTAICO 4MM² PRETO 
 168 x CABO FOTOVOLTAICO 4MM² VERMELHO 
 336 x CONECTOR MC4 PAR EMBALADO 
 ESTRUTURA FIBROCIMENTO MADEIRA 
 42 x AC TRUNK CONNECTOR - CONECTOR CA HOYMILES 
 14 x AC TRUNK END CAP - TERMINAL ENDCAP HOYMILES 
 1 x AC TRUNK CONNECTOR UNLOCK TOOL - CHAVE DESBLOQUEIO CONECTOR CA 
 1 x HMS DISCONNECT TOOL-1PCS - CHAVE DESCONEXAO MICROINVERSOR 
 84 x CABO CA MULTIPOLAR 10AWG 
 2 x DTU-LITE-S(WIFI) - MONIT DTU-LITE S (ATÉ 25 MICROS)</t>
  </si>
  <si>
    <t>168 x MODULO FV 570WP N-TYPE BIFACIAL DAH SOLAR DHN-72X16/DG 
 1 x INVERSOR SOLIS 75KW 380V 75K-5G-PRO COM MONITORAMENTO 
 350 x CABO FOTOVOLTAICO 4MM² PRETO 
 350 x CABO FOTOVOLTAICO 4MM² VERMELHO 
 24 x CONECTOR MC4 PAR EMBALADO 
 ESTRUTURA FIBROCIMENTO MADEIRA</t>
  </si>
  <si>
    <t>168 x MODULO FV 570WP N-TYPE BIFACIAL DUAL GLASS DAS-DH144NA 
 1 x INVERSOR SOLIS 75KW 380V 75K-5G-PRO COM MONITORAMENTO 
 350 x CABO FOTOVOLTAICO 4MM² PRETO 
 350 x CABO FOTOVOLTAICO 4MM² VERMELHO 
 24 x CONECTOR MC4 PAR EMBALADO 
 ESTRUTURA FIBROCIMENTO MADEIRA</t>
  </si>
  <si>
    <t>168 x MODULO FV 570WP N-TYPE BIFACIAL DAH SOLAR DHN-72X16/DG 
 1 x INVERSOR SOLIS 75KW 220V 75K-LV-5G-PRO COM MONITORAMENTO 
 350 x CABO FOTOVOLTAICO 4MM² PRETO 
 350 x CABO FOTOVOLTAICO 4MM² VERMELHO 
 32 x CONECTOR MC4 PAR EMBALADO 
 ESTRUTURA FIBROCIMENTO MADEIRA</t>
  </si>
  <si>
    <t>168 x MODULO FV 570WP N-TYPE BIFACIAL DUAL GLASS DAS-DH144NA 
 1 x INVERSOR SOLIS 75KW 220V 75K-LV-5G-PRO COM MONITORAMENTO 
 350 x CABO FOTOVOLTAICO 4MM² PRETO 
 350 x CABO FOTOVOLTAICO 4MM² VERMELHO 
 32 x CONECTOR MC4 PAR EMBALADO 
 ESTRUTURA FIBROCIMENTO MADEIRA</t>
  </si>
  <si>
    <t>168 x MODULO FV 570WP N-TYPE BIFACIAL DAH SOLAR DHN-72X16/DG 
 42 x HMS-2000-4T - MICRO HOYMILES 2000W DTU EXTERNA 
 4 x CABO FOTOVOLTAICO 4MM² PRETO 
 168 x CABO FOTOVOLTAICO 4MM² VERMELHO 
 336 x CONECTOR MC4 PAR EMBALADO 
 ESTRUTURA FIBROCIMENTO MADEIRA 
 42 x AC TRUNK CONNECTOR - CONECTOR CA HOYMILES 
 14 x AC TRUNK END CAP - TERMINAL ENDCAP HOYMILES 
 1 x AC TRUNK CONNECTOR UNLOCK TOOL - CHAVE DESBLOQUEIO CONECTOR CA 
 1 x HMS DISCONNECT TOOL-1PCS - CHAVE DESCONEXAO MICROINVERSOR 
 84 x CABO CA MULTIPOLAR 10AWG 
 2 x DTU-LITE-S(WIFI) - MONIT DTU-LITE S (ATÉ 25 MICROS)</t>
  </si>
  <si>
    <t>168 x MODULO FV 570WP N-TYPE BIFACIAL DUAL GLASS DAS-DH144NA 
 42 x HMS-2000-4T - MICRO HOYMILES 2000W DTU EXTERNA 
 4 x CABO FOTOVOLTAICO 4MM² PRETO 
 168 x CABO FOTOVOLTAICO 4MM² VERMELHO 
 336 x CONECTOR MC4 PAR EMBALADO 
 ESTRUTURA FIBROCIMENTO MADEIRA 
 42 x AC TRUNK CONNECTOR - CONECTOR CA HOYMILES 
 14 x AC TRUNK END CAP - TERMINAL ENDCAP HOYMILES 
 1 x AC TRUNK CONNECTOR UNLOCK TOOL - CHAVE DESBLOQUEIO CONECTOR CA 
 1 x HMS DISCONNECT TOOL-1PCS - CHAVE DESCONEXAO MICROINVERSOR 
 84 x CABO CA MULTIPOLAR 10AWG 
 2 x DTU-LITE-S(WIFI) - MONIT DTU-LITE S (ATÉ 25 MICROS)</t>
  </si>
  <si>
    <t>135 x MODULO FV 710WP BIFACIAL DUAL-GLASS TRINA TSM-NEG21C.20 
 34 x HMS-2000-4T - MICRO HOYMILES 2000W DTU EXTERNA 
 4 x CABO FOTOVOLTAICO 4MM² PRETO 
 136 x CABO FOTOVOLTAICO 4MM² VERMELHO 
 272 x CONECTOR MC4 PAR TRINA 
 ESTRUTURA FIBROCIMENTO MADEIRA 
 34 x AC TRUNK CONNECTOR - CONECTOR CA HOYMILES 
 12 x AC TRUNK END CAP - TERMINAL ENDCAP HOYMILES 
 1 x AC TRUNK CONNECTOR UNLOCK TOOL - CHAVE DESBLOQUEIO CONECTOR CA 
 1 x HMS DISCONNECT TOOL-1PCS - CHAVE DESCONEXAO MICROINVERSOR 
 66 x CABO CA MULTIPOLAR 10AWG 
 2 x DTU-LITE-S(WIFI) - MONIT DTU-LITE S (ATÉ 25 MICROS)</t>
  </si>
  <si>
    <t>169 x MODULO FV 570WP N-TYPE BIFACIAL DAH SOLAR DHN-72X16/DG 
 1 x INVERSOR SOLIS 75KW 380V 75K-5G-PRO COM MONITORAMENTO 
 350 x CABO FOTOVOLTAICO 4MM² PRETO 
 350 x CABO FOTOVOLTAICO 4MM² VERMELHO 
 24 x CONECTOR MC4 PAR EMBALADO 
 ESTRUTURA FIBROCIMENTO MADEIRA</t>
  </si>
  <si>
    <t>169 x MODULO FV 570WP N-TYPE BIFACIAL DUAL GLASS DAS-DH144NA 
 1 x INVERSOR SOLIS 75KW 380V 75K-5G-PRO COM MONITORAMENTO 
 350 x CABO FOTOVOLTAICO 4MM² PRETO 
 350 x CABO FOTOVOLTAICO 4MM² VERMELHO 
 24 x CONECTOR MC4 PAR EMBALADO 
 ESTRUTURA FIBROCIMENTO MADEIRA</t>
  </si>
  <si>
    <t>169 x MODULO FV 570WP N-TYPE BIFACIAL DAH SOLAR DHN-72X16/DG 
 1 x INVERSOR SUNGROW SG75CX-P2 AFCI 380V COM MONITORAMENTO 
 350 x CABO FOTOVOLTAICO 4MM² PRETO 
 350 x CABO FOTOVOLTAICO 4MM² VERMELHO 
 20 x CONECTOR MC4 PAR EMBALADO 
 ESTRUTURA FIBROCIMENTO MADEIRA</t>
  </si>
  <si>
    <t>169 x MODULO FV 570WP N-TYPE BIFACIAL DUAL GLASS DAS-DH144NA 
 1 x INVERSOR SUNGROW SG75CX-P2 AFCI 380V COM MONITORAMENTO 
 350 x CABO FOTOVOLTAICO 4MM² PRETO 
 350 x CABO FOTOVOLTAICO 4MM² VERMELHO 
 20 x CONECTOR MC4 PAR EMBALADO 
 ESTRUTURA FIBROCIMENTO MADEIRA</t>
  </si>
  <si>
    <t>169 x MODULO FV 570WP N-TYPE BIFACIAL DAH SOLAR DHN-72X16/DG 
 43 x HMS-2000-4T - MICRO HOYMILES 2000W DTU EXTERNA 
 4 x CABO FOTOVOLTAICO 4MM² PRETO 
 172 x CABO FOTOVOLTAICO 4MM² VERMELHO 
 344 x CONECTOR MC4 PAR EMBALADO 
 ESTRUTURA FIBROCIMENTO MADEIRA 
 43 x AC TRUNK CONNECTOR - CONECTOR CA HOYMILES 
 15 x AC TRUNK END CAP - TERMINAL ENDCAP HOYMILES 
 1 x AC TRUNK CONNECTOR UNLOCK TOOL - CHAVE DESBLOQUEIO CONECTOR CA 
 1 x HMS DISCONNECT TOOL-1PCS - CHAVE DESCONEXAO MICROINVERSOR 
 84 x CABO CA MULTIPOLAR 10AWG 
 2 x DTU-LITE-S(WIFI) - MONIT DTU-LITE S (ATÉ 25 MICROS)</t>
  </si>
  <si>
    <t>169 x MODULO FV 570WP N-TYPE BIFACIAL DUAL GLASS DAS-DH144NA 
 43 x HMS-2000-4T - MICRO HOYMILES 2000W DTU EXTERNA 
 4 x CABO FOTOVOLTAICO 4MM² PRETO 
 172 x CABO FOTOVOLTAICO 4MM² VERMELHO 
 344 x CONECTOR MC4 PAR EMBALADO 
 ESTRUTURA FIBROCIMENTO MADEIRA 
 43 x AC TRUNK CONNECTOR - CONECTOR CA HOYMILES 
 15 x AC TRUNK END CAP - TERMINAL ENDCAP HOYMILES 
 1 x AC TRUNK CONNECTOR UNLOCK TOOL - CHAVE DESBLOQUEIO CONECTOR CA 
 1 x HMS DISCONNECT TOOL-1PCS - CHAVE DESCONEXAO MICROINVERSOR 
 84 x CABO CA MULTIPOLAR 10AWG 
 2 x DTU-LITE-S(WIFI) - MONIT DTU-LITE S (ATÉ 25 MICROS)</t>
  </si>
  <si>
    <t>136 x MODULO FV 710WP BIFACIAL DUAL-GLASS TRINA TSM-NEG21C.20 
 34 x HMS-2000-4T - MICRO HOYMILES 2000W DTU EXTERNA 
 4 x CABO FOTOVOLTAICO 4MM² PRETO 
 136 x CABO FOTOVOLTAICO 4MM² VERMELHO 
 272 x CONECTOR MC4 PAR TRINA 
 ESTRUTURA FIBROCIMENTO MADEIRA 
 34 x AC TRUNK CONNECTOR - CONECTOR CA HOYMILES 
 12 x AC TRUNK END CAP - TERMINAL ENDCAP HOYMILES 
 1 x AC TRUNK CONNECTOR UNLOCK TOOL - CHAVE DESBLOQUEIO CONECTOR CA 
 1 x HMS DISCONNECT TOOL-1PCS - CHAVE DESCONEXAO MICROINVERSOR 
 66 x CABO CA MULTIPOLAR 10AWG 
 2 x DTU-LITE-S(WIFI) - MONIT DTU-LITE S (ATÉ 25 MICROS)</t>
  </si>
  <si>
    <t>170 x MODULO FV 570WP N-TYPE BIFACIAL DAH SOLAR DHN-72X16/DG 
 1 x INVERSOR SUNGROW SG75CX-P2 AFCI 380V COM MONITORAMENTO 
 350 x CABO FOTOVOLTAICO 4MM² PRETO 
 350 x CABO FOTOVOLTAICO 4MM² VERMELHO 
 20 x CONECTOR MC4 PAR EMBALADO 
 ESTRUTURA FIBROCIMENTO MADEIRA</t>
  </si>
  <si>
    <t>170 x MODULO FV 570WP N-TYPE BIFACIAL DUAL GLASS DAS-DH144NA 
 1 x INVERSOR SUNGROW SG75CX-P2 AFCI 380V COM MONITORAMENTO 
 350 x CABO FOTOVOLTAICO 4MM² PRETO 
 350 x CABO FOTOVOLTAICO 4MM² VERMELHO 
 20 x CONECTOR MC4 PAR EMBALADO 
 ESTRUTURA FIBROCIMENTO MADEIRA</t>
  </si>
  <si>
    <t>170 x MODULO FV 570WP N-TYPE BIFACIAL DAH SOLAR DHN-72X16/DG 
 43 x HMS-2000-4T - MICRO HOYMILES 2000W DTU EXTERNA 
 4 x CABO FOTOVOLTAICO 4MM² PRETO 
 172 x CABO FOTOVOLTAICO 4MM² VERMELHO 
 344 x CONECTOR MC4 PAR EMBALADO 
 ESTRUTURA FIBROCIMENTO MADEIRA 
 43 x AC TRUNK CONNECTOR - CONECTOR CA HOYMILES 
 15 x AC TRUNK END CAP - TERMINAL ENDCAP HOYMILES 
 1 x AC TRUNK CONNECTOR UNLOCK TOOL - CHAVE DESBLOQUEIO CONECTOR CA 
 1 x HMS DISCONNECT TOOL-1PCS - CHAVE DESCONEXAO MICROINVERSOR 
 84 x CABO CA MULTIPOLAR 10AWG 
 2 x DTU-LITE-S(WIFI) - MONIT DTU-LITE S (ATÉ 25 MICROS)</t>
  </si>
  <si>
    <t>170 x MODULO FV 570WP N-TYPE BIFACIAL DUAL GLASS DAS-DH144NA 
 43 x HMS-2000-4T - MICRO HOYMILES 2000W DTU EXTERNA 
 4 x CABO FOTOVOLTAICO 4MM² PRETO 
 172 x CABO FOTOVOLTAICO 4MM² VERMELHO 
 344 x CONECTOR MC4 PAR EMBALADO 
 ESTRUTURA FIBROCIMENTO MADEIRA 
 43 x AC TRUNK CONNECTOR - CONECTOR CA HOYMILES 
 15 x AC TRUNK END CAP - TERMINAL ENDCAP HOYMILES 
 1 x AC TRUNK CONNECTOR UNLOCK TOOL - CHAVE DESBLOQUEIO CONECTOR CA 
 1 x HMS DISCONNECT TOOL-1PCS - CHAVE DESCONEXAO MICROINVERSOR 
 84 x CABO CA MULTIPOLAR 10AWG 
 2 x DTU-LITE-S(WIFI) - MONIT DTU-LITE S (ATÉ 25 MICROS)</t>
  </si>
  <si>
    <t>137 x MODULO FV 710WP BIFACIAL DUAL-GLASS TRINA TSM-NEG21C.20 
 35 x HMS-2000-4T - MICRO HOYMILES 2000W DTU EXTERNA 
 4 x CABO FOTOVOLTAICO 4MM² PRETO 
 140 x CABO FOTOVOLTAICO 4MM² VERMELHO 
 280 x CONECTOR MC4 PAR TRINA 
 ESTRUTURA FIBROCIMENTO MADEIRA 
 35 x AC TRUNK CONNECTOR - CONECTOR CA HOYMILES 
 12 x AC TRUNK END CAP - TERMINAL ENDCAP HOYMILES 
 1 x AC TRUNK CONNECTOR UNLOCK TOOL - CHAVE DESBLOQUEIO CONECTOR CA 
 1 x HMS DISCONNECT TOOL-1PCS - CHAVE DESCONEXAO MICROINVERSOR 
 69 x CABO CA MULTIPOLAR 10AWG 
 2 x DTU-LITE-S(WIFI) - MONIT DTU-LITE S (ATÉ 25 MICROS)</t>
  </si>
  <si>
    <t>171 x MODULO FV 570WP N-TYPE BIFACIAL DAH SOLAR DHN-72X16/DG 
 1 x INVERSOR SOLIS 75KW 380V 75K-5G-PRO COM MONITORAMENTO 
 350 x CABO FOTOVOLTAICO 4MM² PRETO 
 350 x CABO FOTOVOLTAICO 4MM² VERMELHO 
 24 x CONECTOR MC4 PAR EMBALADO 
 ESTRUTURA FIBROCIMENTO MADEIRA</t>
  </si>
  <si>
    <t>171 x MODULO FV 570WP N-TYPE BIFACIAL DUAL GLASS DAS-DH144NA 
 1 x INVERSOR SOLIS 75KW 380V 75K-5G-PRO COM MONITORAMENTO 
 350 x CABO FOTOVOLTAICO 4MM² PRETO 
 350 x CABO FOTOVOLTAICO 4MM² VERMELHO 
 24 x CONECTOR MC4 PAR EMBALADO 
 ESTRUTURA FIBROCIMENTO MADEIRA</t>
  </si>
  <si>
    <t>171 x MODULO FV 570WP N-TYPE BIFACIAL DAH SOLAR DHN-72X16/DG 
 43 x HMS-2000-4T - MICRO HOYMILES 2000W DTU EXTERNA 
 4 x CABO FOTOVOLTAICO 4MM² PRETO 
 172 x CABO FOTOVOLTAICO 4MM² VERMELHO 
 344 x CONECTOR MC4 PAR EMBALADO 
 ESTRUTURA FIBROCIMENTO MADEIRA 
 43 x AC TRUNK CONNECTOR - CONECTOR CA HOYMILES 
 15 x AC TRUNK END CAP - TERMINAL ENDCAP HOYMILES 
 1 x AC TRUNK CONNECTOR UNLOCK TOOL - CHAVE DESBLOQUEIO CONECTOR CA 
 1 x HMS DISCONNECT TOOL-1PCS - CHAVE DESCONEXAO MICROINVERSOR 
 84 x CABO CA MULTIPOLAR 10AWG 
 2 x DTU-LITE-S(WIFI) - MONIT DTU-LITE S (ATÉ 25 MICROS)</t>
  </si>
  <si>
    <t>171 x MODULO FV 570WP N-TYPE BIFACIAL DUAL GLASS DAS-DH144NA 
 43 x HMS-2000-4T - MICRO HOYMILES 2000W DTU EXTERNA 
 4 x CABO FOTOVOLTAICO 4MM² PRETO 
 172 x CABO FOTOVOLTAICO 4MM² VERMELHO 
 344 x CONECTOR MC4 PAR EMBALADO 
 ESTRUTURA FIBROCIMENTO MADEIRA 
 43 x AC TRUNK CONNECTOR - CONECTOR CA HOYMILES 
 15 x AC TRUNK END CAP - TERMINAL ENDCAP HOYMILES 
 1 x AC TRUNK CONNECTOR UNLOCK TOOL - CHAVE DESBLOQUEIO CONECTOR CA 
 1 x HMS DISCONNECT TOOL-1PCS - CHAVE DESCONEXAO MICROINVERSOR 
 84 x CABO CA MULTIPOLAR 10AWG 
 2 x DTU-LITE-S(WIFI) - MONIT DTU-LITE S (ATÉ 25 MICROS)</t>
  </si>
  <si>
    <t>138 x MODULO FV 710WP BIFACIAL DUAL-GLASS TRINA TSM-NEG21C.20 
 35 x HMS-2000-4T - MICRO HOYMILES 2000W DTU EXTERNA 
 4 x CABO FOTOVOLTAICO 4MM² PRETO 
 140 x CABO FOTOVOLTAICO 4MM² VERMELHO 
 280 x CONECTOR MC4 PAR TRINA 
 ESTRUTURA FIBROCIMENTO MADEIRA 
 35 x AC TRUNK CONNECTOR - CONECTOR CA HOYMILES 
 12 x AC TRUNK END CAP - TERMINAL ENDCAP HOYMILES 
 1 x AC TRUNK CONNECTOR UNLOCK TOOL - CHAVE DESBLOQUEIO CONECTOR CA 
 1 x HMS DISCONNECT TOOL-1PCS - CHAVE DESCONEXAO MICROINVERSOR 
 69 x CABO CA MULTIPOLAR 10AWG 
 2 x DTU-LITE-S(WIFI) - MONIT DTU-LITE S (ATÉ 25 MICROS)</t>
  </si>
  <si>
    <t>172 x MODULO FV 570WP N-TYPE BIFACIAL DAH SOLAR DHN-72X16/DG 
 1 x INVERSOR SOLIS 75KW 380V 75K-5G-PRO COM MONITORAMENTO 
 350 x CABO FOTOVOLTAICO 4MM² PRETO 
 350 x CABO FOTOVOLTAICO 4MM² VERMELHO 
 24 x CONECTOR MC4 PAR EMBALADO 
 ESTRUTURA FIBROCIMENTO MADEIRA</t>
  </si>
  <si>
    <t>172 x MODULO FV 570WP N-TYPE BIFACIAL DUAL GLASS DAS-DH144NA 
 1 x INVERSOR SOLIS 75KW 380V 75K-5G-PRO COM MONITORAMENTO 
 350 x CABO FOTOVOLTAICO 4MM² PRETO 
 350 x CABO FOTOVOLTAICO 4MM² VERMELHO 
 24 x CONECTOR MC4 PAR EMBALADO 
 ESTRUTURA FIBROCIMENTO MADEIRA</t>
  </si>
  <si>
    <t>172 x MODULO FV 570WP N-TYPE BIFACIAL DAH SOLAR DHN-72X16/DG 
 1 x INVERSOR SUNGROW SG75CX-P2 AFCI 380V COM MONITORAMENTO 
 350 x CABO FOTOVOLTAICO 4MM² PRETO 
 350 x CABO FOTOVOLTAICO 4MM² VERMELHO 
 20 x CONECTOR MC4 PAR EMBALADO 
 ESTRUTURA FIBROCIMENTO MADEIRA</t>
  </si>
  <si>
    <t>172 x MODULO FV 570WP N-TYPE BIFACIAL DUAL GLASS DAS-DH144NA 
 1 x INVERSOR SUNGROW SG75CX-P2 AFCI 380V COM MONITORAMENTO 
 350 x CABO FOTOVOLTAICO 4MM² PRETO 
 350 x CABO FOTOVOLTAICO 4MM² VERMELHO 
 20 x CONECTOR MC4 PAR EMBALADO 
 ESTRUTURA FIBROCIMENTO MADEIRA</t>
  </si>
  <si>
    <t>172 x MODULO FV 570WP N-TYPE BIFACIAL DAH SOLAR DHN-72X16/DG 
 43 x HMS-2000-4T - MICRO HOYMILES 2000W DTU EXTERNA 
 4 x CABO FOTOVOLTAICO 4MM² PRETO 
 172 x CABO FOTOVOLTAICO 4MM² VERMELHO 
 344 x CONECTOR MC4 PAR EMBALADO 
 ESTRUTURA FIBROCIMENTO MADEIRA 
 43 x AC TRUNK CONNECTOR - CONECTOR CA HOYMILES 
 15 x AC TRUNK END CAP - TERMINAL ENDCAP HOYMILES 
 1 x AC TRUNK CONNECTOR UNLOCK TOOL - CHAVE DESBLOQUEIO CONECTOR CA 
 1 x HMS DISCONNECT TOOL-1PCS - CHAVE DESCONEXAO MICROINVERSOR 
 84 x CABO CA MULTIPOLAR 10AWG 
 2 x DTU-LITE-S(WIFI) - MONIT DTU-LITE S (ATÉ 25 MICROS)</t>
  </si>
  <si>
    <t>172 x MODULO FV 570WP N-TYPE BIFACIAL DUAL GLASS DAS-DH144NA 
 43 x HMS-2000-4T - MICRO HOYMILES 2000W DTU EXTERNA 
 4 x CABO FOTOVOLTAICO 4MM² PRETO 
 172 x CABO FOTOVOLTAICO 4MM² VERMELHO 
 344 x CONECTOR MC4 PAR EMBALADO 
 ESTRUTURA FIBROCIMENTO MADEIRA 
 43 x AC TRUNK CONNECTOR - CONECTOR CA HOYMILES 
 15 x AC TRUNK END CAP - TERMINAL ENDCAP HOYMILES 
 1 x AC TRUNK CONNECTOR UNLOCK TOOL - CHAVE DESBLOQUEIO CONECTOR CA 
 1 x HMS DISCONNECT TOOL-1PCS - CHAVE DESCONEXAO MICROINVERSOR 
 84 x CABO CA MULTIPOLAR 10AWG 
 2 x DTU-LITE-S(WIFI) - MONIT DTU-LITE S (ATÉ 25 MICROS)</t>
  </si>
  <si>
    <t>173 x MODULO FV 570WP N-TYPE BIFACIAL DAH SOLAR DHN-72X16/DG 
 1 x INVERSOR SUNGROW SG75CX-P2 AFCI 380V COM MONITORAMENTO 
 350 x CABO FOTOVOLTAICO 4MM² PRETO 
 350 x CABO FOTOVOLTAICO 4MM² VERMELHO 
 20 x CONECTOR MC4 PAR EMBALADO 
 ESTRUTURA FIBROCIMENTO MADEIRA</t>
  </si>
  <si>
    <t>173 x MODULO FV 570WP N-TYPE BIFACIAL DUAL GLASS DAS-DH144NA 
 1 x INVERSOR SUNGROW SG75CX-P2 AFCI 380V COM MONITORAMENTO 
 350 x CABO FOTOVOLTAICO 4MM² PRETO 
 350 x CABO FOTOVOLTAICO 4MM² VERMELHO 
 20 x CONECTOR MC4 PAR EMBALADO 
 ESTRUTURA FIBROCIMENTO MADEIRA</t>
  </si>
  <si>
    <t>87</t>
  </si>
  <si>
    <t>173 x MODULO FV 570WP N-TYPE BIFACIAL DAH SOLAR DHN-72X16/DG 
 44 x HMS-2000-4T - MICRO HOYMILES 2000W DTU EXTERNA 
 4 x CABO FOTOVOLTAICO 4MM² PRETO 
 176 x CABO FOTOVOLTAICO 4MM² VERMELHO 
 352 x CONECTOR MC4 PAR EMBALADO 
 ESTRUTURA FIBROCIMENTO MADEIRA 
 44 x AC TRUNK CONNECTOR - CONECTOR CA HOYMILES 
 15 x AC TRUNK END CAP - TERMINAL ENDCAP HOYMILES 
 1 x AC TRUNK CONNECTOR UNLOCK TOOL - CHAVE DESBLOQUEIO CONECTOR CA 
 1 x HMS DISCONNECT TOOL-1PCS - CHAVE DESCONEXAO MICROINVERSOR 
 87 x CABO CA MULTIPOLAR 10AWG 
 2 x DTU-LITE-S(WIFI) - MONIT DTU-LITE S (ATÉ 25 MICROS)</t>
  </si>
  <si>
    <t>173 x MODULO FV 570WP N-TYPE BIFACIAL DUAL GLASS DAS-DH144NA 
 44 x HMS-2000-4T - MICRO HOYMILES 2000W DTU EXTERNA 
 4 x CABO FOTOVOLTAICO 4MM² PRETO 
 176 x CABO FOTOVOLTAICO 4MM² VERMELHO 
 352 x CONECTOR MC4 PAR EMBALADO 
 ESTRUTURA FIBROCIMENTO MADEIRA 
 44 x AC TRUNK CONNECTOR - CONECTOR CA HOYMILES 
 15 x AC TRUNK END CAP - TERMINAL ENDCAP HOYMILES 
 1 x AC TRUNK CONNECTOR UNLOCK TOOL - CHAVE DESBLOQUEIO CONECTOR CA 
 1 x HMS DISCONNECT TOOL-1PCS - CHAVE DESCONEXAO MICROINVERSOR 
 87 x CABO CA MULTIPOLAR 10AWG 
 2 x DTU-LITE-S(WIFI) - MONIT DTU-LITE S (ATÉ 25 MICROS)</t>
  </si>
  <si>
    <t>139 x MODULO FV 710WP BIFACIAL DUAL-GLASS TRINA TSM-NEG21C.20 
 35 x HMS-2000-4T - MICRO HOYMILES 2000W DTU EXTERNA 
 4 x CABO FOTOVOLTAICO 4MM² PRETO 
 140 x CABO FOTOVOLTAICO 4MM² VERMELHO 
 280 x CONECTOR MC4 PAR TRINA 
 ESTRUTURA FIBROCIMENTO MADEIRA 
 35 x AC TRUNK CONNECTOR - CONECTOR CA HOYMILES 
 12 x AC TRUNK END CAP - TERMINAL ENDCAP HOYMILES 
 1 x AC TRUNK CONNECTOR UNLOCK TOOL - CHAVE DESBLOQUEIO CONECTOR CA 
 1 x HMS DISCONNECT TOOL-1PCS - CHAVE DESCONEXAO MICROINVERSOR 
 69 x CABO CA MULTIPOLAR 10AWG 
 2 x DTU-LITE-S(WIFI) - MONIT DTU-LITE S (ATÉ 25 MICROS)</t>
  </si>
  <si>
    <t>174 x MODULO FV 570WP N-TYPE BIFACIAL DAH SOLAR DHN-72X16/DG 
 1 x INVERSOR SOLIS 75KW 380V 75K-5G-PRO COM MONITORAMENTO 
 350 x CABO FOTOVOLTAICO 4MM² PRETO 
 350 x CABO FOTOVOLTAICO 4MM² VERMELHO 
 24 x CONECTOR MC4 PAR EMBALADO 
 ESTRUTURA FIBROCIMENTO MADEIRA</t>
  </si>
  <si>
    <t>174 x MODULO FV 570WP N-TYPE BIFACIAL DUAL GLASS DAS-DH144NA 
 1 x INVERSOR SOLIS 75KW 380V 75K-5G-PRO COM MONITORAMENTO 
 350 x CABO FOTOVOLTAICO 4MM² PRETO 
 350 x CABO FOTOVOLTAICO 4MM² VERMELHO 
 24 x CONECTOR MC4 PAR EMBALADO 
 ESTRUTURA FIBROCIMENTO MADEIRA</t>
  </si>
  <si>
    <t>174 x MODULO FV 570WP N-TYPE BIFACIAL DAH SOLAR DHN-72X16/DG 
 1 x INVERSOR SUNGROW SG75CX-P2 AFCI 380V COM MONITORAMENTO 
 350 x CABO FOTOVOLTAICO 4MM² PRETO 
 350 x CABO FOTOVOLTAICO 4MM² VERMELHO 
 20 x CONECTOR MC4 PAR EMBALADO 
 ESTRUTURA FIBROCIMENTO MADEIRA</t>
  </si>
  <si>
    <t>174 x MODULO FV 570WP N-TYPE BIFACIAL DUAL GLASS DAS-DH144NA 
 1 x INVERSOR SUNGROW SG75CX-P2 AFCI 380V COM MONITORAMENTO 
 350 x CABO FOTOVOLTAICO 4MM² PRETO 
 350 x CABO FOTOVOLTAICO 4MM² VERMELHO 
 20 x CONECTOR MC4 PAR EMBALADO 
 ESTRUTURA FIBROCIMENTO MADEIRA</t>
  </si>
  <si>
    <t>174 x MODULO FV 570WP N-TYPE BIFACIAL DAH SOLAR DHN-72X16/DG 
 44 x HMS-2000-4T - MICRO HOYMILES 2000W DTU EXTERNA 
 4 x CABO FOTOVOLTAICO 4MM² PRETO 
 176 x CABO FOTOVOLTAICO 4MM² VERMELHO 
 352 x CONECTOR MC4 PAR EMBALADO 
 ESTRUTURA FIBROCIMENTO MADEIRA 
 44 x AC TRUNK CONNECTOR - CONECTOR CA HOYMILES 
 15 x AC TRUNK END CAP - TERMINAL ENDCAP HOYMILES 
 1 x AC TRUNK CONNECTOR UNLOCK TOOL - CHAVE DESBLOQUEIO CONECTOR CA 
 1 x HMS DISCONNECT TOOL-1PCS - CHAVE DESCONEXAO MICROINVERSOR 
 87 x CABO CA MULTIPOLAR 10AWG 
 2 x DTU-LITE-S(WIFI) - MONIT DTU-LITE S (ATÉ 25 MICROS)</t>
  </si>
  <si>
    <t>174 x MODULO FV 570WP N-TYPE BIFACIAL DUAL GLASS DAS-DH144NA 
 44 x HMS-2000-4T - MICRO HOYMILES 2000W DTU EXTERNA 
 4 x CABO FOTOVOLTAICO 4MM² PRETO 
 176 x CABO FOTOVOLTAICO 4MM² VERMELHO 
 352 x CONECTOR MC4 PAR EMBALADO 
 ESTRUTURA FIBROCIMENTO MADEIRA 
 44 x AC TRUNK CONNECTOR - CONECTOR CA HOYMILES 
 15 x AC TRUNK END CAP - TERMINAL ENDCAP HOYMILES 
 1 x AC TRUNK CONNECTOR UNLOCK TOOL - CHAVE DESBLOQUEIO CONECTOR CA 
 1 x HMS DISCONNECT TOOL-1PCS - CHAVE DESCONEXAO MICROINVERSOR 
 87 x CABO CA MULTIPOLAR 10AWG 
 2 x DTU-LITE-S(WIFI) - MONIT DTU-LITE S (ATÉ 25 MICROS)</t>
  </si>
  <si>
    <t>140 x MODULO FV 710WP BIFACIAL DUAL-GLASS TRINA TSM-NEG21C.20 
 35 x HMS-2000-4T - MICRO HOYMILES 2000W DTU EXTERNA 
 4 x CABO FOTOVOLTAICO 4MM² PRETO 
 140 x CABO FOTOVOLTAICO 4MM² VERMELHO 
 280 x CONECTOR MC4 PAR TRINA 
 ESTRUTURA FIBROCIMENTO MADEIRA 
 35 x AC TRUNK CONNECTOR - CONECTOR CA HOYMILES 
 12 x AC TRUNK END CAP - TERMINAL ENDCAP HOYMILES 
 1 x AC TRUNK CONNECTOR UNLOCK TOOL - CHAVE DESBLOQUEIO CONECTOR CA 
 1 x HMS DISCONNECT TOOL-1PCS - CHAVE DESCONEXAO MICROINVERSOR 
 69 x CABO CA MULTIPOLAR 10AWG 
 2 x DTU-LITE-S(WIFI) - MONIT DTU-LITE S (ATÉ 25 MICROS)</t>
  </si>
  <si>
    <t>175 x MODULO FV 570WP N-TYPE BIFACIAL DAH SOLAR DHN-72X16/DG 
 1 x INVERSOR SOLIS 75KW 380V 75K-5G-PRO COM MONITORAMENTO 
 350 x CABO FOTOVOLTAICO 4MM² PRETO 
 350 x CABO FOTOVOLTAICO 4MM² VERMELHO 
 24 x CONECTOR MC4 PAR EMBALADO 
 ESTRUTURA FIBROCIMENTO MADEIRA</t>
  </si>
  <si>
    <t>175 x MODULO FV 570WP N-TYPE BIFACIAL DUAL GLASS DAS-DH144NA 
 1 x INVERSOR SOLIS 75KW 380V 75K-5G-PRO COM MONITORAMENTO 
 350 x CABO FOTOVOLTAICO 4MM² PRETO 
 350 x CABO FOTOVOLTAICO 4MM² VERMELHO 
 24 x CONECTOR MC4 PAR EMBALADO 
 ESTRUTURA FIBROCIMENTO MADEIRA</t>
  </si>
  <si>
    <t>175 x MODULO FV 570WP N-TYPE BIFACIAL DAH SOLAR DHN-72X16/DG 
 1 x INVERSOR SUNGROW SG75CX-P2 AFCI 380V COM MONITORAMENTO 
 350 x CABO FOTOVOLTAICO 4MM² PRETO 
 350 x CABO FOTOVOLTAICO 4MM² VERMELHO 
 20 x CONECTOR MC4 PAR EMBALADO 
 ESTRUTURA FIBROCIMENTO MADEIRA</t>
  </si>
  <si>
    <t>175 x MODULO FV 570WP N-TYPE BIFACIAL DUAL GLASS DAS-DH144NA 
 1 x INVERSOR SUNGROW SG75CX-P2 AFCI 380V COM MONITORAMENTO 
 350 x CABO FOTOVOLTAICO 4MM² PRETO 
 350 x CABO FOTOVOLTAICO 4MM² VERMELHO 
 20 x CONECTOR MC4 PAR EMBALADO 
 ESTRUTURA FIBROCIMENTO MADEIRA</t>
  </si>
  <si>
    <t>175 x MODULO FV 570WP N-TYPE BIFACIAL DAH SOLAR DHN-72X16/DG 
 44 x HMS-2000-4T - MICRO HOYMILES 2000W DTU EXTERNA 
 4 x CABO FOTOVOLTAICO 4MM² PRETO 
 176 x CABO FOTOVOLTAICO 4MM² VERMELHO 
 352 x CONECTOR MC4 PAR EMBALADO 
 ESTRUTURA FIBROCIMENTO MADEIRA 
 44 x AC TRUNK CONNECTOR - CONECTOR CA HOYMILES 
 15 x AC TRUNK END CAP - TERMINAL ENDCAP HOYMILES 
 1 x AC TRUNK CONNECTOR UNLOCK TOOL - CHAVE DESBLOQUEIO CONECTOR CA 
 1 x HMS DISCONNECT TOOL-1PCS - CHAVE DESCONEXAO MICROINVERSOR 
 87 x CABO CA MULTIPOLAR 10AWG 
 2 x DTU-LITE-S(WIFI) - MONIT DTU-LITE S (ATÉ 25 MICROS)</t>
  </si>
  <si>
    <t>175 x MODULO FV 570WP N-TYPE BIFACIAL DUAL GLASS DAS-DH144NA 
 44 x HMS-2000-4T - MICRO HOYMILES 2000W DTU EXTERNA 
 4 x CABO FOTOVOLTAICO 4MM² PRETO 
 176 x CABO FOTOVOLTAICO 4MM² VERMELHO 
 352 x CONECTOR MC4 PAR EMBALADO 
 ESTRUTURA FIBROCIMENTO MADEIRA 
 44 x AC TRUNK CONNECTOR - CONECTOR CA HOYMILES 
 15 x AC TRUNK END CAP - TERMINAL ENDCAP HOYMILES 
 1 x AC TRUNK CONNECTOR UNLOCK TOOL - CHAVE DESBLOQUEIO CONECTOR CA 
 1 x HMS DISCONNECT TOOL-1PCS - CHAVE DESCONEXAO MICROINVERSOR 
 87 x CABO CA MULTIPOLAR 10AWG 
 2 x DTU-LITE-S(WIFI) - MONIT DTU-LITE S (ATÉ 25 MICROS)</t>
  </si>
  <si>
    <t>141 x MODULO FV 710WP BIFACIAL DUAL-GLASS TRINA TSM-NEG21C.20 
 36 x HMS-2000-4T - MICRO HOYMILES 2000W DTU EXTERNA 
 4 x CABO FOTOVOLTAICO 4MM² PRETO 
 144 x CABO FOTOVOLTAICO 4MM² VERMELHO 
 288 x CONECTOR MC4 PAR TRINA 
 ESTRUTURA FIBROCIMENTO MADEIRA 
 36 x AC TRUNK CONNECTOR - CONECTOR CA HOYMILES 
 12 x AC TRUNK END CAP - TERMINAL ENDCAP HOYMILES 
 1 x AC TRUNK CONNECTOR UNLOCK TOOL - CHAVE DESBLOQUEIO CONECTOR CA 
 1 x HMS DISCONNECT TOOL-1PCS - CHAVE DESCONEXAO MICROINVERSOR 
 72 x CABO CA MULTIPOLAR 10AWG 
 2 x DTU-LITE-S(WIFI) - MONIT DTU-LITE S (ATÉ 25 MICROS)</t>
  </si>
  <si>
    <t>176 x MODULO FV 570WP N-TYPE BIFACIAL DAH SOLAR DHN-72X16/DG 
 1 x INVERSOR SUNGROW SG75CX-P2 AFCI 380V COM MONITORAMENTO 
 350 x CABO FOTOVOLTAICO 4MM² PRETO 
 350 x CABO FOTOVOLTAICO 4MM² VERMELHO 
 20 x CONECTOR MC4 PAR EMBALADO 
 ESTRUTURA FIBROCIMENTO MADEIRA</t>
  </si>
  <si>
    <t>176 x MODULO FV 570WP N-TYPE BIFACIAL DUAL GLASS DAS-DH144NA 
 1 x INVERSOR SUNGROW SG75CX-P2 AFCI 380V COM MONITORAMENTO 
 350 x CABO FOTOVOLTAICO 4MM² PRETO 
 350 x CABO FOTOVOLTAICO 4MM² VERMELHO 
 20 x CONECTOR MC4 PAR EMBALADO 
 ESTRUTURA FIBROCIMENTO MADEIRA</t>
  </si>
  <si>
    <t>176 x MODULO FV 570WP N-TYPE BIFACIAL DAH SOLAR DHN-72X16/DG 
 44 x HMS-2000-4T - MICRO HOYMILES 2000W DTU EXTERNA 
 4 x CABO FOTOVOLTAICO 4MM² PRETO 
 176 x CABO FOTOVOLTAICO 4MM² VERMELHO 
 352 x CONECTOR MC4 PAR EMBALADO 
 ESTRUTURA FIBROCIMENTO MADEIRA 
 44 x AC TRUNK CONNECTOR - CONECTOR CA HOYMILES 
 15 x AC TRUNK END CAP - TERMINAL ENDCAP HOYMILES 
 1 x AC TRUNK CONNECTOR UNLOCK TOOL - CHAVE DESBLOQUEIO CONECTOR CA 
 1 x HMS DISCONNECT TOOL-1PCS - CHAVE DESCONEXAO MICROINVERSOR 
 87 x CABO CA MULTIPOLAR 10AWG 
 2 x DTU-LITE-S(WIFI) - MONIT DTU-LITE S (ATÉ 25 MICROS)</t>
  </si>
  <si>
    <t>176 x MODULO FV 570WP N-TYPE BIFACIAL DUAL GLASS DAS-DH144NA 
 44 x HMS-2000-4T - MICRO HOYMILES 2000W DTU EXTERNA 
 4 x CABO FOTOVOLTAICO 4MM² PRETO 
 176 x CABO FOTOVOLTAICO 4MM² VERMELHO 
 352 x CONECTOR MC4 PAR EMBALADO 
 ESTRUTURA FIBROCIMENTO MADEIRA 
 44 x AC TRUNK CONNECTOR - CONECTOR CA HOYMILES 
 15 x AC TRUNK END CAP - TERMINAL ENDCAP HOYMILES 
 1 x AC TRUNK CONNECTOR UNLOCK TOOL - CHAVE DESBLOQUEIO CONECTOR CA 
 1 x HMS DISCONNECT TOOL-1PCS - CHAVE DESCONEXAO MICROINVERSOR 
 87 x CABO CA MULTIPOLAR 10AWG 
 2 x DTU-LITE-S(WIFI) - MONIT DTU-LITE S (ATÉ 25 MICROS)</t>
  </si>
  <si>
    <t>142 x MODULO FV 710WP BIFACIAL DUAL-GLASS TRINA TSM-NEG21C.20 
 36 x HMS-2000-4T - MICRO HOYMILES 2000W DTU EXTERNA 
 4 x CABO FOTOVOLTAICO 4MM² PRETO 
 144 x CABO FOTOVOLTAICO 4MM² VERMELHO 
 288 x CONECTOR MC4 PAR TRINA 
 ESTRUTURA FIBROCIMENTO MADEIRA 
 36 x AC TRUNK CONNECTOR - CONECTOR CA HOYMILES 
 12 x AC TRUNK END CAP - TERMINAL ENDCAP HOYMILES 
 1 x AC TRUNK CONNECTOR UNLOCK TOOL - CHAVE DESBLOQUEIO CONECTOR CA 
 1 x HMS DISCONNECT TOOL-1PCS - CHAVE DESCONEXAO MICROINVERSOR 
 72 x CABO CA MULTIPOLAR 10AWG 
 2 x DTU-LITE-S(WIFI) - MONIT DTU-LITE S (ATÉ 25 MICROS)</t>
  </si>
  <si>
    <t>177 x MODULO FV 570WP N-TYPE BIFACIAL DAH SOLAR DHN-72X16/DG 
 1 x INVERSOR SOLIS 75KW 380V 75K-5G-PRO COM MONITORAMENTO 
 350 x CABO FOTOVOLTAICO 4MM² PRETO 
 350 x CABO FOTOVOLTAICO 4MM² VERMELHO 
 24 x CONECTOR MC4 PAR EMBALADO 
 ESTRUTURA FIBROCIMENTO MADEIRA</t>
  </si>
  <si>
    <t>177 x MODULO FV 570WP N-TYPE BIFACIAL DUAL GLASS DAS-DH144NA 
 1 x INVERSOR SOLIS 75KW 380V 75K-5G-PRO COM MONITORAMENTO 
 350 x CABO FOTOVOLTAICO 4MM² PRETO 
 350 x CABO FOTOVOLTAICO 4MM² VERMELHO 
 24 x CONECTOR MC4 PAR EMBALADO 
 ESTRUTURA FIBROCIMENTO MADEIRA</t>
  </si>
  <si>
    <t>177 x MODULO FV 570WP N-TYPE BIFACIAL DAH SOLAR DHN-72X16/DG 
 1 x INVERSOR SUNGROW SG75CX-P2 AFCI 380V COM MONITORAMENTO 
 350 x CABO FOTOVOLTAICO 4MM² PRETO 
 350 x CABO FOTOVOLTAICO 4MM² VERMELHO 
 20 x CONECTOR MC4 PAR EMBALADO 
 ESTRUTURA FIBROCIMENTO MADEIRA</t>
  </si>
  <si>
    <t>177 x MODULO FV 570WP N-TYPE BIFACIAL DUAL GLASS DAS-DH144NA 
 1 x INVERSOR SUNGROW SG75CX-P2 AFCI 380V COM MONITORAMENTO 
 350 x CABO FOTOVOLTAICO 4MM² PRETO 
 350 x CABO FOTOVOLTAICO 4MM² VERMELHO 
 20 x CONECTOR MC4 PAR EMBALADO 
 ESTRUTURA FIBROCIMENTO MADEIRA</t>
  </si>
  <si>
    <t>90</t>
  </si>
  <si>
    <t>177 x MODULO FV 570WP N-TYPE BIFACIAL DAH SOLAR DHN-72X16/DG 
 45 x HMS-2000-4T - MICRO HOYMILES 2000W DTU EXTERNA 
 4 x CABO FOTOVOLTAICO 4MM² PRETO 
 180 x CABO FOTOVOLTAICO 4MM² VERMELHO 
 360 x CONECTOR MC4 PAR EMBALADO 
 ESTRUTURA FIBROCIMENTO MADEIRA 
 45 x AC TRUNK CONNECTOR - CONECTOR CA HOYMILES 
 15 x AC TRUNK END CAP - TERMINAL ENDCAP HOYMILES 
 1 x AC TRUNK CONNECTOR UNLOCK TOOL - CHAVE DESBLOQUEIO CONECTOR CA 
 1 x HMS DISCONNECT TOOL-1PCS - CHAVE DESCONEXAO MICROINVERSOR 
 90 x CABO CA MULTIPOLAR 10AWG 
 2 x DTU-LITE-S(WIFI) - MONIT DTU-LITE S (ATÉ 25 MICROS)</t>
  </si>
  <si>
    <t>177 x MODULO FV 570WP N-TYPE BIFACIAL DUAL GLASS DAS-DH144NA 
 45 x HMS-2000-4T - MICRO HOYMILES 2000W DTU EXTERNA 
 4 x CABO FOTOVOLTAICO 4MM² PRETO 
 180 x CABO FOTOVOLTAICO 4MM² VERMELHO 
 360 x CONECTOR MC4 PAR EMBALADO 
 ESTRUTURA FIBROCIMENTO MADEIRA 
 45 x AC TRUNK CONNECTOR - CONECTOR CA HOYMILES 
 15 x AC TRUNK END CAP - TERMINAL ENDCAP HOYMILES 
 1 x AC TRUNK CONNECTOR UNLOCK TOOL - CHAVE DESBLOQUEIO CONECTOR CA 
 1 x HMS DISCONNECT TOOL-1PCS - CHAVE DESCONEXAO MICROINVERSOR 
 90 x CABO CA MULTIPOLAR 10AWG 
 2 x DTU-LITE-S(WIFI) - MONIT DTU-LITE S (ATÉ 25 MICROS)</t>
  </si>
  <si>
    <t>178 x MODULO FV 570WP N-TYPE BIFACIAL DAH SOLAR DHN-72X16/DG 
 1 x INVERSOR SOLIS 75KW 380V 75K-5G-PRO COM MONITORAMENTO 
 350 x CABO FOTOVOLTAICO 4MM² PRETO 
 350 x CABO FOTOVOLTAICO 4MM² VERMELHO 
 24 x CONECTOR MC4 PAR EMBALADO 
 ESTRUTURA FIBROCIMENTO MADEIRA</t>
  </si>
  <si>
    <t>178 x MODULO FV 570WP N-TYPE BIFACIAL DUAL GLASS DAS-DH144NA 
 1 x INVERSOR SOLIS 75KW 380V 75K-5G-PRO COM MONITORAMENTO 
 350 x CABO FOTOVOLTAICO 4MM² PRETO 
 350 x CABO FOTOVOLTAICO 4MM² VERMELHO 
 24 x CONECTOR MC4 PAR EMBALADO 
 ESTRUTURA FIBROCIMENTO MADEIRA</t>
  </si>
  <si>
    <t>178 x MODULO FV 570WP N-TYPE BIFACIAL DAH SOLAR DHN-72X16/DG 
 1 x INVERSOR SUNGROW SG75CX-P2 AFCI 380V COM MONITORAMENTO 
 350 x CABO FOTOVOLTAICO 4MM² PRETO 
 350 x CABO FOTOVOLTAICO 4MM² VERMELHO 
 20 x CONECTOR MC4 PAR EMBALADO 
 ESTRUTURA FIBROCIMENTO MADEIRA</t>
  </si>
  <si>
    <t>178 x MODULO FV 570WP N-TYPE BIFACIAL DUAL GLASS DAS-DH144NA 
 1 x INVERSOR SUNGROW SG75CX-P2 AFCI 380V COM MONITORAMENTO 
 350 x CABO FOTOVOLTAICO 4MM² PRETO 
 350 x CABO FOTOVOLTAICO 4MM² VERMELHO 
 20 x CONECTOR MC4 PAR EMBALADO 
 ESTRUTURA FIBROCIMENTO MADEIRA</t>
  </si>
  <si>
    <t>178 x MODULO FV 570WP N-TYPE BIFACIAL DAH SOLAR DHN-72X16/DG 
 45 x HMS-2000-4T - MICRO HOYMILES 2000W DTU EXTERNA 
 4 x CABO FOTOVOLTAICO 4MM² PRETO 
 180 x CABO FOTOVOLTAICO 4MM² VERMELHO 
 360 x CONECTOR MC4 PAR EMBALADO 
 ESTRUTURA FIBROCIMENTO MADEIRA 
 45 x AC TRUNK CONNECTOR - CONECTOR CA HOYMILES 
 15 x AC TRUNK END CAP - TERMINAL ENDCAP HOYMILES 
 1 x AC TRUNK CONNECTOR UNLOCK TOOL - CHAVE DESBLOQUEIO CONECTOR CA 
 1 x HMS DISCONNECT TOOL-1PCS - CHAVE DESCONEXAO MICROINVERSOR 
 90 x CABO CA MULTIPOLAR 10AWG 
 2 x DTU-LITE-S(WIFI) - MONIT DTU-LITE S (ATÉ 25 MICROS)</t>
  </si>
  <si>
    <t>178 x MODULO FV 570WP N-TYPE BIFACIAL DUAL GLASS DAS-DH144NA 
 45 x HMS-2000-4T - MICRO HOYMILES 2000W DTU EXTERNA 
 4 x CABO FOTOVOLTAICO 4MM² PRETO 
 180 x CABO FOTOVOLTAICO 4MM² VERMELHO 
 360 x CONECTOR MC4 PAR EMBALADO 
 ESTRUTURA FIBROCIMENTO MADEIRA 
 45 x AC TRUNK CONNECTOR - CONECTOR CA HOYMILES 
 15 x AC TRUNK END CAP - TERMINAL ENDCAP HOYMILES 
 1 x AC TRUNK CONNECTOR UNLOCK TOOL - CHAVE DESBLOQUEIO CONECTOR CA 
 1 x HMS DISCONNECT TOOL-1PCS - CHAVE DESCONEXAO MICROINVERSOR 
 90 x CABO CA MULTIPOLAR 10AWG 
 2 x DTU-LITE-S(WIFI) - MONIT DTU-LITE S (ATÉ 25 MICROS)</t>
  </si>
  <si>
    <t>143 x MODULO FV 710WP BIFACIAL DUAL-GLASS TRINA TSM-NEG21C.20 
 36 x HMS-2000-4T - MICRO HOYMILES 2000W DTU EXTERNA 
 4 x CABO FOTOVOLTAICO 4MM² PRETO 
 144 x CABO FOTOVOLTAICO 4MM² VERMELHO 
 288 x CONECTOR MC4 PAR TRINA 
 ESTRUTURA FIBROCIMENTO MADEIRA 
 36 x AC TRUNK CONNECTOR - CONECTOR CA HOYMILES 
 12 x AC TRUNK END CAP - TERMINAL ENDCAP HOYMILES 
 1 x AC TRUNK CONNECTOR UNLOCK TOOL - CHAVE DESBLOQUEIO CONECTOR CA 
 1 x HMS DISCONNECT TOOL-1PCS - CHAVE DESCONEXAO MICROINVERSOR 
 72 x CABO CA MULTIPOLAR 10AWG 
 2 x DTU-LITE-S(WIFI) - MONIT DTU-LITE S (ATÉ 25 MICROS)</t>
  </si>
  <si>
    <t>179 x MODULO FV 570WP N-TYPE BIFACIAL DAH SOLAR DHN-72X16/DG 
 1 x INVERSOR SUNGROW SG75CX-P2 AFCI 380V COM MONITORAMENTO 
 350 x CABO FOTOVOLTAICO 4MM² PRETO 
 350 x CABO FOTOVOLTAICO 4MM² VERMELHO 
 20 x CONECTOR MC4 PAR EMBALADO 
 ESTRUTURA FIBROCIMENTO MADEIRA</t>
  </si>
  <si>
    <t>179 x MODULO FV 570WP N-TYPE BIFACIAL DUAL GLASS DAS-DH144NA 
 1 x INVERSOR SUNGROW SG75CX-P2 AFCI 380V COM MONITORAMENTO 
 350 x CABO FOTOVOLTAICO 4MM² PRETO 
 350 x CABO FOTOVOLTAICO 4MM² VERMELHO 
 20 x CONECTOR MC4 PAR EMBALADO 
 ESTRUTURA FIBROCIMENTO MADEIRA</t>
  </si>
  <si>
    <t>179 x MODULO FV 570WP N-TYPE BIFACIAL DAH SOLAR DHN-72X16/DG 
 45 x HMS-2000-4T - MICRO HOYMILES 2000W DTU EXTERNA 
 4 x CABO FOTOVOLTAICO 4MM² PRETO 
 180 x CABO FOTOVOLTAICO 4MM² VERMELHO 
 360 x CONECTOR MC4 PAR EMBALADO 
 ESTRUTURA FIBROCIMENTO MADEIRA 
 45 x AC TRUNK CONNECTOR - CONECTOR CA HOYMILES 
 15 x AC TRUNK END CAP - TERMINAL ENDCAP HOYMILES 
 1 x AC TRUNK CONNECTOR UNLOCK TOOL - CHAVE DESBLOQUEIO CONECTOR CA 
 1 x HMS DISCONNECT TOOL-1PCS - CHAVE DESCONEXAO MICROINVERSOR 
 90 x CABO CA MULTIPOLAR 10AWG 
 2 x DTU-LITE-S(WIFI) - MONIT DTU-LITE S (ATÉ 25 MICROS)</t>
  </si>
  <si>
    <t>179 x MODULO FV 570WP N-TYPE BIFACIAL DUAL GLASS DAS-DH144NA 
 45 x HMS-2000-4T - MICRO HOYMILES 2000W DTU EXTERNA 
 4 x CABO FOTOVOLTAICO 4MM² PRETO 
 180 x CABO FOTOVOLTAICO 4MM² VERMELHO 
 360 x CONECTOR MC4 PAR EMBALADO 
 ESTRUTURA FIBROCIMENTO MADEIRA 
 45 x AC TRUNK CONNECTOR - CONECTOR CA HOYMILES 
 15 x AC TRUNK END CAP - TERMINAL ENDCAP HOYMILES 
 1 x AC TRUNK CONNECTOR UNLOCK TOOL - CHAVE DESBLOQUEIO CONECTOR CA 
 1 x HMS DISCONNECT TOOL-1PCS - CHAVE DESCONEXAO MICROINVERSOR 
 90 x CABO CA MULTIPOLAR 10AWG 
 2 x DTU-LITE-S(WIFI) - MONIT DTU-LITE S (ATÉ 25 MICROS)</t>
  </si>
  <si>
    <t>144 x MODULO FV 710WP BIFACIAL DUAL-GLASS TRINA TSM-NEG21C.20 
 36 x HMS-2000-4T - MICRO HOYMILES 2000W DTU EXTERNA 
 4 x CABO FOTOVOLTAICO 4MM² PRETO 
 144 x CABO FOTOVOLTAICO 4MM² VERMELHO 
 288 x CONECTOR MC4 PAR TRINA 
 ESTRUTURA FIBROCIMENTO MADEIRA 
 36 x AC TRUNK CONNECTOR - CONECTOR CA HOYMILES 
 12 x AC TRUNK END CAP - TERMINAL ENDCAP HOYMILES 
 1 x AC TRUNK CONNECTOR UNLOCK TOOL - CHAVE DESBLOQUEIO CONECTOR CA 
 1 x HMS DISCONNECT TOOL-1PCS - CHAVE DESCONEXAO MICROINVERSOR 
 72 x CABO CA MULTIPOLAR 10AWG 
 2 x DTU-LITE-S(WIFI) - MONIT DTU-LITE S (ATÉ 25 MICROS)</t>
  </si>
  <si>
    <t>180 x MODULO FV 570WP N-TYPE BIFACIAL DAH SOLAR DHN-72X16/DG 
 1 x INVERSOR SOLIS 75KW 380V 75K-5G-PRO COM MONITORAMENTO 
 350 x CABO FOTOVOLTAICO 4MM² PRETO 
 350 x CABO FOTOVOLTAICO 4MM² VERMELHO 
 24 x CONECTOR MC4 PAR EMBALADO 
 ESTRUTURA FIBROCIMENTO MADEIRA</t>
  </si>
  <si>
    <t>180 x MODULO FV 570WP N-TYPE BIFACIAL DUAL GLASS DAS-DH144NA 
 1 x INVERSOR SOLIS 75KW 380V 75K-5G-PRO COM MONITORAMENTO 
 350 x CABO FOTOVOLTAICO 4MM² PRETO 
 350 x CABO FOTOVOLTAICO 4MM² VERMELHO 
 24 x CONECTOR MC4 PAR EMBALADO 
 ESTRUTURA FIBROCIMENTO MADEIRA</t>
  </si>
  <si>
    <t>180 x MODULO FV 570WP N-TYPE BIFACIAL DAH SOLAR DHN-72X16/DG 
 1 x INVERSOR SUNGROW SG75CX-P2 AFCI 380V COM MONITORAMENTO 
 350 x CABO FOTOVOLTAICO 4MM² PRETO 
 350 x CABO FOTOVOLTAICO 4MM² VERMELHO 
 20 x CONECTOR MC4 PAR EMBALADO 
 ESTRUTURA FIBROCIMENTO MADEIRA</t>
  </si>
  <si>
    <t>180 x MODULO FV 570WP N-TYPE BIFACIAL DUAL GLASS DAS-DH144NA 
 1 x INVERSOR SUNGROW SG75CX-P2 AFCI 380V COM MONITORAMENTO 
 350 x CABO FOTOVOLTAICO 4MM² PRETO 
 350 x CABO FOTOVOLTAICO 4MM² VERMELHO 
 20 x CONECTOR MC4 PAR EMBALADO 
 ESTRUTURA FIBROCIMENTO MADEIRA</t>
  </si>
  <si>
    <t>180 x MODULO FV 570WP N-TYPE BIFACIAL DAH SOLAR DHN-72X16/DG 
 45 x HMS-2000-4T - MICRO HOYMILES 2000W DTU EXTERNA 
 4 x CABO FOTOVOLTAICO 4MM² PRETO 
 180 x CABO FOTOVOLTAICO 4MM² VERMELHO 
 360 x CONECTOR MC4 PAR EMBALADO 
 ESTRUTURA FIBROCIMENTO MADEIRA 
 45 x AC TRUNK CONNECTOR - CONECTOR CA HOYMILES 
 15 x AC TRUNK END CAP - TERMINAL ENDCAP HOYMILES 
 1 x AC TRUNK CONNECTOR UNLOCK TOOL - CHAVE DESBLOQUEIO CONECTOR CA 
 1 x HMS DISCONNECT TOOL-1PCS - CHAVE DESCONEXAO MICROINVERSOR 
 90 x CABO CA MULTIPOLAR 10AWG 
 2 x DTU-LITE-S(WIFI) - MONIT DTU-LITE S (ATÉ 25 MICROS)</t>
  </si>
  <si>
    <t>180 x MODULO FV 570WP N-TYPE BIFACIAL DUAL GLASS DAS-DH144NA 
 45 x HMS-2000-4T - MICRO HOYMILES 2000W DTU EXTERNA 
 4 x CABO FOTOVOLTAICO 4MM² PRETO 
 180 x CABO FOTOVOLTAICO 4MM² VERMELHO 
 360 x CONECTOR MC4 PAR EMBALADO 
 ESTRUTURA FIBROCIMENTO MADEIRA 
 45 x AC TRUNK CONNECTOR - CONECTOR CA HOYMILES 
 15 x AC TRUNK END CAP - TERMINAL ENDCAP HOYMILES 
 1 x AC TRUNK CONNECTOR UNLOCK TOOL - CHAVE DESBLOQUEIO CONECTOR CA 
 1 x HMS DISCONNECT TOOL-1PCS - CHAVE DESCONEXAO MICROINVERSOR 
 90 x CABO CA MULTIPOLAR 10AWG 
 2 x DTU-LITE-S(WIFI) - MONIT DTU-LITE S (ATÉ 25 MICROS)</t>
  </si>
  <si>
    <t>145 x MODULO FV 710WP BIFACIAL DUAL-GLASS TRINA TSM-NEG21C.20 
 37 x HMS-2000-4T - MICRO HOYMILES 2000W DTU EXTERNA 
 4 x CABO FOTOVOLTAICO 4MM² PRETO 
 148 x CABO FOTOVOLTAICO 4MM² VERMELHO 
 296 x CONECTOR MC4 PAR TRINA 
 ESTRUTURA FIBROCIMENTO MADEIRA 
 37 x AC TRUNK CONNECTOR - CONECTOR CA HOYMILES 
 13 x AC TRUNK END CAP - TERMINAL ENDCAP HOYMILES 
 1 x AC TRUNK CONNECTOR UNLOCK TOOL - CHAVE DESBLOQUEIO CONECTOR CA 
 1 x HMS DISCONNECT TOOL-1PCS - CHAVE DESCONEXAO MICROINVERSOR 
 72 x CABO CA MULTIPOLAR 10AWG 
 2 x DTU-LITE-S(WIFI) - MONIT DTU-LITE S (ATÉ 25 MICROS)</t>
  </si>
  <si>
    <t>181 x MODULO FV 570WP N-TYPE BIFACIAL DAH SOLAR DHN-72X16/DG 
 1 x INVERSOR SOLIS 75KW 380V 75K-5G-PRO COM MONITORAMENTO 
 350 x CABO FOTOVOLTAICO 4MM² PRETO 
 350 x CABO FOTOVOLTAICO 4MM² VERMELHO 
 24 x CONECTOR MC4 PAR EMBALADO 
 ESTRUTURA FIBROCIMENTO MADEIRA</t>
  </si>
  <si>
    <t>181 x MODULO FV 570WP N-TYPE BIFACIAL DUAL GLASS DAS-DH144NA 
 1 x INVERSOR SOLIS 75KW 380V 75K-5G-PRO COM MONITORAMENTO 
 350 x CABO FOTOVOLTAICO 4MM² PRETO 
 350 x CABO FOTOVOLTAICO 4MM² VERMELHO 
 24 x CONECTOR MC4 PAR EMBALADO 
 ESTRUTURA FIBROCIMENTO MADEIRA</t>
  </si>
  <si>
    <t>181 x MODULO FV 570WP N-TYPE BIFACIAL DAH SOLAR DHN-72X16/DG 
 1 x INVERSOR SUNGROW SG75CX-P2 AFCI 380V COM MONITORAMENTO 
 350 x CABO FOTOVOLTAICO 4MM² PRETO 
 350 x CABO FOTOVOLTAICO 4MM² VERMELHO 
 20 x CONECTOR MC4 PAR EMBALADO 
 ESTRUTURA FIBROCIMENTO MADEIRA</t>
  </si>
  <si>
    <t>181 x MODULO FV 570WP N-TYPE BIFACIAL DUAL GLASS DAS-DH144NA 
 1 x INVERSOR SUNGROW SG75CX-P2 AFCI 380V COM MONITORAMENTO 
 350 x CABO FOTOVOLTAICO 4MM² PRETO 
 350 x CABO FOTOVOLTAICO 4MM² VERMELHO 
 20 x CONECTOR MC4 PAR EMBALADO 
 ESTRUTURA FIBROCIMENTO MADEIRA</t>
  </si>
  <si>
    <t>181 x MODULO FV 570WP N-TYPE BIFACIAL DAH SOLAR DHN-72X16/DG 
 46 x HMS-2000-4T - MICRO HOYMILES 2000W DTU EXTERNA 
 4 x CABO FOTOVOLTAICO 4MM² PRETO 
 184 x CABO FOTOVOLTAICO 4MM² VERMELHO 
 368 x CONECTOR MC4 PAR EMBALADO 
 ESTRUTURA FIBROCIMENTO MADEIRA 
 46 x AC TRUNK CONNECTOR - CONECTOR CA HOYMILES 
 16 x AC TRUNK END CAP - TERMINAL ENDCAP HOYMILES 
 1 x AC TRUNK CONNECTOR UNLOCK TOOL - CHAVE DESBLOQUEIO CONECTOR CA 
 1 x HMS DISCONNECT TOOL-1PCS - CHAVE DESCONEXAO MICROINVERSOR 
 90 x CABO CA MULTIPOLAR 10AWG 
 2 x DTU-LITE-S(WIFI) - MONIT DTU-LITE S (ATÉ 25 MICROS)</t>
  </si>
  <si>
    <t>181 x MODULO FV 570WP N-TYPE BIFACIAL DUAL GLASS DAS-DH144NA 
 46 x HMS-2000-4T - MICRO HOYMILES 2000W DTU EXTERNA 
 4 x CABO FOTOVOLTAICO 4MM² PRETO 
 184 x CABO FOTOVOLTAICO 4MM² VERMELHO 
 368 x CONECTOR MC4 PAR EMBALADO 
 ESTRUTURA FIBROCIMENTO MADEIRA 
 46 x AC TRUNK CONNECTOR - CONECTOR CA HOYMILES 
 16 x AC TRUNK END CAP - TERMINAL ENDCAP HOYMILES 
 1 x AC TRUNK CONNECTOR UNLOCK TOOL - CHAVE DESBLOQUEIO CONECTOR CA 
 1 x HMS DISCONNECT TOOL-1PCS - CHAVE DESCONEXAO MICROINVERSOR 
 90 x CABO CA MULTIPOLAR 10AWG 
 2 x DTU-LITE-S(WIFI) - MONIT DTU-LITE S (ATÉ 25 MICROS)</t>
  </si>
  <si>
    <t>146 x MODULO FV 710WP BIFACIAL DUAL-GLASS TRINA TSM-NEG21C.20 
 37 x HMS-2000-4T - MICRO HOYMILES 2000W DTU EXTERNA 
 4 x CABO FOTOVOLTAICO 4MM² PRETO 
 148 x CABO FOTOVOLTAICO 4MM² VERMELHO 
 296 x CONECTOR MC4 PAR TRINA 
 ESTRUTURA FIBROCIMENTO MADEIRA 
 37 x AC TRUNK CONNECTOR - CONECTOR CA HOYMILES 
 13 x AC TRUNK END CAP - TERMINAL ENDCAP HOYMILES 
 1 x AC TRUNK CONNECTOR UNLOCK TOOL - CHAVE DESBLOQUEIO CONECTOR CA 
 1 x HMS DISCONNECT TOOL-1PCS - CHAVE DESCONEXAO MICROINVERSOR 
 72 x CABO CA MULTIPOLAR 10AWG 
 2 x DTU-LITE-S(WIFI) - MONIT DTU-LITE S (ATÉ 25 MICROS)</t>
  </si>
  <si>
    <t>182 x MODULO FV 570WP N-TYPE BIFACIAL DAH SOLAR DHN-72X16/DG 
 1 x INVERSOR SUNGROW SG75CX-P2 AFCI 380V COM MONITORAMENTO 
 350 x CABO FOTOVOLTAICO 4MM² PRETO 
 350 x CABO FOTOVOLTAICO 4MM² VERMELHO 
 20 x CONECTOR MC4 PAR EMBALADO 
 ESTRUTURA FIBROCIMENTO MADEIRA</t>
  </si>
  <si>
    <t>182 x MODULO FV 570WP N-TYPE BIFACIAL DUAL GLASS DAS-DH144NA 
 1 x INVERSOR SUNGROW SG75CX-P2 AFCI 380V COM MONITORAMENTO 
 350 x CABO FOTOVOLTAICO 4MM² PRETO 
 350 x CABO FOTOVOLTAICO 4MM² VERMELHO 
 20 x CONECTOR MC4 PAR EMBALADO 
 ESTRUTURA FIBROCIMENTO MADEIRA</t>
  </si>
  <si>
    <t>182 x MODULO FV 570WP N-TYPE BIFACIAL DAH SOLAR DHN-72X16/DG 
 46 x HMS-2000-4T - MICRO HOYMILES 2000W DTU EXTERNA 
 4 x CABO FOTOVOLTAICO 4MM² PRETO 
 184 x CABO FOTOVOLTAICO 4MM² VERMELHO 
 368 x CONECTOR MC4 PAR EMBALADO 
 ESTRUTURA FIBROCIMENTO MADEIRA 
 46 x AC TRUNK CONNECTOR - CONECTOR CA HOYMILES 
 16 x AC TRUNK END CAP - TERMINAL ENDCAP HOYMILES 
 1 x AC TRUNK CONNECTOR UNLOCK TOOL - CHAVE DESBLOQUEIO CONECTOR CA 
 1 x HMS DISCONNECT TOOL-1PCS - CHAVE DESCONEXAO MICROINVERSOR 
 90 x CABO CA MULTIPOLAR 10AWG 
 2 x DTU-LITE-S(WIFI) - MONIT DTU-LITE S (ATÉ 25 MICROS)</t>
  </si>
  <si>
    <t>182 x MODULO FV 570WP N-TYPE BIFACIAL DUAL GLASS DAS-DH144NA 
 46 x HMS-2000-4T - MICRO HOYMILES 2000W DTU EXTERNA 
 4 x CABO FOTOVOLTAICO 4MM² PRETO 
 184 x CABO FOTOVOLTAICO 4MM² VERMELHO 
 368 x CONECTOR MC4 PAR EMBALADO 
 ESTRUTURA FIBROCIMENTO MADEIRA 
 46 x AC TRUNK CONNECTOR - CONECTOR CA HOYMILES 
 16 x AC TRUNK END CAP - TERMINAL ENDCAP HOYMILES 
 1 x AC TRUNK CONNECTOR UNLOCK TOOL - CHAVE DESBLOQUEIO CONECTOR CA 
 1 x HMS DISCONNECT TOOL-1PCS - CHAVE DESCONEXAO MICROINVERSOR 
 90 x CABO CA MULTIPOLAR 10AWG 
 2 x DTU-LITE-S(WIFI) - MONIT DTU-LITE S (ATÉ 25 MICROS)</t>
  </si>
  <si>
    <t>183 x MODULO FV 570WP N-TYPE BIFACIAL DAH SOLAR DHN-72X16/DG 
 1 x INVERSOR SOLIS 75KW 380V 75K-5G-PRO COM MONITORAMENTO 
 350 x CABO FOTOVOLTAICO 4MM² PRETO 
 350 x CABO FOTOVOLTAICO 4MM² VERMELHO 
 24 x CONECTOR MC4 PAR EMBALADO 
 ESTRUTURA FIBROCIMENTO MADEIRA</t>
  </si>
  <si>
    <t>183 x MODULO FV 570WP N-TYPE BIFACIAL DUAL GLASS DAS-DH144NA 
 1 x INVERSOR SOLIS 75KW 380V 75K-5G-PRO COM MONITORAMENTO 
 350 x CABO FOTOVOLTAICO 4MM² PRETO 
 350 x CABO FOTOVOLTAICO 4MM² VERMELHO 
 24 x CONECTOR MC4 PAR EMBALADO 
 ESTRUTURA FIBROCIMENTO MADEIRA</t>
  </si>
  <si>
    <t>183 x MODULO FV 570WP N-TYPE BIFACIAL DAH SOLAR DHN-72X16/DG 
 1 x INVERSOR SUNGROW SG75CX-P2 AFCI 380V COM MONITORAMENTO 
 350 x CABO FOTOVOLTAICO 4MM² PRETO 
 350 x CABO FOTOVOLTAICO 4MM² VERMELHO 
 20 x CONECTOR MC4 PAR EMBALADO 
 ESTRUTURA FIBROCIMENTO MADEIRA</t>
  </si>
  <si>
    <t>183 x MODULO FV 570WP N-TYPE BIFACIAL DUAL GLASS DAS-DH144NA 
 1 x INVERSOR SUNGROW SG75CX-P2 AFCI 380V COM MONITORAMENTO 
 350 x CABO FOTOVOLTAICO 4MM² PRETO 
 350 x CABO FOTOVOLTAICO 4MM² VERMELHO 
 20 x CONECTOR MC4 PAR EMBALADO 
 ESTRUTURA FIBROCIMENTO MADEIRA</t>
  </si>
  <si>
    <t>183 x MODULO FV 570WP N-TYPE BIFACIAL DAH SOLAR DHN-72X16/DG 
 46 x HMS-2000-4T - MICRO HOYMILES 2000W DTU EXTERNA 
 4 x CABO FOTOVOLTAICO 4MM² PRETO 
 184 x CABO FOTOVOLTAICO 4MM² VERMELHO 
 368 x CONECTOR MC4 PAR EMBALADO 
 ESTRUTURA FIBROCIMENTO MADEIRA 
 46 x AC TRUNK CONNECTOR - CONECTOR CA HOYMILES 
 16 x AC TRUNK END CAP - TERMINAL ENDCAP HOYMILES 
 1 x AC TRUNK CONNECTOR UNLOCK TOOL - CHAVE DESBLOQUEIO CONECTOR CA 
 1 x HMS DISCONNECT TOOL-1PCS - CHAVE DESCONEXAO MICROINVERSOR 
 90 x CABO CA MULTIPOLAR 10AWG 
 2 x DTU-LITE-S(WIFI) - MONIT DTU-LITE S (ATÉ 25 MICROS)</t>
  </si>
  <si>
    <t>183 x MODULO FV 570WP N-TYPE BIFACIAL DUAL GLASS DAS-DH144NA 
 46 x HMS-2000-4T - MICRO HOYMILES 2000W DTU EXTERNA 
 4 x CABO FOTOVOLTAICO 4MM² PRETO 
 184 x CABO FOTOVOLTAICO 4MM² VERMELHO 
 368 x CONECTOR MC4 PAR EMBALADO 
 ESTRUTURA FIBROCIMENTO MADEIRA 
 46 x AC TRUNK CONNECTOR - CONECTOR CA HOYMILES 
 16 x AC TRUNK END CAP - TERMINAL ENDCAP HOYMILES 
 1 x AC TRUNK CONNECTOR UNLOCK TOOL - CHAVE DESBLOQUEIO CONECTOR CA 
 1 x HMS DISCONNECT TOOL-1PCS - CHAVE DESCONEXAO MICROINVERSOR 
 90 x CABO CA MULTIPOLAR 10AWG 
 2 x DTU-LITE-S(WIFI) - MONIT DTU-LITE S (ATÉ 25 MICROS)</t>
  </si>
  <si>
    <t>147 x MODULO FV 710WP BIFACIAL DUAL-GLASS TRINA TSM-NEG21C.20 
 37 x HMS-2000-4T - MICRO HOYMILES 2000W DTU EXTERNA 
 4 x CABO FOTOVOLTAICO 4MM² PRETO 
 148 x CABO FOTOVOLTAICO 4MM² VERMELHO 
 296 x CONECTOR MC4 PAR TRINA 
 ESTRUTURA FIBROCIMENTO MADEIRA 
 37 x AC TRUNK CONNECTOR - CONECTOR CA HOYMILES 
 13 x AC TRUNK END CAP - TERMINAL ENDCAP HOYMILES 
 1 x AC TRUNK CONNECTOR UNLOCK TOOL - CHAVE DESBLOQUEIO CONECTOR CA 
 1 x HMS DISCONNECT TOOL-1PCS - CHAVE DESCONEXAO MICROINVERSOR 
 72 x CABO CA MULTIPOLAR 10AWG 
 2 x DTU-LITE-S(WIFI) - MONIT DTU-LITE S (ATÉ 25 MICROS)</t>
  </si>
  <si>
    <t>184 x MODULO FV 570WP N-TYPE BIFACIAL DAH SOLAR DHN-72X16/DG 
 1 x INVERSOR SOLIS 75KW 380V 75K-5G-PRO COM MONITORAMENTO 
 350 x CABO FOTOVOLTAICO 4MM² PRETO 
 350 x CABO FOTOVOLTAICO 4MM² VERMELHO 
 24 x CONECTOR MC4 PAR EMBALADO 
 ESTRUTURA FIBROCIMENTO MADEIRA</t>
  </si>
  <si>
    <t>184 x MODULO FV 570WP N-TYPE BIFACIAL DUAL GLASS DAS-DH144NA 
 1 x INVERSOR SOLIS 75KW 380V 75K-5G-PRO COM MONITORAMENTO 
 350 x CABO FOTOVOLTAICO 4MM² PRETO 
 350 x CABO FOTOVOLTAICO 4MM² VERMELHO 
 24 x CONECTOR MC4 PAR EMBALADO 
 ESTRUTURA FIBROCIMENTO MADEIRA</t>
  </si>
  <si>
    <t>184 x MODULO FV 570WP N-TYPE BIFACIAL DAH SOLAR DHN-72X16/DG 
 1 x INVERSOR SUNGROW SG75CX-P2 AFCI 380V COM MONITORAMENTO 
 350 x CABO FOTOVOLTAICO 4MM² PRETO 
 350 x CABO FOTOVOLTAICO 4MM² VERMELHO 
 20 x CONECTOR MC4 PAR EMBALADO 
 ESTRUTURA FIBROCIMENTO MADEIRA</t>
  </si>
  <si>
    <t>184 x MODULO FV 570WP N-TYPE BIFACIAL DUAL GLASS DAS-DH144NA 
 1 x INVERSOR SUNGROW SG75CX-P2 AFCI 380V COM MONITORAMENTO 
 350 x CABO FOTOVOLTAICO 4MM² PRETO 
 350 x CABO FOTOVOLTAICO 4MM² VERMELHO 
 20 x CONECTOR MC4 PAR EMBALADO 
 ESTRUTURA FIBROCIMENTO MADEIRA</t>
  </si>
  <si>
    <t>184 x MODULO FV 570WP N-TYPE BIFACIAL DAH SOLAR DHN-72X16/DG 
 46 x HMS-2000-4T - MICRO HOYMILES 2000W DTU EXTERNA 
 4 x CABO FOTOVOLTAICO 4MM² PRETO 
 184 x CABO FOTOVOLTAICO 4MM² VERMELHO 
 368 x CONECTOR MC4 PAR EMBALADO 
 ESTRUTURA FIBROCIMENTO MADEIRA 
 46 x AC TRUNK CONNECTOR - CONECTOR CA HOYMILES 
 16 x AC TRUNK END CAP - TERMINAL ENDCAP HOYMILES 
 1 x AC TRUNK CONNECTOR UNLOCK TOOL - CHAVE DESBLOQUEIO CONECTOR CA 
 1 x HMS DISCONNECT TOOL-1PCS - CHAVE DESCONEXAO MICROINVERSOR 
 90 x CABO CA MULTIPOLAR 10AWG 
 2 x DTU-LITE-S(WIFI) - MONIT DTU-LITE S (ATÉ 25 MICROS)</t>
  </si>
  <si>
    <t>184 x MODULO FV 570WP N-TYPE BIFACIAL DUAL GLASS DAS-DH144NA 
 46 x HMS-2000-4T - MICRO HOYMILES 2000W DTU EXTERNA 
 4 x CABO FOTOVOLTAICO 4MM² PRETO 
 184 x CABO FOTOVOLTAICO 4MM² VERMELHO 
 368 x CONECTOR MC4 PAR EMBALADO 
 ESTRUTURA FIBROCIMENTO MADEIRA 
 46 x AC TRUNK CONNECTOR - CONECTOR CA HOYMILES 
 16 x AC TRUNK END CAP - TERMINAL ENDCAP HOYMILES 
 1 x AC TRUNK CONNECTOR UNLOCK TOOL - CHAVE DESBLOQUEIO CONECTOR CA 
 1 x HMS DISCONNECT TOOL-1PCS - CHAVE DESCONEXAO MICROINVERSOR 
 90 x CABO CA MULTIPOLAR 10AWG 
 2 x DTU-LITE-S(WIFI) - MONIT DTU-LITE S (ATÉ 25 MICROS)</t>
  </si>
  <si>
    <t>148 x MODULO FV 710WP BIFACIAL DUAL-GLASS TRINA TSM-NEG21C.20 
 37 x HMS-2000-4T - MICRO HOYMILES 2000W DTU EXTERNA 
 4 x CABO FOTOVOLTAICO 4MM² PRETO 
 148 x CABO FOTOVOLTAICO 4MM² VERMELHO 
 296 x CONECTOR MC4 PAR TRINA 
 ESTRUTURA FIBROCIMENTO MADEIRA 
 37 x AC TRUNK CONNECTOR - CONECTOR CA HOYMILES 
 13 x AC TRUNK END CAP - TERMINAL ENDCAP HOYMILES 
 1 x AC TRUNK CONNECTOR UNLOCK TOOL - CHAVE DESBLOQUEIO CONECTOR CA 
 1 x HMS DISCONNECT TOOL-1PCS - CHAVE DESCONEXAO MICROINVERSOR 
 72 x CABO CA MULTIPOLAR 10AWG 
 2 x DTU-LITE-S(WIFI) - MONIT DTU-LITE S (ATÉ 25 MICROS)</t>
  </si>
  <si>
    <t>185 x MODULO FV 570WP N-TYPE BIFACIAL DAH SOLAR DHN-72X16/DG 
 1 x INVERSOR SUNGROW SG75CX-P2 AFCI 380V COM MONITORAMENTO 
 350 x CABO FOTOVOLTAICO 4MM² PRETO 
 350 x CABO FOTOVOLTAICO 4MM² VERMELHO 
 20 x CONECTOR MC4 PAR EMBALADO 
 ESTRUTURA FIBROCIMENTO MADEIRA</t>
  </si>
  <si>
    <t>185 x MODULO FV 570WP N-TYPE BIFACIAL DUAL GLASS DAS-DH144NA 
 1 x INVERSOR SUNGROW SG75CX-P2 AFCI 380V COM MONITORAMENTO 
 350 x CABO FOTOVOLTAICO 4MM² PRETO 
 350 x CABO FOTOVOLTAICO 4MM² VERMELHO 
 20 x CONECTOR MC4 PAR EMBALADO 
 ESTRUTURA FIBROCIMENTO MADEIRA</t>
  </si>
  <si>
    <t>93</t>
  </si>
  <si>
    <t>185 x MODULO FV 570WP N-TYPE BIFACIAL DAH SOLAR DHN-72X16/DG 
 47 x HMS-2000-4T - MICRO HOYMILES 2000W DTU EXTERNA 
 4 x CABO FOTOVOLTAICO 4MM² PRETO 
 188 x CABO FOTOVOLTAICO 4MM² VERMELHO 
 376 x CONECTOR MC4 PAR EMBALADO 
 ESTRUTURA FIBROCIMENTO MADEIRA 
 47 x AC TRUNK CONNECTOR - CONECTOR CA HOYMILES 
 16 x AC TRUNK END CAP - TERMINAL ENDCAP HOYMILES 
 1 x AC TRUNK CONNECTOR UNLOCK TOOL - CHAVE DESBLOQUEIO CONECTOR CA 
 1 x HMS DISCONNECT TOOL-1PCS - CHAVE DESCONEXAO MICROINVERSOR 
 93 x CABO CA MULTIPOLAR 10AWG 
 2 x DTU-LITE-S(WIFI) - MONIT DTU-LITE S (ATÉ 25 MICROS)</t>
  </si>
  <si>
    <t>185 x MODULO FV 570WP N-TYPE BIFACIAL DUAL GLASS DAS-DH144NA 
 47 x HMS-2000-4T - MICRO HOYMILES 2000W DTU EXTERNA 
 4 x CABO FOTOVOLTAICO 4MM² PRETO 
 188 x CABO FOTOVOLTAICO 4MM² VERMELHO 
 376 x CONECTOR MC4 PAR EMBALADO 
 ESTRUTURA FIBROCIMENTO MADEIRA 
 47 x AC TRUNK CONNECTOR - CONECTOR CA HOYMILES 
 16 x AC TRUNK END CAP - TERMINAL ENDCAP HOYMILES 
 1 x AC TRUNK CONNECTOR UNLOCK TOOL - CHAVE DESBLOQUEIO CONECTOR CA 
 1 x HMS DISCONNECT TOOL-1PCS - CHAVE DESCONEXAO MICROINVERSOR 
 93 x CABO CA MULTIPOLAR 10AWG 
 2 x DTU-LITE-S(WIFI) - MONIT DTU-LITE S (ATÉ 25 MICROS)</t>
  </si>
  <si>
    <t>149 x MODULO FV 710WP BIFACIAL DUAL-GLASS TRINA TSM-NEG21C.20 
 38 x HMS-2000-4T - MICRO HOYMILES 2000W DTU EXTERNA 
 4 x CABO FOTOVOLTAICO 4MM² PRETO 
 152 x CABO FOTOVOLTAICO 4MM² VERMELHO 
 304 x CONECTOR MC4 PAR TRINA 
 ESTRUTURA FIBROCIMENTO MADEIRA 
 38 x AC TRUNK CONNECTOR - CONECTOR CA HOYMILES 
 13 x AC TRUNK END CAP - TERMINAL ENDCAP HOYMILES 
 1 x AC TRUNK CONNECTOR UNLOCK TOOL - CHAVE DESBLOQUEIO CONECTOR CA 
 1 x HMS DISCONNECT TOOL-1PCS - CHAVE DESCONEXAO MICROINVERSOR 
 75 x CABO CA MULTIPOLAR 10AWG 
 2 x DTU-LITE-S(WIFI) - MONIT DTU-LITE S (ATÉ 25 MICROS)</t>
  </si>
  <si>
    <t>186 x MODULO FV 570WP N-TYPE BIFACIAL DAH SOLAR DHN-72X16/DG 
 1 x INVERSOR SUNGROW SG75CX-P2 AFCI 380V COM MONITORAMENTO 
 350 x CABO FOTOVOLTAICO 4MM² PRETO 
 350 x CABO FOTOVOLTAICO 4MM² VERMELHO 
 20 x CONECTOR MC4 PAR EMBALADO 
 ESTRUTURA FIBROCIMENTO MADEIRA</t>
  </si>
  <si>
    <t>186 x MODULO FV 570WP N-TYPE BIFACIAL DUAL GLASS DAS-DH144NA 
 1 x INVERSOR SUNGROW SG75CX-P2 AFCI 380V COM MONITORAMENTO 
 350 x CABO FOTOVOLTAICO 4MM² PRETO 
 350 x CABO FOTOVOLTAICO 4MM² VERMELHO 
 20 x CONECTOR MC4 PAR EMBALADO 
 ESTRUTURA FIBROCIMENTO MADEIRA</t>
  </si>
  <si>
    <t>186 x MODULO FV 570WP N-TYPE BIFACIAL DAH SOLAR DHN-72X16/DG 
 47 x HMS-2000-4T - MICRO HOYMILES 2000W DTU EXTERNA 
 4 x CABO FOTOVOLTAICO 4MM² PRETO 
 188 x CABO FOTOVOLTAICO 4MM² VERMELHO 
 376 x CONECTOR MC4 PAR EMBALADO 
 ESTRUTURA FIBROCIMENTO MADEIRA 
 47 x AC TRUNK CONNECTOR - CONECTOR CA HOYMILES 
 16 x AC TRUNK END CAP - TERMINAL ENDCAP HOYMILES 
 1 x AC TRUNK CONNECTOR UNLOCK TOOL - CHAVE DESBLOQUEIO CONECTOR CA 
 1 x HMS DISCONNECT TOOL-1PCS - CHAVE DESCONEXAO MICROINVERSOR 
 93 x CABO CA MULTIPOLAR 10AWG 
 2 x DTU-LITE-S(WIFI) - MONIT DTU-LITE S (ATÉ 25 MICROS)</t>
  </si>
  <si>
    <t>186 x MODULO FV 570WP N-TYPE BIFACIAL DUAL GLASS DAS-DH144NA 
 47 x HMS-2000-4T - MICRO HOYMILES 2000W DTU EXTERNA 
 4 x CABO FOTOVOLTAICO 4MM² PRETO 
 188 x CABO FOTOVOLTAICO 4MM² VERMELHO 
 376 x CONECTOR MC4 PAR EMBALADO 
 ESTRUTURA FIBROCIMENTO MADEIRA 
 47 x AC TRUNK CONNECTOR - CONECTOR CA HOYMILES 
 16 x AC TRUNK END CAP - TERMINAL ENDCAP HOYMILES 
 1 x AC TRUNK CONNECTOR UNLOCK TOOL - CHAVE DESBLOQUEIO CONECTOR CA 
 1 x HMS DISCONNECT TOOL-1PCS - CHAVE DESCONEXAO MICROINVERSOR 
 93 x CABO CA MULTIPOLAR 10AWG 
 2 x DTU-LITE-S(WIFI) - MONIT DTU-LITE S (ATÉ 25 MICROS)</t>
  </si>
  <si>
    <t>150 x MODULO FV 710WP BIFACIAL DUAL-GLASS TRINA TSM-NEG21C.20 
 38 x HMS-2000-4T - MICRO HOYMILES 2000W DTU EXTERNA 
 4 x CABO FOTOVOLTAICO 4MM² PRETO 
 152 x CABO FOTOVOLTAICO 4MM² VERMELHO 
 304 x CONECTOR MC4 PAR TRINA 
 ESTRUTURA FIBROCIMENTO MADEIRA 
 38 x AC TRUNK CONNECTOR - CONECTOR CA HOYMILES 
 13 x AC TRUNK END CAP - TERMINAL ENDCAP HOYMILES 
 1 x AC TRUNK CONNECTOR UNLOCK TOOL - CHAVE DESBLOQUEIO CONECTOR CA 
 1 x HMS DISCONNECT TOOL-1PCS - CHAVE DESCONEXAO MICROINVERSOR 
 75 x CABO CA MULTIPOLAR 10AWG 
 2 x DTU-LITE-S(WIFI) - MONIT DTU-LITE S (ATÉ 25 MICROS)</t>
  </si>
  <si>
    <t>187 x MODULO FV 570WP N-TYPE BIFACIAL DAH SOLAR DHN-72X16/DG 
 1 x INVERSOR SOLIS 75KW 380V 75K-5G-PRO COM MONITORAMENTO 
 350 x CABO FOTOVOLTAICO 4MM² PRETO 
 350 x CABO FOTOVOLTAICO 4MM² VERMELHO 
 24 x CONECTOR MC4 PAR EMBALADO 
 ESTRUTURA FIBROCIMENTO MADEIRA</t>
  </si>
  <si>
    <t>187 x MODULO FV 570WP N-TYPE BIFACIAL DUAL GLASS DAS-DH144NA 
 1 x INVERSOR SOLIS 75KW 380V 75K-5G-PRO COM MONITORAMENTO 
 350 x CABO FOTOVOLTAICO 4MM² PRETO 
 350 x CABO FOTOVOLTAICO 4MM² VERMELHO 
 24 x CONECTOR MC4 PAR EMBALADO 
 ESTRUTURA FIBROCIMENTO MADEIRA</t>
  </si>
  <si>
    <t>187 x MODULO FV 570WP N-TYPE BIFACIAL DAH SOLAR DHN-72X16/DG 
 1 x INVERSOR SUNGROW SG75CX-P2 AFCI 380V COM MONITORAMENTO 
 350 x CABO FOTOVOLTAICO 4MM² PRETO 
 350 x CABO FOTOVOLTAICO 4MM² VERMELHO 
 20 x CONECTOR MC4 PAR EMBALADO 
 ESTRUTURA FIBROCIMENTO MADEIRA</t>
  </si>
  <si>
    <t>187 x MODULO FV 570WP N-TYPE BIFACIAL DUAL GLASS DAS-DH144NA 
 1 x INVERSOR SUNGROW SG75CX-P2 AFCI 380V COM MONITORAMENTO 
 350 x CABO FOTOVOLTAICO 4MM² PRETO 
 350 x CABO FOTOVOLTAICO 4MM² VERMELHO 
 20 x CONECTOR MC4 PAR EMBALADO 
 ESTRUTURA FIBROCIMENTO MADEIRA</t>
  </si>
  <si>
    <t>187 x MODULO FV 570WP N-TYPE BIFACIAL DAH SOLAR DHN-72X16/DG 
 47 x HMS-2000-4T - MICRO HOYMILES 2000W DTU EXTERNA 
 4 x CABO FOTOVOLTAICO 4MM² PRETO 
 188 x CABO FOTOVOLTAICO 4MM² VERMELHO 
 376 x CONECTOR MC4 PAR EMBALADO 
 ESTRUTURA FIBROCIMENTO MADEIRA 
 47 x AC TRUNK CONNECTOR - CONECTOR CA HOYMILES 
 16 x AC TRUNK END CAP - TERMINAL ENDCAP HOYMILES 
 1 x AC TRUNK CONNECTOR UNLOCK TOOL - CHAVE DESBLOQUEIO CONECTOR CA 
 1 x HMS DISCONNECT TOOL-1PCS - CHAVE DESCONEXAO MICROINVERSOR 
 93 x CABO CA MULTIPOLAR 10AWG 
 2 x DTU-LITE-S(WIFI) - MONIT DTU-LITE S (ATÉ 25 MICROS)</t>
  </si>
  <si>
    <t>187 x MODULO FV 570WP N-TYPE BIFACIAL DUAL GLASS DAS-DH144NA 
 47 x HMS-2000-4T - MICRO HOYMILES 2000W DTU EXTERNA 
 4 x CABO FOTOVOLTAICO 4MM² PRETO 
 188 x CABO FOTOVOLTAICO 4MM² VERMELHO 
 376 x CONECTOR MC4 PAR EMBALADO 
 ESTRUTURA FIBROCIMENTO MADEIRA 
 47 x AC TRUNK CONNECTOR - CONECTOR CA HOYMILES 
 16 x AC TRUNK END CAP - TERMINAL ENDCAP HOYMILES 
 1 x AC TRUNK CONNECTOR UNLOCK TOOL - CHAVE DESBLOQUEIO CONECTOR CA 
 1 x HMS DISCONNECT TOOL-1PCS - CHAVE DESCONEXAO MICROINVERSOR 
 93 x CABO CA MULTIPOLAR 10AWG 
 2 x DTU-LITE-S(WIFI) - MONIT DTU-LITE S (ATÉ 25 MICROS)</t>
  </si>
  <si>
    <t>188 x MODULO FV 570WP N-TYPE BIFACIAL DAH SOLAR DHN-72X16/DG 
 1 x INVERSOR SUNGROW SG75CX-P2 AFCI 380V COM MONITORAMENTO 
 350 x CABO FOTOVOLTAICO 4MM² PRETO 
 350 x CABO FOTOVOLTAICO 4MM² VERMELHO 
 20 x CONECTOR MC4 PAR EMBALADO 
 ESTRUTURA FIBROCIMENTO MADEIRA</t>
  </si>
  <si>
    <t>188 x MODULO FV 570WP N-TYPE BIFACIAL DUAL GLASS DAS-DH144NA 
 1 x INVERSOR SUNGROW SG75CX-P2 AFCI 380V COM MONITORAMENTO 
 350 x CABO FOTOVOLTAICO 4MM² PRETO 
 350 x CABO FOTOVOLTAICO 4MM² VERMELHO 
 20 x CONECTOR MC4 PAR EMBALADO 
 ESTRUTURA FIBROCIMENTO MADEIRA</t>
  </si>
  <si>
    <t>188 x MODULO FV 570WP N-TYPE BIFACIAL DAH SOLAR DHN-72X16/DG 
 47 x HMS-2000-4T - MICRO HOYMILES 2000W DTU EXTERNA 
 4 x CABO FOTOVOLTAICO 4MM² PRETO 
 188 x CABO FOTOVOLTAICO 4MM² VERMELHO 
 376 x CONECTOR MC4 PAR EMBALADO 
 ESTRUTURA FIBROCIMENTO MADEIRA 
 47 x AC TRUNK CONNECTOR - CONECTOR CA HOYMILES 
 16 x AC TRUNK END CAP - TERMINAL ENDCAP HOYMILES 
 1 x AC TRUNK CONNECTOR UNLOCK TOOL - CHAVE DESBLOQUEIO CONECTOR CA 
 1 x HMS DISCONNECT TOOL-1PCS - CHAVE DESCONEXAO MICROINVERSOR 
 93 x CABO CA MULTIPOLAR 10AWG 
 2 x DTU-LITE-S(WIFI) - MONIT DTU-LITE S (ATÉ 25 MICROS)</t>
  </si>
  <si>
    <t>188 x MODULO FV 570WP N-TYPE BIFACIAL DUAL GLASS DAS-DH144NA 
 47 x HMS-2000-4T - MICRO HOYMILES 2000W DTU EXTERNA 
 4 x CABO FOTOVOLTAICO 4MM² PRETO 
 188 x CABO FOTOVOLTAICO 4MM² VERMELHO 
 376 x CONECTOR MC4 PAR EMBALADO 
 ESTRUTURA FIBROCIMENTO MADEIRA 
 47 x AC TRUNK CONNECTOR - CONECTOR CA HOYMILES 
 16 x AC TRUNK END CAP - TERMINAL ENDCAP HOYMILES 
 1 x AC TRUNK CONNECTOR UNLOCK TOOL - CHAVE DESBLOQUEIO CONECTOR CA 
 1 x HMS DISCONNECT TOOL-1PCS - CHAVE DESCONEXAO MICROINVERSOR 
 93 x CABO CA MULTIPOLAR 10AWG 
 2 x DTU-LITE-S(WIFI) - MONIT DTU-LITE S (ATÉ 25 MICROS)</t>
  </si>
  <si>
    <t>151 x MODULO FV 710WP BIFACIAL DUAL-GLASS TRINA TSM-NEG21C.20 
 38 x HMS-2000-4T - MICRO HOYMILES 2000W DTU EXTERNA 
 4 x CABO FOTOVOLTAICO 4MM² PRETO 
 152 x CABO FOTOVOLTAICO 4MM² VERMELHO 
 304 x CONECTOR MC4 PAR TRINA 
 ESTRUTURA FIBROCIMENTO MADEIRA 
 38 x AC TRUNK CONNECTOR - CONECTOR CA HOYMILES 
 13 x AC TRUNK END CAP - TERMINAL ENDCAP HOYMILES 
 1 x AC TRUNK CONNECTOR UNLOCK TOOL - CHAVE DESBLOQUEIO CONECTOR CA 
 1 x HMS DISCONNECT TOOL-1PCS - CHAVE DESCONEXAO MICROINVERSOR 
 75 x CABO CA MULTIPOLAR 10AWG 
 2 x DTU-LITE-S(WIFI) - MONIT DTU-LITE S (ATÉ 25 MICROS)</t>
  </si>
  <si>
    <t>189 x MODULO FV 570WP N-TYPE BIFACIAL DAH SOLAR DHN-72X16/DG 
 1 x INVERSOR SUNGROW SG75CX-P2 AFCI 380V COM MONITORAMENTO 
 350 x CABO FOTOVOLTAICO 4MM² PRETO 
 350 x CABO FOTOVOLTAICO 4MM² VERMELHO 
 20 x CONECTOR MC4 PAR EMBALADO 
 ESTRUTURA FIBROCIMENTO MADEIRA</t>
  </si>
  <si>
    <t>189 x MODULO FV 570WP N-TYPE BIFACIAL DUAL GLASS DAS-DH144NA 
 1 x INVERSOR SUNGROW SG75CX-P2 AFCI 380V COM MONITORAMENTO 
 350 x CABO FOTOVOLTAICO 4MM² PRETO 
 350 x CABO FOTOVOLTAICO 4MM² VERMELHO 
 20 x CONECTOR MC4 PAR EMBALADO 
 ESTRUTURA FIBROCIMENTO MADEIRA</t>
  </si>
  <si>
    <t>96</t>
  </si>
  <si>
    <t>189 x MODULO FV 570WP N-TYPE BIFACIAL DAH SOLAR DHN-72X16/DG 
 48 x HMS-2000-4T - MICRO HOYMILES 2000W DTU EXTERNA 
 4 x CABO FOTOVOLTAICO 4MM² PRETO 
 192 x CABO FOTOVOLTAICO 4MM² VERMELHO 
 384 x CONECTOR MC4 PAR EMBALADO 
 ESTRUTURA FIBROCIMENTO MADEIRA 
 48 x AC TRUNK CONNECTOR - CONECTOR CA HOYMILES 
 16 x AC TRUNK END CAP - TERMINAL ENDCAP HOYMILES 
 1 x AC TRUNK CONNECTOR UNLOCK TOOL - CHAVE DESBLOQUEIO CONECTOR CA 
 1 x HMS DISCONNECT TOOL-1PCS - CHAVE DESCONEXAO MICROINVERSOR 
 96 x CABO CA MULTIPOLAR 10AWG 
 2 x DTU-LITE-S(WIFI) - MONIT DTU-LITE S (ATÉ 25 MICROS)</t>
  </si>
  <si>
    <t>189 x MODULO FV 570WP N-TYPE BIFACIAL DUAL GLASS DAS-DH144NA 
 48 x HMS-2000-4T - MICRO HOYMILES 2000W DTU EXTERNA 
 4 x CABO FOTOVOLTAICO 4MM² PRETO 
 192 x CABO FOTOVOLTAICO 4MM² VERMELHO 
 384 x CONECTOR MC4 PAR EMBALADO 
 ESTRUTURA FIBROCIMENTO MADEIRA 
 48 x AC TRUNK CONNECTOR - CONECTOR CA HOYMILES 
 16 x AC TRUNK END CAP - TERMINAL ENDCAP HOYMILES 
 1 x AC TRUNK CONNECTOR UNLOCK TOOL - CHAVE DESBLOQUEIO CONECTOR CA 
 1 x HMS DISCONNECT TOOL-1PCS - CHAVE DESCONEXAO MICROINVERSOR 
 96 x CABO CA MULTIPOLAR 10AWG 
 2 x DTU-LITE-S(WIFI) - MONIT DTU-LITE S (ATÉ 25 MICROS)</t>
  </si>
  <si>
    <t>152 x MODULO FV 710WP BIFACIAL DUAL-GLASS TRINA TSM-NEG21C.20 
 38 x HMS-2000-4T - MICRO HOYMILES 2000W DTU EXTERNA 
 4 x CABO FOTOVOLTAICO 4MM² PRETO 
 152 x CABO FOTOVOLTAICO 4MM² VERMELHO 
 304 x CONECTOR MC4 PAR TRINA 
 ESTRUTURA FIBROCIMENTO MADEIRA 
 38 x AC TRUNK CONNECTOR - CONECTOR CA HOYMILES 
 13 x AC TRUNK END CAP - TERMINAL ENDCAP HOYMILES 
 1 x AC TRUNK CONNECTOR UNLOCK TOOL - CHAVE DESBLOQUEIO CONECTOR CA 
 1 x HMS DISCONNECT TOOL-1PCS - CHAVE DESCONEXAO MICROINVERSOR 
 75 x CABO CA MULTIPOLAR 10AWG 
 2 x DTU-LITE-S(WIFI) - MONIT DTU-LITE S (ATÉ 25 MICROS)</t>
  </si>
  <si>
    <t>190 x MODULO FV 570WP N-TYPE BIFACIAL DAH SOLAR DHN-72X16/DG 
 1 x INVERSOR SOLIS 75KW 380V 75K-5G-PRO COM MONITORAMENTO 
 350 x CABO FOTOVOLTAICO 4MM² PRETO 
 350 x CABO FOTOVOLTAICO 4MM² VERMELHO 
 24 x CONECTOR MC4 PAR EMBALADO 
 ESTRUTURA FIBROCIMENTO MADEIRA</t>
  </si>
  <si>
    <t>190 x MODULO FV 570WP N-TYPE BIFACIAL DUAL GLASS DAS-DH144NA 
 1 x INVERSOR SOLIS 75KW 380V 75K-5G-PRO COM MONITORAMENTO 
 350 x CABO FOTOVOLTAICO 4MM² PRETO 
 350 x CABO FOTOVOLTAICO 4MM² VERMELHO 
 24 x CONECTOR MC4 PAR EMBALADO 
 ESTRUTURA FIBROCIMENTO MADEIRA</t>
  </si>
  <si>
    <t>190 x MODULO FV 570WP N-TYPE BIFACIAL DAH SOLAR DHN-72X16/DG 
 1 x INVERSOR SUNGROW SG75CX-P2 AFCI 380V COM MONITORAMENTO 
 350 x CABO FOTOVOLTAICO 4MM² PRETO 
 350 x CABO FOTOVOLTAICO 4MM² VERMELHO 
 20 x CONECTOR MC4 PAR EMBALADO 
 ESTRUTURA FIBROCIMENTO MADEIRA</t>
  </si>
  <si>
    <t>190 x MODULO FV 570WP N-TYPE BIFACIAL DUAL GLASS DAS-DH144NA 
 1 x INVERSOR SUNGROW SG75CX-P2 AFCI 380V COM MONITORAMENTO 
 350 x CABO FOTOVOLTAICO 4MM² PRETO 
 350 x CABO FOTOVOLTAICO 4MM² VERMELHO 
 20 x CONECTOR MC4 PAR EMBALADO 
 ESTRUTURA FIBROCIMENTO MADEIRA</t>
  </si>
  <si>
    <t>190 x MODULO FV 570WP N-TYPE BIFACIAL DAH SOLAR DHN-72X16/DG 
 48 x HMS-2000-4T - MICRO HOYMILES 2000W DTU EXTERNA 
 4 x CABO FOTOVOLTAICO 4MM² PRETO 
 192 x CABO FOTOVOLTAICO 4MM² VERMELHO 
 384 x CONECTOR MC4 PAR EMBALADO 
 ESTRUTURA FIBROCIMENTO MADEIRA 
 48 x AC TRUNK CONNECTOR - CONECTOR CA HOYMILES 
 16 x AC TRUNK END CAP - TERMINAL ENDCAP HOYMILES 
 1 x AC TRUNK CONNECTOR UNLOCK TOOL - CHAVE DESBLOQUEIO CONECTOR CA 
 1 x HMS DISCONNECT TOOL-1PCS - CHAVE DESCONEXAO MICROINVERSOR 
 96 x CABO CA MULTIPOLAR 10AWG 
 2 x DTU-LITE-S(WIFI) - MONIT DTU-LITE S (ATÉ 25 MICROS)</t>
  </si>
  <si>
    <t>190 x MODULO FV 570WP N-TYPE BIFACIAL DUAL GLASS DAS-DH144NA 
 48 x HMS-2000-4T - MICRO HOYMILES 2000W DTU EXTERNA 
 4 x CABO FOTOVOLTAICO 4MM² PRETO 
 192 x CABO FOTOVOLTAICO 4MM² VERMELHO 
 384 x CONECTOR MC4 PAR EMBALADO 
 ESTRUTURA FIBROCIMENTO MADEIRA 
 48 x AC TRUNK CONNECTOR - CONECTOR CA HOYMILES 
 16 x AC TRUNK END CAP - TERMINAL ENDCAP HOYMILES 
 1 x AC TRUNK CONNECTOR UNLOCK TOOL - CHAVE DESBLOQUEIO CONECTOR CA 
 1 x HMS DISCONNECT TOOL-1PCS - CHAVE DESCONEXAO MICROINVERSOR 
 96 x CABO CA MULTIPOLAR 10AWG 
 2 x DTU-LITE-S(WIFI) - MONIT DTU-LITE S (ATÉ 25 MICROS)</t>
  </si>
  <si>
    <t>153 x MODULO FV 710WP BIFACIAL DUAL-GLASS TRINA TSM-NEG21C.20 
 39 x HMS-2000-4T - MICRO HOYMILES 2000W DTU EXTERNA 
 4 x CABO FOTOVOLTAICO 4MM² PRETO 
 156 x CABO FOTOVOLTAICO 4MM² VERMELHO 
 312 x CONECTOR MC4 PAR TRINA 
 ESTRUTURA FIBROCIMENTO MADEIRA 
 39 x AC TRUNK CONNECTOR - CONECTOR CA HOYMILES 
 13 x AC TRUNK END CAP - TERMINAL ENDCAP HOYMILES 
 1 x AC TRUNK CONNECTOR UNLOCK TOOL - CHAVE DESBLOQUEIO CONECTOR CA 
 1 x HMS DISCONNECT TOOL-1PCS - CHAVE DESCONEXAO MICROINVERSOR 
 78 x CABO CA MULTIPOLAR 10AWG 
 2 x DTU-LITE-S(WIFI) - MONIT DTU-LITE S (ATÉ 25 MICROS)</t>
  </si>
  <si>
    <t>191 x MODULO FV 570WP N-TYPE BIFACIAL DAH SOLAR DHN-72X16/DG 
 1 x INVERSOR SUNGROW SG75CX-P2 AFCI 380V COM MONITORAMENTO 
 350 x CABO FOTOVOLTAICO 4MM² PRETO 
 350 x CABO FOTOVOLTAICO 4MM² VERMELHO 
 20 x CONECTOR MC4 PAR EMBALADO 
 ESTRUTURA FIBROCIMENTO MADEIRA</t>
  </si>
  <si>
    <t>191 x MODULO FV 570WP N-TYPE BIFACIAL DUAL GLASS DAS-DH144NA 
 1 x INVERSOR SUNGROW SG75CX-P2 AFCI 380V COM MONITORAMENTO 
 350 x CABO FOTOVOLTAICO 4MM² PRETO 
 350 x CABO FOTOVOLTAICO 4MM² VERMELHO 
 20 x CONECTOR MC4 PAR EMBALADO 
 ESTRUTURA FIBROCIMENTO MADEIRA</t>
  </si>
  <si>
    <t>191 x MODULO FV 570WP N-TYPE BIFACIAL DAH SOLAR DHN-72X16/DG 
 48 x HMS-2000-4T - MICRO HOYMILES 2000W DTU EXTERNA 
 4 x CABO FOTOVOLTAICO 4MM² PRETO 
 192 x CABO FOTOVOLTAICO 4MM² VERMELHO 
 384 x CONECTOR MC4 PAR EMBALADO 
 ESTRUTURA FIBROCIMENTO MADEIRA 
 48 x AC TRUNK CONNECTOR - CONECTOR CA HOYMILES 
 16 x AC TRUNK END CAP - TERMINAL ENDCAP HOYMILES 
 1 x AC TRUNK CONNECTOR UNLOCK TOOL - CHAVE DESBLOQUEIO CONECTOR CA 
 1 x HMS DISCONNECT TOOL-1PCS - CHAVE DESCONEXAO MICROINVERSOR 
 96 x CABO CA MULTIPOLAR 10AWG 
 2 x DTU-LITE-S(WIFI) - MONIT DTU-LITE S (ATÉ 25 MICROS)</t>
  </si>
  <si>
    <t>191 x MODULO FV 570WP N-TYPE BIFACIAL DUAL GLASS DAS-DH144NA 
 48 x HMS-2000-4T - MICRO HOYMILES 2000W DTU EXTERNA 
 4 x CABO FOTOVOLTAICO 4MM² PRETO 
 192 x CABO FOTOVOLTAICO 4MM² VERMELHO 
 384 x CONECTOR MC4 PAR EMBALADO 
 ESTRUTURA FIBROCIMENTO MADEIRA 
 48 x AC TRUNK CONNECTOR - CONECTOR CA HOYMILES 
 16 x AC TRUNK END CAP - TERMINAL ENDCAP HOYMILES 
 1 x AC TRUNK CONNECTOR UNLOCK TOOL - CHAVE DESBLOQUEIO CONECTOR CA 
 1 x HMS DISCONNECT TOOL-1PCS - CHAVE DESCONEXAO MICROINVERSOR 
 96 x CABO CA MULTIPOLAR 10AWG 
 2 x DTU-LITE-S(WIFI) - MONIT DTU-LITE S (ATÉ 25 MICROS)</t>
  </si>
  <si>
    <t>154 x MODULO FV 710WP BIFACIAL DUAL-GLASS TRINA TSM-NEG21C.20 
 39 x HMS-2000-4T - MICRO HOYMILES 2000W DTU EXTERNA 
 4 x CABO FOTOVOLTAICO 4MM² PRETO 
 156 x CABO FOTOVOLTAICO 4MM² VERMELHO 
 312 x CONECTOR MC4 PAR TRINA 
 ESTRUTURA FIBROCIMENTO MADEIRA 
 39 x AC TRUNK CONNECTOR - CONECTOR CA HOYMILES 
 13 x AC TRUNK END CAP - TERMINAL ENDCAP HOYMILES 
 1 x AC TRUNK CONNECTOR UNLOCK TOOL - CHAVE DESBLOQUEIO CONECTOR CA 
 1 x HMS DISCONNECT TOOL-1PCS - CHAVE DESCONEXAO MICROINVERSOR 
 78 x CABO CA MULTIPOLAR 10AWG 
 2 x DTU-LITE-S(WIFI) - MONIT DTU-LITE S (ATÉ 25 MICROS)</t>
  </si>
  <si>
    <t>192 x MODULO FV 570WP N-TYPE BIFACIAL DAH SOLAR DHN-72X16/DG 
 1 x INVERSOR SUNGROW SG75CX-P2 AFCI 380V COM MONITORAMENTO 
 350 x CABO FOTOVOLTAICO 4MM² PRETO 
 350 x CABO FOTOVOLTAICO 4MM² VERMELHO 
 20 x CONECTOR MC4 PAR EMBALADO 
 ESTRUTURA FIBROCIMENTO MADEIRA</t>
  </si>
  <si>
    <t>192 x MODULO FV 570WP N-TYPE BIFACIAL DUAL GLASS DAS-DH144NA 
 1 x INVERSOR SUNGROW SG75CX-P2 AFCI 380V COM MONITORAMENTO 
 350 x CABO FOTOVOLTAICO 4MM² PRETO 
 350 x CABO FOTOVOLTAICO 4MM² VERMELHO 
 20 x CONECTOR MC4 PAR EMBALADO 
 ESTRUTURA FIBROCIMENTO MADEIRA</t>
  </si>
  <si>
    <t>192 x MODULO FV 570WP N-TYPE BIFACIAL DAH SOLAR DHN-72X16/DG 
 48 x HMS-2000-4T - MICRO HOYMILES 2000W DTU EXTERNA 
 4 x CABO FOTOVOLTAICO 4MM² PRETO 
 192 x CABO FOTOVOLTAICO 4MM² VERMELHO 
 384 x CONECTOR MC4 PAR EMBALADO 
 ESTRUTURA FIBROCIMENTO MADEIRA 
 48 x AC TRUNK CONNECTOR - CONECTOR CA HOYMILES 
 16 x AC TRUNK END CAP - TERMINAL ENDCAP HOYMILES 
 1 x AC TRUNK CONNECTOR UNLOCK TOOL - CHAVE DESBLOQUEIO CONECTOR CA 
 1 x HMS DISCONNECT TOOL-1PCS - CHAVE DESCONEXAO MICROINVERSOR 
 96 x CABO CA MULTIPOLAR 10AWG 
 2 x DTU-LITE-S(WIFI) - MONIT DTU-LITE S (ATÉ 25 MICROS)</t>
  </si>
  <si>
    <t>192 x MODULO FV 570WP N-TYPE BIFACIAL DUAL GLASS DAS-DH144NA 
 48 x HMS-2000-4T - MICRO HOYMILES 2000W DTU EXTERNA 
 4 x CABO FOTOVOLTAICO 4MM² PRETO 
 192 x CABO FOTOVOLTAICO 4MM² VERMELHO 
 384 x CONECTOR MC4 PAR EMBALADO 
 ESTRUTURA FIBROCIMENTO MADEIRA 
 48 x AC TRUNK CONNECTOR - CONECTOR CA HOYMILES 
 16 x AC TRUNK END CAP - TERMINAL ENDCAP HOYMILES 
 1 x AC TRUNK CONNECTOR UNLOCK TOOL - CHAVE DESBLOQUEIO CONECTOR CA 
 1 x HMS DISCONNECT TOOL-1PCS - CHAVE DESCONEXAO MICROINVERSOR 
 96 x CABO CA MULTIPOLAR 10AWG 
 2 x DTU-LITE-S(WIFI) - MONIT DTU-LITE S (ATÉ 25 MICROS)</t>
  </si>
  <si>
    <t>193 x MODULO FV 570WP N-TYPE BIFACIAL DAH SOLAR DHN-72X16/DG 
 1 x INVERSOR SOLIS 75KW 380V 75K-5G-PRO COM MONITORAMENTO 
 350 x CABO FOTOVOLTAICO 4MM² PRETO 
 350 x CABO FOTOVOLTAICO 4MM² VERMELHO 
 24 x CONECTOR MC4 PAR EMBALADO 
 ESTRUTURA FIBROCIMENTO MADEIRA</t>
  </si>
  <si>
    <t>193 x MODULO FV 570WP N-TYPE BIFACIAL DUAL GLASS DAS-DH144NA 
 1 x INVERSOR SOLIS 75KW 380V 75K-5G-PRO COM MONITORAMENTO 
 350 x CABO FOTOVOLTAICO 4MM² PRETO 
 350 x CABO FOTOVOLTAICO 4MM² VERMELHO 
 24 x CONECTOR MC4 PAR EMBALADO 
 ESTRUTURA FIBROCIMENTO MADEIRA</t>
  </si>
  <si>
    <t>193 x MODULO FV 570WP N-TYPE BIFACIAL DAH SOLAR DHN-72X16/DG 
 1 x INVERSOR SUNGROW SG75CX-P2 AFCI 380V COM MONITORAMENTO 
 350 x CABO FOTOVOLTAICO 4MM² PRETO 
 350 x CABO FOTOVOLTAICO 4MM² VERMELHO 
 20 x CONECTOR MC4 PAR EMBALADO 
 ESTRUTURA FIBROCIMENTO MADEIRA</t>
  </si>
  <si>
    <t>193 x MODULO FV 570WP N-TYPE BIFACIAL DUAL GLASS DAS-DH144NA 
 1 x INVERSOR SUNGROW SG75CX-P2 AFCI 380V COM MONITORAMENTO 
 350 x CABO FOTOVOLTAICO 4MM² PRETO 
 350 x CABO FOTOVOLTAICO 4MM² VERMELHO 
 20 x CONECTOR MC4 PAR EMBALADO 
 ESTRUTURA FIBROCIMENTO MADEIRA</t>
  </si>
  <si>
    <t>193 x MODULO FV 570WP N-TYPE BIFACIAL DAH SOLAR DHN-72X16/DG 
 49 x HMS-2000-4T - MICRO HOYMILES 2000W DTU EXTERNA 
 4 x CABO FOTOVOLTAICO 4MM² PRETO 
 196 x CABO FOTOVOLTAICO 4MM² VERMELHO 
 392 x CONECTOR MC4 PAR EMBALADO 
 ESTRUTURA FIBROCIMENTO MADEIRA 
 49 x AC TRUNK CONNECTOR - CONECTOR CA HOYMILES 
 17 x AC TRUNK END CAP - TERMINAL ENDCAP HOYMILES 
 1 x AC TRUNK CONNECTOR UNLOCK TOOL - CHAVE DESBLOQUEIO CONECTOR CA 
 1 x HMS DISCONNECT TOOL-1PCS - CHAVE DESCONEXAO MICROINVERSOR 
 96 x CABO CA MULTIPOLAR 10AWG 
 2 x DTU-LITE-S(WIFI) - MONIT DTU-LITE S (ATÉ 25 MICROS)</t>
  </si>
  <si>
    <t>193 x MODULO FV 570WP N-TYPE BIFACIAL DUAL GLASS DAS-DH144NA 
 49 x HMS-2000-4T - MICRO HOYMILES 2000W DTU EXTERNA 
 4 x CABO FOTOVOLTAICO 4MM² PRETO 
 196 x CABO FOTOVOLTAICO 4MM² VERMELHO 
 392 x CONECTOR MC4 PAR EMBALADO 
 ESTRUTURA FIBROCIMENTO MADEIRA 
 49 x AC TRUNK CONNECTOR - CONECTOR CA HOYMILES 
 17 x AC TRUNK END CAP - TERMINAL ENDCAP HOYMILES 
 1 x AC TRUNK CONNECTOR UNLOCK TOOL - CHAVE DESBLOQUEIO CONECTOR CA 
 1 x HMS DISCONNECT TOOL-1PCS - CHAVE DESCONEXAO MICROINVERSOR 
 96 x CABO CA MULTIPOLAR 10AWG 
 2 x DTU-LITE-S(WIFI) - MONIT DTU-LITE S (ATÉ 25 MICROS)</t>
  </si>
  <si>
    <t>155 x MODULO FV 710WP BIFACIAL DUAL-GLASS TRINA TSM-NEG21C.20 
 39 x HMS-2000-4T - MICRO HOYMILES 2000W DTU EXTERNA 
 4 x CABO FOTOVOLTAICO 4MM² PRETO 
 156 x CABO FOTOVOLTAICO 4MM² VERMELHO 
 312 x CONECTOR MC4 PAR TRINA 
 ESTRUTURA FIBROCIMENTO MADEIRA 
 39 x AC TRUNK CONNECTOR - CONECTOR CA HOYMILES 
 13 x AC TRUNK END CAP - TERMINAL ENDCAP HOYMILES 
 1 x AC TRUNK CONNECTOR UNLOCK TOOL - CHAVE DESBLOQUEIO CONECTOR CA 
 1 x HMS DISCONNECT TOOL-1PCS - CHAVE DESCONEXAO MICROINVERSOR 
 78 x CABO CA MULTIPOLAR 10AWG 
 2 x DTU-LITE-S(WIFI) - MONIT DTU-LITE S (ATÉ 25 MICROS)</t>
  </si>
  <si>
    <t>194 x MODULO FV 570WP N-TYPE BIFACIAL DAH SOLAR DHN-72X16/DG 
 1 x INVERSOR SUNGROW SG75CX-P2 AFCI 380V COM MONITORAMENTO 
 350 x CABO FOTOVOLTAICO 4MM² PRETO 
 350 x CABO FOTOVOLTAICO 4MM² VERMELHO 
 20 x CONECTOR MC4 PAR EMBALADO 
 ESTRUTURA FIBROCIMENTO MADEIRA</t>
  </si>
  <si>
    <t>194 x MODULO FV 570WP N-TYPE BIFACIAL DUAL GLASS DAS-DH144NA 
 1 x INVERSOR SUNGROW SG75CX-P2 AFCI 380V COM MONITORAMENTO 
 350 x CABO FOTOVOLTAICO 4MM² PRETO 
 350 x CABO FOTOVOLTAICO 4MM² VERMELHO 
 20 x CONECTOR MC4 PAR EMBALADO 
 ESTRUTURA FIBROCIMENTO MADEIRA</t>
  </si>
  <si>
    <t>194 x MODULO FV 570WP N-TYPE BIFACIAL DAH SOLAR DHN-72X16/DG 
 49 x HMS-2000-4T - MICRO HOYMILES 2000W DTU EXTERNA 
 4 x CABO FOTOVOLTAICO 4MM² PRETO 
 196 x CABO FOTOVOLTAICO 4MM² VERMELHO 
 392 x CONECTOR MC4 PAR EMBALADO 
 ESTRUTURA FIBROCIMENTO MADEIRA 
 49 x AC TRUNK CONNECTOR - CONECTOR CA HOYMILES 
 17 x AC TRUNK END CAP - TERMINAL ENDCAP HOYMILES 
 1 x AC TRUNK CONNECTOR UNLOCK TOOL - CHAVE DESBLOQUEIO CONECTOR CA 
 1 x HMS DISCONNECT TOOL-1PCS - CHAVE DESCONEXAO MICROINVERSOR 
 96 x CABO CA MULTIPOLAR 10AWG 
 2 x DTU-LITE-S(WIFI) - MONIT DTU-LITE S (ATÉ 25 MICROS)</t>
  </si>
  <si>
    <t>194 x MODULO FV 570WP N-TYPE BIFACIAL DUAL GLASS DAS-DH144NA 
 49 x HMS-2000-4T - MICRO HOYMILES 2000W DTU EXTERNA 
 4 x CABO FOTOVOLTAICO 4MM² PRETO 
 196 x CABO FOTOVOLTAICO 4MM² VERMELHO 
 392 x CONECTOR MC4 PAR EMBALADO 
 ESTRUTURA FIBROCIMENTO MADEIRA 
 49 x AC TRUNK CONNECTOR - CONECTOR CA HOYMILES 
 17 x AC TRUNK END CAP - TERMINAL ENDCAP HOYMILES 
 1 x AC TRUNK CONNECTOR UNLOCK TOOL - CHAVE DESBLOQUEIO CONECTOR CA 
 1 x HMS DISCONNECT TOOL-1PCS - CHAVE DESCONEXAO MICROINVERSOR 
 96 x CABO CA MULTIPOLAR 10AWG 
 2 x DTU-LITE-S(WIFI) - MONIT DTU-LITE S (ATÉ 25 MICROS)</t>
  </si>
  <si>
    <t>156 x MODULO FV 710WP BIFACIAL DUAL-GLASS TRINA TSM-NEG21C.20 
 39 x HMS-2000-4T - MICRO HOYMILES 2000W DTU EXTERNA 
 4 x CABO FOTOVOLTAICO 4MM² PRETO 
 156 x CABO FOTOVOLTAICO 4MM² VERMELHO 
 312 x CONECTOR MC4 PAR TRINA 
 ESTRUTURA FIBROCIMENTO MADEIRA 
 39 x AC TRUNK CONNECTOR - CONECTOR CA HOYMILES 
 13 x AC TRUNK END CAP - TERMINAL ENDCAP HOYMILES 
 1 x AC TRUNK CONNECTOR UNLOCK TOOL - CHAVE DESBLOQUEIO CONECTOR CA 
 1 x HMS DISCONNECT TOOL-1PCS - CHAVE DESCONEXAO MICROINVERSOR 
 78 x CABO CA MULTIPOLAR 10AWG 
 2 x DTU-LITE-S(WIFI) - MONIT DTU-LITE S (ATÉ 25 MICROS)</t>
  </si>
  <si>
    <t>195 x MODULO FV 570WP N-TYPE BIFACIAL DAH SOLAR DHN-72X16/DG 
 1 x INVERSOR SUNGROW SG75CX-P2 AFCI 380V COM MONITORAMENTO 
 350 x CABO FOTOVOLTAICO 4MM² PRETO 
 350 x CABO FOTOVOLTAICO 4MM² VERMELHO 
 20 x CONECTOR MC4 PAR EMBALADO 
 ESTRUTURA FIBROCIMENTO MADEIRA</t>
  </si>
  <si>
    <t>195 x MODULO FV 570WP N-TYPE BIFACIAL DUAL GLASS DAS-DH144NA 
 1 x INVERSOR SUNGROW SG75CX-P2 AFCI 380V COM MONITORAMENTO 
 350 x CABO FOTOVOLTAICO 4MM² PRETO 
 350 x CABO FOTOVOLTAICO 4MM² VERMELHO 
 20 x CONECTOR MC4 PAR EMBALADO 
 ESTRUTURA FIBROCIMENTO MADEIRA</t>
  </si>
  <si>
    <t>195 x MODULO FV 570WP N-TYPE BIFACIAL DAH SOLAR DHN-72X16/DG 
 49 x HMS-2000-4T - MICRO HOYMILES 2000W DTU EXTERNA 
 4 x CABO FOTOVOLTAICO 4MM² PRETO 
 196 x CABO FOTOVOLTAICO 4MM² VERMELHO 
 392 x CONECTOR MC4 PAR EMBALADO 
 ESTRUTURA FIBROCIMENTO MADEIRA 
 49 x AC TRUNK CONNECTOR - CONECTOR CA HOYMILES 
 17 x AC TRUNK END CAP - TERMINAL ENDCAP HOYMILES 
 1 x AC TRUNK CONNECTOR UNLOCK TOOL - CHAVE DESBLOQUEIO CONECTOR CA 
 1 x HMS DISCONNECT TOOL-1PCS - CHAVE DESCONEXAO MICROINVERSOR 
 96 x CABO CA MULTIPOLAR 10AWG 
 2 x DTU-LITE-S(WIFI) - MONIT DTU-LITE S (ATÉ 25 MICROS)</t>
  </si>
  <si>
    <t>195 x MODULO FV 570WP N-TYPE BIFACIAL DUAL GLASS DAS-DH144NA 
 49 x HMS-2000-4T - MICRO HOYMILES 2000W DTU EXTERNA 
 4 x CABO FOTOVOLTAICO 4MM² PRETO 
 196 x CABO FOTOVOLTAICO 4MM² VERMELHO 
 392 x CONECTOR MC4 PAR EMBALADO 
 ESTRUTURA FIBROCIMENTO MADEIRA 
 49 x AC TRUNK CONNECTOR - CONECTOR CA HOYMILES 
 17 x AC TRUNK END CAP - TERMINAL ENDCAP HOYMILES 
 1 x AC TRUNK CONNECTOR UNLOCK TOOL - CHAVE DESBLOQUEIO CONECTOR CA 
 1 x HMS DISCONNECT TOOL-1PCS - CHAVE DESCONEXAO MICROINVERSOR 
 96 x CABO CA MULTIPOLAR 10AWG 
 2 x DTU-LITE-S(WIFI) - MONIT DTU-LITE S (ATÉ 25 MICROS)</t>
  </si>
  <si>
    <t>157 x MODULO FV 710WP BIFACIAL DUAL-GLASS TRINA TSM-NEG21C.20 
 40 x HMS-2000-4T - MICRO HOYMILES 2000W DTU EXTERNA 
 4 x CABO FOTOVOLTAICO 4MM² PRETO 
 160 x CABO FOTOVOLTAICO 4MM² VERMELHO 
 320 x CONECTOR MC4 PAR TRINA 
 ESTRUTURA FIBROCIMENTO MADEIRA 
 40 x AC TRUNK CONNECTOR - CONECTOR CA HOYMILES 
 14 x AC TRUNK END CAP - TERMINAL ENDCAP HOYMILES 
 1 x AC TRUNK CONNECTOR UNLOCK TOOL - CHAVE DESBLOQUEIO CONECTOR CA 
 1 x HMS DISCONNECT TOOL-1PCS - CHAVE DESCONEXAO MICROINVERSOR 
 78 x CABO CA MULTIPOLAR 10AWG 
 2 x DTU-LITE-S(WIFI) - MONIT DTU-LITE S (ATÉ 25 MICROS)</t>
  </si>
  <si>
    <t>196 x MODULO FV 570WP N-TYPE BIFACIAL DAH SOLAR DHN-72X16/DG 
 1 x INVERSOR SOLIS 75KW 380V 75K-5G-PRO COM MONITORAMENTO 
 350 x CABO FOTOVOLTAICO 4MM² PRETO 
 350 x CABO FOTOVOLTAICO 4MM² VERMELHO 
 24 x CONECTOR MC4 PAR EMBALADO 
 ESTRUTURA FIBROCIMENTO MADEIRA</t>
  </si>
  <si>
    <t>196 x MODULO FV 570WP N-TYPE BIFACIAL DUAL GLASS DAS-DH144NA 
 1 x INVERSOR SOLIS 75KW 380V 75K-5G-PRO COM MONITORAMENTO 
 350 x CABO FOTOVOLTAICO 4MM² PRETO 
 350 x CABO FOTOVOLTAICO 4MM² VERMELHO 
 24 x CONECTOR MC4 PAR EMBALADO 
 ESTRUTURA FIBROCIMENTO MADEIRA</t>
  </si>
  <si>
    <t>196 x MODULO FV 570WP N-TYPE BIFACIAL DAH SOLAR DHN-72X16/DG 
 1 x INVERSOR SUNGROW SG75CX-P2 AFCI 380V COM MONITORAMENTO 
 350 x CABO FOTOVOLTAICO 4MM² PRETO 
 350 x CABO FOTOVOLTAICO 4MM² VERMELHO 
 20 x CONECTOR MC4 PAR EMBALADO 
 ESTRUTURA FIBROCIMENTO MADEIRA</t>
  </si>
  <si>
    <t>196 x MODULO FV 570WP N-TYPE BIFACIAL DUAL GLASS DAS-DH144NA 
 1 x INVERSOR SUNGROW SG75CX-P2 AFCI 380V COM MONITORAMENTO 
 350 x CABO FOTOVOLTAICO 4MM² PRETO 
 350 x CABO FOTOVOLTAICO 4MM² VERMELHO 
 20 x CONECTOR MC4 PAR EMBALADO 
 ESTRUTURA FIBROCIMENTO MADEIRA</t>
  </si>
  <si>
    <t>196 x MODULO FV 570WP N-TYPE BIFACIAL DAH SOLAR DHN-72X16/DG 
 49 x HMS-2000-4T - MICRO HOYMILES 2000W DTU EXTERNA 
 4 x CABO FOTOVOLTAICO 4MM² PRETO 
 196 x CABO FOTOVOLTAICO 4MM² VERMELHO 
 392 x CONECTOR MC4 PAR EMBALADO 
 ESTRUTURA FIBROCIMENTO MADEIRA 
 49 x AC TRUNK CONNECTOR - CONECTOR CA HOYMILES 
 17 x AC TRUNK END CAP - TERMINAL ENDCAP HOYMILES 
 1 x AC TRUNK CONNECTOR UNLOCK TOOL - CHAVE DESBLOQUEIO CONECTOR CA 
 1 x HMS DISCONNECT TOOL-1PCS - CHAVE DESCONEXAO MICROINVERSOR 
 96 x CABO CA MULTIPOLAR 10AWG 
 2 x DTU-LITE-S(WIFI) - MONIT DTU-LITE S (ATÉ 25 MICROS)</t>
  </si>
  <si>
    <t>196 x MODULO FV 570WP N-TYPE BIFACIAL DUAL GLASS DAS-DH144NA 
 49 x HMS-2000-4T - MICRO HOYMILES 2000W DTU EXTERNA 
 4 x CABO FOTOVOLTAICO 4MM² PRETO 
 196 x CABO FOTOVOLTAICO 4MM² VERMELHO 
 392 x CONECTOR MC4 PAR EMBALADO 
 ESTRUTURA FIBROCIMENTO MADEIRA 
 49 x AC TRUNK CONNECTOR - CONECTOR CA HOYMILES 
 17 x AC TRUNK END CAP - TERMINAL ENDCAP HOYMILES 
 1 x AC TRUNK CONNECTOR UNLOCK TOOL - CHAVE DESBLOQUEIO CONECTOR CA 
 1 x HMS DISCONNECT TOOL-1PCS - CHAVE DESCONEXAO MICROINVERSOR 
 96 x CABO CA MULTIPOLAR 10AWG 
 2 x DTU-LITE-S(WIFI) - MONIT DTU-LITE S (ATÉ 25 MICROS)</t>
  </si>
  <si>
    <t>158 x MODULO FV 710WP BIFACIAL DUAL-GLASS TRINA TSM-NEG21C.20 
 40 x HMS-2000-4T - MICRO HOYMILES 2000W DTU EXTERNA 
 4 x CABO FOTOVOLTAICO 4MM² PRETO 
 160 x CABO FOTOVOLTAICO 4MM² VERMELHO 
 320 x CONECTOR MC4 PAR TRINA 
 ESTRUTURA FIBROCIMENTO MADEIRA 
 40 x AC TRUNK CONNECTOR - CONECTOR CA HOYMILES 
 14 x AC TRUNK END CAP - TERMINAL ENDCAP HOYMILES 
 1 x AC TRUNK CONNECTOR UNLOCK TOOL - CHAVE DESBLOQUEIO CONECTOR CA 
 1 x HMS DISCONNECT TOOL-1PCS - CHAVE DESCONEXAO MICROINVERSOR 
 78 x CABO CA MULTIPOLAR 10AWG 
 2 x DTU-LITE-S(WIFI) - MONIT DTU-LITE S (ATÉ 25 MICROS)</t>
  </si>
  <si>
    <t>197 x MODULO FV 570WP N-TYPE BIFACIAL DAH SOLAR DHN-72X16/DG 
 1 x INVERSOR SUNGROW SG75CX-P2 AFCI 380V COM MONITORAMENTO 
 350 x CABO FOTOVOLTAICO 4MM² PRETO 
 350 x CABO FOTOVOLTAICO 4MM² VERMELHO 
 20 x CONECTOR MC4 PAR EMBALADO 
 ESTRUTURA FIBROCIMENTO MADEIRA</t>
  </si>
  <si>
    <t>197 x MODULO FV 570WP N-TYPE BIFACIAL DUAL GLASS DAS-DH144NA 
 1 x INVERSOR SUNGROW SG75CX-P2 AFCI 380V COM MONITORAMENTO 
 350 x CABO FOTOVOLTAICO 4MM² PRETO 
 350 x CABO FOTOVOLTAICO 4MM² VERMELHO 
 20 x CONECTOR MC4 PAR EMBALADO 
 ESTRUTURA FIBROCIMENTO MADEIRA</t>
  </si>
  <si>
    <t>99</t>
  </si>
  <si>
    <t>197 x MODULO FV 570WP N-TYPE BIFACIAL DAH SOLAR DHN-72X16/DG 
 50 x HMS-2000-4T - MICRO HOYMILES 2000W DTU EXTERNA 
 4 x CABO FOTOVOLTAICO 4MM² PRETO 
 200 x CABO FOTOVOLTAICO 4MM² VERMELHO 
 400 x CONECTOR MC4 PAR EMBALADO 
 ESTRUTURA FIBROCIMENTO MADEIRA 
 50 x AC TRUNK CONNECTOR - CONECTOR CA HOYMILES 
 17 x AC TRUNK END CAP - TERMINAL ENDCAP HOYMILES 
 1 x AC TRUNK CONNECTOR UNLOCK TOOL - CHAVE DESBLOQUEIO CONECTOR CA 
 1 x HMS DISCONNECT TOOL-1PCS - CHAVE DESCONEXAO MICROINVERSOR 
 99 x CABO CA MULTIPOLAR 10AWG 
 2 x DTU-LITE-S(WIFI) - MONIT DTU-LITE S (ATÉ 25 MICROS)</t>
  </si>
  <si>
    <t>197 x MODULO FV 570WP N-TYPE BIFACIAL DUAL GLASS DAS-DH144NA 
 50 x HMS-2000-4T - MICRO HOYMILES 2000W DTU EXTERNA 
 4 x CABO FOTOVOLTAICO 4MM² PRETO 
 200 x CABO FOTOVOLTAICO 4MM² VERMELHO 
 400 x CONECTOR MC4 PAR EMBALADO 
 ESTRUTURA FIBROCIMENTO MADEIRA 
 50 x AC TRUNK CONNECTOR - CONECTOR CA HOYMILES 
 17 x AC TRUNK END CAP - TERMINAL ENDCAP HOYMILES 
 1 x AC TRUNK CONNECTOR UNLOCK TOOL - CHAVE DESBLOQUEIO CONECTOR CA 
 1 x HMS DISCONNECT TOOL-1PCS - CHAVE DESCONEXAO MICROINVERSOR 
 99 x CABO CA MULTIPOLAR 10AWG 
 2 x DTU-LITE-S(WIFI) - MONIT DTU-LITE S (ATÉ 25 MICROS)</t>
  </si>
  <si>
    <t>198 x MODULO FV 570WP N-TYPE BIFACIAL DAH SOLAR DHN-72X16/DG 
 1 x INVERSOR SUNGROW SG75CX-P2 AFCI 380V COM MONITORAMENTO 
 350 x CABO FOTOVOLTAICO 4MM² PRETO 
 350 x CABO FOTOVOLTAICO 4MM² VERMELHO 
 20 x CONECTOR MC4 PAR EMBALADO 
 ESTRUTURA FIBROCIMENTO MADEIRA</t>
  </si>
  <si>
    <t>198 x MODULO FV 570WP N-TYPE BIFACIAL DUAL GLASS DAS-DH144NA 
 1 x INVERSOR SUNGROW SG75CX-P2 AFCI 380V COM MONITORAMENTO 
 350 x CABO FOTOVOLTAICO 4MM² PRETO 
 350 x CABO FOTOVOLTAICO 4MM² VERMELHO 
 20 x CONECTOR MC4 PAR EMBALADO 
 ESTRUTURA FIBROCIMENTO MADEIRA</t>
  </si>
  <si>
    <t>198 x MODULO FV 570WP N-TYPE BIFACIAL DAH SOLAR DHN-72X16/DG 
 50 x HMS-2000-4T - MICRO HOYMILES 2000W DTU EXTERNA 
 4 x CABO FOTOVOLTAICO 4MM² PRETO 
 200 x CABO FOTOVOLTAICO 4MM² VERMELHO 
 400 x CONECTOR MC4 PAR EMBALADO 
 ESTRUTURA FIBROCIMENTO MADEIRA 
 50 x AC TRUNK CONNECTOR - CONECTOR CA HOYMILES 
 17 x AC TRUNK END CAP - TERMINAL ENDCAP HOYMILES 
 1 x AC TRUNK CONNECTOR UNLOCK TOOL - CHAVE DESBLOQUEIO CONECTOR CA 
 1 x HMS DISCONNECT TOOL-1PCS - CHAVE DESCONEXAO MICROINVERSOR 
 99 x CABO CA MULTIPOLAR 10AWG 
 2 x DTU-LITE-S(WIFI) - MONIT DTU-LITE S (ATÉ 25 MICROS)</t>
  </si>
  <si>
    <t>198 x MODULO FV 570WP N-TYPE BIFACIAL DUAL GLASS DAS-DH144NA 
 50 x HMS-2000-4T - MICRO HOYMILES 2000W DTU EXTERNA 
 4 x CABO FOTOVOLTAICO 4MM² PRETO 
 200 x CABO FOTOVOLTAICO 4MM² VERMELHO 
 400 x CONECTOR MC4 PAR EMBALADO 
 ESTRUTURA FIBROCIMENTO MADEIRA 
 50 x AC TRUNK CONNECTOR - CONECTOR CA HOYMILES 
 17 x AC TRUNK END CAP - TERMINAL ENDCAP HOYMILES 
 1 x AC TRUNK CONNECTOR UNLOCK TOOL - CHAVE DESBLOQUEIO CONECTOR CA 
 1 x HMS DISCONNECT TOOL-1PCS - CHAVE DESCONEXAO MICROINVERSOR 
 99 x CABO CA MULTIPOLAR 10AWG 
 2 x DTU-LITE-S(WIFI) - MONIT DTU-LITE S (ATÉ 25 MICROS)</t>
  </si>
  <si>
    <t>159 x MODULO FV 710WP BIFACIAL DUAL-GLASS TRINA TSM-NEG21C.20 
 40 x HMS-2000-4T - MICRO HOYMILES 2000W DTU EXTERNA 
 4 x CABO FOTOVOLTAICO 4MM² PRETO 
 160 x CABO FOTOVOLTAICO 4MM² VERMELHO 
 320 x CONECTOR MC4 PAR TRINA 
 ESTRUTURA FIBROCIMENTO MADEIRA 
 40 x AC TRUNK CONNECTOR - CONECTOR CA HOYMILES 
 14 x AC TRUNK END CAP - TERMINAL ENDCAP HOYMILES 
 1 x AC TRUNK CONNECTOR UNLOCK TOOL - CHAVE DESBLOQUEIO CONECTOR CA 
 1 x HMS DISCONNECT TOOL-1PCS - CHAVE DESCONEXAO MICROINVERSOR 
 78 x CABO CA MULTIPOLAR 10AWG 
 2 x DTU-LITE-S(WIFI) - MONIT DTU-LITE S (ATÉ 25 MICROS)</t>
  </si>
  <si>
    <t>199 x MODULO FV 570WP N-TYPE BIFACIAL DAH SOLAR DHN-72X16/DG 
 1 x INVERSOR SUNGROW SG75CX-P2 AFCI 380V COM MONITORAMENTO 
 350 x CABO FOTOVOLTAICO 4MM² PRETO 
 350 x CABO FOTOVOLTAICO 4MM² VERMELHO 
 20 x CONECTOR MC4 PAR EMBALADO 
 ESTRUTURA FIBROCIMENTO MADEIRA</t>
  </si>
  <si>
    <t>199 x MODULO FV 570WP N-TYPE BIFACIAL DUAL GLASS DAS-DH144NA 
 1 x INVERSOR SUNGROW SG75CX-P2 AFCI 380V COM MONITORAMENTO 
 350 x CABO FOTOVOLTAICO 4MM² PRETO 
 350 x CABO FOTOVOLTAICO 4MM² VERMELHO 
 20 x CONECTOR MC4 PAR EMBALADO 
 ESTRUTURA FIBROCIMENTO MADEIRA</t>
  </si>
  <si>
    <t>199 x MODULO FV 570WP N-TYPE BIFACIAL DAH SOLAR DHN-72X16/DG 
 50 x HMS-2000-4T - MICRO HOYMILES 2000W DTU EXTERNA 
 4 x CABO FOTOVOLTAICO 4MM² PRETO 
 200 x CABO FOTOVOLTAICO 4MM² VERMELHO 
 400 x CONECTOR MC4 PAR EMBALADO 
 ESTRUTURA FIBROCIMENTO MADEIRA 
 50 x AC TRUNK CONNECTOR - CONECTOR CA HOYMILES 
 17 x AC TRUNK END CAP - TERMINAL ENDCAP HOYMILES 
 1 x AC TRUNK CONNECTOR UNLOCK TOOL - CHAVE DESBLOQUEIO CONECTOR CA 
 1 x HMS DISCONNECT TOOL-1PCS - CHAVE DESCONEXAO MICROINVERSOR 
 99 x CABO CA MULTIPOLAR 10AWG 
 2 x DTU-LITE-S(WIFI) - MONIT DTU-LITE S (ATÉ 25 MICROS)</t>
  </si>
  <si>
    <t>199 x MODULO FV 570WP N-TYPE BIFACIAL DUAL GLASS DAS-DH144NA 
 50 x HMS-2000-4T - MICRO HOYMILES 2000W DTU EXTERNA 
 4 x CABO FOTOVOLTAICO 4MM² PRETO 
 200 x CABO FOTOVOLTAICO 4MM² VERMELHO 
 400 x CONECTOR MC4 PAR EMBALADO 
 ESTRUTURA FIBROCIMENTO MADEIRA 
 50 x AC TRUNK CONNECTOR - CONECTOR CA HOYMILES 
 17 x AC TRUNK END CAP - TERMINAL ENDCAP HOYMILES 
 1 x AC TRUNK CONNECTOR UNLOCK TOOL - CHAVE DESBLOQUEIO CONECTOR CA 
 1 x HMS DISCONNECT TOOL-1PCS - CHAVE DESCONEXAO MICROINVERSOR 
 99 x CABO CA MULTIPOLAR 10AWG 
 2 x DTU-LITE-S(WIFI) - MONIT DTU-LITE S (ATÉ 25 MICROS)</t>
  </si>
  <si>
    <t>160 x MODULO FV 710WP BIFACIAL DUAL-GLASS TRINA TSM-NEG21C.20 
 40 x HMS-2000-4T - MICRO HOYMILES 2000W DTU EXTERNA 
 4 x CABO FOTOVOLTAICO 4MM² PRETO 
 160 x CABO FOTOVOLTAICO 4MM² VERMELHO 
 320 x CONECTOR MC4 PAR TRINA 
 ESTRUTURA FIBROCIMENTO MADEIRA 
 40 x AC TRUNK CONNECTOR - CONECTOR CA HOYMILES 
 14 x AC TRUNK END CAP - TERMINAL ENDCAP HOYMILES 
 1 x AC TRUNK CONNECTOR UNLOCK TOOL - CHAVE DESBLOQUEIO CONECTOR CA 
 1 x HMS DISCONNECT TOOL-1PCS - CHAVE DESCONEXAO MICROINVERSOR 
 78 x CABO CA MULTIPOLAR 10AWG 
 2 x DTU-LITE-S(WIFI) - MONIT DTU-LITE S (ATÉ 25 MICROS)</t>
  </si>
  <si>
    <t>200 x MODULO FV 570WP N-TYPE BIFACIAL DAH SOLAR DHN-72X16/DG 
 50 x HMS-2000-4T - MICRO HOYMILES 2000W DTU EXTERNA 
 4 x CABO FOTOVOLTAICO 4MM² PRETO 
 200 x CABO FOTOVOLTAICO 4MM² VERMELHO 
 400 x CONECTOR MC4 PAR EMBALADO 
 ESTRUTURA FIBROCIMENTO MADEIRA 
 50 x AC TRUNK CONNECTOR - CONECTOR CA HOYMILES 
 17 x AC TRUNK END CAP - TERMINAL ENDCAP HOYMILES 
 1 x AC TRUNK CONNECTOR UNLOCK TOOL - CHAVE DESBLOQUEIO CONECTOR CA 
 1 x HMS DISCONNECT TOOL-1PCS - CHAVE DESCONEXAO MICROINVERSOR 
 99 x CABO CA MULTIPOLAR 10AWG 
 2 x DTU-LITE-S(WIFI) - MONIT DTU-LITE S (ATÉ 25 MICROS)</t>
  </si>
  <si>
    <t>200 x MODULO FV 570WP N-TYPE BIFACIAL DUAL GLASS DAS-DH144NA 
 50 x HMS-2000-4T - MICRO HOYMILES 2000W DTU EXTERNA 
 4 x CABO FOTOVOLTAICO 4MM² PRETO 
 200 x CABO FOTOVOLTAICO 4MM² VERMELHO 
 400 x CONECTOR MC4 PAR EMBALADO 
 ESTRUTURA FIBROCIMENTO MADEIRA 
 50 x AC TRUNK CONNECTOR - CONECTOR CA HOYMILES 
 17 x AC TRUNK END CAP - TERMINAL ENDCAP HOYMILES 
 1 x AC TRUNK CONNECTOR UNLOCK TOOL - CHAVE DESBLOQUEIO CONECTOR CA 
 1 x HMS DISCONNECT TOOL-1PCS - CHAVE DESCONEXAO MICROINVERSOR 
 99 x CABO CA MULTIPOLAR 10AWG 
 2 x DTU-LITE-S(WIFI) - MONIT DTU-LITE S (ATÉ 25 MICROS)</t>
  </si>
  <si>
    <t>161 x MODULO FV 710WP BIFACIAL DUAL-GLASS TRINA TSM-NEG21C.20 
 41 x HMS-2000-4T - MICRO HOYMILES 2000W DTU EXTERNA 
 4 x CABO FOTOVOLTAICO 4MM² PRETO 
 164 x CABO FOTOVOLTAICO 4MM² VERMELHO 
 328 x CONECTOR MC4 PAR TRINA 
 ESTRUTURA FIBROCIMENTO MADEIRA 
 41 x AC TRUNK CONNECTOR - CONECTOR CA HOYMILES 
 14 x AC TRUNK END CAP - TERMINAL ENDCAP HOYMILES 
 1 x AC TRUNK CONNECTOR UNLOCK TOOL - CHAVE DESBLOQUEIO CONECTOR CA 
 1 x HMS DISCONNECT TOOL-1PCS - CHAVE DESCONEXAO MICROINVERSOR 
 81 x CABO CA MULTIPOLAR 10AWG 
 2 x DTU-LITE-S(WIFI) - MONIT DTU-LITE S (ATÉ 25 MICROS)</t>
  </si>
  <si>
    <t>162 x MODULO FV 710WP BIFACIAL DUAL-GLASS TRINA TSM-NEG21C.20 
 41 x HMS-2000-4T - MICRO HOYMILES 2000W DTU EXTERNA 
 4 x CABO FOTOVOLTAICO 4MM² PRETO 
 164 x CABO FOTOVOLTAICO 4MM² VERMELHO 
 328 x CONECTOR MC4 PAR TRINA 
 ESTRUTURA FIBROCIMENTO MADEIRA 
 41 x AC TRUNK CONNECTOR - CONECTOR CA HOYMILES 
 14 x AC TRUNK END CAP - TERMINAL ENDCAP HOYMILES 
 1 x AC TRUNK CONNECTOR UNLOCK TOOL - CHAVE DESBLOQUEIO CONECTOR CA 
 1 x HMS DISCONNECT TOOL-1PCS - CHAVE DESCONEXAO MICROINVERSOR 
 81 x CABO CA MULTIPOLAR 10AWG 
 2 x DTU-LITE-S(WIFI) - MONIT DTU-LITE S (ATÉ 25 MICROS)</t>
  </si>
  <si>
    <t>163 x MODULO FV 710WP BIFACIAL DUAL-GLASS TRINA TSM-NEG21C.20 
 41 x HMS-2000-4T - MICRO HOYMILES 2000W DTU EXTERNA 
 4 x CABO FOTOVOLTAICO 4MM² PRETO 
 164 x CABO FOTOVOLTAICO 4MM² VERMELHO 
 328 x CONECTOR MC4 PAR TRINA 
 ESTRUTURA FIBROCIMENTO MADEIRA 
 41 x AC TRUNK CONNECTOR - CONECTOR CA HOYMILES 
 14 x AC TRUNK END CAP - TERMINAL ENDCAP HOYMILES 
 1 x AC TRUNK CONNECTOR UNLOCK TOOL - CHAVE DESBLOQUEIO CONECTOR CA 
 1 x HMS DISCONNECT TOOL-1PCS - CHAVE DESCONEXAO MICROINVERSOR 
 81 x CABO CA MULTIPOLAR 10AWG 
 2 x DTU-LITE-S(WIFI) - MONIT DTU-LITE S (ATÉ 25 MICROS)</t>
  </si>
  <si>
    <t>164 x MODULO FV 710WP BIFACIAL DUAL-GLASS TRINA TSM-NEG21C.20 
 41 x HMS-2000-4T - MICRO HOYMILES 2000W DTU EXTERNA 
 4 x CABO FOTOVOLTAICO 4MM² PRETO 
 164 x CABO FOTOVOLTAICO 4MM² VERMELHO 
 328 x CONECTOR MC4 PAR TRINA 
 ESTRUTURA FIBROCIMENTO MADEIRA 
 41 x AC TRUNK CONNECTOR - CONECTOR CA HOYMILES 
 14 x AC TRUNK END CAP - TERMINAL ENDCAP HOYMILES 
 1 x AC TRUNK CONNECTOR UNLOCK TOOL - CHAVE DESBLOQUEIO CONECTOR CA 
 1 x HMS DISCONNECT TOOL-1PCS - CHAVE DESCONEXAO MICROINVERSOR 
 81 x CABO CA MULTIPOLAR 10AWG 
 2 x DTU-LITE-S(WIFI) - MONIT DTU-LITE S (ATÉ 25 MICROS)</t>
  </si>
  <si>
    <t>165 x MODULO FV 710WP BIFACIAL DUAL-GLASS TRINA TSM-NEG21C.20 
 42 x HMS-2000-4T - MICRO HOYMILES 2000W DTU EXTERNA 
 4 x CABO FOTOVOLTAICO 4MM² PRETO 
 168 x CABO FOTOVOLTAICO 4MM² VERMELHO 
 336 x CONECTOR MC4 PAR TRINA 
 ESTRUTURA FIBROCIMENTO MADEIRA 
 42 x AC TRUNK CONNECTOR - CONECTOR CA HOYMILES 
 14 x AC TRUNK END CAP - TERMINAL ENDCAP HOYMILES 
 1 x AC TRUNK CONNECTOR UNLOCK TOOL - CHAVE DESBLOQUEIO CONECTOR CA 
 1 x HMS DISCONNECT TOOL-1PCS - CHAVE DESCONEXAO MICROINVERSOR 
 84 x CABO CA MULTIPOLAR 10AWG 
 2 x DTU-LITE-S(WIFI) - MONIT DTU-LITE S (ATÉ 25 MICROS)</t>
  </si>
  <si>
    <t>166 x MODULO FV 710WP BIFACIAL DUAL-GLASS TRINA TSM-NEG21C.20 
 42 x HMS-2000-4T - MICRO HOYMILES 2000W DTU EXTERNA 
 4 x CABO FOTOVOLTAICO 4MM² PRETO 
 168 x CABO FOTOVOLTAICO 4MM² VERMELHO 
 336 x CONECTOR MC4 PAR TRINA 
 ESTRUTURA FIBROCIMENTO MADEIRA 
 42 x AC TRUNK CONNECTOR - CONECTOR CA HOYMILES 
 14 x AC TRUNK END CAP - TERMINAL ENDCAP HOYMILES 
 1 x AC TRUNK CONNECTOR UNLOCK TOOL - CHAVE DESBLOQUEIO CONECTOR CA 
 1 x HMS DISCONNECT TOOL-1PCS - CHAVE DESCONEXAO MICROINVERSOR 
 84 x CABO CA MULTIPOLAR 10AWG 
 2 x DTU-LITE-S(WIFI) - MONIT DTU-LITE S (ATÉ 25 MICROS)</t>
  </si>
  <si>
    <t>167 x MODULO FV 710WP BIFACIAL DUAL-GLASS TRINA TSM-NEG21C.20 
 42 x HMS-2000-4T - MICRO HOYMILES 2000W DTU EXTERNA 
 4 x CABO FOTOVOLTAICO 4MM² PRETO 
 168 x CABO FOTOVOLTAICO 4MM² VERMELHO 
 336 x CONECTOR MC4 PAR TRINA 
 ESTRUTURA FIBROCIMENTO MADEIRA 
 42 x AC TRUNK CONNECTOR - CONECTOR CA HOYMILES 
 14 x AC TRUNK END CAP - TERMINAL ENDCAP HOYMILES 
 1 x AC TRUNK CONNECTOR UNLOCK TOOL - CHAVE DESBLOQUEIO CONECTOR CA 
 1 x HMS DISCONNECT TOOL-1PCS - CHAVE DESCONEXAO MICROINVERSOR 
 84 x CABO CA MULTIPOLAR 10AWG 
 2 x DTU-LITE-S(WIFI) - MONIT DTU-LITE S (ATÉ 25 MICROS)</t>
  </si>
  <si>
    <t>168 x MODULO FV 710WP BIFACIAL DUAL-GLASS TRINA TSM-NEG21C.20 
 42 x HMS-2000-4T - MICRO HOYMILES 2000W DTU EXTERNA 
 4 x CABO FOTOVOLTAICO 4MM² PRETO 
 168 x CABO FOTOVOLTAICO 4MM² VERMELHO 
 336 x CONECTOR MC4 PAR TRINA 
 ESTRUTURA FIBROCIMENTO MADEIRA 
 42 x AC TRUNK CONNECTOR - CONECTOR CA HOYMILES 
 14 x AC TRUNK END CAP - TERMINAL ENDCAP HOYMILES 
 1 x AC TRUNK CONNECTOR UNLOCK TOOL - CHAVE DESBLOQUEIO CONECTOR CA 
 1 x HMS DISCONNECT TOOL-1PCS - CHAVE DESCONEXAO MICROINVERSOR 
 84 x CABO CA MULTIPOLAR 10AWG 
 2 x DTU-LITE-S(WIFI) - MONIT DTU-LITE S (ATÉ 25 MICROS)</t>
  </si>
  <si>
    <t>169 x MODULO FV 710WP BIFACIAL DUAL-GLASS TRINA TSM-NEG21C.20 
 43 x HMS-2000-4T - MICRO HOYMILES 2000W DTU EXTERNA 
 4 x CABO FOTOVOLTAICO 4MM² PRETO 
 172 x CABO FOTOVOLTAICO 4MM² VERMELHO 
 344 x CONECTOR MC4 PAR TRINA 
 ESTRUTURA FIBROCIMENTO MADEIRA 
 43 x AC TRUNK CONNECTOR - CONECTOR CA HOYMILES 
 15 x AC TRUNK END CAP - TERMINAL ENDCAP HOYMILES 
 1 x AC TRUNK CONNECTOR UNLOCK TOOL - CHAVE DESBLOQUEIO CONECTOR CA 
 1 x HMS DISCONNECT TOOL-1PCS - CHAVE DESCONEXAO MICROINVERSOR 
 84 x CABO CA MULTIPOLAR 10AWG 
 2 x DTU-LITE-S(WIFI) - MONIT DTU-LITE S (ATÉ 25 MICROS)</t>
  </si>
  <si>
    <t>170 x MODULO FV 710WP BIFACIAL DUAL-GLASS TRINA TSM-NEG21C.20 
 43 x HMS-2000-4T - MICRO HOYMILES 2000W DTU EXTERNA 
 4 x CABO FOTOVOLTAICO 4MM² PRETO 
 172 x CABO FOTOVOLTAICO 4MM² VERMELHO 
 344 x CONECTOR MC4 PAR TRINA 
 ESTRUTURA FIBROCIMENTO MADEIRA 
 43 x AC TRUNK CONNECTOR - CONECTOR CA HOYMILES 
 15 x AC TRUNK END CAP - TERMINAL ENDCAP HOYMILES 
 1 x AC TRUNK CONNECTOR UNLOCK TOOL - CHAVE DESBLOQUEIO CONECTOR CA 
 1 x HMS DISCONNECT TOOL-1PCS - CHAVE DESCONEXAO MICROINVERSOR 
 84 x CABO CA MULTIPOLAR 10AWG 
 2 x DTU-LITE-S(WIFI) - MONIT DTU-LITE S (ATÉ 25 MICROS)</t>
  </si>
  <si>
    <t>171 x MODULO FV 710WP BIFACIAL DUAL-GLASS TRINA TSM-NEG21C.20 
 43 x HMS-2000-4T - MICRO HOYMILES 2000W DTU EXTERNA 
 4 x CABO FOTOVOLTAICO 4MM² PRETO 
 172 x CABO FOTOVOLTAICO 4MM² VERMELHO 
 344 x CONECTOR MC4 PAR TRINA 
 ESTRUTURA FIBROCIMENTO MADEIRA 
 43 x AC TRUNK CONNECTOR - CONECTOR CA HOYMILES 
 15 x AC TRUNK END CAP - TERMINAL ENDCAP HOYMILES 
 1 x AC TRUNK CONNECTOR UNLOCK TOOL - CHAVE DESBLOQUEIO CONECTOR CA 
 1 x HMS DISCONNECT TOOL-1PCS - CHAVE DESCONEXAO MICROINVERSOR 
 84 x CABO CA MULTIPOLAR 10AWG 
 2 x DTU-LITE-S(WIFI) - MONIT DTU-LITE S (ATÉ 25 MICROS)</t>
  </si>
  <si>
    <t>172 x MODULO FV 710WP BIFACIAL DUAL-GLASS TRINA TSM-NEG21C.20 
 43 x HMS-2000-4T - MICRO HOYMILES 2000W DTU EXTERNA 
 4 x CABO FOTOVOLTAICO 4MM² PRETO 
 172 x CABO FOTOVOLTAICO 4MM² VERMELHO 
 344 x CONECTOR MC4 PAR TRINA 
 ESTRUTURA FIBROCIMENTO MADEIRA 
 43 x AC TRUNK CONNECTOR - CONECTOR CA HOYMILES 
 15 x AC TRUNK END CAP - TERMINAL ENDCAP HOYMILES 
 1 x AC TRUNK CONNECTOR UNLOCK TOOL - CHAVE DESBLOQUEIO CONECTOR CA 
 1 x HMS DISCONNECT TOOL-1PCS - CHAVE DESCONEXAO MICROINVERSOR 
 84 x CABO CA MULTIPOLAR 10AWG 
 2 x DTU-LITE-S(WIFI) - MONIT DTU-LITE S (ATÉ 25 MICROS)</t>
  </si>
  <si>
    <t>173 x MODULO FV 710WP BIFACIAL DUAL-GLASS TRINA TSM-NEG21C.20 
 44 x HMS-2000-4T - MICRO HOYMILES 2000W DTU EXTERNA 
 4 x CABO FOTOVOLTAICO 4MM² PRETO 
 176 x CABO FOTOVOLTAICO 4MM² VERMELHO 
 352 x CONECTOR MC4 PAR TRINA 
 ESTRUTURA FIBROCIMENTO MADEIRA 
 44 x AC TRUNK CONNECTOR - CONECTOR CA HOYMILES 
 15 x AC TRUNK END CAP - TERMINAL ENDCAP HOYMILES 
 1 x AC TRUNK CONNECTOR UNLOCK TOOL - CHAVE DESBLOQUEIO CONECTOR CA 
 1 x HMS DISCONNECT TOOL-1PCS - CHAVE DESCONEXAO MICROINVERSOR 
 87 x CABO CA MULTIPOLAR 10AWG 
 2 x DTU-LITE-S(WIFI) - MONIT DTU-LITE S (ATÉ 25 MICROS)</t>
  </si>
  <si>
    <t>174 x MODULO FV 710WP BIFACIAL DUAL-GLASS TRINA TSM-NEG21C.20 
 44 x HMS-2000-4T - MICRO HOYMILES 2000W DTU EXTERNA 
 4 x CABO FOTOVOLTAICO 4MM² PRETO 
 176 x CABO FOTOVOLTAICO 4MM² VERMELHO 
 352 x CONECTOR MC4 PAR TRINA 
 ESTRUTURA FIBROCIMENTO MADEIRA 
 44 x AC TRUNK CONNECTOR - CONECTOR CA HOYMILES 
 15 x AC TRUNK END CAP - TERMINAL ENDCAP HOYMILES 
 1 x AC TRUNK CONNECTOR UNLOCK TOOL - CHAVE DESBLOQUEIO CONECTOR CA 
 1 x HMS DISCONNECT TOOL-1PCS - CHAVE DESCONEXAO MICROINVERSOR 
 87 x CABO CA MULTIPOLAR 10AWG 
 2 x DTU-LITE-S(WIFI) - MONIT DTU-LITE S (ATÉ 25 MICROS)</t>
  </si>
  <si>
    <t>175 x MODULO FV 710WP BIFACIAL DUAL-GLASS TRINA TSM-NEG21C.20 
 44 x HMS-2000-4T - MICRO HOYMILES 2000W DTU EXTERNA 
 4 x CABO FOTOVOLTAICO 4MM² PRETO 
 176 x CABO FOTOVOLTAICO 4MM² VERMELHO 
 352 x CONECTOR MC4 PAR TRINA 
 ESTRUTURA FIBROCIMENTO MADEIRA 
 44 x AC TRUNK CONNECTOR - CONECTOR CA HOYMILES 
 15 x AC TRUNK END CAP - TERMINAL ENDCAP HOYMILES 
 1 x AC TRUNK CONNECTOR UNLOCK TOOL - CHAVE DESBLOQUEIO CONECTOR CA 
 1 x HMS DISCONNECT TOOL-1PCS - CHAVE DESCONEXAO MICROINVERSOR 
 87 x CABO CA MULTIPOLAR 10AWG 
 2 x DTU-LITE-S(WIFI) - MONIT DTU-LITE S (ATÉ 25 MICROS)</t>
  </si>
  <si>
    <t>176 x MODULO FV 710WP BIFACIAL DUAL-GLASS TRINA TSM-NEG21C.20 
 44 x HMS-2000-4T - MICRO HOYMILES 2000W DTU EXTERNA 
 4 x CABO FOTOVOLTAICO 4MM² PRETO 
 176 x CABO FOTOVOLTAICO 4MM² VERMELHO 
 352 x CONECTOR MC4 PAR TRINA 
 ESTRUTURA FIBROCIMENTO MADEIRA 
 44 x AC TRUNK CONNECTOR - CONECTOR CA HOYMILES 
 15 x AC TRUNK END CAP - TERMINAL ENDCAP HOYMILES 
 1 x AC TRUNK CONNECTOR UNLOCK TOOL - CHAVE DESBLOQUEIO CONECTOR CA 
 1 x HMS DISCONNECT TOOL-1PCS - CHAVE DESCONEXAO MICROINVERSOR 
 87 x CABO CA MULTIPOLAR 10AWG 
 2 x DTU-LITE-S(WIFI) - MONIT DTU-LITE S (ATÉ 25 MICROS)</t>
  </si>
  <si>
    <t>177 x MODULO FV 710WP BIFACIAL DUAL-GLASS TRINA TSM-NEG21C.20 
 45 x HMS-2000-4T - MICRO HOYMILES 2000W DTU EXTERNA 
 4 x CABO FOTOVOLTAICO 4MM² PRETO 
 180 x CABO FOTOVOLTAICO 4MM² VERMELHO 
 360 x CONECTOR MC4 PAR TRINA 
 ESTRUTURA FIBROCIMENTO MADEIRA 
 45 x AC TRUNK CONNECTOR - CONECTOR CA HOYMILES 
 15 x AC TRUNK END CAP - TERMINAL ENDCAP HOYMILES 
 1 x AC TRUNK CONNECTOR UNLOCK TOOL - CHAVE DESBLOQUEIO CONECTOR CA 
 1 x HMS DISCONNECT TOOL-1PCS - CHAVE DESCONEXAO MICROINVERSOR 
 90 x CABO CA MULTIPOLAR 10AWG 
 2 x DTU-LITE-S(WIFI) - MONIT DTU-LITE S (ATÉ 25 MICROS)</t>
  </si>
  <si>
    <t>178 x MODULO FV 710WP BIFACIAL DUAL-GLASS TRINA TSM-NEG21C.20 
 45 x HMS-2000-4T - MICRO HOYMILES 2000W DTU EXTERNA 
 4 x CABO FOTOVOLTAICO 4MM² PRETO 
 180 x CABO FOTOVOLTAICO 4MM² VERMELHO 
 360 x CONECTOR MC4 PAR TRINA 
 ESTRUTURA FIBROCIMENTO MADEIRA 
 45 x AC TRUNK CONNECTOR - CONECTOR CA HOYMILES 
 15 x AC TRUNK END CAP - TERMINAL ENDCAP HOYMILES 
 1 x AC TRUNK CONNECTOR UNLOCK TOOL - CHAVE DESBLOQUEIO CONECTOR CA 
 1 x HMS DISCONNECT TOOL-1PCS - CHAVE DESCONEXAO MICROINVERSOR 
 90 x CABO CA MULTIPOLAR 10AWG 
 2 x DTU-LITE-S(WIFI) - MONIT DTU-LITE S (ATÉ 25 MICROS)</t>
  </si>
  <si>
    <t>179 x MODULO FV 710WP BIFACIAL DUAL-GLASS TRINA TSM-NEG21C.20 
 45 x HMS-2000-4T - MICRO HOYMILES 2000W DTU EXTERNA 
 4 x CABO FOTOVOLTAICO 4MM² PRETO 
 180 x CABO FOTOVOLTAICO 4MM² VERMELHO 
 360 x CONECTOR MC4 PAR TRINA 
 ESTRUTURA FIBROCIMENTO MADEIRA 
 45 x AC TRUNK CONNECTOR - CONECTOR CA HOYMILES 
 15 x AC TRUNK END CAP - TERMINAL ENDCAP HOYMILES 
 1 x AC TRUNK CONNECTOR UNLOCK TOOL - CHAVE DESBLOQUEIO CONECTOR CA 
 1 x HMS DISCONNECT TOOL-1PCS - CHAVE DESCONEXAO MICROINVERSOR 
 90 x CABO CA MULTIPOLAR 10AWG 
 2 x DTU-LITE-S(WIFI) - MONIT DTU-LITE S (ATÉ 25 MICROS)</t>
  </si>
  <si>
    <t>180 x MODULO FV 710WP BIFACIAL DUAL-GLASS TRINA TSM-NEG21C.20 
 45 x HMS-2000-4T - MICRO HOYMILES 2000W DTU EXTERNA 
 4 x CABO FOTOVOLTAICO 4MM² PRETO 
 180 x CABO FOTOVOLTAICO 4MM² VERMELHO 
 360 x CONECTOR MC4 PAR TRINA 
 ESTRUTURA FIBROCIMENTO MADEIRA 
 45 x AC TRUNK CONNECTOR - CONECTOR CA HOYMILES 
 15 x AC TRUNK END CAP - TERMINAL ENDCAP HOYMILES 
 1 x AC TRUNK CONNECTOR UNLOCK TOOL - CHAVE DESBLOQUEIO CONECTOR CA 
 1 x HMS DISCONNECT TOOL-1PCS - CHAVE DESCONEXAO MICROINVERSOR 
 90 x CABO CA MULTIPOLAR 10AWG 
 2 x DTU-LITE-S(WIFI) - MONIT DTU-LITE S (ATÉ 25 MICROS)</t>
  </si>
  <si>
    <t>181 x MODULO FV 710WP BIFACIAL DUAL-GLASS TRINA TSM-NEG21C.20 
 46 x HMS-2000-4T - MICRO HOYMILES 2000W DTU EXTERNA 
 4 x CABO FOTOVOLTAICO 4MM² PRETO 
 184 x CABO FOTOVOLTAICO 4MM² VERMELHO 
 368 x CONECTOR MC4 PAR TRINA 
 ESTRUTURA FIBROCIMENTO MADEIRA 
 46 x AC TRUNK CONNECTOR - CONECTOR CA HOYMILES 
 16 x AC TRUNK END CAP - TERMINAL ENDCAP HOYMILES 
 1 x AC TRUNK CONNECTOR UNLOCK TOOL - CHAVE DESBLOQUEIO CONECTOR CA 
 1 x HMS DISCONNECT TOOL-1PCS - CHAVE DESCONEXAO MICROINVERSOR 
 90 x CABO CA MULTIPOLAR 10AWG 
 2 x DTU-LITE-S(WIFI) - MONIT DTU-LITE S (ATÉ 25 MICROS)</t>
  </si>
  <si>
    <t>182 x MODULO FV 710WP BIFACIAL DUAL-GLASS TRINA TSM-NEG21C.20 
 46 x HMS-2000-4T - MICRO HOYMILES 2000W DTU EXTERNA 
 4 x CABO FOTOVOLTAICO 4MM² PRETO 
 184 x CABO FOTOVOLTAICO 4MM² VERMELHO 
 368 x CONECTOR MC4 PAR TRINA 
 ESTRUTURA FIBROCIMENTO MADEIRA 
 46 x AC TRUNK CONNECTOR - CONECTOR CA HOYMILES 
 16 x AC TRUNK END CAP - TERMINAL ENDCAP HOYMILES 
 1 x AC TRUNK CONNECTOR UNLOCK TOOL - CHAVE DESBLOQUEIO CONECTOR CA 
 1 x HMS DISCONNECT TOOL-1PCS - CHAVE DESCONEXAO MICROINVERSOR 
 90 x CABO CA MULTIPOLAR 10AWG 
 2 x DTU-LITE-S(WIFI) - MONIT DTU-LITE S (ATÉ 25 MICROS)</t>
  </si>
  <si>
    <t>183 x MODULO FV 710WP BIFACIAL DUAL-GLASS TRINA TSM-NEG21C.20 
 46 x HMS-2000-4T - MICRO HOYMILES 2000W DTU EXTERNA 
 4 x CABO FOTOVOLTAICO 4MM² PRETO 
 184 x CABO FOTOVOLTAICO 4MM² VERMELHO 
 368 x CONECTOR MC4 PAR TRINA 
 ESTRUTURA FIBROCIMENTO MADEIRA 
 46 x AC TRUNK CONNECTOR - CONECTOR CA HOYMILES 
 16 x AC TRUNK END CAP - TERMINAL ENDCAP HOYMILES 
 1 x AC TRUNK CONNECTOR UNLOCK TOOL - CHAVE DESBLOQUEIO CONECTOR CA 
 1 x HMS DISCONNECT TOOL-1PCS - CHAVE DESCONEXAO MICROINVERSOR 
 90 x CABO CA MULTIPOLAR 10AWG 
 2 x DTU-LITE-S(WIFI) - MONIT DTU-LITE S (ATÉ 25 MICROS)</t>
  </si>
  <si>
    <t>184 x MODULO FV 710WP BIFACIAL DUAL-GLASS TRINA TSM-NEG21C.20 
 46 x HMS-2000-4T - MICRO HOYMILES 2000W DTU EXTERNA 
 4 x CABO FOTOVOLTAICO 4MM² PRETO 
 184 x CABO FOTOVOLTAICO 4MM² VERMELHO 
 368 x CONECTOR MC4 PAR TRINA 
 ESTRUTURA FIBROCIMENTO MADEIRA 
 46 x AC TRUNK CONNECTOR - CONECTOR CA HOYMILES 
 16 x AC TRUNK END CAP - TERMINAL ENDCAP HOYMILES 
 1 x AC TRUNK CONNECTOR UNLOCK TOOL - CHAVE DESBLOQUEIO CONECTOR CA 
 1 x HMS DISCONNECT TOOL-1PCS - CHAVE DESCONEXAO MICROINVERSOR 
 90 x CABO CA MULTIPOLAR 10AWG 
 2 x DTU-LITE-S(WIFI) - MONIT DTU-LITE S (ATÉ 25 MICROS)</t>
  </si>
  <si>
    <t>185 x MODULO FV 710WP BIFACIAL DUAL-GLASS TRINA TSM-NEG21C.20 
 47 x HMS-2000-4T - MICRO HOYMILES 2000W DTU EXTERNA 
 4 x CABO FOTOVOLTAICO 4MM² PRETO 
 188 x CABO FOTOVOLTAICO 4MM² VERMELHO 
 376 x CONECTOR MC4 PAR TRINA 
 ESTRUTURA FIBROCIMENTO MADEIRA 
 47 x AC TRUNK CONNECTOR - CONECTOR CA HOYMILES 
 16 x AC TRUNK END CAP - TERMINAL ENDCAP HOYMILES 
 1 x AC TRUNK CONNECTOR UNLOCK TOOL - CHAVE DESBLOQUEIO CONECTOR CA 
 1 x HMS DISCONNECT TOOL-1PCS - CHAVE DESCONEXAO MICROINVERSOR 
 93 x CABO CA MULTIPOLAR 10AWG 
 2 x DTU-LITE-S(WIFI) - MONIT DTU-LITE S (ATÉ 25 MICROS)</t>
  </si>
  <si>
    <t>186 x MODULO FV 710WP BIFACIAL DUAL-GLASS TRINA TSM-NEG21C.20 
 47 x HMS-2000-4T - MICRO HOYMILES 2000W DTU EXTERNA 
 4 x CABO FOTOVOLTAICO 4MM² PRETO 
 188 x CABO FOTOVOLTAICO 4MM² VERMELHO 
 376 x CONECTOR MC4 PAR TRINA 
 ESTRUTURA FIBROCIMENTO MADEIRA 
 47 x AC TRUNK CONNECTOR - CONECTOR CA HOYMILES 
 16 x AC TRUNK END CAP - TERMINAL ENDCAP HOYMILES 
 1 x AC TRUNK CONNECTOR UNLOCK TOOL - CHAVE DESBLOQUEIO CONECTOR CA 
 1 x HMS DISCONNECT TOOL-1PCS - CHAVE DESCONEXAO MICROINVERSOR 
 93 x CABO CA MULTIPOLAR 10AWG 
 2 x DTU-LITE-S(WIFI) - MONIT DTU-LITE S (ATÉ 25 MICROS)</t>
  </si>
  <si>
    <t>187 x MODULO FV 710WP BIFACIAL DUAL-GLASS TRINA TSM-NEG21C.20 
 47 x HMS-2000-4T - MICRO HOYMILES 2000W DTU EXTERNA 
 4 x CABO FOTOVOLTAICO 4MM² PRETO 
 188 x CABO FOTOVOLTAICO 4MM² VERMELHO 
 376 x CONECTOR MC4 PAR TRINA 
 ESTRUTURA FIBROCIMENTO MADEIRA 
 47 x AC TRUNK CONNECTOR - CONECTOR CA HOYMILES 
 16 x AC TRUNK END CAP - TERMINAL ENDCAP HOYMILES 
 1 x AC TRUNK CONNECTOR UNLOCK TOOL - CHAVE DESBLOQUEIO CONECTOR CA 
 1 x HMS DISCONNECT TOOL-1PCS - CHAVE DESCONEXAO MICROINVERSOR 
 93 x CABO CA MULTIPOLAR 10AWG 
 2 x DTU-LITE-S(WIFI) - MONIT DTU-LITE S (ATÉ 25 MICROS)</t>
  </si>
  <si>
    <t>188 x MODULO FV 710WP BIFACIAL DUAL-GLASS TRINA TSM-NEG21C.20 
 47 x HMS-2000-4T - MICRO HOYMILES 2000W DTU EXTERNA 
 4 x CABO FOTOVOLTAICO 4MM² PRETO 
 188 x CABO FOTOVOLTAICO 4MM² VERMELHO 
 376 x CONECTOR MC4 PAR TRINA 
 ESTRUTURA FIBROCIMENTO MADEIRA 
 47 x AC TRUNK CONNECTOR - CONECTOR CA HOYMILES 
 16 x AC TRUNK END CAP - TERMINAL ENDCAP HOYMILES 
 1 x AC TRUNK CONNECTOR UNLOCK TOOL - CHAVE DESBLOQUEIO CONECTOR CA 
 1 x HMS DISCONNECT TOOL-1PCS - CHAVE DESCONEXAO MICROINVERSOR 
 93 x CABO CA MULTIPOLAR 10AWG 
 2 x DTU-LITE-S(WIFI) - MONIT DTU-LITE S (ATÉ 25 MICROS)</t>
  </si>
  <si>
    <t>189 x MODULO FV 710WP BIFACIAL DUAL-GLASS TRINA TSM-NEG21C.20 
 48 x HMS-2000-4T - MICRO HOYMILES 2000W DTU EXTERNA 
 4 x CABO FOTOVOLTAICO 4MM² PRETO 
 192 x CABO FOTOVOLTAICO 4MM² VERMELHO 
 384 x CONECTOR MC4 PAR TRINA 
 ESTRUTURA FIBROCIMENTO MADEIRA 
 48 x AC TRUNK CONNECTOR - CONECTOR CA HOYMILES 
 16 x AC TRUNK END CAP - TERMINAL ENDCAP HOYMILES 
 1 x AC TRUNK CONNECTOR UNLOCK TOOL - CHAVE DESBLOQUEIO CONECTOR CA 
 1 x HMS DISCONNECT TOOL-1PCS - CHAVE DESCONEXAO MICROINVERSOR 
 96 x CABO CA MULTIPOLAR 10AWG 
 2 x DTU-LITE-S(WIFI) - MONIT DTU-LITE S (ATÉ 25 MICROS)</t>
  </si>
  <si>
    <t>190 x MODULO FV 710WP BIFACIAL DUAL-GLASS TRINA TSM-NEG21C.20 
 48 x HMS-2000-4T - MICRO HOYMILES 2000W DTU EXTERNA 
 4 x CABO FOTOVOLTAICO 4MM² PRETO 
 192 x CABO FOTOVOLTAICO 4MM² VERMELHO 
 384 x CONECTOR MC4 PAR TRINA 
 ESTRUTURA FIBROCIMENTO MADEIRA 
 48 x AC TRUNK CONNECTOR - CONECTOR CA HOYMILES 
 16 x AC TRUNK END CAP - TERMINAL ENDCAP HOYMILES 
 1 x AC TRUNK CONNECTOR UNLOCK TOOL - CHAVE DESBLOQUEIO CONECTOR CA 
 1 x HMS DISCONNECT TOOL-1PCS - CHAVE DESCONEXAO MICROINVERSOR 
 96 x CABO CA MULTIPOLAR 10AWG 
 2 x DTU-LITE-S(WIFI) - MONIT DTU-LITE S (ATÉ 25 MICROS)</t>
  </si>
  <si>
    <t>191 x MODULO FV 710WP BIFACIAL DUAL-GLASS TRINA TSM-NEG21C.20 
 48 x HMS-2000-4T - MICRO HOYMILES 2000W DTU EXTERNA 
 4 x CABO FOTOVOLTAICO 4MM² PRETO 
 192 x CABO FOTOVOLTAICO 4MM² VERMELHO 
 384 x CONECTOR MC4 PAR TRINA 
 ESTRUTURA FIBROCIMENTO MADEIRA 
 48 x AC TRUNK CONNECTOR - CONECTOR CA HOYMILES 
 16 x AC TRUNK END CAP - TERMINAL ENDCAP HOYMILES 
 1 x AC TRUNK CONNECTOR UNLOCK TOOL - CHAVE DESBLOQUEIO CONECTOR CA 
 1 x HMS DISCONNECT TOOL-1PCS - CHAVE DESCONEXAO MICROINVERSOR 
 96 x CABO CA MULTIPOLAR 10AWG 
 2 x DTU-LITE-S(WIFI) - MONIT DTU-LITE S (ATÉ 25 MICROS)</t>
  </si>
  <si>
    <t>192 x MODULO FV 710WP BIFACIAL DUAL-GLASS TRINA TSM-NEG21C.20 
 48 x HMS-2000-4T - MICRO HOYMILES 2000W DTU EXTERNA 
 4 x CABO FOTOVOLTAICO 4MM² PRETO 
 192 x CABO FOTOVOLTAICO 4MM² VERMELHO 
 384 x CONECTOR MC4 PAR TRINA 
 ESTRUTURA FIBROCIMENTO MADEIRA 
 48 x AC TRUNK CONNECTOR - CONECTOR CA HOYMILES 
 16 x AC TRUNK END CAP - TERMINAL ENDCAP HOYMILES 
 1 x AC TRUNK CONNECTOR UNLOCK TOOL - CHAVE DESBLOQUEIO CONECTOR CA 
 1 x HMS DISCONNECT TOOL-1PCS - CHAVE DESCONEXAO MICROINVERSOR 
 96 x CABO CA MULTIPOLAR 10AWG 
 2 x DTU-LITE-S(WIFI) - MONIT DTU-LITE S (ATÉ 25 MICROS)</t>
  </si>
  <si>
    <t>193 x MODULO FV 710WP BIFACIAL DUAL-GLASS TRINA TSM-NEG21C.20 
 49 x HMS-2000-4T - MICRO HOYMILES 2000W DTU EXTERNA 
 4 x CABO FOTOVOLTAICO 4MM² PRETO 
 196 x CABO FOTOVOLTAICO 4MM² VERMELHO 
 392 x CONECTOR MC4 PAR TRINA 
 ESTRUTURA FIBROCIMENTO MADEIRA 
 49 x AC TRUNK CONNECTOR - CONECTOR CA HOYMILES 
 17 x AC TRUNK END CAP - TERMINAL ENDCAP HOYMILES 
 1 x AC TRUNK CONNECTOR UNLOCK TOOL - CHAVE DESBLOQUEIO CONECTOR CA 
 1 x HMS DISCONNECT TOOL-1PCS - CHAVE DESCONEXAO MICROINVERSOR 
 96 x CABO CA MULTIPOLAR 10AWG 
 2 x DTU-LITE-S(WIFI) - MONIT DTU-LITE S (ATÉ 25 MICROS)</t>
  </si>
  <si>
    <t>194 x MODULO FV 710WP BIFACIAL DUAL-GLASS TRINA TSM-NEG21C.20 
 49 x HMS-2000-4T - MICRO HOYMILES 2000W DTU EXTERNA 
 4 x CABO FOTOVOLTAICO 4MM² PRETO 
 196 x CABO FOTOVOLTAICO 4MM² VERMELHO 
 392 x CONECTOR MC4 PAR TRINA 
 ESTRUTURA FIBROCIMENTO MADEIRA 
 49 x AC TRUNK CONNECTOR - CONECTOR CA HOYMILES 
 17 x AC TRUNK END CAP - TERMINAL ENDCAP HOYMILES 
 1 x AC TRUNK CONNECTOR UNLOCK TOOL - CHAVE DESBLOQUEIO CONECTOR CA 
 1 x HMS DISCONNECT TOOL-1PCS - CHAVE DESCONEXAO MICROINVERSOR 
 96 x CABO CA MULTIPOLAR 10AWG 
 2 x DTU-LITE-S(WIFI) - MONIT DTU-LITE S (ATÉ 25 MICROS)</t>
  </si>
  <si>
    <t>195 x MODULO FV 710WP BIFACIAL DUAL-GLASS TRINA TSM-NEG21C.20 
 49 x HMS-2000-4T - MICRO HOYMILES 2000W DTU EXTERNA 
 4 x CABO FOTOVOLTAICO 4MM² PRETO 
 196 x CABO FOTOVOLTAICO 4MM² VERMELHO 
 392 x CONECTOR MC4 PAR TRINA 
 ESTRUTURA FIBROCIMENTO MADEIRA 
 49 x AC TRUNK CONNECTOR - CONECTOR CA HOYMILES 
 17 x AC TRUNK END CAP - TERMINAL ENDCAP HOYMILES 
 1 x AC TRUNK CONNECTOR UNLOCK TOOL - CHAVE DESBLOQUEIO CONECTOR CA 
 1 x HMS DISCONNECT TOOL-1PCS - CHAVE DESCONEXAO MICROINVERSOR 
 96 x CABO CA MULTIPOLAR 10AWG 
 2 x DTU-LITE-S(WIFI) - MONIT DTU-LITE S (ATÉ 25 MICROS)</t>
  </si>
  <si>
    <t>196 x MODULO FV 710WP BIFACIAL DUAL-GLASS TRINA TSM-NEG21C.20 
 49 x HMS-2000-4T - MICRO HOYMILES 2000W DTU EXTERNA 
 4 x CABO FOTOVOLTAICO 4MM² PRETO 
 196 x CABO FOTOVOLTAICO 4MM² VERMELHO 
 392 x CONECTOR MC4 PAR TRINA 
 ESTRUTURA FIBROCIMENTO MADEIRA 
 49 x AC TRUNK CONNECTOR - CONECTOR CA HOYMILES 
 17 x AC TRUNK END CAP - TERMINAL ENDCAP HOYMILES 
 1 x AC TRUNK CONNECTOR UNLOCK TOOL - CHAVE DESBLOQUEIO CONECTOR CA 
 1 x HMS DISCONNECT TOOL-1PCS - CHAVE DESCONEXAO MICROINVERSOR 
 96 x CABO CA MULTIPOLAR 10AWG 
 2 x DTU-LITE-S(WIFI) - MONIT DTU-LITE S (ATÉ 25 MICROS)</t>
  </si>
  <si>
    <t>197 x MODULO FV 710WP BIFACIAL DUAL-GLASS TRINA TSM-NEG21C.20 
 50 x HMS-2000-4T - MICRO HOYMILES 2000W DTU EXTERNA 
 4 x CABO FOTOVOLTAICO 4MM² PRETO 
 200 x CABO FOTOVOLTAICO 4MM² VERMELHO 
 400 x CONECTOR MC4 PAR TRINA 
 ESTRUTURA FIBROCIMENTO MADEIRA 
 50 x AC TRUNK CONNECTOR - CONECTOR CA HOYMILES 
 17 x AC TRUNK END CAP - TERMINAL ENDCAP HOYMILES 
 1 x AC TRUNK CONNECTOR UNLOCK TOOL - CHAVE DESBLOQUEIO CONECTOR CA 
 1 x HMS DISCONNECT TOOL-1PCS - CHAVE DESCONEXAO MICROINVERSOR 
 99 x CABO CA MULTIPOLAR 10AWG 
 2 x DTU-LITE-S(WIFI) - MONIT DTU-LITE S (ATÉ 25 MICROS)</t>
  </si>
  <si>
    <t>198 x MODULO FV 710WP BIFACIAL DUAL-GLASS TRINA TSM-NEG21C.20 
 50 x HMS-2000-4T - MICRO HOYMILES 2000W DTU EXTERNA 
 4 x CABO FOTOVOLTAICO 4MM² PRETO 
 200 x CABO FOTOVOLTAICO 4MM² VERMELHO 
 400 x CONECTOR MC4 PAR TRINA 
 ESTRUTURA FIBROCIMENTO MADEIRA 
 50 x AC TRUNK CONNECTOR - CONECTOR CA HOYMILES 
 17 x AC TRUNK END CAP - TERMINAL ENDCAP HOYMILES 
 1 x AC TRUNK CONNECTOR UNLOCK TOOL - CHAVE DESBLOQUEIO CONECTOR CA 
 1 x HMS DISCONNECT TOOL-1PCS - CHAVE DESCONEXAO MICROINVERSOR 
 99 x CABO CA MULTIPOLAR 10AWG 
 2 x DTU-LITE-S(WIFI) - MONIT DTU-LITE S (ATÉ 25 MICROS)</t>
  </si>
  <si>
    <t>199 x MODULO FV 710WP BIFACIAL DUAL-GLASS TRINA TSM-NEG21C.20 
 50 x HMS-2000-4T - MICRO HOYMILES 2000W DTU EXTERNA 
 4 x CABO FOTOVOLTAICO 4MM² PRETO 
 200 x CABO FOTOVOLTAICO 4MM² VERMELHO 
 400 x CONECTOR MC4 PAR TRINA 
 ESTRUTURA FIBROCIMENTO MADEIRA 
 50 x AC TRUNK CONNECTOR - CONECTOR CA HOYMILES 
 17 x AC TRUNK END CAP - TERMINAL ENDCAP HOYMILES 
 1 x AC TRUNK CONNECTOR UNLOCK TOOL - CHAVE DESBLOQUEIO CONECTOR CA 
 1 x HMS DISCONNECT TOOL-1PCS - CHAVE DESCONEXAO MICROINVERSOR 
 99 x CABO CA MULTIPOLAR 10AWG 
 2 x DTU-LITE-S(WIFI) - MONIT DTU-LITE S (ATÉ 25 MICROS)</t>
  </si>
  <si>
    <t>200 x MODULO FV 710WP BIFACIAL DUAL-GLASS TRINA TSM-NEG21C.20 
 50 x HMS-2000-4T - MICRO HOYMILES 2000W DTU EXTERNA 
 4 x CABO FOTOVOLTAICO 4MM² PRETO 
 200 x CABO FOTOVOLTAICO 4MM² VERMELHO 
 400 x CONECTOR MC4 PAR TRINA 
 ESTRUTURA FIBROCIMENTO MADEIRA 
 50 x AC TRUNK CONNECTOR - CONECTOR CA HOYMILES 
 17 x AC TRUNK END CAP - TERMINAL ENDCAP HOYMILES 
 1 x AC TRUNK CONNECTOR UNLOCK TOOL - CHAVE DESBLOQUEIO CONECTOR CA 
 1 x HMS DISCONNECT TOOL-1PCS - CHAVE DESCONEXAO MICROINVERSOR 
 99 x CABO CA MULTIPOLAR 10AWG 
 2 x DTU-LITE-S(WIFI) - MONIT DTU-LITE S (ATÉ 25 MICROS)</t>
  </si>
  <si>
    <t>LP182*210-M-66-NB</t>
  </si>
  <si>
    <t>https://belenus.com.br/api/arquivo/download/DATASHEET_MFLE_2.3_BF_132_600W.pdf</t>
  </si>
  <si>
    <t>BF+N-TYPE+HJT</t>
  </si>
  <si>
    <t>-0,8</t>
  </si>
  <si>
    <t>FoxEss</t>
  </si>
  <si>
    <t>Q1-2500-E</t>
  </si>
  <si>
    <t>https://belenus.com.br/api/arquivo/download/DATASHEET_MINVFX_MO_220V_2.5KW.pdf</t>
  </si>
  <si>
    <t>P0666 - Giovanni  Santoro  e Renata Ribeiro de Gomes Santoro</t>
  </si>
  <si>
    <t>P0666</t>
  </si>
  <si>
    <t>Giovanni  Santoro  e Renata Ribeiro de Gomes Santoro</t>
  </si>
  <si>
    <t>5521995666767</t>
  </si>
  <si>
    <t>giovannisantoro2015@gmail.com</t>
  </si>
  <si>
    <t>Rua Cesario Alvim, 43</t>
  </si>
  <si>
    <t>22261-030</t>
  </si>
  <si>
    <t>Humaitá</t>
  </si>
  <si>
    <t>INFORMAÇÕES IMPORTANTES 
É amigo do Manuel, marido da Helena ( do barão da torre) (ele administra a casa onde nós colocamos)
5 aparelhos de ar ( hoje)
2 12 ( hoje são 3, mas vai tirar um de 12) 
1 18 
1 7,5 Esse quase não usa
Está dobrando de tamanho da área externa 40m2 + um ar de 25  
12 módulos 605w / 16 módulos  605 Recebeu essa proposta. Quer duas propostas para comparativo
750Kwh média do ano acredita que vá atender sua demanda 
É engenheiro elétrico e fez CEFET
giovannisantoro2015@gmail.com  
14 às 11h</t>
  </si>
  <si>
    <t>P0667</t>
  </si>
  <si>
    <t>07/13/2025 21:38-ComparativoConta-[Bairro][Aberto]-[CBO][cadastro][20241120]
Quando Pretende Instalar: imediato
Valor Médio da Conta: r$800
Telefone: 
+5521979552155
Cidade: Rio de Janeiro
21966768181</t>
  </si>
  <si>
    <t>P0667 - Max Cezari</t>
  </si>
  <si>
    <t>Max Cezari</t>
  </si>
  <si>
    <t>5521998656926</t>
  </si>
  <si>
    <t>08774535781</t>
  </si>
  <si>
    <t>21998656926 Paulo 
INFORMAÇÃO IMPORTANTES 
Primeiro contato, Paulo esposo de Elisete decide
Eles tem um filho de 10 anos 
Tem um ar de 9 que quer usar 4h a mais aos finais de semana no meses mais quentes 
Não tem valor à vista, será um possível financiamento 
Perguntou quanto ficaria o valor da parcela 
Hoje a conta vem R$200/300 nos meses frios e chega a R$500 nos meses mais quentes 
Elisete: (21) 99865-6979
ELISETE CORDEIRO PEREIRA
R JORGE LOSSIO 36 CA 5 TIJUCA/ RIO DE JANEIRO -RJ CEP 20521-040
CPF/CNPJ 087.745.357-81
MEDIDOR 5988304
CÓDIGO DE INSTALAÇÃO: 412664910
CÓDIGO DO CLIENTE: 23122131
03/02/2025 09:15-ComparativoConta-[Bairro][Aberto]-[CBO][cadastro][20241120]
Quando Pretende Instalar: apenas_curiosidade
Valor Médio da Conta: r$600
Telefone: 
+5521998656979
Cidade: Rio de janeiro - Rua Jorge Lóssio 36 casa 5
Dados para contratos 
Documentos necessários: 
Nome completo: Elisete Cordeiro de Menezes
•⁠  ⁠CPF: 087.745.357-81
•⁠  ⁠Endereço de onde será instalação: R. Jorge Lóssio, 36 - casa 5 - Tijuca, Rio de Janeiro - RJ, 20521-040
•⁠  ⁠CEP: 20521-040
•⁠  ⁠E-mail: paulomenezes2212@gmail.com
•⁠  ⁠Data de nascimento:29/06/1981
•⁠  ⁠Nacionalidade: Brasileira 
•⁠  ⁠Cópia do RG/CNH: ok 
•⁠  ⁠Fatura de energia do local da instalação: ok</t>
  </si>
  <si>
    <t>P0668 - Alzira Portel Fernandes</t>
  </si>
  <si>
    <t>P0668</t>
  </si>
  <si>
    <t>Alzira Portel Fernandes</t>
  </si>
  <si>
    <t>5521970470040</t>
  </si>
  <si>
    <t>alziraportel@gmail.com</t>
  </si>
  <si>
    <t>INFORMAÇÕES IMPORTANTES 
Chegou a R$1k do pico do verão 
Ela disse que é um relógio para 3 casas, mas ela quer o sistema somente para ela
Até tem um aparelho de 7500 na caixa que ainda não instalou 
1º contato quer saber valores e se faz sentido 
alziraportel@gmail.com 
15/07 
Amiga do Sul tem e ela ficou fascinada com a redução de custo e conforto que proporcionou lá para eles. 
07/14/2025 15:49-ComparativoConta-[Bairro][Aberto]-[CBO][cadastro][20241120]
Quando Pretende Instalar: apenas_curiosidade
Valor Médio da Conta: r$900
Telefone: 
+5521970470040
Cidade: Rio de Janeiro</t>
  </si>
  <si>
    <t>P0669 - Juliana Alencar</t>
  </si>
  <si>
    <t>P0669</t>
  </si>
  <si>
    <t>Juliana Alencar</t>
  </si>
  <si>
    <t>5521972242207</t>
  </si>
  <si>
    <t>julia.analencar@gmail.com</t>
  </si>
  <si>
    <t>Vila Valqueire, Rio de Janeiro</t>
  </si>
  <si>
    <t>Vila Valqueire</t>
  </si>
  <si>
    <t>INFORMAÇÕES IMPORTANTES 
Decide junto com o esposo 
Hoje vem R$500, mas pretende ter aumento de consumo 
Um ar de 20BTus 8h noite nos meses mais quentes e air fryer 8h por semana/durante 
07/15/2025 22:44-ComparativoConta-[Bairro][Aberto]-[CBO][cadastro][20241120]
Quando Pretende Instalar: apenas_curiosidade
Valor Médio da Conta: r$500
Telefone: 
21972242207
Cidade: Rio de Janeiro</t>
  </si>
  <si>
    <t>P0670 - Renato</t>
  </si>
  <si>
    <t>P0670</t>
  </si>
  <si>
    <t>Renato</t>
  </si>
  <si>
    <t>5521964407226</t>
  </si>
  <si>
    <t>Indicação do Tiago</t>
  </si>
  <si>
    <t>P0671 - Mauricio Magalhaes</t>
  </si>
  <si>
    <t>P0671</t>
  </si>
  <si>
    <t>Mauricio Magalhaes</t>
  </si>
  <si>
    <t>5521981263233</t>
  </si>
  <si>
    <t>mamcontador@gmail.com</t>
  </si>
  <si>
    <t>Av. Monsenhor Félix, 1022</t>
  </si>
  <si>
    <t>INFORMAÇÃO IMPORTANTES 
Ele é contador de uma usina hidrelétrica
Ele quer fazer um terraço de ferro e colocar o sistema ( anticorrosivo) 
Perguntou se tem alguma norma específicas ABNT (Associação Brasileira de Normas Técnicas)
90m2 Irajá  
400/500
900
R$1400 
mamcontador@gmail.com
10h  90m2 
Estrutura de ferro
07/17/2025 14:11-ComparativoConta-[Bairro][Aberto]-[CBO][cadastro][20241120]
Quando Pretende Instalar: imediato
Valor Médio da Conta: r$1.000
Telefone: 
+5521996054179
21969246008  esse veio no plexus//21981263233
Cidade: Rio De Janeiro</t>
  </si>
  <si>
    <t>P0672 - Paulinha Oliveira</t>
  </si>
  <si>
    <t>P0672</t>
  </si>
  <si>
    <t>Paulinha Oliveira</t>
  </si>
  <si>
    <t>5521974514245</t>
  </si>
  <si>
    <t>INFORMAÇÕES IMPORTANTES 
Tem 3 ares, sendo 2 de 10 e  1 de 7500. Hoje mora em apartamento, mas tem outro local para colocar o sistema. Hoje tem uma média de R$1000 só ligando a noite 
Gostaria de acrescentar 6h/dia no meses de verão no aparelhos de ar ( se pudesse ficaria 24h no ar) 
1º contato com energia solar 
Belford Roxo R$150 quase não ficam lá.
paula.cunhagprj@gmail.com
07/16/2025 13:54-ComparativoConta-[Bairro][Aberto]-[CBO][cadastro][20241120]
Quando Pretende Instalar: apenas_curiosidade
Valor Médio da Conta: r$1.000
Telefone: 
+5521974514245
Cidade: Rio de Janeiro</t>
  </si>
  <si>
    <t>P0673 - BAR DO ADAO</t>
  </si>
  <si>
    <t>P0673</t>
  </si>
  <si>
    <t>BAR DO ADAO</t>
  </si>
  <si>
    <t>5521993303727</t>
  </si>
  <si>
    <t>nandopdantas@gmail.com</t>
  </si>
  <si>
    <t>03663095000111</t>
  </si>
  <si>
    <t>INFORMAÇÕES IMPORTANTES 
Hoje seu consumo vem em torno de 6/7k nos meses frios e chega a 8/9k no meses mais quentes 
Nunca fez estudo antes 
É baixa tensão pode usar o telhado, mas não possui outro espaço 
Decide junto com sócio 
Nome Fantasia: BAR DO ADAO
Razão Social: SUSHI BAR RIO TOKIO LTDA
CNPJ: 03.663.095/0001-11
/ Restaurantes e similares/ Sociedade Empresária Limitada/ MATRIZ/ ME/ DE R$ 5 MM ATÉ R$ 10 MM/ DE 10 A 49 FUNCIONARIOS
Data da Criação: 22/02/2000
Endereço: AVENIDA OLEGARIO MACIEL, 130, LOJA H, BARRA DA TIJUCA, RIO DE JANEIRO, 22621200
Telefones: 2136491258/ 2124921258/ 2124922453/ 21992594439Y/ 21992339959Y/ N
Email: marcelo@bardoadao.com.br/ valeria@bardoadao.com.br/ andre@bardoadao.com.br
Sócio: CEZAR RAFAEL MODESTO LIMA - 968.410.797-87
Telefones:Y/ N/ N/ 2134100279/ /
Email: ivaniarosa74@hotmail.com/ brunomodesto@uol.com.br
Sócio: FERNANDO SIMAO BARBOSA DANTAS - 091.098.067-50
Telefones: 21993303727Y/ 21997072888Y/ 21998590635Y/ 2131903927/ 2133317944/
Email: /</t>
  </si>
  <si>
    <t>P0674 - Fábrica de salgados Congelados Tia Sonia</t>
  </si>
  <si>
    <t>P0674</t>
  </si>
  <si>
    <t>Fábrica de salgados Congelados Tia Sonia</t>
  </si>
  <si>
    <t>5521964408392</t>
  </si>
  <si>
    <t>priscilalourencoo@hotmail.com</t>
  </si>
  <si>
    <t>R. Marina, 369</t>
  </si>
  <si>
    <t>21331-070</t>
  </si>
  <si>
    <t>INFORMAÇÕES IMPORTANTES 
Consumo vem por volta de 2/3k o mês que vem menos é R$1.800
Local é locado, está nesse ponto comercial tem 2 anos e pretende ir para outro local para ampliação, lá está ficando pequeno 
Tem uma casa muito grande e já pensou em colocar lá junto com o sogro. Ambos possuem piscina ( no início que não sabiam usar gastavam muita bomba ligada, agora conseguem manter ela limpa mais tempo) 
O valor de economia que parar de perder para a light pretende investir em maquinário.</t>
  </si>
  <si>
    <t>x</t>
  </si>
  <si>
    <t>P0675 - Flavia Louzada</t>
  </si>
  <si>
    <t>P0675</t>
  </si>
  <si>
    <t>Flavia Louzada</t>
  </si>
  <si>
    <t>5521988662268</t>
  </si>
  <si>
    <t>flavialouzada@uol.com.br</t>
  </si>
  <si>
    <t>INFORMAÇÕES IMPORTANTES 
Ligação estava muito ruim
Disse que são dois relógios embaixo e em cima 
Esse valor de 1k está com um pouco se sobra, disse que tem um terreno enorme atrás e caso futuramente algum filho construa 
Disse para Bia que se chama Renata 
flavialouzada@uol.com.br 
17h 
07/18/2025 01:42-ComparativoConta-[Bairro][Aberto]-[CBO][cadastro][20241120]
Quando Pretende Instalar: apenas_curiosidade
Valor Médio da Conta: r$1.000
Telefone: 
+5521988662268
Cidade: Rio de Janeiro</t>
  </si>
  <si>
    <t>P0676 - Flávio Sandro</t>
  </si>
  <si>
    <t>P0676</t>
  </si>
  <si>
    <t>Flávio Sandro</t>
  </si>
  <si>
    <t>5521980626771</t>
  </si>
  <si>
    <t>flaviosandrorj@hotmail.com</t>
  </si>
  <si>
    <t>Av. Brasil, 17575</t>
  </si>
  <si>
    <t>21230-044</t>
  </si>
  <si>
    <t>INFORMAÇÕES IMPORTANTES 
96 APARTAMENTOS 10 BLOCOS  
AV BRASIL 17575 
JULIO CESAR 
3K SOMENTE área comum 
SUBSINDICO 
FLUTUANTES 
R$200/R$800
flaviosandrorj@hotmail.com  25/07 
07/19/2025 13:29-ComparativoConta-[Bairro][Aberto]-[CBO][cadastro][20241120]
Quando Pretende Instalar: apenas_curiosidade
Valor Médio da Conta: r$600
Telefone: 
+5521980626771
Cidade: Rio de Janeiro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</si>
</sst>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8">
    <numFmt numFmtId="8" formatCode="&quot;R$&quot;\ #,##0.00;[Red]\-&quot;R$&quot;\ #,##0.00"/>
    <numFmt numFmtId="44" formatCode="_-&quot;R$&quot;\ * #,##0.00_-;\-&quot;R$&quot;\ * #,##0.00_-;_-&quot;R$&quot;\ * &quot;-&quot;??_-;_-@_-"/>
    <numFmt numFmtId="164" formatCode="_(&quot;R$&quot;* #,##0.00_);_(&quot;R$&quot;* \(#,##0.00\);_(&quot;R$&quot;* &quot;-&quot;??_);_(@_)"/>
    <numFmt numFmtId="165" formatCode="&quot;R$&quot;#,##0.00_);[Red]\(&quot;R$&quot;#,##0.00\)"/>
    <numFmt numFmtId="166" formatCode="_(* #,##0.00_);_(* \(#,##0.00\);_(* &quot;-&quot;??_);_(@_)"/>
    <numFmt numFmtId="167" formatCode="0.000%"/>
    <numFmt numFmtId="168" formatCode="_-&quot;R$&quot;\ * #,##0.00000_-;\-&quot;R$&quot;\ * #,##0.00000_-;_-&quot;R$&quot;\ * &quot;-&quot;??_-;_-@_-"/>
    <numFmt numFmtId="169" formatCode="_-&quot;R$&quot;\ * #,##0.00000_-;\-&quot;R$&quot;\ * #,##0.00000_-;_-&quot;R$&quot;\ * &quot;-&quot;?????_-;_-@_-"/>
    <numFmt numFmtId="170" formatCode="_-&quot;R$&quot;\ * #,##0.00_-;\-&quot;R$&quot;\ * #,##0.00_-;_-&quot;R$&quot;\ * &quot;-&quot;?????_-;_-@_-"/>
    <numFmt numFmtId="171" formatCode="#&quot;x&quot;"/>
    <numFmt numFmtId="172" formatCode="&quot;até&quot;\ 0&quot;kWh&quot;"/>
    <numFmt numFmtId="173" formatCode="&quot;&gt;&quot;\ 0&quot;kWh&quot;"/>
    <numFmt numFmtId="174" formatCode="#.0\ &quot;km&quot;"/>
    <numFmt numFmtId="175" formatCode="#&quot;° N&quot;"/>
    <numFmt numFmtId="176" formatCode="#\ &quot;kWh&quot;"/>
    <numFmt numFmtId="177" formatCode="0&quot;A&quot;"/>
    <numFmt numFmtId="178" formatCode="0\ &quot;anos&quot;"/>
    <numFmt numFmtId="179" formatCode="0.00&quot;A&quot;"/>
    <numFmt numFmtId="180" formatCode="0.00&quot;V&quot;"/>
    <numFmt numFmtId="181" formatCode="0&quot;W&quot;"/>
    <numFmt numFmtId="182" formatCode="0&quot;mm&quot;"/>
    <numFmt numFmtId="183" formatCode="0.00\ &quot;kg&quot;"/>
    <numFmt numFmtId="184" formatCode="0\°"/>
    <numFmt numFmtId="185" formatCode="0&quot;V&quot;"/>
    <numFmt numFmtId="186" formatCode="\&lt;0\ &quot;dBA&quot;"/>
    <numFmt numFmtId="187" formatCode="\&gt;0\ &quot;anos&quot;"/>
    <numFmt numFmtId="188" formatCode="#.00\ &quot;kWp&quot;"/>
    <numFmt numFmtId="189" formatCode="0.0"/>
    <numFmt numFmtId="190" formatCode="mm/yyyy"/>
    <numFmt numFmtId="191" formatCode="0\ \°\C"/>
    <numFmt numFmtId="192" formatCode="_-&quot;R$&quot;\ * #,##0.000000_-;\-&quot;R$&quot;\ * #,##0.000000_-;_-&quot;R$&quot;\ * &quot;-&quot;?????_-;_-@_-"/>
    <numFmt numFmtId="193" formatCode="0\ &quot;dias&quot;"/>
    <numFmt numFmtId="194" formatCode="0.000%&quot; / °C&quot;"/>
    <numFmt numFmtId="195" formatCode="[&gt;9999999999]&quot;(&quot;##&quot;) &quot;#\ ####\-####;&quot;(&quot;##&quot;) &quot;####\-####"/>
    <numFmt numFmtId="196" formatCode="0\ &quot;m&quot;"/>
    <numFmt numFmtId="197" formatCode="0.00&quot; kVA&quot;"/>
    <numFmt numFmtId="198" formatCode="0.0000%"/>
    <numFmt numFmtId="199" formatCode="&quot;#&quot;#.0&quot;mm²&quot;"/>
    <numFmt numFmtId="200" formatCode="\&lt;0%"/>
    <numFmt numFmtId="201" formatCode="0&quot;kA&quot;"/>
    <numFmt numFmtId="202" formatCode="00&quot;.&quot;000&quot;.&quot;000&quot;-&quot;0"/>
    <numFmt numFmtId="203" formatCode="#.0\ &quot;m²&quot;"/>
    <numFmt numFmtId="204" formatCode="#.0\ \°\C"/>
    <numFmt numFmtId="205" formatCode="0&quot;x&quot;"/>
    <numFmt numFmtId="206" formatCode="0.0%"/>
    <numFmt numFmtId="207" formatCode="0\ &quot;meses&quot;"/>
    <numFmt numFmtId="208" formatCode="dd\ &quot;de&quot;\ mmmm\ &quot;de&quot;\ yyyy"/>
    <numFmt numFmtId="209" formatCode="_-&quot;R$&quot;\ #,##0.00_-;\-&quot;R$&quot;\ #,##0.00_-;_-&quot;R$&quot;\ * &quot;-&quot;??_-;_-@_-"/>
    <numFmt numFmtId="210" formatCode="&quot;R$&quot;\ #,##0.00"/>
    <numFmt numFmtId="211" formatCode="0.00\ &quot;kWp&quot;"/>
    <numFmt numFmtId="212" formatCode="#,###\ &quot;Wp&quot;"/>
    <numFmt numFmtId="213" formatCode="0&quot;° N&quot;"/>
    <numFmt numFmtId="214" formatCode="0\ &quot;kWp&quot;"/>
    <numFmt numFmtId="215" formatCode="0\ &quot;mm²&quot;"/>
    <numFmt numFmtId="216" formatCode="[$-416]d;@"/>
    <numFmt numFmtId="217" formatCode="#.00\ &quot;m&quot;"/>
    <numFmt numFmtId="218" formatCode="_-&quot;R$&quot;\ #,##0_-;\-&quot;R$&quot;\ #,##0_-;_-&quot;R$&quot;\ * &quot;-&quot;??_-;_-@_-"/>
    <numFmt numFmtId="219" formatCode="[&lt;=99999999999]000\.000\.000\-00;00\.000\.000\/0000\-00"/>
    <numFmt numFmtId="220" formatCode="#,###\ &quot;kWh&quot;"/>
    <numFmt numFmtId="221" formatCode="00.00\ &quot;kWh/kWp&quot;"/>
    <numFmt numFmtId="222" formatCode="_-&quot;R$&quot;\ * #,##0.000000_-;\-&quot;R$&quot;\ * #,##0.000000_-;_-&quot;R$&quot;\ * &quot;-&quot;??????_-;_-@_-"/>
    <numFmt numFmtId="223" formatCode="#&quot; kWh&quot;"/>
    <numFmt numFmtId="224" formatCode="000"/>
    <numFmt numFmtId="225" formatCode="[$-F400]h:mm:ss\ AM/PM"/>
    <numFmt numFmtId="226" formatCode="m/d/yyyy\ h:mm"/>
    <numFmt numFmtId="227" formatCode="m/d/yyyy"/>
    <numFmt numFmtId="228" formatCode="#,###.00\ &quot;kWp&quot;"/>
    <numFmt numFmtId="229" formatCode="#.000\ &quot;kWh&quot;"/>
  </numFmts>
  <fonts count="109">
    <font>
      <sz val="11"/>
      <color theme="1"/>
      <name val="Calibri"/>
      <family val="2"/>
      <scheme val="minor"/>
    </font>
    <font>
      <u/>
      <sz val="11"/>
      <color theme="10"/>
      <name val="Calibri"/>
      <family val="2"/>
      <scheme val="minor"/>
    </font>
    <font>
      <sz val="8"/>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1"/>
      <color theme="9" tint="-0.249977111117893"/>
      <name val="Calibri"/>
      <family val="2"/>
      <scheme val="minor"/>
    </font>
    <font>
      <sz val="9"/>
      <color indexed="81"/>
      <name val="Segoe UI"/>
      <family val="2"/>
    </font>
    <font>
      <b/>
      <sz val="9"/>
      <color indexed="81"/>
      <name val="Segoe UI"/>
      <family val="2"/>
    </font>
    <font>
      <vertAlign val="subscript"/>
      <sz val="11"/>
      <color theme="1"/>
      <name val="Calibri"/>
      <family val="2"/>
      <scheme val="minor"/>
    </font>
    <font>
      <sz val="11"/>
      <color theme="0"/>
      <name val="Calibri"/>
      <family val="2"/>
      <scheme val="minor"/>
    </font>
    <font>
      <sz val="12"/>
      <color theme="1"/>
      <name val="Times New Roman"/>
      <family val="1"/>
    </font>
    <font>
      <sz val="11"/>
      <color theme="0"/>
      <name val="Times New Roman"/>
      <family val="1"/>
    </font>
    <font>
      <b/>
      <sz val="18"/>
      <color theme="1"/>
      <name val="Times New Roman"/>
      <family val="1"/>
    </font>
    <font>
      <b/>
      <sz val="22"/>
      <color theme="1"/>
      <name val="Times New Roman"/>
      <family val="1"/>
    </font>
    <font>
      <b/>
      <sz val="14"/>
      <color theme="1"/>
      <name val="Times New Roman"/>
      <family val="1"/>
    </font>
    <font>
      <sz val="12"/>
      <color rgb="FF3D3D3D"/>
      <name val="Times New Roman"/>
      <family val="1"/>
    </font>
    <font>
      <b/>
      <u/>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Times New Roman"/>
      <family val="1"/>
    </font>
    <font>
      <b/>
      <sz val="16"/>
      <color theme="9" tint="-0.499984740745262"/>
      <name val="Times New Roman"/>
      <family val="1"/>
    </font>
    <font>
      <b/>
      <sz val="11"/>
      <color theme="0" tint="-0.34998626667073579"/>
      <name val="Calibri"/>
      <family val="2"/>
      <scheme val="minor"/>
    </font>
    <font>
      <b/>
      <sz val="12"/>
      <color theme="9" tint="-0.249977111117893"/>
      <name val="Times New Roman"/>
      <family val="1"/>
    </font>
    <font>
      <sz val="12"/>
      <color rgb="FF00B050"/>
      <name val="Times New Roman"/>
      <family val="1"/>
    </font>
    <font>
      <sz val="12"/>
      <color theme="9" tint="-0.249977111117893"/>
      <name val="Times New Roman"/>
      <family val="1"/>
    </font>
    <font>
      <b/>
      <sz val="14"/>
      <color theme="0" tint="-0.499984740745262"/>
      <name val="Calibri"/>
      <family val="2"/>
      <scheme val="minor"/>
    </font>
    <font>
      <b/>
      <sz val="18"/>
      <color theme="9" tint="-0.249977111117893"/>
      <name val="Calibri"/>
      <family val="2"/>
      <scheme val="minor"/>
    </font>
    <font>
      <b/>
      <sz val="14"/>
      <color theme="9" tint="-0.249977111117893"/>
      <name val="Calibri"/>
      <family val="2"/>
      <scheme val="minor"/>
    </font>
    <font>
      <b/>
      <sz val="12"/>
      <color theme="0" tint="-0.499984740745262"/>
      <name val="Calibri"/>
      <family val="2"/>
      <scheme val="minor"/>
    </font>
    <font>
      <b/>
      <sz val="11"/>
      <color theme="1"/>
      <name val="Times New Roman"/>
      <family val="1"/>
    </font>
    <font>
      <b/>
      <sz val="14"/>
      <color theme="1"/>
      <name val="Calibri"/>
      <family val="2"/>
      <scheme val="minor"/>
    </font>
    <font>
      <b/>
      <u/>
      <sz val="11"/>
      <color theme="0" tint="-0.34998626667073579"/>
      <name val="Calibri"/>
      <family val="2"/>
      <scheme val="minor"/>
    </font>
    <font>
      <b/>
      <sz val="11"/>
      <color theme="0"/>
      <name val="Calibri"/>
      <family val="2"/>
      <scheme val="minor"/>
    </font>
    <font>
      <b/>
      <sz val="10"/>
      <color theme="9" tint="-0.249977111117893"/>
      <name val="Calibri"/>
      <family val="2"/>
      <scheme val="minor"/>
    </font>
    <font>
      <sz val="11"/>
      <color theme="0" tint="-0.499984740745262"/>
      <name val="Times New Roman"/>
      <family val="1"/>
    </font>
    <font>
      <b/>
      <sz val="11"/>
      <color theme="0" tint="-0.499984740745262"/>
      <name val="Calibri"/>
      <family val="2"/>
      <scheme val="minor"/>
    </font>
    <font>
      <sz val="11"/>
      <color theme="2" tint="-0.749992370372631"/>
      <name val="Times New Roman"/>
      <family val="1"/>
    </font>
    <font>
      <sz val="9"/>
      <color theme="0" tint="-0.499984740745262"/>
      <name val="Times New Roman"/>
      <family val="1"/>
    </font>
    <font>
      <u/>
      <sz val="11"/>
      <color theme="1"/>
      <name val="Calibri"/>
      <family val="2"/>
      <scheme val="minor"/>
    </font>
    <font>
      <sz val="10"/>
      <color theme="1"/>
      <name val="Calibri"/>
      <family val="2"/>
      <scheme val="minor"/>
    </font>
    <font>
      <sz val="11"/>
      <name val="Times New Roman"/>
      <family val="1"/>
    </font>
    <font>
      <sz val="10"/>
      <name val="Times New Roman"/>
      <family val="1"/>
    </font>
    <font>
      <u/>
      <sz val="9.9"/>
      <color theme="10"/>
      <name val="Calibri"/>
      <family val="2"/>
    </font>
    <font>
      <b/>
      <sz val="11"/>
      <color rgb="FF12100B"/>
      <name val="UniversLTStd-Bold"/>
    </font>
    <font>
      <sz val="10"/>
      <color rgb="FF12100B"/>
      <name val="UniversLTStd"/>
    </font>
    <font>
      <b/>
      <sz val="12"/>
      <color rgb="FFFF0000"/>
      <name val="Calibri"/>
      <family val="2"/>
      <scheme val="minor"/>
    </font>
    <font>
      <u/>
      <sz val="9"/>
      <color indexed="81"/>
      <name val="Segoe UI"/>
      <family val="2"/>
    </font>
    <font>
      <sz val="9"/>
      <color theme="1"/>
      <name val="Calibri"/>
      <family val="2"/>
      <scheme val="minor"/>
    </font>
    <font>
      <b/>
      <sz val="18"/>
      <color theme="1"/>
      <name val="Calibri"/>
      <family val="2"/>
      <scheme val="minor"/>
    </font>
    <font>
      <b/>
      <sz val="9"/>
      <color theme="1"/>
      <name val="Calibri"/>
      <family val="2"/>
      <scheme val="minor"/>
    </font>
    <font>
      <sz val="8"/>
      <color theme="1"/>
      <name val="Calibri"/>
      <family val="2"/>
      <scheme val="minor"/>
    </font>
    <font>
      <b/>
      <sz val="10"/>
      <color theme="1"/>
      <name val="Calibri"/>
      <family val="2"/>
      <scheme val="minor"/>
    </font>
    <font>
      <sz val="7"/>
      <color theme="1"/>
      <name val="Calibri"/>
      <family val="2"/>
      <scheme val="minor"/>
    </font>
    <font>
      <b/>
      <sz val="14"/>
      <color rgb="FFFF0000"/>
      <name val="Calibri"/>
      <family val="2"/>
      <scheme val="minor"/>
    </font>
    <font>
      <sz val="11"/>
      <color rgb="FFFF0000"/>
      <name val="Calibri"/>
      <family val="2"/>
      <scheme val="minor"/>
    </font>
    <font>
      <b/>
      <sz val="11"/>
      <color theme="2" tint="-0.749992370372631"/>
      <name val="Times New Roman"/>
      <family val="1"/>
    </font>
    <font>
      <sz val="11"/>
      <color theme="0" tint="-0.249977111117893"/>
      <name val="Calibri"/>
      <family val="2"/>
      <scheme val="minor"/>
    </font>
    <font>
      <sz val="11"/>
      <color theme="9" tint="-0.249977111117893"/>
      <name val="Calibri"/>
      <family val="2"/>
      <scheme val="minor"/>
    </font>
    <font>
      <sz val="11"/>
      <color theme="4" tint="-0.499984740745262"/>
      <name val="Calibri"/>
      <family val="2"/>
      <scheme val="minor"/>
    </font>
    <font>
      <sz val="11"/>
      <color theme="1" tint="0.249977111117893"/>
      <name val="Calibri"/>
      <family val="2"/>
      <scheme val="minor"/>
    </font>
    <font>
      <b/>
      <sz val="12"/>
      <color theme="0" tint="-0.34998626667073579"/>
      <name val="Calibri"/>
      <family val="2"/>
      <scheme val="minor"/>
    </font>
    <font>
      <sz val="11"/>
      <color theme="0" tint="-0.34998626667073579"/>
      <name val="Calibri"/>
      <family val="2"/>
      <scheme val="minor"/>
    </font>
    <font>
      <sz val="11"/>
      <color theme="2" tint="-0.499984740745262"/>
      <name val="Calibri"/>
      <family val="2"/>
      <scheme val="minor"/>
    </font>
    <font>
      <sz val="12"/>
      <color theme="0"/>
      <name val="Calibri"/>
      <family val="2"/>
      <scheme val="minor"/>
    </font>
    <font>
      <sz val="16"/>
      <color theme="0"/>
      <name val="Calibri"/>
      <family val="2"/>
      <scheme val="minor"/>
    </font>
    <font>
      <b/>
      <sz val="11"/>
      <color theme="7" tint="-0.249977111117893"/>
      <name val="Calibri"/>
      <family val="2"/>
      <scheme val="minor"/>
    </font>
    <font>
      <sz val="11"/>
      <color theme="9" tint="0.39997558519241921"/>
      <name val="Calibri"/>
      <family val="2"/>
      <scheme val="minor"/>
    </font>
    <font>
      <sz val="12"/>
      <color theme="9" tint="0.79998168889431442"/>
      <name val="Calibri"/>
      <family val="2"/>
      <scheme val="minor"/>
    </font>
    <font>
      <sz val="9"/>
      <color theme="0"/>
      <name val="Calibri"/>
      <family val="2"/>
      <scheme val="minor"/>
    </font>
    <font>
      <sz val="11"/>
      <color theme="1" tint="0.499984740745262"/>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1"/>
      <color indexed="8"/>
      <name val="Calibri"/>
      <family val="2"/>
    </font>
    <font>
      <sz val="5"/>
      <color theme="0"/>
      <name val="Calibri"/>
      <family val="2"/>
      <scheme val="minor"/>
    </font>
    <font>
      <b/>
      <sz val="11"/>
      <color theme="9" tint="-0.499984740745262"/>
      <name val="Calibri"/>
      <family val="2"/>
      <scheme val="minor"/>
    </font>
    <font>
      <i/>
      <sz val="10"/>
      <color theme="1"/>
      <name val="Calibri"/>
      <family val="2"/>
      <scheme val="minor"/>
    </font>
    <font>
      <sz val="11"/>
      <color theme="1"/>
      <name val="Amasis MT Pro Black"/>
      <family val="1"/>
    </font>
    <font>
      <b/>
      <sz val="11"/>
      <name val="Calibri"/>
      <family val="2"/>
      <scheme val="minor"/>
    </font>
    <font>
      <sz val="11"/>
      <color theme="7" tint="-0.499984740745262"/>
      <name val="Calibri"/>
      <family val="2"/>
      <scheme val="minor"/>
    </font>
    <font>
      <b/>
      <i/>
      <sz val="14"/>
      <color theme="9" tint="-0.499984740745262"/>
      <name val="Calibri"/>
      <family val="2"/>
      <scheme val="minor"/>
    </font>
    <font>
      <sz val="11"/>
      <color rgb="FF000000"/>
      <name val="Calibri"/>
      <family val="2"/>
    </font>
    <font>
      <i/>
      <sz val="12"/>
      <color theme="1"/>
      <name val="Calibri"/>
      <family val="2"/>
      <scheme val="minor"/>
    </font>
    <font>
      <b/>
      <i/>
      <sz val="11"/>
      <color theme="1"/>
      <name val="Calibri"/>
      <family val="2"/>
      <scheme val="minor"/>
    </font>
    <font>
      <b/>
      <i/>
      <sz val="12"/>
      <color theme="0" tint="-4.9989318521683403E-2"/>
      <name val="Aptos"/>
      <family val="2"/>
    </font>
    <font>
      <b/>
      <i/>
      <sz val="10"/>
      <color theme="0"/>
      <name val="Times New Roman"/>
      <family val="1"/>
    </font>
    <font>
      <i/>
      <sz val="8"/>
      <color theme="0" tint="-0.34998626667073579"/>
      <name val="Calibri"/>
      <family val="2"/>
      <scheme val="minor"/>
    </font>
    <font>
      <b/>
      <i/>
      <u/>
      <sz val="12"/>
      <color theme="1"/>
      <name val="Calibri"/>
      <family val="2"/>
      <scheme val="minor"/>
    </font>
    <font>
      <sz val="12"/>
      <color theme="2" tint="-0.499984740745262"/>
      <name val="Calibri"/>
      <family val="2"/>
      <scheme val="minor"/>
    </font>
    <font>
      <sz val="12"/>
      <color theme="9"/>
      <name val="Calibri"/>
      <family val="2"/>
      <scheme val="minor"/>
    </font>
    <font>
      <sz val="12"/>
      <color theme="0" tint="-0.499984740745262"/>
      <name val="Calibri"/>
      <family val="2"/>
      <scheme val="minor"/>
    </font>
    <font>
      <i/>
      <sz val="9"/>
      <color theme="0"/>
      <name val="Calibri"/>
      <family val="2"/>
      <scheme val="minor"/>
    </font>
    <font>
      <i/>
      <sz val="11"/>
      <color theme="0" tint="-0.499984740745262"/>
      <name val="Calibri"/>
      <family val="2"/>
      <scheme val="minor"/>
    </font>
    <font>
      <i/>
      <sz val="9"/>
      <color theme="0" tint="-0.499984740745262"/>
      <name val="Calibri"/>
      <family val="2"/>
      <scheme val="minor"/>
    </font>
    <font>
      <i/>
      <sz val="11"/>
      <color theme="0"/>
      <name val="Calibri"/>
      <family val="2"/>
      <scheme val="minor"/>
    </font>
    <font>
      <b/>
      <sz val="11"/>
      <name val="Times New Roman"/>
      <family val="1"/>
    </font>
    <font>
      <i/>
      <sz val="11"/>
      <color theme="1"/>
      <name val="Calibri"/>
      <family val="2"/>
      <scheme val="minor"/>
    </font>
  </fonts>
  <fills count="62">
    <fill>
      <patternFill patternType="none"/>
    </fill>
    <fill>
      <patternFill patternType="gray125"/>
    </fill>
    <fill>
      <patternFill patternType="solid">
        <fgColor theme="0" tint="-0.14999847407452621"/>
        <bgColor indexed="64"/>
      </patternFill>
    </fill>
    <fill>
      <patternFill patternType="solid">
        <fgColor theme="9" tint="0.59999389629810485"/>
        <bgColor indexed="64"/>
      </patternFill>
    </fill>
    <fill>
      <patternFill patternType="solid">
        <fgColor theme="0"/>
        <bgColor indexed="64"/>
      </patternFill>
    </fill>
    <fill>
      <patternFill patternType="solid">
        <fgColor theme="9" tint="0.79998168889431442"/>
        <bgColor indexed="64"/>
      </patternFill>
    </fill>
    <fill>
      <patternFill patternType="solid">
        <fgColor theme="9" tint="-0.249977111117893"/>
        <bgColor indexed="64"/>
      </patternFill>
    </fill>
    <fill>
      <patternFill patternType="solid">
        <fgColor theme="0" tint="-4.9989318521683403E-2"/>
        <bgColor indexed="64"/>
      </patternFill>
    </fill>
    <fill>
      <patternFill patternType="solid">
        <fgColor theme="7" tint="0.39997558519241921"/>
        <bgColor indexed="65"/>
      </patternFill>
    </fill>
    <fill>
      <patternFill patternType="solid">
        <fgColor rgb="FF87C880"/>
        <bgColor indexed="64"/>
      </patternFill>
    </fill>
    <fill>
      <patternFill patternType="solid">
        <fgColor rgb="FFFFFF00"/>
        <bgColor indexed="64"/>
      </patternFill>
    </fill>
    <fill>
      <patternFill patternType="solid">
        <fgColor rgb="FFFFC6B9"/>
        <bgColor indexed="64"/>
      </patternFill>
    </fill>
    <fill>
      <patternFill patternType="solid">
        <fgColor theme="7" tint="0.79998168889431442"/>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249977111117893"/>
        <bgColor indexed="64"/>
      </patternFill>
    </fill>
    <fill>
      <patternFill patternType="solid">
        <fgColor theme="5" tint="-0.249977111117893"/>
        <bgColor indexed="64"/>
      </patternFill>
    </fill>
    <fill>
      <patternFill patternType="solid">
        <fgColor theme="0" tint="-0.249977111117893"/>
        <bgColor indexed="64"/>
      </patternFill>
    </fill>
    <fill>
      <patternFill patternType="solid">
        <fgColor theme="2"/>
        <bgColor indexed="64"/>
      </patternFill>
    </fill>
    <fill>
      <patternFill patternType="solid">
        <fgColor theme="1" tint="0.249977111117893"/>
        <bgColor indexed="64"/>
      </patternFill>
    </fill>
    <fill>
      <patternFill patternType="solid">
        <fgColor theme="1" tint="0.14999847407452621"/>
        <bgColor indexed="64"/>
      </patternFill>
    </fill>
    <fill>
      <patternFill patternType="solid">
        <fgColor theme="2" tint="-0.499984740745262"/>
        <bgColor indexed="64"/>
      </patternFill>
    </fill>
    <fill>
      <patternFill patternType="solid">
        <fgColor rgb="FF0070C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3300"/>
        <bgColor indexed="64"/>
      </patternFill>
    </fill>
    <fill>
      <patternFill patternType="solid">
        <fgColor theme="8" tint="0.79998168889431442"/>
        <bgColor indexed="64"/>
      </patternFill>
    </fill>
    <fill>
      <patternFill patternType="solid">
        <fgColor theme="9"/>
        <bgColor indexed="64"/>
      </patternFill>
    </fill>
    <fill>
      <gradientFill>
        <stop position="0">
          <color theme="0"/>
        </stop>
        <stop position="0.5">
          <color theme="9" tint="0.59999389629810485"/>
        </stop>
        <stop position="1">
          <color theme="0"/>
        </stop>
      </gradientFill>
    </fill>
    <fill>
      <patternFill patternType="solid">
        <fgColor theme="0" tint="-0.34998626667073579"/>
        <bgColor indexed="64"/>
      </patternFill>
    </fill>
    <fill>
      <patternFill patternType="solid">
        <fgColor rgb="FF00B0F0"/>
        <bgColor indexed="64"/>
      </patternFill>
    </fill>
    <fill>
      <patternFill patternType="solid">
        <fgColor rgb="FF7030A0"/>
        <bgColor indexed="64"/>
      </patternFill>
    </fill>
    <fill>
      <patternFill patternType="solid">
        <fgColor theme="7" tint="0.59999389629810485"/>
        <bgColor indexed="64"/>
      </patternFill>
    </fill>
    <fill>
      <patternFill patternType="solid">
        <fgColor theme="1"/>
        <bgColor indexed="64"/>
      </patternFill>
    </fill>
  </fills>
  <borders count="144">
    <border>
      <left/>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ck">
        <color theme="9" tint="0.39994506668294322"/>
      </top>
      <bottom/>
      <diagonal/>
    </border>
    <border>
      <left/>
      <right/>
      <top/>
      <bottom style="thick">
        <color theme="9" tint="0.39994506668294322"/>
      </bottom>
      <diagonal/>
    </border>
    <border>
      <left style="thin">
        <color theme="9" tint="-0.24994659260841701"/>
      </left>
      <right style="thin">
        <color theme="9" tint="-0.24994659260841701"/>
      </right>
      <top style="thin">
        <color theme="9" tint="-0.24994659260841701"/>
      </top>
      <bottom style="thin">
        <color theme="9" tint="-0.2499465926084170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style="thin">
        <color theme="9" tint="0.39997558519241921"/>
      </bottom>
      <diagonal/>
    </border>
    <border>
      <left/>
      <right/>
      <top style="medium">
        <color theme="9" tint="0.39994506668294322"/>
      </top>
      <bottom/>
      <diagonal/>
    </border>
    <border>
      <left/>
      <right/>
      <top/>
      <bottom style="medium">
        <color theme="9" tint="0.3999450666829432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34998626667073579"/>
      </right>
      <top style="thin">
        <color theme="0" tint="-0.499984740745262"/>
      </top>
      <bottom style="thin">
        <color theme="0" tint="-0.34998626667073579"/>
      </bottom>
      <diagonal/>
    </border>
    <border>
      <left style="thin">
        <color theme="0" tint="-0.34998626667073579"/>
      </left>
      <right style="thin">
        <color theme="0" tint="-0.34998626667073579"/>
      </right>
      <top style="thin">
        <color theme="0" tint="-0.499984740745262"/>
      </top>
      <bottom style="thin">
        <color theme="0" tint="-0.34998626667073579"/>
      </bottom>
      <diagonal/>
    </border>
    <border>
      <left style="thin">
        <color theme="0" tint="-0.34998626667073579"/>
      </left>
      <right style="thin">
        <color theme="0" tint="-0.499984740745262"/>
      </right>
      <top style="thin">
        <color theme="0" tint="-0.499984740745262"/>
      </top>
      <bottom style="thin">
        <color theme="0" tint="-0.34998626667073579"/>
      </bottom>
      <diagonal/>
    </border>
    <border>
      <left style="thin">
        <color theme="0" tint="-0.499984740745262"/>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499984740745262"/>
      </right>
      <top style="thin">
        <color theme="0" tint="-0.34998626667073579"/>
      </top>
      <bottom style="thin">
        <color theme="0" tint="-0.34998626667073579"/>
      </bottom>
      <diagonal/>
    </border>
    <border>
      <left style="thin">
        <color theme="0" tint="-0.499984740745262"/>
      </left>
      <right style="thin">
        <color theme="0" tint="-0.34998626667073579"/>
      </right>
      <top style="thin">
        <color theme="0" tint="-0.34998626667073579"/>
      </top>
      <bottom style="thin">
        <color theme="0" tint="-0.499984740745262"/>
      </bottom>
      <diagonal/>
    </border>
    <border>
      <left style="thin">
        <color theme="0" tint="-0.34998626667073579"/>
      </left>
      <right style="thin">
        <color theme="0" tint="-0.34998626667073579"/>
      </right>
      <top style="thin">
        <color theme="0" tint="-0.34998626667073579"/>
      </top>
      <bottom style="thin">
        <color theme="0" tint="-0.499984740745262"/>
      </bottom>
      <diagonal/>
    </border>
    <border>
      <left style="thin">
        <color theme="0" tint="-0.34998626667073579"/>
      </left>
      <right style="thin">
        <color theme="0" tint="-0.499984740745262"/>
      </right>
      <top style="thin">
        <color theme="0" tint="-0.34998626667073579"/>
      </top>
      <bottom style="thin">
        <color theme="0" tint="-0.499984740745262"/>
      </bottom>
      <diagonal/>
    </border>
    <border>
      <left/>
      <right/>
      <top style="thin">
        <color theme="0" tint="-0.34998626667073579"/>
      </top>
      <bottom/>
      <diagonal/>
    </border>
    <border>
      <left/>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9"/>
      </left>
      <right/>
      <top style="thin">
        <color theme="9"/>
      </top>
      <bottom style="thin">
        <color theme="9"/>
      </bottom>
      <diagonal/>
    </border>
    <border>
      <left/>
      <right/>
      <top style="thin">
        <color theme="9"/>
      </top>
      <bottom style="thin">
        <color theme="9"/>
      </bottom>
      <diagonal/>
    </border>
    <border>
      <left/>
      <right style="thin">
        <color theme="9"/>
      </right>
      <top style="thin">
        <color theme="9"/>
      </top>
      <bottom style="thin">
        <color theme="9"/>
      </bottom>
      <diagonal/>
    </border>
    <border>
      <left style="thin">
        <color indexed="64"/>
      </left>
      <right style="thin">
        <color indexed="64"/>
      </right>
      <top/>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diagonal/>
    </border>
    <border>
      <left/>
      <right style="thin">
        <color theme="0" tint="-0.499984740745262"/>
      </right>
      <top/>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
      <left style="thick">
        <color theme="0" tint="-0.24994659260841701"/>
      </left>
      <right style="thick">
        <color theme="0" tint="-0.24994659260841701"/>
      </right>
      <top style="thick">
        <color theme="0" tint="-0.24994659260841701"/>
      </top>
      <bottom/>
      <diagonal/>
    </border>
    <border>
      <left style="thick">
        <color theme="0" tint="-0.24994659260841701"/>
      </left>
      <right style="thick">
        <color theme="0" tint="-0.24994659260841701"/>
      </right>
      <top/>
      <bottom style="thick">
        <color theme="0" tint="-0.24994659260841701"/>
      </bottom>
      <diagonal/>
    </border>
    <border>
      <left/>
      <right/>
      <top/>
      <bottom style="thin">
        <color theme="0" tint="-0.14993743705557422"/>
      </bottom>
      <diagonal/>
    </border>
    <border>
      <left/>
      <right/>
      <top style="thin">
        <color theme="0" tint="-0.14993743705557422"/>
      </top>
      <bottom style="thin">
        <color theme="0" tint="-0.14993743705557422"/>
      </bottom>
      <diagonal/>
    </border>
    <border>
      <left/>
      <right/>
      <top style="thin">
        <color theme="0" tint="-0.14993743705557422"/>
      </top>
      <bottom/>
      <diagonal/>
    </border>
    <border>
      <left/>
      <right style="thin">
        <color theme="0" tint="-0.14996795556505021"/>
      </right>
      <top style="thin">
        <color theme="0" tint="-0.499984740745262"/>
      </top>
      <bottom style="thin">
        <color theme="0" tint="-0.14993743705557422"/>
      </bottom>
      <diagonal/>
    </border>
    <border>
      <left style="thin">
        <color theme="0" tint="-0.14996795556505021"/>
      </left>
      <right style="thin">
        <color theme="0" tint="-0.14996795556505021"/>
      </right>
      <top style="thin">
        <color theme="0" tint="-0.499984740745262"/>
      </top>
      <bottom style="thin">
        <color theme="0" tint="-0.14993743705557422"/>
      </bottom>
      <diagonal/>
    </border>
    <border>
      <left style="thin">
        <color theme="0" tint="-0.14996795556505021"/>
      </left>
      <right/>
      <top style="thin">
        <color theme="0" tint="-0.499984740745262"/>
      </top>
      <bottom style="thin">
        <color theme="0" tint="-0.14993743705557422"/>
      </bottom>
      <diagonal/>
    </border>
    <border>
      <left/>
      <right style="thin">
        <color theme="0" tint="-0.14996795556505021"/>
      </right>
      <top style="thin">
        <color theme="0" tint="-0.14993743705557422"/>
      </top>
      <bottom style="thin">
        <color theme="0" tint="-0.14993743705557422"/>
      </bottom>
      <diagonal/>
    </border>
    <border>
      <left style="thin">
        <color theme="0" tint="-0.14996795556505021"/>
      </left>
      <right style="thin">
        <color theme="0" tint="-0.14996795556505021"/>
      </right>
      <top style="thin">
        <color theme="0" tint="-0.14993743705557422"/>
      </top>
      <bottom style="thin">
        <color theme="0" tint="-0.14993743705557422"/>
      </bottom>
      <diagonal/>
    </border>
    <border>
      <left style="thin">
        <color theme="0" tint="-0.14996795556505021"/>
      </left>
      <right/>
      <top style="thin">
        <color theme="0" tint="-0.14993743705557422"/>
      </top>
      <bottom style="thin">
        <color theme="0" tint="-0.14993743705557422"/>
      </bottom>
      <diagonal/>
    </border>
    <border>
      <left/>
      <right style="thin">
        <color theme="0" tint="-0.14996795556505021"/>
      </right>
      <top style="thin">
        <color theme="0" tint="-0.14993743705557422"/>
      </top>
      <bottom/>
      <diagonal/>
    </border>
    <border>
      <left style="thin">
        <color theme="0" tint="-0.14996795556505021"/>
      </left>
      <right style="thin">
        <color theme="0" tint="-0.14996795556505021"/>
      </right>
      <top style="thin">
        <color theme="0" tint="-0.14993743705557422"/>
      </top>
      <bottom/>
      <diagonal/>
    </border>
    <border>
      <left style="thin">
        <color theme="0" tint="-0.14996795556505021"/>
      </left>
      <right/>
      <top style="thin">
        <color theme="0" tint="-0.14993743705557422"/>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thin">
        <color theme="9" tint="-0.24994659260841701"/>
      </left>
      <right style="thin">
        <color theme="9" tint="-0.24994659260841701"/>
      </right>
      <top style="thin">
        <color theme="9" tint="-0.24994659260841701"/>
      </top>
      <bottom/>
      <diagonal/>
    </border>
    <border>
      <left style="medium">
        <color theme="9" tint="-0.24994659260841701"/>
      </left>
      <right/>
      <top style="medium">
        <color theme="9" tint="-0.24994659260841701"/>
      </top>
      <bottom/>
      <diagonal/>
    </border>
    <border>
      <left/>
      <right/>
      <top style="medium">
        <color theme="9" tint="-0.24994659260841701"/>
      </top>
      <bottom/>
      <diagonal/>
    </border>
    <border>
      <left/>
      <right style="medium">
        <color theme="9" tint="-0.24994659260841701"/>
      </right>
      <top style="medium">
        <color theme="9" tint="-0.24994659260841701"/>
      </top>
      <bottom/>
      <diagonal/>
    </border>
    <border>
      <left style="medium">
        <color theme="9" tint="-0.24994659260841701"/>
      </left>
      <right/>
      <top/>
      <bottom/>
      <diagonal/>
    </border>
    <border>
      <left/>
      <right style="medium">
        <color theme="9" tint="-0.24994659260841701"/>
      </right>
      <top/>
      <bottom/>
      <diagonal/>
    </border>
    <border>
      <left style="medium">
        <color theme="9" tint="-0.24994659260841701"/>
      </left>
      <right/>
      <top/>
      <bottom style="medium">
        <color theme="9" tint="-0.24994659260841701"/>
      </bottom>
      <diagonal/>
    </border>
    <border>
      <left/>
      <right/>
      <top/>
      <bottom style="medium">
        <color theme="9" tint="-0.24994659260841701"/>
      </bottom>
      <diagonal/>
    </border>
    <border>
      <left/>
      <right style="medium">
        <color theme="9" tint="-0.24994659260841701"/>
      </right>
      <top/>
      <bottom style="medium">
        <color theme="9" tint="-0.2499465926084170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9" tint="0.39997558519241921"/>
      </right>
      <top/>
      <bottom/>
      <diagonal/>
    </border>
    <border>
      <left/>
      <right style="medium">
        <color theme="9" tint="0.39997558519241921"/>
      </right>
      <top/>
      <bottom/>
      <diagonal/>
    </border>
    <border>
      <left/>
      <right/>
      <top style="medium">
        <color theme="9" tint="0.39997558519241921"/>
      </top>
      <bottom/>
      <diagonal/>
    </border>
    <border>
      <left/>
      <right style="medium">
        <color theme="9" tint="0.39997558519241921"/>
      </right>
      <top style="medium">
        <color theme="9" tint="0.39997558519241921"/>
      </top>
      <bottom/>
      <diagonal/>
    </border>
    <border>
      <left/>
      <right/>
      <top/>
      <bottom style="medium">
        <color theme="9" tint="0.39997558519241921"/>
      </bottom>
      <diagonal/>
    </border>
    <border>
      <left/>
      <right style="medium">
        <color theme="9" tint="0.39997558519241921"/>
      </right>
      <top/>
      <bottom style="medium">
        <color theme="9" tint="0.39997558519241921"/>
      </bottom>
      <diagonal/>
    </border>
    <border>
      <left style="medium">
        <color theme="9" tint="0.39997558519241921"/>
      </left>
      <right/>
      <top style="medium">
        <color theme="9" tint="0.39997558519241921"/>
      </top>
      <bottom style="medium">
        <color theme="9" tint="0.39997558519241921"/>
      </bottom>
      <diagonal/>
    </border>
    <border>
      <left/>
      <right/>
      <top style="medium">
        <color theme="9" tint="0.39997558519241921"/>
      </top>
      <bottom style="medium">
        <color theme="9" tint="0.39997558519241921"/>
      </bottom>
      <diagonal/>
    </border>
    <border>
      <left/>
      <right style="medium">
        <color theme="9" tint="0.39997558519241921"/>
      </right>
      <top style="medium">
        <color theme="9" tint="0.39997558519241921"/>
      </top>
      <bottom style="medium">
        <color theme="9" tint="0.39997558519241921"/>
      </bottom>
      <diagonal/>
    </border>
    <border>
      <left style="thin">
        <color theme="9" tint="0.39997558519241921"/>
      </left>
      <right style="thin">
        <color theme="9" tint="0.39997558519241921"/>
      </right>
      <top/>
      <bottom/>
      <diagonal/>
    </border>
    <border>
      <left/>
      <right style="thin">
        <color theme="9" tint="0.39997558519241921"/>
      </right>
      <top style="medium">
        <color theme="9" tint="0.39997558519241921"/>
      </top>
      <bottom/>
      <diagonal/>
    </border>
    <border>
      <left/>
      <right style="thin">
        <color theme="9" tint="0.39997558519241921"/>
      </right>
      <top/>
      <bottom style="medium">
        <color theme="9" tint="0.39997558519241921"/>
      </bottom>
      <diagonal/>
    </border>
    <border>
      <left style="medium">
        <color theme="9" tint="0.39997558519241921"/>
      </left>
      <right style="thin">
        <color theme="9" tint="0.39997558519241921"/>
      </right>
      <top style="medium">
        <color theme="9" tint="0.39997558519241921"/>
      </top>
      <bottom/>
      <diagonal/>
    </border>
    <border>
      <left style="medium">
        <color theme="9" tint="0.39997558519241921"/>
      </left>
      <right style="thin">
        <color theme="9" tint="0.39997558519241921"/>
      </right>
      <top/>
      <bottom/>
      <diagonal/>
    </border>
    <border>
      <left style="medium">
        <color theme="9" tint="0.39997558519241921"/>
      </left>
      <right style="thin">
        <color theme="9" tint="0.39997558519241921"/>
      </right>
      <top/>
      <bottom style="medium">
        <color theme="9" tint="0.39997558519241921"/>
      </bottom>
      <diagonal/>
    </border>
    <border>
      <left style="thin">
        <color theme="9" tint="0.39997558519241921"/>
      </left>
      <right style="thin">
        <color theme="9" tint="0.39997558519241921"/>
      </right>
      <top style="medium">
        <color theme="9" tint="0.39997558519241921"/>
      </top>
      <bottom/>
      <diagonal/>
    </border>
    <border>
      <left style="thin">
        <color theme="9" tint="0.39997558519241921"/>
      </left>
      <right style="thin">
        <color theme="9" tint="0.39997558519241921"/>
      </right>
      <top/>
      <bottom style="medium">
        <color theme="9" tint="0.39997558519241921"/>
      </bottom>
      <diagonal/>
    </border>
    <border>
      <left style="thin">
        <color theme="9" tint="0.39997558519241921"/>
      </left>
      <right style="slantDashDot">
        <color theme="9" tint="0.39997558519241921"/>
      </right>
      <top style="medium">
        <color theme="9" tint="0.39997558519241921"/>
      </top>
      <bottom/>
      <diagonal/>
    </border>
    <border>
      <left style="thin">
        <color theme="9" tint="0.39997558519241921"/>
      </left>
      <right style="slantDashDot">
        <color theme="9" tint="0.39997558519241921"/>
      </right>
      <top/>
      <bottom/>
      <diagonal/>
    </border>
    <border>
      <left style="thin">
        <color theme="9" tint="0.39997558519241921"/>
      </left>
      <right style="slantDashDot">
        <color theme="9" tint="0.39997558519241921"/>
      </right>
      <top/>
      <bottom style="medium">
        <color theme="9" tint="0.39997558519241921"/>
      </bottom>
      <diagonal/>
    </border>
    <border>
      <left style="slantDashDot">
        <color theme="9" tint="0.39997558519241921"/>
      </left>
      <right/>
      <top style="slantDashDot">
        <color theme="9" tint="0.39997558519241921"/>
      </top>
      <bottom/>
      <diagonal/>
    </border>
    <border>
      <left/>
      <right/>
      <top style="slantDashDot">
        <color theme="9" tint="0.39997558519241921"/>
      </top>
      <bottom/>
      <diagonal/>
    </border>
    <border>
      <left/>
      <right style="slantDashDot">
        <color theme="9" tint="0.39997558519241921"/>
      </right>
      <top style="slantDashDot">
        <color theme="9" tint="0.39997558519241921"/>
      </top>
      <bottom/>
      <diagonal/>
    </border>
    <border>
      <left style="slantDashDot">
        <color theme="9" tint="0.39997558519241921"/>
      </left>
      <right/>
      <top/>
      <bottom/>
      <diagonal/>
    </border>
    <border>
      <left/>
      <right style="slantDashDot">
        <color theme="9" tint="0.39997558519241921"/>
      </right>
      <top/>
      <bottom/>
      <diagonal/>
    </border>
    <border>
      <left style="slantDashDot">
        <color theme="9" tint="0.39997558519241921"/>
      </left>
      <right/>
      <top/>
      <bottom style="slantDashDot">
        <color theme="9" tint="0.39997558519241921"/>
      </bottom>
      <diagonal/>
    </border>
    <border>
      <left/>
      <right/>
      <top/>
      <bottom style="slantDashDot">
        <color theme="9" tint="0.39997558519241921"/>
      </bottom>
      <diagonal/>
    </border>
    <border>
      <left/>
      <right style="slantDashDot">
        <color theme="9" tint="0.39997558519241921"/>
      </right>
      <top/>
      <bottom style="slantDashDot">
        <color theme="9" tint="0.39997558519241921"/>
      </bottom>
      <diagonal/>
    </border>
    <border>
      <left style="thin">
        <color theme="2" tint="-0.499984740745262"/>
      </left>
      <right/>
      <top style="thin">
        <color theme="2" tint="-0.499984740745262"/>
      </top>
      <bottom/>
      <diagonal/>
    </border>
    <border>
      <left/>
      <right/>
      <top style="thin">
        <color theme="2" tint="-0.499984740745262"/>
      </top>
      <bottom/>
      <diagonal/>
    </border>
    <border>
      <left/>
      <right style="thin">
        <color theme="2" tint="-0.499984740745262"/>
      </right>
      <top style="thin">
        <color theme="2" tint="-0.499984740745262"/>
      </top>
      <bottom/>
      <diagonal/>
    </border>
    <border>
      <left style="thin">
        <color theme="2" tint="-0.499984740745262"/>
      </left>
      <right/>
      <top/>
      <bottom/>
      <diagonal/>
    </border>
    <border>
      <left/>
      <right style="thin">
        <color theme="2" tint="-0.499984740745262"/>
      </right>
      <top/>
      <bottom/>
      <diagonal/>
    </border>
    <border>
      <left style="thin">
        <color theme="2" tint="-0.499984740745262"/>
      </left>
      <right/>
      <top/>
      <bottom style="thin">
        <color theme="2" tint="-0.499984740745262"/>
      </bottom>
      <diagonal/>
    </border>
    <border>
      <left/>
      <right/>
      <top/>
      <bottom style="thin">
        <color theme="2" tint="-0.499984740745262"/>
      </bottom>
      <diagonal/>
    </border>
    <border>
      <left/>
      <right style="thin">
        <color theme="2" tint="-0.499984740745262"/>
      </right>
      <top/>
      <bottom style="thin">
        <color theme="2" tint="-0.499984740745262"/>
      </bottom>
      <diagonal/>
    </border>
    <border>
      <left style="thin">
        <color theme="9"/>
      </left>
      <right style="thin">
        <color theme="9"/>
      </right>
      <top style="thin">
        <color theme="9"/>
      </top>
      <bottom style="thin">
        <color theme="9"/>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top style="thin">
        <color theme="0" tint="-0.14993743705557422"/>
      </top>
      <bottom style="thin">
        <color theme="0" tint="-0.14990691854609822"/>
      </bottom>
      <diagonal/>
    </border>
    <border>
      <left/>
      <right/>
      <top style="thin">
        <color theme="0" tint="-0.14990691854609822"/>
      </top>
      <bottom style="thin">
        <color theme="0" tint="-0.14990691854609822"/>
      </bottom>
      <diagonal/>
    </border>
    <border>
      <left/>
      <right/>
      <top style="thin">
        <color theme="0" tint="-0.14990691854609822"/>
      </top>
      <bottom style="thin">
        <color theme="0" tint="-0.14993743705557422"/>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9" tint="0.39994506668294322"/>
      </left>
      <right/>
      <top style="thin">
        <color theme="9" tint="0.39994506668294322"/>
      </top>
      <bottom/>
      <diagonal/>
    </border>
    <border>
      <left/>
      <right/>
      <top style="thin">
        <color theme="9" tint="0.39994506668294322"/>
      </top>
      <bottom/>
      <diagonal/>
    </border>
    <border>
      <left/>
      <right style="thin">
        <color theme="9" tint="0.39994506668294322"/>
      </right>
      <top style="thin">
        <color theme="9" tint="0.39994506668294322"/>
      </top>
      <bottom/>
      <diagonal/>
    </border>
    <border>
      <left style="thin">
        <color theme="9" tint="0.39994506668294322"/>
      </left>
      <right/>
      <top/>
      <bottom/>
      <diagonal/>
    </border>
    <border>
      <left/>
      <right style="thin">
        <color theme="9" tint="0.39994506668294322"/>
      </right>
      <top/>
      <bottom/>
      <diagonal/>
    </border>
    <border>
      <left style="thin">
        <color theme="9" tint="0.39994506668294322"/>
      </left>
      <right/>
      <top/>
      <bottom style="thin">
        <color theme="9" tint="0.39994506668294322"/>
      </bottom>
      <diagonal/>
    </border>
    <border>
      <left/>
      <right/>
      <top/>
      <bottom style="thin">
        <color theme="9" tint="0.39994506668294322"/>
      </bottom>
      <diagonal/>
    </border>
    <border>
      <left/>
      <right style="thin">
        <color theme="9" tint="0.39994506668294322"/>
      </right>
      <top/>
      <bottom style="thin">
        <color theme="9" tint="0.39994506668294322"/>
      </bottom>
      <diagonal/>
    </border>
    <border>
      <left style="thin">
        <color theme="9" tint="-0.24994659260841701"/>
      </left>
      <right style="thin">
        <color theme="9" tint="-0.24994659260841701"/>
      </right>
      <top/>
      <bottom style="thin">
        <color theme="9" tint="-0.24994659260841701"/>
      </bottom>
      <diagonal/>
    </border>
  </borders>
  <cellStyleXfs count="49">
    <xf numFmtId="0" fontId="0" fillId="0" borderId="0"/>
    <xf numFmtId="0" fontId="1" fillId="0" borderId="0" applyNumberFormat="0" applyFill="0" applyBorder="0" applyAlignment="0" applyProtection="0"/>
    <xf numFmtId="164" fontId="3" fillId="0" borderId="0" applyFont="0" applyFill="0" applyBorder="0" applyAlignment="0" applyProtection="0"/>
    <xf numFmtId="9" fontId="3" fillId="0" borderId="0" applyFont="0" applyFill="0" applyBorder="0" applyAlignment="0" applyProtection="0"/>
    <xf numFmtId="0" fontId="11" fillId="8" borderId="0" applyNumberFormat="0" applyBorder="0" applyAlignment="0" applyProtection="0"/>
    <xf numFmtId="0" fontId="45" fillId="0" borderId="0" applyNumberFormat="0" applyFill="0" applyBorder="0" applyAlignment="0" applyProtection="0">
      <alignment vertical="top"/>
      <protection locked="0"/>
    </xf>
    <xf numFmtId="0" fontId="73" fillId="0" borderId="0" applyNumberFormat="0" applyFill="0" applyBorder="0" applyAlignment="0" applyProtection="0"/>
    <xf numFmtId="0" fontId="74" fillId="0" borderId="81" applyNumberFormat="0" applyFill="0" applyAlignment="0" applyProtection="0"/>
    <xf numFmtId="0" fontId="75" fillId="0" borderId="82" applyNumberFormat="0" applyFill="0" applyAlignment="0" applyProtection="0"/>
    <xf numFmtId="0" fontId="76" fillId="0" borderId="83" applyNumberFormat="0" applyFill="0" applyAlignment="0" applyProtection="0"/>
    <xf numFmtId="0" fontId="76" fillId="0" borderId="0" applyNumberFormat="0" applyFill="0" applyBorder="0" applyAlignment="0" applyProtection="0"/>
    <xf numFmtId="0" fontId="77" fillId="23" borderId="0" applyNumberFormat="0" applyBorder="0" applyAlignment="0" applyProtection="0"/>
    <xf numFmtId="0" fontId="78" fillId="24" borderId="0" applyNumberFormat="0" applyBorder="0" applyAlignment="0" applyProtection="0"/>
    <xf numFmtId="0" fontId="79" fillId="25" borderId="0" applyNumberFormat="0" applyBorder="0" applyAlignment="0" applyProtection="0"/>
    <xf numFmtId="0" fontId="80" fillId="26" borderId="84" applyNumberFormat="0" applyAlignment="0" applyProtection="0"/>
    <xf numFmtId="0" fontId="81" fillId="27" borderId="85" applyNumberFormat="0" applyAlignment="0" applyProtection="0"/>
    <xf numFmtId="0" fontId="82" fillId="27" borderId="84" applyNumberFormat="0" applyAlignment="0" applyProtection="0"/>
    <xf numFmtId="0" fontId="83" fillId="0" borderId="86" applyNumberFormat="0" applyFill="0" applyAlignment="0" applyProtection="0"/>
    <xf numFmtId="0" fontId="35" fillId="28" borderId="87" applyNumberFormat="0" applyAlignment="0" applyProtection="0"/>
    <xf numFmtId="0" fontId="57" fillId="0" borderId="0" applyNumberFormat="0" applyFill="0" applyBorder="0" applyAlignment="0" applyProtection="0"/>
    <xf numFmtId="0" fontId="3" fillId="29" borderId="88" applyNumberFormat="0" applyFont="0" applyAlignment="0" applyProtection="0"/>
    <xf numFmtId="0" fontId="84" fillId="0" borderId="0" applyNumberFormat="0" applyFill="0" applyBorder="0" applyAlignment="0" applyProtection="0"/>
    <xf numFmtId="0" fontId="19" fillId="0" borderId="89" applyNumberFormat="0" applyFill="0" applyAlignment="0" applyProtection="0"/>
    <xf numFmtId="0" fontId="11"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11" fillId="34" borderId="0" applyNumberFormat="0" applyBorder="0" applyAlignment="0" applyProtection="0"/>
    <xf numFmtId="0" fontId="3" fillId="35" borderId="0" applyNumberFormat="0" applyBorder="0" applyAlignment="0" applyProtection="0"/>
    <xf numFmtId="0" fontId="3" fillId="36" borderId="0" applyNumberFormat="0" applyBorder="0" applyAlignment="0" applyProtection="0"/>
    <xf numFmtId="0" fontId="3" fillId="37" borderId="0" applyNumberFormat="0" applyBorder="0" applyAlignment="0" applyProtection="0"/>
    <xf numFmtId="0" fontId="11" fillId="38" borderId="0" applyNumberFormat="0" applyBorder="0" applyAlignment="0" applyProtection="0"/>
    <xf numFmtId="0" fontId="3" fillId="39" borderId="0" applyNumberFormat="0" applyBorder="0" applyAlignment="0" applyProtection="0"/>
    <xf numFmtId="0" fontId="3" fillId="40" borderId="0" applyNumberFormat="0" applyBorder="0" applyAlignment="0" applyProtection="0"/>
    <xf numFmtId="0" fontId="3" fillId="41" borderId="0" applyNumberFormat="0" applyBorder="0" applyAlignment="0" applyProtection="0"/>
    <xf numFmtId="0" fontId="11" fillId="42" borderId="0" applyNumberFormat="0" applyBorder="0" applyAlignment="0" applyProtection="0"/>
    <xf numFmtId="0" fontId="3" fillId="43" borderId="0" applyNumberFormat="0" applyBorder="0" applyAlignment="0" applyProtection="0"/>
    <xf numFmtId="0" fontId="3" fillId="44" borderId="0" applyNumberFormat="0" applyBorder="0" applyAlignment="0" applyProtection="0"/>
    <xf numFmtId="0" fontId="3" fillId="8" borderId="0" applyNumberFormat="0" applyBorder="0" applyAlignment="0" applyProtection="0"/>
    <xf numFmtId="0" fontId="11" fillId="45" borderId="0" applyNumberFormat="0" applyBorder="0" applyAlignment="0" applyProtection="0"/>
    <xf numFmtId="0" fontId="3" fillId="46" borderId="0" applyNumberFormat="0" applyBorder="0" applyAlignment="0" applyProtection="0"/>
    <xf numFmtId="0" fontId="3" fillId="47" borderId="0" applyNumberFormat="0" applyBorder="0" applyAlignment="0" applyProtection="0"/>
    <xf numFmtId="0" fontId="3" fillId="48" borderId="0" applyNumberFormat="0" applyBorder="0" applyAlignment="0" applyProtection="0"/>
    <xf numFmtId="0" fontId="11" fillId="49" borderId="0" applyNumberFormat="0" applyBorder="0" applyAlignment="0" applyProtection="0"/>
    <xf numFmtId="0" fontId="3" fillId="50" borderId="0" applyNumberFormat="0" applyBorder="0" applyAlignment="0" applyProtection="0"/>
    <xf numFmtId="0" fontId="3" fillId="51" borderId="0" applyNumberFormat="0" applyBorder="0" applyAlignment="0" applyProtection="0"/>
    <xf numFmtId="0" fontId="3" fillId="52" borderId="0" applyNumberFormat="0" applyBorder="0" applyAlignment="0" applyProtection="0"/>
    <xf numFmtId="0" fontId="85" fillId="0" borderId="0"/>
    <xf numFmtId="166" fontId="3" fillId="0" borderId="0" applyFont="0" applyFill="0" applyBorder="0" applyAlignment="0" applyProtection="0"/>
  </cellStyleXfs>
  <cellXfs count="928">
    <xf numFmtId="0" fontId="0" fillId="0" borderId="0" xfId="0"/>
    <xf numFmtId="17"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Alignment="1">
      <alignment horizontal="center" vertical="center" wrapText="1"/>
    </xf>
    <xf numFmtId="9" fontId="0" fillId="0" borderId="0" xfId="0" applyNumberFormat="1"/>
    <xf numFmtId="10" fontId="0" fillId="0" borderId="0" xfId="0" applyNumberFormat="1"/>
    <xf numFmtId="164" fontId="0" fillId="0" borderId="0" xfId="2" applyFont="1"/>
    <xf numFmtId="164" fontId="0" fillId="0" borderId="0" xfId="0" applyNumberFormat="1"/>
    <xf numFmtId="167" fontId="0" fillId="0" borderId="0" xfId="3" applyNumberFormat="1" applyFont="1"/>
    <xf numFmtId="168" fontId="0" fillId="0" borderId="0" xfId="2" applyNumberFormat="1" applyFont="1"/>
    <xf numFmtId="2" fontId="0" fillId="0" borderId="0" xfId="0" applyNumberFormat="1"/>
    <xf numFmtId="170" fontId="0" fillId="0" borderId="0" xfId="0" applyNumberFormat="1"/>
    <xf numFmtId="0" fontId="0" fillId="0" borderId="0" xfId="0" applyAlignment="1">
      <alignment horizontal="center" wrapText="1"/>
    </xf>
    <xf numFmtId="1" fontId="0" fillId="0" borderId="0" xfId="0" applyNumberFormat="1"/>
    <xf numFmtId="164" fontId="0" fillId="0" borderId="0" xfId="0" applyNumberFormat="1" applyAlignment="1">
      <alignment horizontal="center" vertical="center" wrapText="1"/>
    </xf>
    <xf numFmtId="0" fontId="5" fillId="0" borderId="0" xfId="0" applyFont="1"/>
    <xf numFmtId="10" fontId="0" fillId="0" borderId="0" xfId="3" applyNumberFormat="1" applyFont="1"/>
    <xf numFmtId="164" fontId="0" fillId="0" borderId="1" xfId="2" applyFont="1" applyBorder="1"/>
    <xf numFmtId="9" fontId="0" fillId="0" borderId="6" xfId="0" applyNumberFormat="1" applyBorder="1"/>
    <xf numFmtId="10" fontId="0" fillId="0" borderId="6" xfId="0" applyNumberFormat="1" applyBorder="1"/>
    <xf numFmtId="10" fontId="0" fillId="0" borderId="8" xfId="0" applyNumberFormat="1" applyBorder="1"/>
    <xf numFmtId="0" fontId="0" fillId="0" borderId="0" xfId="0" applyAlignment="1">
      <alignment horizontal="right"/>
    </xf>
    <xf numFmtId="9" fontId="0" fillId="0" borderId="0" xfId="3" applyFont="1"/>
    <xf numFmtId="172" fontId="0" fillId="0" borderId="0" xfId="0" applyNumberFormat="1"/>
    <xf numFmtId="173" fontId="0" fillId="0" borderId="0" xfId="0" applyNumberFormat="1"/>
    <xf numFmtId="165" fontId="0" fillId="0" borderId="0" xfId="0" applyNumberFormat="1"/>
    <xf numFmtId="0" fontId="0" fillId="5" borderId="0" xfId="0" applyFill="1"/>
    <xf numFmtId="0" fontId="4" fillId="5" borderId="0" xfId="0" applyFont="1" applyFill="1" applyAlignment="1">
      <alignment horizontal="center"/>
    </xf>
    <xf numFmtId="0" fontId="6" fillId="5" borderId="0" xfId="0" applyFont="1" applyFill="1" applyAlignment="1">
      <alignment horizontal="right"/>
    </xf>
    <xf numFmtId="0" fontId="5" fillId="4" borderId="11" xfId="0" applyFont="1" applyFill="1" applyBorder="1" applyAlignment="1">
      <alignment horizontal="left"/>
    </xf>
    <xf numFmtId="0" fontId="5" fillId="4" borderId="11" xfId="0" quotePrefix="1" applyFont="1" applyFill="1" applyBorder="1" applyAlignment="1">
      <alignment horizontal="left"/>
    </xf>
    <xf numFmtId="0" fontId="0" fillId="6" borderId="0" xfId="0" applyFill="1"/>
    <xf numFmtId="174" fontId="5" fillId="4" borderId="11" xfId="0" applyNumberFormat="1" applyFont="1" applyFill="1" applyBorder="1" applyAlignment="1">
      <alignment horizontal="left"/>
    </xf>
    <xf numFmtId="2" fontId="5" fillId="7" borderId="11" xfId="0" applyNumberFormat="1" applyFont="1" applyFill="1" applyBorder="1" applyAlignment="1">
      <alignment horizontal="left"/>
    </xf>
    <xf numFmtId="0" fontId="5" fillId="7" borderId="11" xfId="0" applyFont="1" applyFill="1" applyBorder="1" applyAlignment="1">
      <alignment horizontal="left"/>
    </xf>
    <xf numFmtId="176" fontId="5" fillId="4" borderId="11" xfId="0" applyNumberFormat="1" applyFont="1" applyFill="1" applyBorder="1" applyAlignment="1">
      <alignment horizontal="left"/>
    </xf>
    <xf numFmtId="0" fontId="0" fillId="0" borderId="0" xfId="0" applyAlignment="1">
      <alignment horizontal="center"/>
    </xf>
    <xf numFmtId="177" fontId="0" fillId="0" borderId="0" xfId="0" applyNumberFormat="1"/>
    <xf numFmtId="0" fontId="0" fillId="0" borderId="0" xfId="0" applyAlignment="1">
      <alignment horizontal="right" vertical="center"/>
    </xf>
    <xf numFmtId="178" fontId="0" fillId="0" borderId="0" xfId="0" applyNumberFormat="1"/>
    <xf numFmtId="179" fontId="0" fillId="0" borderId="0" xfId="0" applyNumberFormat="1"/>
    <xf numFmtId="180" fontId="0" fillId="0" borderId="0" xfId="0" applyNumberFormat="1"/>
    <xf numFmtId="181" fontId="0" fillId="0" borderId="0" xfId="0" applyNumberFormat="1"/>
    <xf numFmtId="183" fontId="0" fillId="0" borderId="0" xfId="0" applyNumberFormat="1"/>
    <xf numFmtId="185" fontId="0" fillId="0" borderId="0" xfId="0" applyNumberFormat="1"/>
    <xf numFmtId="0" fontId="16" fillId="9" borderId="20" xfId="4" applyFont="1" applyFill="1" applyBorder="1" applyAlignment="1">
      <alignment horizontal="center"/>
    </xf>
    <xf numFmtId="0" fontId="16" fillId="9" borderId="21" xfId="4" applyFont="1" applyFill="1" applyBorder="1" applyAlignment="1">
      <alignment horizontal="center"/>
    </xf>
    <xf numFmtId="0" fontId="16" fillId="9" borderId="22" xfId="4" applyFont="1" applyFill="1" applyBorder="1" applyAlignment="1">
      <alignment horizontal="center"/>
    </xf>
    <xf numFmtId="0" fontId="12" fillId="3" borderId="0" xfId="0" applyFont="1" applyFill="1" applyAlignment="1">
      <alignment horizontal="center"/>
    </xf>
    <xf numFmtId="0" fontId="17" fillId="3" borderId="0" xfId="0" applyFont="1" applyFill="1" applyAlignment="1">
      <alignment vertical="top" wrapText="1"/>
    </xf>
    <xf numFmtId="0" fontId="17" fillId="3" borderId="0" xfId="0" applyFont="1" applyFill="1" applyAlignment="1">
      <alignment horizontal="center" vertical="top" wrapText="1"/>
    </xf>
    <xf numFmtId="2" fontId="12" fillId="3" borderId="0" xfId="0" applyNumberFormat="1" applyFont="1" applyFill="1" applyAlignment="1">
      <alignment horizontal="center"/>
    </xf>
    <xf numFmtId="0" fontId="12" fillId="0" borderId="0" xfId="0" applyFont="1"/>
    <xf numFmtId="0" fontId="12" fillId="0" borderId="0" xfId="0" applyFont="1" applyAlignment="1">
      <alignment horizontal="center"/>
    </xf>
    <xf numFmtId="0" fontId="17" fillId="0" borderId="0" xfId="0" applyFont="1" applyAlignment="1">
      <alignment vertical="top" wrapText="1"/>
    </xf>
    <xf numFmtId="0" fontId="17" fillId="0" borderId="0" xfId="0" applyFont="1" applyAlignment="1">
      <alignment horizontal="center" vertical="top" wrapText="1"/>
    </xf>
    <xf numFmtId="2" fontId="12" fillId="0" borderId="0" xfId="0" applyNumberFormat="1" applyFont="1" applyAlignment="1">
      <alignment horizontal="center"/>
    </xf>
    <xf numFmtId="0" fontId="13" fillId="9" borderId="15" xfId="4" applyFont="1" applyFill="1" applyBorder="1" applyAlignment="1"/>
    <xf numFmtId="0" fontId="13" fillId="9" borderId="16" xfId="4" applyFont="1" applyFill="1" applyBorder="1" applyAlignment="1"/>
    <xf numFmtId="0" fontId="13" fillId="9" borderId="17" xfId="4" applyFont="1" applyFill="1" applyBorder="1" applyAlignment="1"/>
    <xf numFmtId="0" fontId="14" fillId="9" borderId="18" xfId="4" applyFont="1" applyFill="1" applyBorder="1" applyAlignment="1">
      <alignment horizontal="centerContinuous"/>
    </xf>
    <xf numFmtId="0" fontId="14" fillId="9" borderId="0" xfId="4" applyFont="1" applyFill="1" applyBorder="1" applyAlignment="1">
      <alignment horizontal="centerContinuous"/>
    </xf>
    <xf numFmtId="0" fontId="14" fillId="9" borderId="19" xfId="4" applyFont="1" applyFill="1" applyBorder="1" applyAlignment="1">
      <alignment horizontal="centerContinuous"/>
    </xf>
    <xf numFmtId="0" fontId="15" fillId="9" borderId="18" xfId="4" applyFont="1" applyFill="1" applyBorder="1" applyAlignment="1">
      <alignment horizontal="centerContinuous"/>
    </xf>
    <xf numFmtId="0" fontId="15" fillId="9" borderId="0" xfId="4" applyFont="1" applyFill="1" applyBorder="1" applyAlignment="1">
      <alignment horizontal="centerContinuous"/>
    </xf>
    <xf numFmtId="0" fontId="15" fillId="9" borderId="19" xfId="4" applyFont="1" applyFill="1" applyBorder="1" applyAlignment="1">
      <alignment horizontal="centerContinuous"/>
    </xf>
    <xf numFmtId="188" fontId="5" fillId="4" borderId="11" xfId="0" applyNumberFormat="1" applyFont="1" applyFill="1" applyBorder="1" applyAlignment="1">
      <alignment horizontal="left"/>
    </xf>
    <xf numFmtId="189" fontId="0" fillId="0" borderId="0" xfId="0" applyNumberFormat="1"/>
    <xf numFmtId="190" fontId="0" fillId="0" borderId="0" xfId="0" applyNumberFormat="1"/>
    <xf numFmtId="0" fontId="16" fillId="9" borderId="0" xfId="4" applyFont="1" applyFill="1" applyBorder="1" applyAlignment="1">
      <alignment horizontal="center" vertical="center"/>
    </xf>
    <xf numFmtId="0" fontId="12" fillId="3" borderId="23" xfId="0" applyFont="1" applyFill="1" applyBorder="1" applyAlignment="1">
      <alignment horizontal="center" vertical="center"/>
    </xf>
    <xf numFmtId="0" fontId="17" fillId="3" borderId="23" xfId="0" applyFont="1" applyFill="1" applyBorder="1" applyAlignment="1">
      <alignment horizontal="left" vertical="center" wrapText="1"/>
    </xf>
    <xf numFmtId="0" fontId="17" fillId="3" borderId="23" xfId="0" applyFont="1" applyFill="1" applyBorder="1" applyAlignment="1">
      <alignment horizontal="center" vertical="center" wrapText="1"/>
    </xf>
    <xf numFmtId="189" fontId="12" fillId="3" borderId="23" xfId="0" applyNumberFormat="1" applyFont="1" applyFill="1" applyBorder="1" applyAlignment="1">
      <alignment horizontal="center" vertical="center"/>
    </xf>
    <xf numFmtId="0" fontId="12" fillId="0" borderId="23" xfId="0" applyFont="1" applyBorder="1" applyAlignment="1">
      <alignment horizontal="center" vertical="center"/>
    </xf>
    <xf numFmtId="0" fontId="17" fillId="0" borderId="23" xfId="0" applyFont="1" applyBorder="1" applyAlignment="1">
      <alignment horizontal="left" vertical="center" wrapText="1"/>
    </xf>
    <xf numFmtId="0" fontId="17" fillId="0" borderId="23" xfId="0" applyFont="1" applyBorder="1" applyAlignment="1">
      <alignment horizontal="center" vertical="center" wrapText="1"/>
    </xf>
    <xf numFmtId="189" fontId="12" fillId="0" borderId="23" xfId="0" applyNumberFormat="1" applyFont="1" applyBorder="1" applyAlignment="1">
      <alignment horizontal="center" vertical="center"/>
    </xf>
    <xf numFmtId="190" fontId="17" fillId="0" borderId="23" xfId="0" applyNumberFormat="1" applyFont="1" applyBorder="1" applyAlignment="1">
      <alignment horizontal="center" vertical="center" wrapText="1"/>
    </xf>
    <xf numFmtId="190" fontId="17" fillId="3" borderId="23" xfId="0" applyNumberFormat="1" applyFont="1" applyFill="1" applyBorder="1" applyAlignment="1">
      <alignment horizontal="center" vertical="center" wrapText="1"/>
    </xf>
    <xf numFmtId="0" fontId="0" fillId="0" borderId="0" xfId="0" applyAlignment="1">
      <alignment horizontal="left"/>
    </xf>
    <xf numFmtId="0" fontId="13" fillId="9" borderId="18" xfId="4" applyFont="1" applyFill="1" applyBorder="1" applyAlignment="1"/>
    <xf numFmtId="0" fontId="13" fillId="9" borderId="0" xfId="4" applyFont="1" applyFill="1" applyBorder="1" applyAlignment="1"/>
    <xf numFmtId="0" fontId="14" fillId="9" borderId="18" xfId="4" applyFont="1" applyFill="1" applyBorder="1" applyAlignment="1"/>
    <xf numFmtId="0" fontId="14" fillId="9" borderId="0" xfId="4" applyFont="1" applyFill="1" applyBorder="1" applyAlignment="1"/>
    <xf numFmtId="0" fontId="15" fillId="9" borderId="18" xfId="4" applyFont="1" applyFill="1" applyBorder="1" applyAlignment="1"/>
    <xf numFmtId="0" fontId="15" fillId="9" borderId="0" xfId="4" applyFont="1" applyFill="1" applyBorder="1" applyAlignment="1"/>
    <xf numFmtId="191" fontId="0" fillId="0" borderId="0" xfId="0" applyNumberFormat="1"/>
    <xf numFmtId="191" fontId="0" fillId="0" borderId="0" xfId="0" quotePrefix="1" applyNumberFormat="1"/>
    <xf numFmtId="188" fontId="0" fillId="0" borderId="0" xfId="0" applyNumberFormat="1"/>
    <xf numFmtId="0" fontId="0" fillId="0" borderId="3" xfId="0" applyBorder="1" applyAlignment="1">
      <alignment horizontal="center" wrapText="1"/>
    </xf>
    <xf numFmtId="172" fontId="0" fillId="0" borderId="3" xfId="0" applyNumberFormat="1" applyBorder="1"/>
    <xf numFmtId="173" fontId="0" fillId="0" borderId="3" xfId="0" applyNumberFormat="1" applyBorder="1"/>
    <xf numFmtId="168" fontId="0" fillId="0" borderId="1" xfId="2" applyNumberFormat="1" applyFont="1" applyBorder="1"/>
    <xf numFmtId="10" fontId="0" fillId="0" borderId="1" xfId="0" applyNumberFormat="1" applyBorder="1"/>
    <xf numFmtId="9" fontId="0" fillId="0" borderId="1" xfId="3" applyFont="1" applyBorder="1"/>
    <xf numFmtId="164" fontId="0" fillId="0" borderId="8" xfId="2" applyFont="1"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10" fontId="0" fillId="0" borderId="16" xfId="0" applyNumberFormat="1" applyBorder="1"/>
    <xf numFmtId="10" fontId="0" fillId="0" borderId="0" xfId="3" applyNumberFormat="1" applyFont="1" applyBorder="1"/>
    <xf numFmtId="10" fontId="0" fillId="0" borderId="21" xfId="3" applyNumberFormat="1" applyFont="1" applyBorder="1"/>
    <xf numFmtId="10" fontId="0" fillId="0" borderId="21" xfId="0" applyNumberFormat="1" applyBorder="1"/>
    <xf numFmtId="0" fontId="0" fillId="0" borderId="22" xfId="0" applyBorder="1"/>
    <xf numFmtId="0" fontId="18" fillId="0" borderId="17" xfId="0" applyFont="1" applyBorder="1" applyAlignment="1">
      <alignment horizontal="right"/>
    </xf>
    <xf numFmtId="0" fontId="18" fillId="0" borderId="15" xfId="0" applyFont="1" applyBorder="1"/>
    <xf numFmtId="0" fontId="0" fillId="0" borderId="0" xfId="0" applyAlignment="1">
      <alignment horizontal="right" vertical="center" wrapText="1"/>
    </xf>
    <xf numFmtId="173" fontId="0" fillId="0" borderId="4" xfId="0" applyNumberFormat="1" applyBorder="1"/>
    <xf numFmtId="0" fontId="0" fillId="2" borderId="4" xfId="0" applyFill="1" applyBorder="1"/>
    <xf numFmtId="0" fontId="0" fillId="0" borderId="7" xfId="0" applyBorder="1" applyAlignment="1">
      <alignment horizontal="right"/>
    </xf>
    <xf numFmtId="169" fontId="0" fillId="0" borderId="0" xfId="0" applyNumberFormat="1" applyAlignment="1">
      <alignment horizontal="center" vertical="center" wrapText="1"/>
    </xf>
    <xf numFmtId="2" fontId="0" fillId="0" borderId="18" xfId="0" applyNumberFormat="1" applyBorder="1"/>
    <xf numFmtId="2" fontId="0" fillId="0" borderId="20" xfId="0" applyNumberFormat="1" applyBorder="1"/>
    <xf numFmtId="49" fontId="5" fillId="4" borderId="11" xfId="0" applyNumberFormat="1" applyFont="1" applyFill="1" applyBorder="1" applyAlignment="1">
      <alignment horizontal="left"/>
    </xf>
    <xf numFmtId="189" fontId="5" fillId="7" borderId="11" xfId="0" applyNumberFormat="1" applyFont="1" applyFill="1" applyBorder="1" applyAlignment="1">
      <alignment horizontal="left"/>
    </xf>
    <xf numFmtId="192" fontId="0" fillId="0" borderId="0" xfId="0" applyNumberFormat="1"/>
    <xf numFmtId="0" fontId="0" fillId="0" borderId="0" xfId="0" quotePrefix="1"/>
    <xf numFmtId="193" fontId="0" fillId="0" borderId="0" xfId="0" applyNumberFormat="1"/>
    <xf numFmtId="0" fontId="0" fillId="0" borderId="0" xfId="3" applyNumberFormat="1" applyFont="1"/>
    <xf numFmtId="0" fontId="19" fillId="0" borderId="0" xfId="0" applyFont="1"/>
    <xf numFmtId="14" fontId="0" fillId="0" borderId="0" xfId="0" applyNumberFormat="1"/>
    <xf numFmtId="0" fontId="0" fillId="10" borderId="0" xfId="0" applyFill="1"/>
    <xf numFmtId="0" fontId="0" fillId="0" borderId="0" xfId="0" applyAlignment="1">
      <alignment wrapText="1"/>
    </xf>
    <xf numFmtId="202" fontId="0" fillId="0" borderId="0" xfId="0" applyNumberFormat="1" applyAlignment="1">
      <alignment horizontal="left"/>
    </xf>
    <xf numFmtId="14" fontId="0" fillId="0" borderId="0" xfId="0" applyNumberFormat="1" applyAlignment="1">
      <alignment horizontal="left"/>
    </xf>
    <xf numFmtId="195" fontId="0" fillId="0" borderId="0" xfId="0" applyNumberFormat="1" applyAlignment="1">
      <alignment horizontal="left"/>
    </xf>
    <xf numFmtId="49" fontId="0" fillId="0" borderId="0" xfId="0" applyNumberFormat="1" applyAlignment="1">
      <alignment horizontal="left"/>
    </xf>
    <xf numFmtId="176" fontId="0" fillId="0" borderId="0" xfId="0" applyNumberFormat="1" applyAlignment="1">
      <alignment horizontal="left"/>
    </xf>
    <xf numFmtId="0" fontId="0" fillId="0" borderId="0" xfId="0" applyAlignment="1">
      <alignment horizontal="center" vertical="center" textRotation="90"/>
    </xf>
    <xf numFmtId="0" fontId="0" fillId="0" borderId="0" xfId="0" applyAlignment="1">
      <alignment vertical="center" textRotation="90"/>
    </xf>
    <xf numFmtId="174" fontId="0" fillId="0" borderId="0" xfId="0" applyNumberFormat="1"/>
    <xf numFmtId="175" fontId="0" fillId="0" borderId="0" xfId="0" applyNumberFormat="1"/>
    <xf numFmtId="184" fontId="0" fillId="0" borderId="0" xfId="0" applyNumberFormat="1"/>
    <xf numFmtId="188" fontId="0" fillId="0" borderId="0" xfId="0" applyNumberFormat="1" applyAlignment="1">
      <alignment horizontal="left"/>
    </xf>
    <xf numFmtId="2" fontId="0" fillId="0" borderId="0" xfId="0" applyNumberFormat="1" applyAlignment="1">
      <alignment horizontal="left"/>
    </xf>
    <xf numFmtId="180" fontId="0" fillId="0" borderId="0" xfId="0" applyNumberFormat="1" applyAlignment="1">
      <alignment horizontal="left"/>
    </xf>
    <xf numFmtId="179" fontId="0" fillId="0" borderId="0" xfId="0" applyNumberFormat="1" applyAlignment="1">
      <alignment horizontal="left"/>
    </xf>
    <xf numFmtId="9" fontId="0" fillId="0" borderId="0" xfId="0" applyNumberFormat="1" applyAlignment="1">
      <alignment horizontal="left"/>
    </xf>
    <xf numFmtId="10" fontId="0" fillId="0" borderId="0" xfId="0" applyNumberFormat="1" applyAlignment="1">
      <alignment horizontal="left"/>
    </xf>
    <xf numFmtId="203" fontId="0" fillId="0" borderId="0" xfId="0" applyNumberFormat="1" applyAlignment="1">
      <alignment horizontal="left"/>
    </xf>
    <xf numFmtId="204" fontId="0" fillId="0" borderId="0" xfId="0" applyNumberFormat="1" applyAlignment="1">
      <alignment horizontal="center"/>
    </xf>
    <xf numFmtId="196" fontId="0" fillId="0" borderId="0" xfId="0" applyNumberFormat="1"/>
    <xf numFmtId="196" fontId="0" fillId="0" borderId="0" xfId="0" applyNumberFormat="1" applyAlignment="1">
      <alignment horizontal="left"/>
    </xf>
    <xf numFmtId="197" fontId="0" fillId="0" borderId="0" xfId="0" applyNumberFormat="1"/>
    <xf numFmtId="164" fontId="0" fillId="0" borderId="0" xfId="0" applyNumberFormat="1" applyAlignment="1">
      <alignment horizontal="left"/>
    </xf>
    <xf numFmtId="167" fontId="0" fillId="0" borderId="0" xfId="0" applyNumberFormat="1"/>
    <xf numFmtId="165" fontId="0" fillId="0" borderId="0" xfId="0" applyNumberFormat="1" applyAlignment="1">
      <alignment horizontal="left"/>
    </xf>
    <xf numFmtId="167" fontId="0" fillId="0" borderId="0" xfId="0" applyNumberFormat="1" applyAlignment="1">
      <alignment horizontal="left" indent="2"/>
    </xf>
    <xf numFmtId="205" fontId="0" fillId="0" borderId="0" xfId="0" applyNumberFormat="1"/>
    <xf numFmtId="183" fontId="0" fillId="0" borderId="0" xfId="0" applyNumberFormat="1" applyAlignment="1">
      <alignment horizontal="left"/>
    </xf>
    <xf numFmtId="171" fontId="0" fillId="0" borderId="0" xfId="0" applyNumberFormat="1"/>
    <xf numFmtId="164" fontId="0" fillId="0" borderId="0" xfId="2" applyFont="1" applyAlignment="1">
      <alignment horizontal="center" vertical="center" wrapText="1"/>
    </xf>
    <xf numFmtId="164" fontId="0" fillId="0" borderId="0" xfId="3" applyNumberFormat="1" applyFont="1"/>
    <xf numFmtId="0" fontId="0" fillId="0" borderId="23" xfId="0" applyBorder="1" applyAlignment="1">
      <alignment horizontal="center" vertical="center" wrapText="1"/>
    </xf>
    <xf numFmtId="0" fontId="0" fillId="0" borderId="23" xfId="0" applyBorder="1" applyAlignment="1">
      <alignment horizontal="center" wrapText="1"/>
    </xf>
    <xf numFmtId="164" fontId="0" fillId="0" borderId="23" xfId="0" applyNumberFormat="1" applyBorder="1" applyAlignment="1">
      <alignment horizontal="center"/>
    </xf>
    <xf numFmtId="164" fontId="0" fillId="0" borderId="23" xfId="0" applyNumberFormat="1" applyBorder="1"/>
    <xf numFmtId="206" fontId="0" fillId="0" borderId="23" xfId="3" applyNumberFormat="1" applyFont="1" applyBorder="1" applyAlignment="1">
      <alignment horizontal="center"/>
    </xf>
    <xf numFmtId="206" fontId="0" fillId="0" borderId="0" xfId="0" applyNumberFormat="1"/>
    <xf numFmtId="165" fontId="20" fillId="0" borderId="0" xfId="0" applyNumberFormat="1" applyFont="1"/>
    <xf numFmtId="171" fontId="0" fillId="0" borderId="3" xfId="0" applyNumberFormat="1" applyBorder="1"/>
    <xf numFmtId="171" fontId="0" fillId="0" borderId="4" xfId="0" applyNumberFormat="1" applyBorder="1"/>
    <xf numFmtId="10" fontId="0" fillId="0" borderId="1" xfId="3" applyNumberFormat="1" applyFont="1" applyBorder="1"/>
    <xf numFmtId="10" fontId="0" fillId="0" borderId="8" xfId="3" applyNumberFormat="1" applyFont="1" applyBorder="1"/>
    <xf numFmtId="10" fontId="0" fillId="0" borderId="3" xfId="3" applyNumberFormat="1" applyFont="1" applyBorder="1"/>
    <xf numFmtId="206" fontId="0" fillId="0" borderId="0" xfId="3" applyNumberFormat="1" applyFont="1"/>
    <xf numFmtId="178" fontId="0" fillId="0" borderId="0" xfId="0" applyNumberFormat="1" applyAlignment="1">
      <alignment horizontal="left"/>
    </xf>
    <xf numFmtId="207" fontId="0" fillId="0" borderId="0" xfId="0" applyNumberFormat="1" applyAlignment="1">
      <alignment horizontal="left"/>
    </xf>
    <xf numFmtId="193" fontId="0" fillId="0" borderId="0" xfId="0" applyNumberFormat="1" applyAlignment="1">
      <alignment horizontal="left"/>
    </xf>
    <xf numFmtId="167" fontId="0" fillId="0" borderId="0" xfId="0" applyNumberFormat="1" applyAlignment="1">
      <alignment horizontal="left"/>
    </xf>
    <xf numFmtId="165" fontId="0" fillId="0" borderId="0" xfId="2" applyNumberFormat="1" applyFont="1"/>
    <xf numFmtId="0" fontId="0" fillId="0" borderId="26" xfId="0" applyBorder="1"/>
    <xf numFmtId="0" fontId="5" fillId="0" borderId="27" xfId="0" applyFont="1" applyBorder="1"/>
    <xf numFmtId="0" fontId="0" fillId="0" borderId="27" xfId="0" applyBorder="1"/>
    <xf numFmtId="0" fontId="5" fillId="0" borderId="28" xfId="0" applyFont="1" applyBorder="1"/>
    <xf numFmtId="0" fontId="0" fillId="0" borderId="28" xfId="0" applyBorder="1"/>
    <xf numFmtId="0" fontId="0" fillId="0" borderId="0" xfId="0" applyAlignment="1">
      <alignment horizontal="justify"/>
    </xf>
    <xf numFmtId="0" fontId="24" fillId="0" borderId="0" xfId="0" applyFont="1"/>
    <xf numFmtId="208" fontId="0" fillId="0" borderId="0" xfId="0" applyNumberFormat="1"/>
    <xf numFmtId="0" fontId="0" fillId="0" borderId="0" xfId="0" applyAlignment="1">
      <alignment horizontal="centerContinuous"/>
    </xf>
    <xf numFmtId="0" fontId="27" fillId="0" borderId="0" xfId="0" applyFont="1" applyAlignment="1">
      <alignment horizontal="centerContinuous"/>
    </xf>
    <xf numFmtId="178" fontId="0" fillId="0" borderId="0" xfId="0" applyNumberFormat="1" applyAlignment="1">
      <alignment horizontal="center"/>
    </xf>
    <xf numFmtId="0" fontId="30" fillId="0" borderId="0" xfId="0" applyFont="1" applyAlignment="1">
      <alignment horizontal="right"/>
    </xf>
    <xf numFmtId="0" fontId="31" fillId="0" borderId="0" xfId="0" applyFont="1"/>
    <xf numFmtId="210" fontId="0" fillId="0" borderId="0" xfId="2" applyNumberFormat="1" applyFont="1" applyAlignment="1">
      <alignment horizontal="left"/>
    </xf>
    <xf numFmtId="0" fontId="26" fillId="0" borderId="0" xfId="0" applyFont="1" applyAlignment="1">
      <alignment horizontal="centerContinuous" vertical="center"/>
    </xf>
    <xf numFmtId="0" fontId="0" fillId="0" borderId="29" xfId="0" applyBorder="1" applyAlignment="1">
      <alignment horizontal="center" vertical="center"/>
    </xf>
    <xf numFmtId="0" fontId="0" fillId="0" borderId="29" xfId="0" applyBorder="1" applyAlignment="1">
      <alignment horizontal="center" vertical="center" wrapText="1"/>
    </xf>
    <xf numFmtId="0" fontId="0" fillId="0" borderId="30" xfId="0" applyBorder="1" applyAlignment="1">
      <alignment horizontal="center" vertical="center"/>
    </xf>
    <xf numFmtId="0" fontId="0" fillId="0" borderId="31" xfId="0" applyBorder="1" applyAlignment="1">
      <alignment horizontal="center" vertical="center"/>
    </xf>
    <xf numFmtId="164" fontId="0" fillId="0" borderId="31" xfId="2" applyFont="1" applyBorder="1" applyAlignment="1">
      <alignment horizontal="center" vertical="center"/>
    </xf>
    <xf numFmtId="0" fontId="0" fillId="0" borderId="33" xfId="0" applyBorder="1" applyAlignment="1">
      <alignment horizontal="center" vertical="center"/>
    </xf>
    <xf numFmtId="0" fontId="0" fillId="0" borderId="34" xfId="0" applyBorder="1" applyAlignment="1">
      <alignment horizontal="center" vertical="center"/>
    </xf>
    <xf numFmtId="164" fontId="0" fillId="0" borderId="34" xfId="2" applyFont="1" applyBorder="1" applyAlignment="1">
      <alignment horizontal="center" vertical="center"/>
    </xf>
    <xf numFmtId="1" fontId="0" fillId="0" borderId="34" xfId="0" applyNumberFormat="1"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164" fontId="0" fillId="0" borderId="37" xfId="2" applyFont="1" applyBorder="1" applyAlignment="1">
      <alignment horizontal="center" vertical="center"/>
    </xf>
    <xf numFmtId="1" fontId="0" fillId="0" borderId="37" xfId="0" applyNumberFormat="1" applyBorder="1" applyAlignment="1">
      <alignment horizontal="center" vertical="center"/>
    </xf>
    <xf numFmtId="164" fontId="0" fillId="0" borderId="38" xfId="2" applyFont="1" applyBorder="1" applyAlignment="1">
      <alignment horizontal="center" vertical="center"/>
    </xf>
    <xf numFmtId="0" fontId="0" fillId="0" borderId="39" xfId="0" applyBorder="1" applyAlignment="1">
      <alignment horizontal="center" vertical="center"/>
    </xf>
    <xf numFmtId="0" fontId="0" fillId="0" borderId="40" xfId="0" applyBorder="1" applyAlignment="1">
      <alignment horizontal="center" vertical="center"/>
    </xf>
    <xf numFmtId="1" fontId="0" fillId="0" borderId="39" xfId="0" applyNumberFormat="1" applyBorder="1" applyAlignment="1">
      <alignment horizontal="center" vertical="center"/>
    </xf>
    <xf numFmtId="1" fontId="0" fillId="0" borderId="40" xfId="0" applyNumberFormat="1" applyBorder="1" applyAlignment="1">
      <alignment horizontal="center" vertical="center"/>
    </xf>
    <xf numFmtId="0" fontId="0" fillId="0" borderId="41" xfId="0" applyBorder="1"/>
    <xf numFmtId="0" fontId="0" fillId="0" borderId="42" xfId="0" applyBorder="1"/>
    <xf numFmtId="0" fontId="0" fillId="0" borderId="41" xfId="0" applyBorder="1" applyAlignment="1">
      <alignment horizontal="left" indent="1"/>
    </xf>
    <xf numFmtId="0" fontId="0" fillId="0" borderId="43" xfId="0" applyBorder="1"/>
    <xf numFmtId="181" fontId="0" fillId="0" borderId="0" xfId="0" applyNumberFormat="1" applyAlignment="1">
      <alignment horizontal="center"/>
    </xf>
    <xf numFmtId="10" fontId="0" fillId="0" borderId="0" xfId="3" applyNumberFormat="1" applyFont="1" applyAlignment="1">
      <alignment horizontal="center"/>
    </xf>
    <xf numFmtId="179" fontId="0" fillId="0" borderId="0" xfId="0" applyNumberFormat="1" applyAlignment="1">
      <alignment horizontal="center"/>
    </xf>
    <xf numFmtId="180" fontId="0" fillId="0" borderId="0" xfId="0" applyNumberFormat="1" applyAlignment="1">
      <alignment horizontal="center"/>
    </xf>
    <xf numFmtId="191" fontId="0" fillId="0" borderId="0" xfId="0" applyNumberFormat="1" applyAlignment="1">
      <alignment horizontal="center"/>
    </xf>
    <xf numFmtId="183" fontId="0" fillId="0" borderId="0" xfId="0" applyNumberFormat="1" applyAlignment="1">
      <alignment horizontal="center"/>
    </xf>
    <xf numFmtId="182" fontId="0" fillId="0" borderId="0" xfId="0" applyNumberFormat="1" applyAlignment="1">
      <alignment horizontal="center"/>
    </xf>
    <xf numFmtId="0" fontId="33" fillId="0" borderId="0" xfId="0" applyFont="1" applyAlignment="1">
      <alignment horizontal="center"/>
    </xf>
    <xf numFmtId="0" fontId="34" fillId="0" borderId="0" xfId="0" applyFont="1"/>
    <xf numFmtId="205" fontId="0" fillId="0" borderId="42" xfId="0" applyNumberFormat="1" applyBorder="1"/>
    <xf numFmtId="212" fontId="0" fillId="0" borderId="0" xfId="0" applyNumberFormat="1"/>
    <xf numFmtId="198" fontId="0" fillId="0" borderId="0" xfId="0" applyNumberFormat="1" applyAlignment="1">
      <alignment horizontal="left"/>
    </xf>
    <xf numFmtId="182" fontId="0" fillId="0" borderId="0" xfId="0" applyNumberFormat="1" applyAlignment="1">
      <alignment horizontal="left"/>
    </xf>
    <xf numFmtId="178" fontId="25" fillId="0" borderId="0" xfId="0" applyNumberFormat="1" applyFont="1"/>
    <xf numFmtId="0" fontId="0" fillId="10" borderId="0" xfId="0" applyFill="1" applyAlignment="1">
      <alignment horizontal="left"/>
    </xf>
    <xf numFmtId="10" fontId="0" fillId="10" borderId="0" xfId="3" applyNumberFormat="1" applyFont="1" applyFill="1"/>
    <xf numFmtId="0" fontId="0" fillId="0" borderId="0" xfId="3" applyNumberFormat="1" applyFont="1" applyAlignment="1">
      <alignment horizontal="right"/>
    </xf>
    <xf numFmtId="0" fontId="0" fillId="0" borderId="41" xfId="0" applyBorder="1" applyAlignment="1">
      <alignment horizontal="right"/>
    </xf>
    <xf numFmtId="0" fontId="0" fillId="0" borderId="0" xfId="0" applyAlignment="1">
      <alignment horizontal="left" indent="1"/>
    </xf>
    <xf numFmtId="0" fontId="0" fillId="0" borderId="5" xfId="0" applyBorder="1" applyAlignment="1">
      <alignment horizontal="right"/>
    </xf>
    <xf numFmtId="164" fontId="0" fillId="0" borderId="6" xfId="0" applyNumberFormat="1" applyBorder="1"/>
    <xf numFmtId="0" fontId="19" fillId="0" borderId="7" xfId="0" applyFont="1" applyBorder="1"/>
    <xf numFmtId="164" fontId="19" fillId="0" borderId="8" xfId="0" applyNumberFormat="1" applyFont="1" applyBorder="1"/>
    <xf numFmtId="0" fontId="19" fillId="0" borderId="2" xfId="0" applyFont="1" applyBorder="1"/>
    <xf numFmtId="167" fontId="0" fillId="0" borderId="5" xfId="3" applyNumberFormat="1" applyFont="1" applyBorder="1"/>
    <xf numFmtId="164" fontId="0" fillId="0" borderId="8" xfId="0" applyNumberFormat="1" applyBorder="1"/>
    <xf numFmtId="176" fontId="0" fillId="0" borderId="0" xfId="0" applyNumberFormat="1"/>
    <xf numFmtId="0" fontId="36" fillId="0" borderId="0" xfId="0" applyFont="1" applyAlignment="1">
      <alignment horizontal="right"/>
    </xf>
    <xf numFmtId="0" fontId="37" fillId="0" borderId="0" xfId="0" applyFont="1"/>
    <xf numFmtId="0" fontId="39" fillId="0" borderId="0" xfId="0" applyFont="1"/>
    <xf numFmtId="0" fontId="40" fillId="0" borderId="0" xfId="0" applyFont="1" applyAlignment="1">
      <alignment horizontal="right"/>
    </xf>
    <xf numFmtId="0" fontId="0" fillId="0" borderId="0" xfId="0" applyAlignment="1">
      <alignment vertical="center"/>
    </xf>
    <xf numFmtId="213" fontId="5" fillId="4" borderId="11" xfId="0" applyNumberFormat="1" applyFont="1" applyFill="1" applyBorder="1" applyAlignment="1">
      <alignment horizontal="left"/>
    </xf>
    <xf numFmtId="164" fontId="0" fillId="5" borderId="6" xfId="0" applyNumberFormat="1" applyFill="1" applyBorder="1"/>
    <xf numFmtId="164" fontId="0" fillId="5" borderId="6" xfId="2" applyFont="1" applyFill="1" applyBorder="1"/>
    <xf numFmtId="164" fontId="19" fillId="5" borderId="6" xfId="0" applyNumberFormat="1" applyFont="1" applyFill="1" applyBorder="1"/>
    <xf numFmtId="164" fontId="0" fillId="11" borderId="6" xfId="0" applyNumberFormat="1" applyFill="1" applyBorder="1"/>
    <xf numFmtId="0" fontId="0" fillId="0" borderId="44" xfId="0" applyBorder="1"/>
    <xf numFmtId="0" fontId="0" fillId="0" borderId="45" xfId="0" applyBorder="1"/>
    <xf numFmtId="0" fontId="0" fillId="0" borderId="46" xfId="0" applyBorder="1"/>
    <xf numFmtId="181" fontId="0" fillId="0" borderId="45" xfId="0" applyNumberFormat="1" applyBorder="1" applyAlignment="1">
      <alignment horizontal="center"/>
    </xf>
    <xf numFmtId="10" fontId="0" fillId="0" borderId="45" xfId="0" applyNumberFormat="1" applyBorder="1" applyAlignment="1">
      <alignment horizontal="center"/>
    </xf>
    <xf numFmtId="0" fontId="0" fillId="0" borderId="45" xfId="0" applyBorder="1" applyAlignment="1">
      <alignment horizontal="center"/>
    </xf>
    <xf numFmtId="179" fontId="0" fillId="0" borderId="45" xfId="0" applyNumberFormat="1" applyBorder="1" applyAlignment="1">
      <alignment horizontal="center"/>
    </xf>
    <xf numFmtId="180" fontId="0" fillId="0" borderId="45" xfId="0" applyNumberFormat="1" applyBorder="1" applyAlignment="1">
      <alignment horizontal="center"/>
    </xf>
    <xf numFmtId="194" fontId="0" fillId="0" borderId="45" xfId="0" applyNumberFormat="1" applyBorder="1" applyAlignment="1">
      <alignment horizontal="center"/>
    </xf>
    <xf numFmtId="191" fontId="0" fillId="0" borderId="45" xfId="0" applyNumberFormat="1" applyBorder="1" applyAlignment="1">
      <alignment horizontal="center"/>
    </xf>
    <xf numFmtId="183" fontId="0" fillId="0" borderId="45" xfId="0" applyNumberFormat="1" applyBorder="1" applyAlignment="1">
      <alignment horizontal="center"/>
    </xf>
    <xf numFmtId="182" fontId="0" fillId="0" borderId="45" xfId="0" applyNumberFormat="1" applyBorder="1" applyAlignment="1">
      <alignment horizontal="center"/>
    </xf>
    <xf numFmtId="178" fontId="0" fillId="0" borderId="45" xfId="0" applyNumberFormat="1" applyBorder="1" applyAlignment="1">
      <alignment horizontal="center"/>
    </xf>
    <xf numFmtId="10" fontId="0" fillId="0" borderId="45" xfId="0" applyNumberFormat="1" applyBorder="1" applyAlignment="1">
      <alignment horizontal="right" vertical="center"/>
    </xf>
    <xf numFmtId="0" fontId="0" fillId="0" borderId="45" xfId="0" applyBorder="1" applyAlignment="1">
      <alignment horizontal="right" vertical="center"/>
    </xf>
    <xf numFmtId="180" fontId="0" fillId="0" borderId="45" xfId="0" applyNumberFormat="1" applyBorder="1"/>
    <xf numFmtId="179" fontId="0" fillId="0" borderId="45" xfId="0" applyNumberFormat="1" applyBorder="1"/>
    <xf numFmtId="181" fontId="0" fillId="0" borderId="45" xfId="0" applyNumberFormat="1" applyBorder="1"/>
    <xf numFmtId="185" fontId="0" fillId="0" borderId="45" xfId="0" applyNumberFormat="1" applyBorder="1"/>
    <xf numFmtId="0" fontId="0" fillId="0" borderId="45" xfId="0" quotePrefix="1" applyBorder="1"/>
    <xf numFmtId="200" fontId="0" fillId="0" borderId="45" xfId="3" quotePrefix="1" applyNumberFormat="1" applyFont="1" applyBorder="1"/>
    <xf numFmtId="10" fontId="0" fillId="0" borderId="45" xfId="0" applyNumberFormat="1" applyBorder="1"/>
    <xf numFmtId="183" fontId="0" fillId="0" borderId="45" xfId="0" applyNumberFormat="1" applyBorder="1"/>
    <xf numFmtId="182" fontId="0" fillId="0" borderId="45" xfId="0" applyNumberFormat="1" applyBorder="1"/>
    <xf numFmtId="186" fontId="0" fillId="0" borderId="45" xfId="0" applyNumberFormat="1" applyBorder="1"/>
    <xf numFmtId="187" fontId="0" fillId="0" borderId="45" xfId="0" applyNumberFormat="1" applyBorder="1"/>
    <xf numFmtId="178" fontId="0" fillId="0" borderId="45" xfId="0" applyNumberFormat="1" applyBorder="1"/>
    <xf numFmtId="0" fontId="0" fillId="0" borderId="46" xfId="0" applyBorder="1" applyAlignment="1">
      <alignment horizontal="right" vertical="center"/>
    </xf>
    <xf numFmtId="0" fontId="19" fillId="0" borderId="0" xfId="0" applyFont="1" applyAlignment="1">
      <alignment horizontal="centerContinuous"/>
    </xf>
    <xf numFmtId="9" fontId="0" fillId="0" borderId="0" xfId="2" applyNumberFormat="1" applyFont="1"/>
    <xf numFmtId="164" fontId="0" fillId="0" borderId="0" xfId="2" applyFont="1" applyBorder="1"/>
    <xf numFmtId="164" fontId="0" fillId="0" borderId="1" xfId="0" applyNumberFormat="1" applyBorder="1"/>
    <xf numFmtId="0" fontId="0" fillId="0" borderId="13" xfId="0" applyBorder="1" applyAlignment="1">
      <alignment horizontal="centerContinuous"/>
    </xf>
    <xf numFmtId="0" fontId="0" fillId="0" borderId="14" xfId="0" applyBorder="1" applyAlignment="1">
      <alignment horizontal="centerContinuous"/>
    </xf>
    <xf numFmtId="0" fontId="19" fillId="0" borderId="12" xfId="0" applyFont="1" applyBorder="1" applyAlignment="1">
      <alignment horizontal="centerContinuous"/>
    </xf>
    <xf numFmtId="0" fontId="0" fillId="0" borderId="2" xfId="0" applyBorder="1" applyAlignment="1">
      <alignment horizontal="left"/>
    </xf>
    <xf numFmtId="0" fontId="0" fillId="0" borderId="5" xfId="0" applyBorder="1" applyAlignment="1">
      <alignment horizontal="left"/>
    </xf>
    <xf numFmtId="0" fontId="0" fillId="5" borderId="5" xfId="0" applyFill="1" applyBorder="1" applyAlignment="1">
      <alignment horizontal="left"/>
    </xf>
    <xf numFmtId="0" fontId="19" fillId="5" borderId="5" xfId="0" applyFont="1" applyFill="1" applyBorder="1" applyAlignment="1">
      <alignment horizontal="left"/>
    </xf>
    <xf numFmtId="0" fontId="0" fillId="11" borderId="5" xfId="0" applyFill="1" applyBorder="1" applyAlignment="1">
      <alignment horizontal="left"/>
    </xf>
    <xf numFmtId="0" fontId="19" fillId="0" borderId="7" xfId="0" applyFont="1" applyBorder="1" applyAlignment="1">
      <alignment horizontal="left"/>
    </xf>
    <xf numFmtId="9" fontId="0" fillId="0" borderId="6" xfId="0" applyNumberFormat="1" applyBorder="1" applyAlignment="1">
      <alignment horizontal="right"/>
    </xf>
    <xf numFmtId="164" fontId="0" fillId="2" borderId="6" xfId="0" applyNumberFormat="1" applyFill="1" applyBorder="1"/>
    <xf numFmtId="164" fontId="0" fillId="2" borderId="6" xfId="2" applyFont="1" applyFill="1" applyBorder="1" applyAlignment="1">
      <alignment horizontal="left"/>
    </xf>
    <xf numFmtId="164" fontId="0" fillId="0" borderId="4" xfId="0" applyNumberFormat="1" applyBorder="1"/>
    <xf numFmtId="0" fontId="0" fillId="0" borderId="24" xfId="0" applyBorder="1"/>
    <xf numFmtId="0" fontId="0" fillId="0" borderId="47" xfId="0" applyBorder="1"/>
    <xf numFmtId="0" fontId="0" fillId="0" borderId="25" xfId="0" applyBorder="1"/>
    <xf numFmtId="0" fontId="19" fillId="0" borderId="25" xfId="0" applyFont="1" applyBorder="1"/>
    <xf numFmtId="0" fontId="19" fillId="0" borderId="8" xfId="0" applyFont="1" applyBorder="1" applyAlignment="1">
      <alignment horizontal="right"/>
    </xf>
    <xf numFmtId="0" fontId="19" fillId="0" borderId="25" xfId="0" applyFont="1" applyBorder="1" applyAlignment="1">
      <alignment horizontal="right"/>
    </xf>
    <xf numFmtId="0" fontId="19" fillId="0" borderId="7" xfId="0" applyFont="1" applyBorder="1" applyAlignment="1">
      <alignment horizontal="centerContinuous"/>
    </xf>
    <xf numFmtId="0" fontId="0" fillId="0" borderId="8" xfId="0" applyBorder="1" applyAlignment="1">
      <alignment horizontal="centerContinuous"/>
    </xf>
    <xf numFmtId="3" fontId="0" fillId="0" borderId="0" xfId="0" applyNumberFormat="1" applyAlignment="1">
      <alignment horizontal="center"/>
    </xf>
    <xf numFmtId="199" fontId="0" fillId="0" borderId="0" xfId="0" applyNumberFormat="1" applyAlignment="1">
      <alignment horizontal="center"/>
    </xf>
    <xf numFmtId="201" fontId="0" fillId="0" borderId="0" xfId="0" applyNumberFormat="1"/>
    <xf numFmtId="0" fontId="1" fillId="0" borderId="0" xfId="1" applyFill="1"/>
    <xf numFmtId="1" fontId="0" fillId="0" borderId="0" xfId="0" applyNumberFormat="1" applyAlignment="1">
      <alignment horizontal="left"/>
    </xf>
    <xf numFmtId="0" fontId="0" fillId="7" borderId="0" xfId="0" applyFill="1" applyAlignment="1">
      <alignment horizontal="left"/>
    </xf>
    <xf numFmtId="195" fontId="0" fillId="7" borderId="0" xfId="0" applyNumberFormat="1" applyFill="1" applyAlignment="1">
      <alignment horizontal="left"/>
    </xf>
    <xf numFmtId="0" fontId="1" fillId="7" borderId="0" xfId="1" applyFill="1" applyAlignment="1">
      <alignment horizontal="left"/>
    </xf>
    <xf numFmtId="1" fontId="0" fillId="7" borderId="0" xfId="0" applyNumberFormat="1" applyFill="1" applyAlignment="1">
      <alignment horizontal="left"/>
    </xf>
    <xf numFmtId="208" fontId="0" fillId="0" borderId="0" xfId="0" applyNumberFormat="1" applyAlignment="1">
      <alignment horizontal="left"/>
    </xf>
    <xf numFmtId="214" fontId="0" fillId="0" borderId="0" xfId="0" applyNumberFormat="1"/>
    <xf numFmtId="178" fontId="25" fillId="0" borderId="0" xfId="0" applyNumberFormat="1" applyFont="1" applyAlignment="1">
      <alignment horizontal="right"/>
    </xf>
    <xf numFmtId="0" fontId="43" fillId="0" borderId="0" xfId="0" applyFont="1" applyAlignment="1">
      <alignment horizontal="center"/>
    </xf>
    <xf numFmtId="0" fontId="0" fillId="13" borderId="0" xfId="0" applyFill="1"/>
    <xf numFmtId="0" fontId="4" fillId="5" borderId="0" xfId="0" applyFont="1" applyFill="1" applyAlignment="1">
      <alignment horizontal="left"/>
    </xf>
    <xf numFmtId="0" fontId="44" fillId="0" borderId="0" xfId="0" applyFont="1" applyAlignment="1">
      <alignment horizontal="center"/>
    </xf>
    <xf numFmtId="194" fontId="0" fillId="0" borderId="0" xfId="3" applyNumberFormat="1" applyFont="1" applyAlignment="1">
      <alignment horizontal="center"/>
    </xf>
    <xf numFmtId="0" fontId="0" fillId="0" borderId="0" xfId="3" applyNumberFormat="1" applyFont="1" applyAlignment="1">
      <alignment horizontal="center"/>
    </xf>
    <xf numFmtId="0" fontId="1" fillId="0" borderId="0" xfId="1" applyNumberFormat="1" applyAlignment="1">
      <alignment horizontal="right" vertical="center"/>
    </xf>
    <xf numFmtId="0" fontId="0" fillId="0" borderId="12" xfId="0" applyBorder="1"/>
    <xf numFmtId="0" fontId="0" fillId="0" borderId="13" xfId="0" applyBorder="1"/>
    <xf numFmtId="0" fontId="0" fillId="0" borderId="14" xfId="0" applyBorder="1"/>
    <xf numFmtId="0" fontId="42" fillId="0" borderId="2" xfId="0" applyFont="1" applyBorder="1" applyAlignment="1">
      <alignment horizontal="right"/>
    </xf>
    <xf numFmtId="0" fontId="42" fillId="0" borderId="5" xfId="0" applyFont="1" applyBorder="1" applyAlignment="1">
      <alignment horizontal="right"/>
    </xf>
    <xf numFmtId="0" fontId="42" fillId="0" borderId="7" xfId="0" applyFont="1" applyBorder="1" applyAlignment="1">
      <alignment horizontal="right"/>
    </xf>
    <xf numFmtId="0" fontId="46" fillId="0" borderId="0" xfId="0" applyFont="1"/>
    <xf numFmtId="0" fontId="47" fillId="0" borderId="0" xfId="0" applyFont="1"/>
    <xf numFmtId="0" fontId="0" fillId="0" borderId="23" xfId="0" applyBorder="1" applyAlignment="1">
      <alignment horizontal="center"/>
    </xf>
    <xf numFmtId="0" fontId="0" fillId="0" borderId="23" xfId="0" applyBorder="1"/>
    <xf numFmtId="0" fontId="19" fillId="0" borderId="2" xfId="0" applyFont="1" applyBorder="1" applyAlignment="1">
      <alignment horizontal="centerContinuous"/>
    </xf>
    <xf numFmtId="164" fontId="0" fillId="0" borderId="4" xfId="0" applyNumberFormat="1" applyBorder="1" applyAlignment="1">
      <alignment horizontal="centerContinuous"/>
    </xf>
    <xf numFmtId="164" fontId="0" fillId="0" borderId="0" xfId="0" applyNumberFormat="1" applyAlignment="1">
      <alignment horizontal="right"/>
    </xf>
    <xf numFmtId="0" fontId="20" fillId="0" borderId="0" xfId="0" applyFont="1" applyAlignment="1">
      <alignment horizontal="centerContinuous"/>
    </xf>
    <xf numFmtId="0" fontId="48" fillId="10" borderId="0" xfId="0" applyFont="1" applyFill="1"/>
    <xf numFmtId="0" fontId="0" fillId="0" borderId="47" xfId="0" applyBorder="1" applyAlignment="1">
      <alignment horizontal="center"/>
    </xf>
    <xf numFmtId="0" fontId="0" fillId="0" borderId="25" xfId="0" applyBorder="1" applyAlignment="1">
      <alignment horizontal="center"/>
    </xf>
    <xf numFmtId="12" fontId="0" fillId="0" borderId="0" xfId="0" applyNumberFormat="1" applyAlignment="1">
      <alignment horizontal="center"/>
    </xf>
    <xf numFmtId="0" fontId="1" fillId="0" borderId="0" xfId="1"/>
    <xf numFmtId="215" fontId="0" fillId="0" borderId="0" xfId="0" applyNumberFormat="1"/>
    <xf numFmtId="211" fontId="0" fillId="0" borderId="0" xfId="0" applyNumberFormat="1" applyAlignment="1">
      <alignment horizontal="right"/>
    </xf>
    <xf numFmtId="49" fontId="0" fillId="0" borderId="0" xfId="0" applyNumberFormat="1" applyAlignment="1">
      <alignment horizontal="center"/>
    </xf>
    <xf numFmtId="0" fontId="0" fillId="14" borderId="0" xfId="0" applyFill="1"/>
    <xf numFmtId="0" fontId="0" fillId="12" borderId="0" xfId="0" applyFill="1"/>
    <xf numFmtId="211" fontId="0" fillId="12" borderId="0" xfId="0" applyNumberFormat="1" applyFill="1" applyAlignment="1">
      <alignment horizontal="right"/>
    </xf>
    <xf numFmtId="0" fontId="35" fillId="0" borderId="0" xfId="0" applyFont="1"/>
    <xf numFmtId="10" fontId="0" fillId="0" borderId="4" xfId="3" applyNumberFormat="1" applyFont="1" applyBorder="1"/>
    <xf numFmtId="10" fontId="0" fillId="0" borderId="6" xfId="3" applyNumberFormat="1" applyFont="1" applyBorder="1"/>
    <xf numFmtId="164" fontId="0" fillId="0" borderId="0" xfId="2" applyFont="1" applyFill="1" applyBorder="1"/>
    <xf numFmtId="4" fontId="0" fillId="0" borderId="0" xfId="0" applyNumberFormat="1"/>
    <xf numFmtId="0" fontId="50" fillId="0" borderId="0" xfId="0" applyFont="1"/>
    <xf numFmtId="199" fontId="0" fillId="0" borderId="0" xfId="0" applyNumberFormat="1"/>
    <xf numFmtId="0" fontId="0" fillId="0" borderId="0" xfId="0" applyAlignment="1">
      <alignment horizontal="left" indent="2"/>
    </xf>
    <xf numFmtId="0" fontId="0" fillId="0" borderId="0" xfId="0" applyAlignment="1">
      <alignment horizontal="left" wrapText="1" indent="3"/>
    </xf>
    <xf numFmtId="0" fontId="0" fillId="0" borderId="0" xfId="0" applyAlignment="1">
      <alignment horizontal="left" wrapText="1" indent="1"/>
    </xf>
    <xf numFmtId="0" fontId="18" fillId="0" borderId="0" xfId="0" applyFont="1" applyAlignment="1">
      <alignment horizontal="left"/>
    </xf>
    <xf numFmtId="0" fontId="7" fillId="0" borderId="0" xfId="0" applyFont="1" applyAlignment="1">
      <alignment horizontal="centerContinuous"/>
    </xf>
    <xf numFmtId="164" fontId="19" fillId="0" borderId="0" xfId="0" applyNumberFormat="1" applyFont="1"/>
    <xf numFmtId="0" fontId="19" fillId="0" borderId="0" xfId="0" applyFont="1" applyAlignment="1">
      <alignment horizontal="left"/>
    </xf>
    <xf numFmtId="164" fontId="57" fillId="0" borderId="0" xfId="0" applyNumberFormat="1" applyFont="1"/>
    <xf numFmtId="20" fontId="0" fillId="0" borderId="0" xfId="0" applyNumberFormat="1"/>
    <xf numFmtId="164" fontId="0" fillId="0" borderId="0" xfId="2" quotePrefix="1" applyFont="1"/>
    <xf numFmtId="0" fontId="7" fillId="0" borderId="43" xfId="0" applyFont="1" applyBorder="1" applyAlignment="1">
      <alignment horizontal="centerContinuous"/>
    </xf>
    <xf numFmtId="0" fontId="7" fillId="0" borderId="42" xfId="0" applyFont="1" applyBorder="1" applyAlignment="1">
      <alignment horizontal="centerContinuous"/>
    </xf>
    <xf numFmtId="0" fontId="58" fillId="0" borderId="0" xfId="0" applyFont="1"/>
    <xf numFmtId="164" fontId="0" fillId="0" borderId="3" xfId="2" applyFont="1" applyBorder="1"/>
    <xf numFmtId="0" fontId="28" fillId="0" borderId="0" xfId="0" applyFont="1"/>
    <xf numFmtId="0" fontId="28" fillId="0" borderId="0" xfId="0" applyFont="1" applyAlignment="1">
      <alignment horizontal="centerContinuous"/>
    </xf>
    <xf numFmtId="0" fontId="0" fillId="0" borderId="0" xfId="0" applyAlignment="1">
      <alignment horizontal="center" vertical="center"/>
    </xf>
    <xf numFmtId="0" fontId="19" fillId="0" borderId="0" xfId="0" applyFont="1" applyAlignment="1">
      <alignment horizontal="center" vertical="center"/>
    </xf>
    <xf numFmtId="49" fontId="0" fillId="0" borderId="0" xfId="0" applyNumberFormat="1"/>
    <xf numFmtId="195" fontId="0" fillId="0" borderId="0" xfId="0" applyNumberFormat="1"/>
    <xf numFmtId="0" fontId="0" fillId="2" borderId="0" xfId="0" applyFill="1"/>
    <xf numFmtId="210" fontId="0" fillId="0" borderId="24" xfId="0" applyNumberFormat="1" applyBorder="1"/>
    <xf numFmtId="210" fontId="0" fillId="0" borderId="47" xfId="2" applyNumberFormat="1" applyFont="1" applyBorder="1"/>
    <xf numFmtId="210" fontId="0" fillId="0" borderId="25" xfId="2" applyNumberFormat="1" applyFont="1" applyBorder="1"/>
    <xf numFmtId="210" fontId="0" fillId="0" borderId="1" xfId="2" applyNumberFormat="1" applyFont="1" applyBorder="1"/>
    <xf numFmtId="0" fontId="0" fillId="10" borderId="0" xfId="0" applyFill="1" applyAlignment="1">
      <alignment horizontal="left" indent="1"/>
    </xf>
    <xf numFmtId="0" fontId="0" fillId="10" borderId="0" xfId="0" applyFill="1" applyAlignment="1">
      <alignment horizontal="left" indent="2"/>
    </xf>
    <xf numFmtId="0" fontId="0" fillId="10" borderId="0" xfId="0" applyFill="1" applyAlignment="1">
      <alignment horizontal="left" wrapText="1" indent="1"/>
    </xf>
    <xf numFmtId="0" fontId="0" fillId="0" borderId="49" xfId="0" applyBorder="1"/>
    <xf numFmtId="205" fontId="0" fillId="0" borderId="49" xfId="0" applyNumberFormat="1" applyBorder="1"/>
    <xf numFmtId="0" fontId="0" fillId="0" borderId="49" xfId="0" applyBorder="1" applyAlignment="1">
      <alignment horizontal="left" indent="1"/>
    </xf>
    <xf numFmtId="0" fontId="19" fillId="0" borderId="0" xfId="0" applyFont="1" applyAlignment="1">
      <alignment horizontal="left" indent="1"/>
    </xf>
    <xf numFmtId="0" fontId="59" fillId="0" borderId="0" xfId="0" applyFont="1" applyAlignment="1">
      <alignment horizontal="right"/>
    </xf>
    <xf numFmtId="164" fontId="60" fillId="0" borderId="6" xfId="2" applyFont="1" applyBorder="1"/>
    <xf numFmtId="164" fontId="60" fillId="0" borderId="6" xfId="0" applyNumberFormat="1" applyFont="1" applyBorder="1"/>
    <xf numFmtId="164" fontId="61" fillId="0" borderId="6" xfId="0" applyNumberFormat="1" applyFont="1" applyBorder="1"/>
    <xf numFmtId="0" fontId="20" fillId="0" borderId="5" xfId="0" applyFont="1" applyBorder="1"/>
    <xf numFmtId="220" fontId="0" fillId="0" borderId="0" xfId="0" applyNumberFormat="1"/>
    <xf numFmtId="220" fontId="0" fillId="0" borderId="19" xfId="0" applyNumberFormat="1" applyBorder="1"/>
    <xf numFmtId="220" fontId="0" fillId="0" borderId="21" xfId="0" applyNumberFormat="1" applyBorder="1"/>
    <xf numFmtId="220" fontId="0" fillId="0" borderId="22" xfId="0" applyNumberFormat="1" applyBorder="1"/>
    <xf numFmtId="221" fontId="0" fillId="0" borderId="0" xfId="0" applyNumberFormat="1"/>
    <xf numFmtId="0" fontId="1" fillId="0" borderId="0" xfId="1" applyFill="1" applyBorder="1"/>
    <xf numFmtId="0" fontId="42" fillId="0" borderId="6" xfId="0" applyFont="1" applyBorder="1" applyAlignment="1">
      <alignment horizontal="left"/>
    </xf>
    <xf numFmtId="0" fontId="63" fillId="2" borderId="0" xfId="0" applyFont="1" applyFill="1" applyAlignment="1">
      <alignment horizontal="right"/>
    </xf>
    <xf numFmtId="0" fontId="0" fillId="0" borderId="13" xfId="0" applyBorder="1" applyAlignment="1">
      <alignment horizontal="right"/>
    </xf>
    <xf numFmtId="0" fontId="11" fillId="0" borderId="13" xfId="0" applyFont="1" applyBorder="1"/>
    <xf numFmtId="0" fontId="11" fillId="0" borderId="14" xfId="0" applyFont="1" applyBorder="1"/>
    <xf numFmtId="0" fontId="11" fillId="0" borderId="3" xfId="0" applyFont="1" applyBorder="1"/>
    <xf numFmtId="0" fontId="42" fillId="0" borderId="0" xfId="0" applyFont="1" applyAlignment="1">
      <alignment horizontal="left"/>
    </xf>
    <xf numFmtId="177" fontId="0" fillId="0" borderId="47" xfId="0" applyNumberFormat="1" applyBorder="1" applyAlignment="1">
      <alignment horizontal="center"/>
    </xf>
    <xf numFmtId="177" fontId="0" fillId="0" borderId="25" xfId="0" applyNumberFormat="1" applyBorder="1" applyAlignment="1">
      <alignment horizontal="center"/>
    </xf>
    <xf numFmtId="0" fontId="57" fillId="10" borderId="0" xfId="0" applyFont="1" applyFill="1"/>
    <xf numFmtId="2" fontId="5" fillId="7" borderId="11" xfId="0" applyNumberFormat="1" applyFont="1" applyFill="1" applyBorder="1" applyAlignment="1">
      <alignment horizontal="right"/>
    </xf>
    <xf numFmtId="10" fontId="5" fillId="7" borderId="11" xfId="3" applyNumberFormat="1" applyFont="1" applyFill="1" applyBorder="1" applyAlignment="1">
      <alignment horizontal="right"/>
    </xf>
    <xf numFmtId="10" fontId="0" fillId="0" borderId="0" xfId="3" applyNumberFormat="1" applyFont="1" applyAlignment="1">
      <alignment horizontal="left"/>
    </xf>
    <xf numFmtId="164" fontId="0" fillId="0" borderId="0" xfId="0" applyNumberFormat="1" applyAlignment="1">
      <alignment horizontal="center"/>
    </xf>
    <xf numFmtId="0" fontId="0" fillId="0" borderId="12" xfId="0" applyBorder="1" applyAlignment="1">
      <alignment horizontal="center"/>
    </xf>
    <xf numFmtId="0" fontId="0" fillId="0" borderId="14" xfId="0" applyBorder="1" applyAlignment="1">
      <alignment horizontal="center"/>
    </xf>
    <xf numFmtId="0" fontId="0" fillId="0" borderId="24" xfId="0" applyBorder="1" applyAlignment="1">
      <alignment horizontal="center"/>
    </xf>
    <xf numFmtId="0" fontId="0" fillId="2" borderId="7" xfId="0" applyFill="1" applyBorder="1"/>
    <xf numFmtId="0" fontId="0" fillId="2" borderId="8" xfId="0" applyFill="1" applyBorder="1"/>
    <xf numFmtId="0" fontId="0" fillId="2" borderId="2" xfId="0" applyFill="1" applyBorder="1"/>
    <xf numFmtId="0" fontId="0" fillId="2" borderId="5" xfId="0" applyFill="1" applyBorder="1"/>
    <xf numFmtId="0" fontId="0" fillId="2" borderId="6" xfId="0" applyFill="1" applyBorder="1"/>
    <xf numFmtId="0" fontId="0" fillId="6" borderId="0" xfId="0" applyFill="1" applyAlignment="1">
      <alignment horizontal="center" vertical="center" wrapText="1"/>
    </xf>
    <xf numFmtId="0" fontId="0" fillId="16" borderId="0" xfId="0" applyFill="1" applyAlignment="1">
      <alignment horizontal="center" vertical="center" wrapText="1"/>
    </xf>
    <xf numFmtId="206" fontId="0" fillId="0" borderId="1" xfId="3" applyNumberFormat="1" applyFont="1" applyBorder="1"/>
    <xf numFmtId="222" fontId="0" fillId="0" borderId="0" xfId="0" applyNumberFormat="1"/>
    <xf numFmtId="164" fontId="64" fillId="0" borderId="0" xfId="0" applyNumberFormat="1" applyFont="1"/>
    <xf numFmtId="0" fontId="64" fillId="0" borderId="0" xfId="0" applyFont="1"/>
    <xf numFmtId="2" fontId="64" fillId="0" borderId="0" xfId="0" applyNumberFormat="1" applyFont="1"/>
    <xf numFmtId="0" fontId="11" fillId="0" borderId="0" xfId="0" applyFont="1"/>
    <xf numFmtId="224" fontId="11" fillId="0" borderId="0" xfId="0" applyNumberFormat="1" applyFont="1" applyAlignment="1">
      <alignment horizontal="left"/>
    </xf>
    <xf numFmtId="0" fontId="19" fillId="10" borderId="0" xfId="0" applyFont="1" applyFill="1"/>
    <xf numFmtId="0" fontId="0" fillId="18" borderId="0" xfId="0" applyFill="1"/>
    <xf numFmtId="9" fontId="0" fillId="0" borderId="5" xfId="0" applyNumberFormat="1" applyBorder="1"/>
    <xf numFmtId="206" fontId="0" fillId="0" borderId="42" xfId="0" applyNumberFormat="1" applyBorder="1"/>
    <xf numFmtId="0" fontId="0" fillId="7" borderId="0" xfId="0" applyFill="1"/>
    <xf numFmtId="176" fontId="0" fillId="7" borderId="0" xfId="0" applyNumberFormat="1" applyFill="1"/>
    <xf numFmtId="0" fontId="19" fillId="0" borderId="24" xfId="0" applyFont="1" applyBorder="1"/>
    <xf numFmtId="9" fontId="0" fillId="0" borderId="4" xfId="0" applyNumberFormat="1" applyBorder="1"/>
    <xf numFmtId="9" fontId="0" fillId="0" borderId="8" xfId="0" applyNumberFormat="1" applyBorder="1"/>
    <xf numFmtId="176" fontId="5" fillId="7" borderId="11" xfId="0" applyNumberFormat="1" applyFont="1" applyFill="1" applyBorder="1" applyAlignment="1">
      <alignment horizontal="left"/>
    </xf>
    <xf numFmtId="0" fontId="0" fillId="0" borderId="0" xfId="0" applyProtection="1">
      <protection locked="0"/>
    </xf>
    <xf numFmtId="0" fontId="0" fillId="20" borderId="0" xfId="0" applyFill="1"/>
    <xf numFmtId="0" fontId="11" fillId="20" borderId="0" xfId="0" applyFont="1" applyFill="1"/>
    <xf numFmtId="0" fontId="11" fillId="20" borderId="0" xfId="0" applyFont="1" applyFill="1" applyAlignment="1">
      <alignment horizontal="left"/>
    </xf>
    <xf numFmtId="164" fontId="11" fillId="20" borderId="0" xfId="2" applyFont="1" applyFill="1"/>
    <xf numFmtId="0" fontId="35" fillId="20" borderId="12" xfId="0" applyFont="1" applyFill="1" applyBorder="1" applyAlignment="1">
      <alignment horizontal="centerContinuous"/>
    </xf>
    <xf numFmtId="0" fontId="35" fillId="20" borderId="13" xfId="0" applyFont="1" applyFill="1" applyBorder="1" applyAlignment="1">
      <alignment horizontal="centerContinuous"/>
    </xf>
    <xf numFmtId="0" fontId="11" fillId="20" borderId="24" xfId="0" applyFont="1" applyFill="1" applyBorder="1"/>
    <xf numFmtId="0" fontId="11" fillId="20" borderId="47" xfId="0" applyFont="1" applyFill="1" applyBorder="1"/>
    <xf numFmtId="164" fontId="11" fillId="20" borderId="47" xfId="0" applyNumberFormat="1" applyFont="1" applyFill="1" applyBorder="1"/>
    <xf numFmtId="164" fontId="11" fillId="20" borderId="47" xfId="2" applyFont="1" applyFill="1" applyBorder="1"/>
    <xf numFmtId="0" fontId="11" fillId="20" borderId="25" xfId="0" applyFont="1" applyFill="1" applyBorder="1"/>
    <xf numFmtId="164" fontId="11" fillId="20" borderId="25" xfId="0" applyNumberFormat="1" applyFont="1" applyFill="1" applyBorder="1"/>
    <xf numFmtId="0" fontId="66" fillId="20" borderId="0" xfId="0" applyFont="1" applyFill="1"/>
    <xf numFmtId="0" fontId="66" fillId="20" borderId="0" xfId="0" applyFont="1" applyFill="1" applyAlignment="1">
      <alignment vertical="center"/>
    </xf>
    <xf numFmtId="0" fontId="67" fillId="20" borderId="0" xfId="0" applyFont="1" applyFill="1" applyAlignment="1">
      <alignment horizontal="right"/>
    </xf>
    <xf numFmtId="0" fontId="68" fillId="20" borderId="0" xfId="0" applyFont="1" applyFill="1" applyAlignment="1">
      <alignment horizontal="right"/>
    </xf>
    <xf numFmtId="164" fontId="68" fillId="20" borderId="0" xfId="0" applyNumberFormat="1" applyFont="1" applyFill="1"/>
    <xf numFmtId="164" fontId="68" fillId="20" borderId="0" xfId="2" applyFont="1" applyFill="1"/>
    <xf numFmtId="164" fontId="69" fillId="20" borderId="47" xfId="0" applyNumberFormat="1" applyFont="1" applyFill="1" applyBorder="1"/>
    <xf numFmtId="0" fontId="20" fillId="20" borderId="0" xfId="0" applyFont="1" applyFill="1"/>
    <xf numFmtId="0" fontId="6" fillId="0" borderId="0" xfId="0" applyFont="1" applyAlignment="1">
      <alignment horizontal="right"/>
    </xf>
    <xf numFmtId="2" fontId="5" fillId="4" borderId="11" xfId="0" applyNumberFormat="1" applyFont="1" applyFill="1" applyBorder="1" applyAlignment="1">
      <alignment horizontal="left"/>
    </xf>
    <xf numFmtId="188" fontId="5" fillId="4" borderId="72" xfId="0" applyNumberFormat="1" applyFont="1" applyFill="1" applyBorder="1" applyAlignment="1">
      <alignment horizontal="left"/>
    </xf>
    <xf numFmtId="203" fontId="0" fillId="0" borderId="71" xfId="0" applyNumberFormat="1" applyBorder="1" applyAlignment="1">
      <alignment horizontal="left"/>
    </xf>
    <xf numFmtId="206" fontId="0" fillId="0" borderId="0" xfId="3" applyNumberFormat="1" applyFont="1" applyAlignment="1" applyProtection="1">
      <alignment horizontal="right"/>
      <protection locked="0"/>
    </xf>
    <xf numFmtId="176" fontId="0" fillId="0" borderId="0" xfId="0" applyNumberFormat="1" applyProtection="1">
      <protection locked="0"/>
    </xf>
    <xf numFmtId="0" fontId="0" fillId="0" borderId="23" xfId="0" applyBorder="1" applyProtection="1">
      <protection locked="0"/>
    </xf>
    <xf numFmtId="184" fontId="5" fillId="4" borderId="11" xfId="0" applyNumberFormat="1" applyFont="1" applyFill="1" applyBorder="1" applyAlignment="1" applyProtection="1">
      <alignment horizontal="left"/>
      <protection locked="0"/>
    </xf>
    <xf numFmtId="0" fontId="5" fillId="0" borderId="11" xfId="0" applyFont="1" applyBorder="1" applyAlignment="1">
      <alignment horizontal="left"/>
    </xf>
    <xf numFmtId="219" fontId="5" fillId="0" borderId="11" xfId="0" applyNumberFormat="1" applyFont="1" applyBorder="1" applyAlignment="1">
      <alignment horizontal="left"/>
    </xf>
    <xf numFmtId="202" fontId="5" fillId="7" borderId="11" xfId="0" applyNumberFormat="1" applyFont="1" applyFill="1" applyBorder="1" applyAlignment="1">
      <alignment horizontal="left"/>
    </xf>
    <xf numFmtId="14" fontId="5" fillId="4" borderId="11" xfId="0" applyNumberFormat="1" applyFont="1" applyFill="1" applyBorder="1" applyAlignment="1">
      <alignment horizontal="left"/>
    </xf>
    <xf numFmtId="195" fontId="5" fillId="4" borderId="11" xfId="0" applyNumberFormat="1" applyFont="1" applyFill="1" applyBorder="1" applyAlignment="1">
      <alignment horizontal="left"/>
    </xf>
    <xf numFmtId="195" fontId="5" fillId="7" borderId="11" xfId="0" applyNumberFormat="1" applyFont="1" applyFill="1" applyBorder="1" applyAlignment="1">
      <alignment horizontal="left"/>
    </xf>
    <xf numFmtId="176" fontId="5" fillId="4" borderId="11" xfId="0" applyNumberFormat="1" applyFont="1" applyFill="1" applyBorder="1" applyAlignment="1" applyProtection="1">
      <alignment horizontal="left"/>
      <protection locked="0"/>
    </xf>
    <xf numFmtId="9" fontId="5" fillId="4" borderId="11" xfId="3" applyFont="1" applyFill="1" applyBorder="1" applyAlignment="1" applyProtection="1">
      <alignment horizontal="left"/>
      <protection locked="0"/>
    </xf>
    <xf numFmtId="0" fontId="1" fillId="0" borderId="0" xfId="1" applyProtection="1">
      <protection locked="0"/>
    </xf>
    <xf numFmtId="210" fontId="70" fillId="13" borderId="70" xfId="2" applyNumberFormat="1" applyFont="1" applyFill="1" applyBorder="1" applyAlignment="1" applyProtection="1">
      <alignment horizontal="left" vertical="center"/>
      <protection locked="0"/>
    </xf>
    <xf numFmtId="9" fontId="70" fillId="13" borderId="70" xfId="0" applyNumberFormat="1" applyFont="1" applyFill="1" applyBorder="1" applyAlignment="1" applyProtection="1">
      <alignment vertical="center"/>
      <protection locked="0"/>
    </xf>
    <xf numFmtId="210" fontId="70" fillId="13" borderId="70" xfId="0" applyNumberFormat="1" applyFont="1" applyFill="1" applyBorder="1" applyAlignment="1" applyProtection="1">
      <alignment horizontal="left"/>
      <protection locked="0"/>
    </xf>
    <xf numFmtId="210" fontId="0" fillId="0" borderId="0" xfId="0" applyNumberFormat="1"/>
    <xf numFmtId="210" fontId="0" fillId="0" borderId="0" xfId="2" applyNumberFormat="1" applyFont="1"/>
    <xf numFmtId="0" fontId="5" fillId="4" borderId="11" xfId="0" applyFont="1" applyFill="1" applyBorder="1" applyAlignment="1" applyProtection="1">
      <alignment horizontal="left"/>
      <protection locked="0"/>
    </xf>
    <xf numFmtId="49" fontId="5" fillId="4" borderId="11" xfId="0" applyNumberFormat="1" applyFont="1" applyFill="1" applyBorder="1" applyAlignment="1" applyProtection="1">
      <alignment horizontal="left"/>
      <protection locked="0"/>
    </xf>
    <xf numFmtId="0" fontId="0" fillId="14" borderId="0" xfId="0" applyFill="1" applyProtection="1">
      <protection locked="0"/>
    </xf>
    <xf numFmtId="189" fontId="0" fillId="0" borderId="0" xfId="0" applyNumberFormat="1" applyProtection="1">
      <protection locked="0"/>
    </xf>
    <xf numFmtId="165" fontId="0" fillId="0" borderId="0" xfId="0" applyNumberFormat="1" applyProtection="1">
      <protection locked="0"/>
    </xf>
    <xf numFmtId="0" fontId="0" fillId="0" borderId="0" xfId="0" applyAlignment="1" applyProtection="1">
      <alignment horizontal="left"/>
      <protection locked="0"/>
    </xf>
    <xf numFmtId="0" fontId="0" fillId="5" borderId="0" xfId="0" applyFill="1" applyProtection="1">
      <protection locked="0"/>
    </xf>
    <xf numFmtId="0" fontId="0" fillId="0" borderId="23" xfId="0" applyBorder="1" applyAlignment="1" applyProtection="1">
      <alignment horizontal="center"/>
      <protection locked="0"/>
    </xf>
    <xf numFmtId="164" fontId="0" fillId="0" borderId="0" xfId="2" applyFont="1" applyProtection="1">
      <protection locked="0"/>
    </xf>
    <xf numFmtId="0" fontId="0" fillId="0" borderId="0" xfId="0" applyAlignment="1" applyProtection="1">
      <alignment horizontal="right"/>
      <protection locked="0"/>
    </xf>
    <xf numFmtId="164" fontId="0" fillId="0" borderId="4" xfId="0" applyNumberFormat="1" applyBorder="1" applyProtection="1">
      <protection locked="0"/>
    </xf>
    <xf numFmtId="196" fontId="0" fillId="10" borderId="0" xfId="0" applyNumberFormat="1" applyFill="1" applyProtection="1">
      <protection locked="0"/>
    </xf>
    <xf numFmtId="205" fontId="0" fillId="10" borderId="0" xfId="0" applyNumberFormat="1" applyFill="1" applyProtection="1">
      <protection locked="0"/>
    </xf>
    <xf numFmtId="217" fontId="0" fillId="0" borderId="0" xfId="0" applyNumberFormat="1" applyProtection="1">
      <protection locked="0"/>
    </xf>
    <xf numFmtId="199" fontId="0" fillId="0" borderId="0" xfId="0" applyNumberFormat="1" applyProtection="1">
      <protection locked="0"/>
    </xf>
    <xf numFmtId="0" fontId="56" fillId="0" borderId="0" xfId="0" applyFont="1" applyProtection="1">
      <protection locked="0"/>
    </xf>
    <xf numFmtId="10" fontId="5" fillId="4" borderId="11" xfId="0" applyNumberFormat="1" applyFont="1" applyFill="1" applyBorder="1" applyAlignment="1" applyProtection="1">
      <alignment horizontal="left"/>
      <protection locked="0"/>
    </xf>
    <xf numFmtId="0" fontId="0" fillId="0" borderId="0" xfId="0" applyAlignment="1" applyProtection="1">
      <alignment horizontal="center"/>
      <protection locked="0"/>
    </xf>
    <xf numFmtId="0" fontId="0" fillId="0" borderId="4" xfId="0" applyBorder="1" applyProtection="1">
      <protection locked="0"/>
    </xf>
    <xf numFmtId="0" fontId="0" fillId="0" borderId="8" xfId="0" applyBorder="1" applyProtection="1">
      <protection locked="0"/>
    </xf>
    <xf numFmtId="9" fontId="0" fillId="0" borderId="0" xfId="0" applyNumberFormat="1" applyProtection="1">
      <protection locked="0"/>
    </xf>
    <xf numFmtId="0" fontId="71" fillId="20" borderId="0" xfId="0" applyFont="1" applyFill="1" applyAlignment="1">
      <alignment horizontal="left"/>
    </xf>
    <xf numFmtId="210" fontId="0" fillId="0" borderId="0" xfId="0" applyNumberFormat="1" applyAlignment="1">
      <alignment horizontal="left"/>
    </xf>
    <xf numFmtId="0" fontId="0" fillId="0" borderId="75" xfId="0" applyBorder="1"/>
    <xf numFmtId="0" fontId="0" fillId="0" borderId="76" xfId="0" applyBorder="1" applyAlignment="1">
      <alignment horizontal="right"/>
    </xf>
    <xf numFmtId="0" fontId="0" fillId="0" borderId="77" xfId="0" applyBorder="1"/>
    <xf numFmtId="0" fontId="0" fillId="0" borderId="78" xfId="0" applyBorder="1" applyAlignment="1">
      <alignment horizontal="right"/>
    </xf>
    <xf numFmtId="210" fontId="0" fillId="0" borderId="79" xfId="0" applyNumberFormat="1" applyBorder="1" applyAlignment="1">
      <alignment horizontal="left"/>
    </xf>
    <xf numFmtId="0" fontId="0" fillId="0" borderId="79" xfId="0" applyBorder="1"/>
    <xf numFmtId="0" fontId="0" fillId="0" borderId="80" xfId="0" applyBorder="1"/>
    <xf numFmtId="0" fontId="19" fillId="0" borderId="76" xfId="0" applyFont="1" applyBorder="1" applyAlignment="1">
      <alignment horizontal="right"/>
    </xf>
    <xf numFmtId="210" fontId="19" fillId="0" borderId="0" xfId="0" applyNumberFormat="1" applyFont="1" applyAlignment="1">
      <alignment horizontal="left"/>
    </xf>
    <xf numFmtId="0" fontId="19" fillId="0" borderId="73" xfId="0" applyFont="1" applyBorder="1" applyAlignment="1">
      <alignment horizontal="right"/>
    </xf>
    <xf numFmtId="0" fontId="19" fillId="0" borderId="74" xfId="0" applyFont="1" applyBorder="1" applyAlignment="1">
      <alignment horizontal="left"/>
    </xf>
    <xf numFmtId="0" fontId="19" fillId="0" borderId="74" xfId="0" applyFont="1" applyBorder="1"/>
    <xf numFmtId="0" fontId="0" fillId="21" borderId="0" xfId="0" applyFill="1"/>
    <xf numFmtId="0" fontId="0" fillId="19" borderId="0" xfId="0" applyFill="1" applyProtection="1">
      <protection locked="0"/>
    </xf>
    <xf numFmtId="0" fontId="0" fillId="0" borderId="2" xfId="0" applyBorder="1" applyProtection="1">
      <protection locked="0"/>
    </xf>
    <xf numFmtId="0" fontId="0" fillId="0" borderId="3" xfId="0" applyBorder="1" applyProtection="1">
      <protection locked="0"/>
    </xf>
    <xf numFmtId="0" fontId="0" fillId="0" borderId="7" xfId="0" applyBorder="1" applyProtection="1">
      <protection locked="0"/>
    </xf>
    <xf numFmtId="0" fontId="0" fillId="0" borderId="1" xfId="0" applyBorder="1" applyProtection="1">
      <protection locked="0"/>
    </xf>
    <xf numFmtId="14" fontId="0" fillId="0" borderId="0" xfId="0" applyNumberFormat="1" applyProtection="1">
      <protection locked="0"/>
    </xf>
    <xf numFmtId="216" fontId="0" fillId="0" borderId="0" xfId="0" applyNumberFormat="1" applyProtection="1">
      <protection locked="0"/>
    </xf>
    <xf numFmtId="0" fontId="0" fillId="0" borderId="5" xfId="0" applyBorder="1" applyProtection="1">
      <protection locked="0"/>
    </xf>
    <xf numFmtId="0" fontId="0" fillId="0" borderId="6" xfId="0" applyBorder="1" applyProtection="1">
      <protection locked="0"/>
    </xf>
    <xf numFmtId="216" fontId="0" fillId="0" borderId="51" xfId="0" applyNumberFormat="1" applyBorder="1" applyAlignment="1" applyProtection="1">
      <alignment horizontal="center" vertical="center"/>
      <protection locked="0"/>
    </xf>
    <xf numFmtId="216" fontId="0" fillId="0" borderId="0" xfId="0" applyNumberFormat="1" applyAlignment="1" applyProtection="1">
      <alignment horizontal="center" vertical="center"/>
      <protection locked="0"/>
    </xf>
    <xf numFmtId="216" fontId="0" fillId="0" borderId="52" xfId="0" applyNumberFormat="1" applyBorder="1" applyAlignment="1" applyProtection="1">
      <alignment horizontal="center" vertical="center"/>
      <protection locked="0"/>
    </xf>
    <xf numFmtId="0" fontId="0" fillId="0" borderId="54" xfId="0" applyBorder="1" applyAlignment="1" applyProtection="1">
      <alignment horizontal="center" vertical="center"/>
      <protection locked="0"/>
    </xf>
    <xf numFmtId="0" fontId="0" fillId="0" borderId="53" xfId="0" applyBorder="1" applyAlignment="1" applyProtection="1">
      <alignment horizontal="center" vertical="center"/>
      <protection locked="0"/>
    </xf>
    <xf numFmtId="0" fontId="0" fillId="0" borderId="55" xfId="0" applyBorder="1" applyAlignment="1" applyProtection="1">
      <alignment horizontal="center" vertical="center"/>
      <protection locked="0"/>
    </xf>
    <xf numFmtId="14" fontId="0" fillId="0" borderId="61" xfId="0" applyNumberFormat="1" applyBorder="1" applyAlignment="1" applyProtection="1">
      <alignment horizontal="center" vertical="center"/>
      <protection locked="0"/>
    </xf>
    <xf numFmtId="14" fontId="0" fillId="0" borderId="62" xfId="0" applyNumberFormat="1" applyBorder="1" applyAlignment="1" applyProtection="1">
      <alignment horizontal="center" vertical="center"/>
      <protection locked="0"/>
    </xf>
    <xf numFmtId="0" fontId="0" fillId="0" borderId="62" xfId="0" applyBorder="1" applyAlignment="1" applyProtection="1">
      <alignment horizontal="center" vertical="center"/>
      <protection locked="0"/>
    </xf>
    <xf numFmtId="14" fontId="0" fillId="7" borderId="62" xfId="0" applyNumberFormat="1" applyFill="1" applyBorder="1" applyAlignment="1" applyProtection="1">
      <alignment horizontal="center" vertical="center"/>
      <protection locked="0"/>
    </xf>
    <xf numFmtId="0" fontId="0" fillId="0" borderId="58" xfId="0" applyBorder="1" applyProtection="1">
      <protection locked="0"/>
    </xf>
    <xf numFmtId="223" fontId="0" fillId="0" borderId="0" xfId="0" applyNumberFormat="1" applyProtection="1">
      <protection locked="0"/>
    </xf>
    <xf numFmtId="164" fontId="0" fillId="0" borderId="0" xfId="0" applyNumberFormat="1" applyProtection="1">
      <protection locked="0"/>
    </xf>
    <xf numFmtId="14" fontId="0" fillId="0" borderId="64" xfId="0" applyNumberFormat="1" applyBorder="1" applyAlignment="1" applyProtection="1">
      <alignment horizontal="center" vertical="center"/>
      <protection locked="0"/>
    </xf>
    <xf numFmtId="14" fontId="0" fillId="0" borderId="65" xfId="0" applyNumberFormat="1" applyBorder="1" applyAlignment="1" applyProtection="1">
      <alignment horizontal="center" vertical="center"/>
      <protection locked="0"/>
    </xf>
    <xf numFmtId="0" fontId="0" fillId="0" borderId="65" xfId="0" applyBorder="1" applyAlignment="1" applyProtection="1">
      <alignment horizontal="center" vertical="center"/>
      <protection locked="0"/>
    </xf>
    <xf numFmtId="14" fontId="0" fillId="7" borderId="65" xfId="0" applyNumberFormat="1" applyFill="1" applyBorder="1" applyAlignment="1" applyProtection="1">
      <alignment horizontal="center" vertical="center"/>
      <protection locked="0"/>
    </xf>
    <xf numFmtId="0" fontId="0" fillId="0" borderId="59" xfId="0" applyBorder="1" applyProtection="1">
      <protection locked="0"/>
    </xf>
    <xf numFmtId="0" fontId="0" fillId="5" borderId="66" xfId="0" applyFill="1" applyBorder="1" applyAlignment="1" applyProtection="1">
      <alignment horizontal="right" vertical="center"/>
      <protection locked="0"/>
    </xf>
    <xf numFmtId="2" fontId="0" fillId="0" borderId="0" xfId="0" applyNumberFormat="1" applyProtection="1">
      <protection locked="0"/>
    </xf>
    <xf numFmtId="14" fontId="0" fillId="0" borderId="67" xfId="0" applyNumberFormat="1" applyBorder="1" applyAlignment="1" applyProtection="1">
      <alignment horizontal="center" vertical="center"/>
      <protection locked="0"/>
    </xf>
    <xf numFmtId="14" fontId="0" fillId="0" borderId="68" xfId="0" applyNumberFormat="1" applyBorder="1" applyAlignment="1" applyProtection="1">
      <alignment horizontal="center" vertical="center"/>
      <protection locked="0"/>
    </xf>
    <xf numFmtId="0" fontId="0" fillId="0" borderId="68" xfId="0" applyBorder="1" applyAlignment="1" applyProtection="1">
      <alignment horizontal="center" vertical="center"/>
      <protection locked="0"/>
    </xf>
    <xf numFmtId="14" fontId="0" fillId="7" borderId="68" xfId="0" applyNumberFormat="1" applyFill="1" applyBorder="1" applyAlignment="1" applyProtection="1">
      <alignment horizontal="center" vertical="center"/>
      <protection locked="0"/>
    </xf>
    <xf numFmtId="0" fontId="0" fillId="12" borderId="69" xfId="0" applyFill="1" applyBorder="1" applyAlignment="1" applyProtection="1">
      <alignment horizontal="right" vertical="center"/>
      <protection locked="0"/>
    </xf>
    <xf numFmtId="0" fontId="0" fillId="0" borderId="60" xfId="0" applyBorder="1" applyProtection="1">
      <protection locked="0"/>
    </xf>
    <xf numFmtId="2" fontId="0" fillId="0" borderId="1" xfId="0" applyNumberFormat="1" applyBorder="1" applyProtection="1">
      <protection locked="0"/>
    </xf>
    <xf numFmtId="0" fontId="0" fillId="5" borderId="69" xfId="0" applyFill="1" applyBorder="1" applyAlignment="1" applyProtection="1">
      <alignment horizontal="right" vertical="center"/>
      <protection locked="0"/>
    </xf>
    <xf numFmtId="10" fontId="0" fillId="0" borderId="0" xfId="0" applyNumberFormat="1" applyProtection="1">
      <protection locked="0"/>
    </xf>
    <xf numFmtId="0" fontId="19" fillId="0" borderId="0" xfId="0" applyFont="1" applyProtection="1">
      <protection locked="0"/>
    </xf>
    <xf numFmtId="0" fontId="65" fillId="0" borderId="0" xfId="0" applyFont="1" applyProtection="1">
      <protection locked="0"/>
    </xf>
    <xf numFmtId="0" fontId="0" fillId="15" borderId="0" xfId="0" applyFill="1" applyAlignment="1" applyProtection="1">
      <alignment horizontal="left"/>
      <protection locked="0"/>
    </xf>
    <xf numFmtId="0" fontId="0" fillId="15" borderId="0" xfId="0" applyFill="1" applyAlignment="1" applyProtection="1">
      <alignment horizontal="center"/>
      <protection locked="0"/>
    </xf>
    <xf numFmtId="0" fontId="62" fillId="0" borderId="0" xfId="0" applyFont="1" applyAlignment="1" applyProtection="1">
      <alignment horizontal="center"/>
      <protection locked="0"/>
    </xf>
    <xf numFmtId="0" fontId="62" fillId="0" borderId="0" xfId="0" applyFont="1" applyProtection="1">
      <protection locked="0"/>
    </xf>
    <xf numFmtId="2" fontId="62" fillId="0" borderId="0" xfId="0" applyNumberFormat="1" applyFont="1" applyAlignment="1" applyProtection="1">
      <alignment horizontal="center"/>
      <protection locked="0"/>
    </xf>
    <xf numFmtId="1" fontId="62" fillId="0" borderId="0" xfId="0" applyNumberFormat="1" applyFont="1" applyAlignment="1" applyProtection="1">
      <alignment horizontal="center"/>
      <protection locked="0"/>
    </xf>
    <xf numFmtId="164" fontId="62" fillId="0" borderId="0" xfId="2" applyFont="1" applyAlignment="1" applyProtection="1">
      <alignment horizontal="center"/>
      <protection locked="0"/>
    </xf>
    <xf numFmtId="10" fontId="62" fillId="0" borderId="0" xfId="3" applyNumberFormat="1" applyFont="1" applyAlignment="1" applyProtection="1">
      <alignment horizontal="center"/>
      <protection locked="0"/>
    </xf>
    <xf numFmtId="2" fontId="0" fillId="0" borderId="0" xfId="0" applyNumberFormat="1" applyAlignment="1" applyProtection="1">
      <alignment horizontal="center"/>
      <protection locked="0"/>
    </xf>
    <xf numFmtId="164" fontId="0" fillId="0" borderId="0" xfId="2" applyFont="1" applyAlignment="1" applyProtection="1">
      <alignment horizontal="center"/>
      <protection locked="0"/>
    </xf>
    <xf numFmtId="165" fontId="62" fillId="0" borderId="0" xfId="2" applyNumberFormat="1" applyFont="1" applyAlignment="1" applyProtection="1">
      <alignment horizontal="center"/>
      <protection locked="0"/>
    </xf>
    <xf numFmtId="206" fontId="0" fillId="0" borderId="0" xfId="3" applyNumberFormat="1" applyFont="1" applyProtection="1">
      <protection locked="0"/>
    </xf>
    <xf numFmtId="22" fontId="0" fillId="0" borderId="54" xfId="0" applyNumberFormat="1" applyBorder="1" applyAlignment="1" applyProtection="1">
      <alignment horizontal="center" vertical="center"/>
      <protection locked="0"/>
    </xf>
    <xf numFmtId="22" fontId="0" fillId="0" borderId="58" xfId="0" applyNumberFormat="1" applyBorder="1" applyProtection="1">
      <protection locked="0"/>
    </xf>
    <xf numFmtId="22" fontId="0" fillId="0" borderId="59" xfId="0" applyNumberFormat="1" applyBorder="1" applyProtection="1">
      <protection locked="0"/>
    </xf>
    <xf numFmtId="0" fontId="86" fillId="0" borderId="0" xfId="0" applyFont="1"/>
    <xf numFmtId="14" fontId="0" fillId="20" borderId="0" xfId="0" applyNumberFormat="1" applyFill="1"/>
    <xf numFmtId="0" fontId="0" fillId="0" borderId="0" xfId="0" pivotButton="1"/>
    <xf numFmtId="0" fontId="19" fillId="0" borderId="0" xfId="0" applyFont="1" applyAlignment="1">
      <alignment horizontal="center"/>
    </xf>
    <xf numFmtId="0" fontId="0" fillId="53" borderId="0" xfId="0" applyFill="1"/>
    <xf numFmtId="164" fontId="0" fillId="53" borderId="0" xfId="2" applyFont="1" applyFill="1"/>
    <xf numFmtId="2" fontId="0" fillId="53" borderId="0" xfId="0" applyNumberFormat="1" applyFill="1"/>
    <xf numFmtId="0" fontId="19" fillId="0" borderId="23" xfId="0" applyFont="1" applyBorder="1"/>
    <xf numFmtId="0" fontId="0" fillId="7" borderId="0" xfId="0" applyFill="1" applyProtection="1">
      <protection locked="0"/>
    </xf>
    <xf numFmtId="0" fontId="20" fillId="7" borderId="0" xfId="0" applyFont="1" applyFill="1" applyProtection="1">
      <protection locked="0"/>
    </xf>
    <xf numFmtId="0" fontId="87" fillId="0" borderId="0" xfId="0" applyFont="1"/>
    <xf numFmtId="0" fontId="88" fillId="0" borderId="0" xfId="0" applyFont="1" applyAlignment="1">
      <alignment horizontal="left" indent="5"/>
    </xf>
    <xf numFmtId="49" fontId="0" fillId="0" borderId="0" xfId="0" applyNumberFormat="1" applyProtection="1">
      <protection locked="0"/>
    </xf>
    <xf numFmtId="0" fontId="91" fillId="0" borderId="0" xfId="0" applyFont="1" applyProtection="1">
      <protection locked="0"/>
    </xf>
    <xf numFmtId="1" fontId="91" fillId="0" borderId="0" xfId="0" applyNumberFormat="1" applyFont="1" applyProtection="1">
      <protection locked="0"/>
    </xf>
    <xf numFmtId="0" fontId="19" fillId="0" borderId="0" xfId="0" applyFont="1" applyAlignment="1" applyProtection="1">
      <alignment horizontal="right"/>
      <protection locked="0"/>
    </xf>
    <xf numFmtId="1" fontId="0" fillId="7" borderId="0" xfId="0" applyNumberFormat="1" applyFill="1" applyProtection="1">
      <protection locked="0"/>
    </xf>
    <xf numFmtId="0" fontId="53" fillId="0" borderId="0" xfId="0" applyFont="1"/>
    <xf numFmtId="0" fontId="0" fillId="0" borderId="2" xfId="0" applyBorder="1" applyAlignment="1">
      <alignment horizontal="left" indent="1"/>
    </xf>
    <xf numFmtId="0" fontId="0" fillId="0" borderId="5" xfId="0" applyBorder="1" applyAlignment="1">
      <alignment horizontal="left" indent="1"/>
    </xf>
    <xf numFmtId="0" fontId="0" fillId="0" borderId="7" xfId="0" applyBorder="1" applyAlignment="1">
      <alignment horizontal="left" indent="1"/>
    </xf>
    <xf numFmtId="0" fontId="0" fillId="0" borderId="24" xfId="0" applyBorder="1" applyProtection="1">
      <protection locked="0"/>
    </xf>
    <xf numFmtId="0" fontId="0" fillId="0" borderId="47" xfId="0" applyBorder="1" applyProtection="1">
      <protection locked="0"/>
    </xf>
    <xf numFmtId="177" fontId="0" fillId="0" borderId="47" xfId="0" applyNumberFormat="1" applyBorder="1" applyProtection="1">
      <protection locked="0"/>
    </xf>
    <xf numFmtId="199" fontId="0" fillId="0" borderId="25" xfId="0" applyNumberFormat="1" applyBorder="1" applyProtection="1">
      <protection locked="0"/>
    </xf>
    <xf numFmtId="0" fontId="0" fillId="55" borderId="0" xfId="0" applyFill="1"/>
    <xf numFmtId="0" fontId="1" fillId="55" borderId="0" xfId="1" applyFill="1"/>
    <xf numFmtId="0" fontId="19" fillId="0" borderId="0" xfId="0" applyFont="1" applyAlignment="1">
      <alignment horizontal="right"/>
    </xf>
    <xf numFmtId="0" fontId="0" fillId="0" borderId="0" xfId="0" applyAlignment="1">
      <alignment horizontal="left" indent="4"/>
    </xf>
    <xf numFmtId="166" fontId="0" fillId="0" borderId="0" xfId="48" applyFont="1"/>
    <xf numFmtId="0" fontId="0" fillId="0" borderId="90" xfId="0" applyBorder="1"/>
    <xf numFmtId="206" fontId="5" fillId="7" borderId="11" xfId="3" applyNumberFormat="1" applyFont="1" applyFill="1" applyBorder="1" applyAlignment="1">
      <alignment horizontal="right"/>
    </xf>
    <xf numFmtId="2" fontId="94" fillId="7" borderId="0" xfId="0" applyNumberFormat="1" applyFont="1" applyFill="1" applyAlignment="1">
      <alignment horizontal="left"/>
    </xf>
    <xf numFmtId="0" fontId="0" fillId="0" borderId="90" xfId="0" applyBorder="1" applyProtection="1">
      <protection locked="0"/>
    </xf>
    <xf numFmtId="0" fontId="0" fillId="0" borderId="91" xfId="0" applyBorder="1"/>
    <xf numFmtId="0" fontId="0" fillId="0" borderId="92" xfId="0" applyBorder="1"/>
    <xf numFmtId="0" fontId="0" fillId="0" borderId="93" xfId="0" applyBorder="1" applyProtection="1">
      <protection locked="0"/>
    </xf>
    <xf numFmtId="0" fontId="0" fillId="0" borderId="94" xfId="0" applyBorder="1"/>
    <xf numFmtId="0" fontId="0" fillId="0" borderId="95" xfId="0" applyBorder="1"/>
    <xf numFmtId="0" fontId="0" fillId="0" borderId="99" xfId="0" applyBorder="1"/>
    <xf numFmtId="0" fontId="0" fillId="0" borderId="100" xfId="0" applyBorder="1" applyProtection="1">
      <protection locked="0"/>
    </xf>
    <xf numFmtId="0" fontId="0" fillId="0" borderId="101" xfId="0" applyBorder="1"/>
    <xf numFmtId="0" fontId="0" fillId="0" borderId="100" xfId="0" applyBorder="1"/>
    <xf numFmtId="0" fontId="0" fillId="0" borderId="90" xfId="0" quotePrefix="1" applyBorder="1"/>
    <xf numFmtId="16" fontId="0" fillId="0" borderId="90" xfId="0" quotePrefix="1" applyNumberFormat="1" applyBorder="1"/>
    <xf numFmtId="0" fontId="0" fillId="0" borderId="90" xfId="0" applyBorder="1" applyAlignment="1">
      <alignment horizontal="right"/>
    </xf>
    <xf numFmtId="0" fontId="0" fillId="0" borderId="102" xfId="0" applyBorder="1"/>
    <xf numFmtId="0" fontId="0" fillId="0" borderId="103" xfId="0" applyBorder="1" applyAlignment="1">
      <alignment horizontal="right"/>
    </xf>
    <xf numFmtId="0" fontId="0" fillId="0" borderId="103" xfId="0" applyBorder="1" applyProtection="1">
      <protection locked="0"/>
    </xf>
    <xf numFmtId="0" fontId="0" fillId="0" borderId="103" xfId="0" applyBorder="1"/>
    <xf numFmtId="0" fontId="0" fillId="0" borderId="104" xfId="0" applyBorder="1"/>
    <xf numFmtId="0" fontId="0" fillId="0" borderId="105" xfId="0" applyBorder="1"/>
    <xf numFmtId="0" fontId="0" fillId="0" borderId="99" xfId="0" quotePrefix="1" applyBorder="1"/>
    <xf numFmtId="0" fontId="0" fillId="0" borderId="106" xfId="0" applyBorder="1"/>
    <xf numFmtId="0" fontId="0" fillId="0" borderId="107" xfId="0" applyBorder="1" applyProtection="1">
      <protection locked="0"/>
    </xf>
    <xf numFmtId="0" fontId="0" fillId="0" borderId="108" xfId="0" applyBorder="1" applyProtection="1">
      <protection locked="0"/>
    </xf>
    <xf numFmtId="0" fontId="0" fillId="0" borderId="108" xfId="0" applyBorder="1"/>
    <xf numFmtId="0" fontId="0" fillId="0" borderId="109" xfId="0" applyBorder="1"/>
    <xf numFmtId="0" fontId="0" fillId="0" borderId="110" xfId="0" applyBorder="1" applyAlignment="1">
      <alignment horizontal="right"/>
    </xf>
    <xf numFmtId="0" fontId="0" fillId="0" borderId="113" xfId="0" applyBorder="1" applyAlignment="1">
      <alignment horizontal="right"/>
    </xf>
    <xf numFmtId="0" fontId="0" fillId="0" borderId="115" xfId="0" applyBorder="1" applyAlignment="1">
      <alignment horizontal="right"/>
    </xf>
    <xf numFmtId="0" fontId="71" fillId="0" borderId="0" xfId="0" applyFont="1" applyAlignment="1">
      <alignment vertical="center"/>
    </xf>
    <xf numFmtId="0" fontId="38" fillId="0" borderId="118" xfId="0" applyFont="1" applyBorder="1"/>
    <xf numFmtId="0" fontId="0" fillId="0" borderId="119" xfId="0" applyBorder="1"/>
    <xf numFmtId="0" fontId="0" fillId="0" borderId="120" xfId="0" applyBorder="1"/>
    <xf numFmtId="0" fontId="38" fillId="0" borderId="121" xfId="0" applyFont="1" applyBorder="1"/>
    <xf numFmtId="0" fontId="0" fillId="0" borderId="122" xfId="0" applyBorder="1"/>
    <xf numFmtId="0" fontId="0" fillId="0" borderId="124" xfId="0" applyBorder="1"/>
    <xf numFmtId="0" fontId="0" fillId="0" borderId="125" xfId="0" applyBorder="1"/>
    <xf numFmtId="0" fontId="38" fillId="0" borderId="123" xfId="0" applyFont="1" applyBorder="1"/>
    <xf numFmtId="22" fontId="0" fillId="0" borderId="0" xfId="0" applyNumberFormat="1" applyProtection="1">
      <protection locked="0"/>
    </xf>
    <xf numFmtId="0" fontId="11" fillId="22" borderId="0" xfId="0" applyFont="1" applyFill="1"/>
    <xf numFmtId="22" fontId="0" fillId="0" borderId="0" xfId="0" applyNumberFormat="1"/>
    <xf numFmtId="225" fontId="0" fillId="0" borderId="0" xfId="0" applyNumberFormat="1"/>
    <xf numFmtId="226" fontId="0" fillId="0" borderId="0" xfId="0" applyNumberFormat="1"/>
    <xf numFmtId="14" fontId="0" fillId="0" borderId="0" xfId="0" applyNumberFormat="1" applyAlignment="1" applyProtection="1">
      <alignment horizontal="left"/>
      <protection locked="0"/>
    </xf>
    <xf numFmtId="0" fontId="0" fillId="0" borderId="0" xfId="0" applyAlignment="1" applyProtection="1">
      <alignment vertical="center"/>
      <protection locked="0"/>
    </xf>
    <xf numFmtId="2" fontId="0" fillId="0" borderId="0" xfId="0" applyNumberFormat="1" applyAlignment="1">
      <alignment horizontal="right"/>
    </xf>
    <xf numFmtId="10" fontId="5" fillId="7" borderId="11" xfId="0" applyNumberFormat="1" applyFont="1" applyFill="1" applyBorder="1" applyAlignment="1">
      <alignment horizontal="left"/>
    </xf>
    <xf numFmtId="10" fontId="5" fillId="4" borderId="11" xfId="0" applyNumberFormat="1" applyFont="1" applyFill="1" applyBorder="1" applyAlignment="1">
      <alignment horizontal="left"/>
    </xf>
    <xf numFmtId="10" fontId="5" fillId="4" borderId="11" xfId="3" applyNumberFormat="1" applyFont="1" applyFill="1" applyBorder="1" applyAlignment="1" applyProtection="1">
      <alignment horizontal="left"/>
    </xf>
    <xf numFmtId="0" fontId="92" fillId="0" borderId="0" xfId="0" applyFont="1" applyAlignment="1">
      <alignment horizontal="left" vertical="top" indent="1"/>
    </xf>
    <xf numFmtId="0" fontId="97" fillId="58" borderId="0" xfId="0" applyFont="1" applyFill="1" applyAlignment="1">
      <alignment horizontal="right"/>
    </xf>
    <xf numFmtId="0" fontId="97" fillId="55" borderId="0" xfId="0" applyFont="1" applyFill="1" applyAlignment="1">
      <alignment horizontal="right"/>
    </xf>
    <xf numFmtId="0" fontId="97" fillId="57" borderId="0" xfId="0" applyFont="1" applyFill="1" applyAlignment="1">
      <alignment horizontal="right"/>
    </xf>
    <xf numFmtId="0" fontId="97" fillId="59" borderId="0" xfId="0" applyFont="1" applyFill="1" applyAlignment="1">
      <alignment horizontal="right"/>
    </xf>
    <xf numFmtId="0" fontId="27" fillId="0" borderId="0" xfId="0" applyFont="1" applyAlignment="1">
      <alignment horizontal="left"/>
    </xf>
    <xf numFmtId="0" fontId="98" fillId="0" borderId="0" xfId="0" applyFont="1"/>
    <xf numFmtId="0" fontId="0" fillId="58" borderId="0" xfId="0" applyFill="1"/>
    <xf numFmtId="0" fontId="64" fillId="57" borderId="0" xfId="0" applyFont="1" applyFill="1"/>
    <xf numFmtId="0" fontId="0" fillId="59" borderId="0" xfId="0" applyFill="1"/>
    <xf numFmtId="10" fontId="62" fillId="20" borderId="0" xfId="0" applyNumberFormat="1" applyFont="1" applyFill="1"/>
    <xf numFmtId="210" fontId="0" fillId="0" borderId="6" xfId="2" applyNumberFormat="1" applyFont="1" applyBorder="1"/>
    <xf numFmtId="210" fontId="0" fillId="0" borderId="8" xfId="2" applyNumberFormat="1" applyFont="1" applyBorder="1"/>
    <xf numFmtId="210" fontId="0" fillId="0" borderId="4" xfId="0" applyNumberFormat="1" applyBorder="1"/>
    <xf numFmtId="210" fontId="0" fillId="0" borderId="8" xfId="0" applyNumberFormat="1" applyBorder="1"/>
    <xf numFmtId="210" fontId="0" fillId="0" borderId="6" xfId="0" applyNumberFormat="1" applyBorder="1"/>
    <xf numFmtId="0" fontId="57" fillId="0" borderId="0" xfId="0" applyFont="1"/>
    <xf numFmtId="9" fontId="19" fillId="0" borderId="0" xfId="0" applyNumberFormat="1" applyFont="1"/>
    <xf numFmtId="0" fontId="65" fillId="0" borderId="0" xfId="0" applyFont="1" applyAlignment="1">
      <alignment horizontal="left" indent="1"/>
    </xf>
    <xf numFmtId="9" fontId="65" fillId="0" borderId="0" xfId="0" applyNumberFormat="1" applyFont="1"/>
    <xf numFmtId="164" fontId="65" fillId="0" borderId="0" xfId="0" applyNumberFormat="1" applyFont="1"/>
    <xf numFmtId="10" fontId="65" fillId="0" borderId="0" xfId="0" applyNumberFormat="1" applyFont="1"/>
    <xf numFmtId="206" fontId="65" fillId="0" borderId="0" xfId="0" applyNumberFormat="1" applyFont="1"/>
    <xf numFmtId="0" fontId="65" fillId="0" borderId="0" xfId="0" applyFont="1"/>
    <xf numFmtId="10" fontId="65" fillId="0" borderId="0" xfId="3" applyNumberFormat="1" applyFont="1"/>
    <xf numFmtId="0" fontId="90" fillId="0" borderId="0" xfId="0" applyFont="1" applyAlignment="1">
      <alignment horizontal="left"/>
    </xf>
    <xf numFmtId="164" fontId="90" fillId="0" borderId="0" xfId="0" applyNumberFormat="1" applyFont="1"/>
    <xf numFmtId="10" fontId="90" fillId="0" borderId="0" xfId="3" applyNumberFormat="1" applyFont="1"/>
    <xf numFmtId="206" fontId="19" fillId="0" borderId="0" xfId="3" applyNumberFormat="1" applyFont="1"/>
    <xf numFmtId="164" fontId="19" fillId="0" borderId="0" xfId="2" applyFont="1"/>
    <xf numFmtId="164" fontId="0" fillId="54" borderId="0" xfId="0" applyNumberFormat="1" applyFill="1"/>
    <xf numFmtId="0" fontId="0" fillId="54" borderId="0" xfId="0" applyFill="1"/>
    <xf numFmtId="0" fontId="0" fillId="0" borderId="56" xfId="0" applyBorder="1" applyAlignment="1" applyProtection="1">
      <alignment horizontal="center"/>
      <protection locked="0"/>
    </xf>
    <xf numFmtId="14" fontId="0" fillId="0" borderId="57" xfId="0" applyNumberFormat="1" applyBorder="1" applyAlignment="1" applyProtection="1">
      <alignment horizontal="center"/>
      <protection locked="0"/>
    </xf>
    <xf numFmtId="14" fontId="0" fillId="60" borderId="62" xfId="0" applyNumberFormat="1" applyFill="1" applyBorder="1" applyAlignment="1" applyProtection="1">
      <alignment horizontal="center" vertical="center"/>
      <protection locked="0"/>
    </xf>
    <xf numFmtId="0" fontId="0" fillId="14" borderId="63" xfId="0" applyFill="1" applyBorder="1" applyAlignment="1" applyProtection="1">
      <alignment horizontal="right" vertical="center"/>
      <protection locked="0"/>
    </xf>
    <xf numFmtId="0" fontId="0" fillId="14" borderId="66" xfId="0" applyFill="1" applyBorder="1" applyAlignment="1" applyProtection="1">
      <alignment horizontal="right" vertical="center"/>
      <protection locked="0"/>
    </xf>
    <xf numFmtId="14" fontId="0" fillId="55" borderId="68" xfId="0" applyNumberFormat="1" applyFill="1" applyBorder="1" applyAlignment="1" applyProtection="1">
      <alignment horizontal="center" vertical="center"/>
      <protection locked="0"/>
    </xf>
    <xf numFmtId="0" fontId="0" fillId="7" borderId="69" xfId="0" applyFill="1" applyBorder="1" applyAlignment="1" applyProtection="1">
      <alignment horizontal="right" vertical="center"/>
      <protection locked="0"/>
    </xf>
    <xf numFmtId="0" fontId="99" fillId="5" borderId="0" xfId="0" applyFont="1" applyFill="1" applyAlignment="1">
      <alignment horizontal="left" vertical="center"/>
    </xf>
    <xf numFmtId="0" fontId="99" fillId="5" borderId="126" xfId="0" applyFont="1" applyFill="1" applyBorder="1" applyAlignment="1">
      <alignment horizontal="left" vertical="center"/>
    </xf>
    <xf numFmtId="206" fontId="90" fillId="0" borderId="0" xfId="0" applyNumberFormat="1" applyFont="1"/>
    <xf numFmtId="0" fontId="0" fillId="0" borderId="129" xfId="0" applyBorder="1" applyProtection="1">
      <protection locked="0"/>
    </xf>
    <xf numFmtId="0" fontId="0" fillId="0" borderId="130" xfId="0" applyBorder="1" applyProtection="1">
      <protection locked="0"/>
    </xf>
    <xf numFmtId="0" fontId="0" fillId="14" borderId="69" xfId="0" applyFill="1" applyBorder="1" applyAlignment="1" applyProtection="1">
      <alignment horizontal="right" vertical="center"/>
      <protection locked="0"/>
    </xf>
    <xf numFmtId="0" fontId="0" fillId="0" borderId="131" xfId="0" applyBorder="1" applyProtection="1">
      <protection locked="0"/>
    </xf>
    <xf numFmtId="0" fontId="0" fillId="0" borderId="127" xfId="0" applyBorder="1"/>
    <xf numFmtId="0" fontId="0" fillId="0" borderId="128" xfId="0" applyBorder="1"/>
    <xf numFmtId="181" fontId="0" fillId="0" borderId="128" xfId="0" applyNumberFormat="1" applyBorder="1" applyAlignment="1">
      <alignment horizontal="center"/>
    </xf>
    <xf numFmtId="10" fontId="0" fillId="0" borderId="128" xfId="0" applyNumberFormat="1" applyBorder="1" applyAlignment="1">
      <alignment horizontal="center"/>
    </xf>
    <xf numFmtId="0" fontId="0" fillId="0" borderId="128" xfId="0" applyBorder="1" applyAlignment="1">
      <alignment horizontal="center"/>
    </xf>
    <xf numFmtId="179" fontId="0" fillId="0" borderId="128" xfId="0" applyNumberFormat="1" applyBorder="1" applyAlignment="1">
      <alignment horizontal="center"/>
    </xf>
    <xf numFmtId="180" fontId="0" fillId="0" borderId="128" xfId="0" applyNumberFormat="1" applyBorder="1" applyAlignment="1">
      <alignment horizontal="center"/>
    </xf>
    <xf numFmtId="194" fontId="0" fillId="0" borderId="128" xfId="0" applyNumberFormat="1" applyBorder="1" applyAlignment="1">
      <alignment horizontal="center"/>
    </xf>
    <xf numFmtId="0" fontId="20" fillId="0" borderId="7" xfId="0" applyFont="1" applyBorder="1"/>
    <xf numFmtId="164" fontId="61" fillId="0" borderId="8" xfId="2" applyFont="1" applyBorder="1"/>
    <xf numFmtId="176" fontId="100" fillId="4" borderId="11" xfId="0" applyNumberFormat="1" applyFont="1" applyFill="1" applyBorder="1" applyAlignment="1">
      <alignment horizontal="left"/>
    </xf>
    <xf numFmtId="211" fontId="100" fillId="4" borderId="11" xfId="0" applyNumberFormat="1" applyFont="1" applyFill="1" applyBorder="1" applyAlignment="1">
      <alignment horizontal="left"/>
    </xf>
    <xf numFmtId="227" fontId="0" fillId="0" borderId="0" xfId="0" applyNumberFormat="1"/>
    <xf numFmtId="44" fontId="0" fillId="0" borderId="0" xfId="0" applyNumberFormat="1"/>
    <xf numFmtId="0" fontId="101" fillId="20" borderId="0" xfId="0" applyFont="1" applyFill="1" applyAlignment="1">
      <alignment horizontal="right"/>
    </xf>
    <xf numFmtId="164" fontId="101" fillId="20" borderId="0" xfId="0" applyNumberFormat="1" applyFont="1" applyFill="1"/>
    <xf numFmtId="0" fontId="102" fillId="20" borderId="0" xfId="0" applyFont="1" applyFill="1"/>
    <xf numFmtId="0" fontId="103" fillId="20" borderId="0" xfId="0" applyFont="1" applyFill="1" applyAlignment="1">
      <alignment horizontal="right" vertical="center"/>
    </xf>
    <xf numFmtId="0" fontId="104" fillId="20" borderId="0" xfId="0" applyFont="1" applyFill="1"/>
    <xf numFmtId="0" fontId="105" fillId="20" borderId="0" xfId="0" applyFont="1" applyFill="1" applyAlignment="1">
      <alignment horizontal="right"/>
    </xf>
    <xf numFmtId="0" fontId="105" fillId="20" borderId="0" xfId="0" applyFont="1" applyFill="1" applyAlignment="1">
      <alignment horizontal="left"/>
    </xf>
    <xf numFmtId="210" fontId="105" fillId="20" borderId="0" xfId="0" applyNumberFormat="1" applyFont="1" applyFill="1" applyAlignment="1">
      <alignment horizontal="left"/>
    </xf>
    <xf numFmtId="10" fontId="103" fillId="20" borderId="0" xfId="0" applyNumberFormat="1" applyFont="1" applyFill="1" applyAlignment="1">
      <alignment horizontal="left" vertical="center" wrapText="1"/>
    </xf>
    <xf numFmtId="210" fontId="11" fillId="20" borderId="0" xfId="0" applyNumberFormat="1" applyFont="1" applyFill="1" applyAlignment="1">
      <alignment horizontal="left"/>
    </xf>
    <xf numFmtId="1" fontId="0" fillId="0" borderId="0" xfId="0" applyNumberFormat="1" applyAlignment="1">
      <alignment horizontal="center"/>
    </xf>
    <xf numFmtId="9" fontId="72" fillId="0" borderId="0" xfId="3" applyFont="1" applyFill="1" applyAlignment="1" applyProtection="1">
      <alignment horizontal="center"/>
    </xf>
    <xf numFmtId="210" fontId="21" fillId="20" borderId="134" xfId="2" applyNumberFormat="1" applyFont="1" applyFill="1" applyBorder="1" applyAlignment="1">
      <alignment horizontal="center" vertical="center"/>
    </xf>
    <xf numFmtId="0" fontId="21" fillId="20" borderId="132" xfId="0" applyFont="1" applyFill="1" applyBorder="1" applyAlignment="1">
      <alignment horizontal="right" vertical="center"/>
    </xf>
    <xf numFmtId="9" fontId="21" fillId="20" borderId="133" xfId="0" applyNumberFormat="1" applyFont="1" applyFill="1" applyBorder="1" applyAlignment="1">
      <alignment horizontal="center" vertical="center"/>
    </xf>
    <xf numFmtId="44" fontId="0" fillId="0" borderId="31" xfId="2" applyNumberFormat="1" applyFont="1" applyBorder="1" applyAlignment="1">
      <alignment horizontal="center" vertical="center"/>
    </xf>
    <xf numFmtId="44" fontId="0" fillId="0" borderId="32" xfId="2" applyNumberFormat="1" applyFont="1" applyBorder="1" applyAlignment="1">
      <alignment horizontal="center" vertical="center"/>
    </xf>
    <xf numFmtId="44" fontId="0" fillId="0" borderId="34" xfId="2" applyNumberFormat="1" applyFont="1" applyBorder="1" applyAlignment="1">
      <alignment horizontal="center" vertical="center"/>
    </xf>
    <xf numFmtId="44" fontId="0" fillId="0" borderId="35" xfId="2" applyNumberFormat="1" applyFont="1" applyBorder="1" applyAlignment="1">
      <alignment horizontal="center" vertical="center"/>
    </xf>
    <xf numFmtId="0" fontId="87" fillId="0" borderId="0" xfId="0" applyFont="1" applyAlignment="1">
      <alignment horizontal="right"/>
    </xf>
    <xf numFmtId="188" fontId="68" fillId="20" borderId="0" xfId="0" applyNumberFormat="1" applyFont="1" applyFill="1" applyAlignment="1">
      <alignment vertical="top"/>
    </xf>
    <xf numFmtId="164" fontId="19" fillId="20" borderId="0" xfId="2" applyFont="1" applyFill="1"/>
    <xf numFmtId="210" fontId="19" fillId="20" borderId="0" xfId="2" applyNumberFormat="1" applyFont="1" applyFill="1"/>
    <xf numFmtId="0" fontId="19" fillId="20" borderId="0" xfId="0" applyFont="1" applyFill="1"/>
    <xf numFmtId="206" fontId="21" fillId="20" borderId="133" xfId="0" applyNumberFormat="1" applyFont="1" applyFill="1" applyBorder="1" applyAlignment="1">
      <alignment horizontal="center" vertical="center"/>
    </xf>
    <xf numFmtId="206" fontId="72" fillId="0" borderId="0" xfId="3" applyNumberFormat="1" applyFont="1" applyFill="1" applyAlignment="1" applyProtection="1">
      <alignment horizontal="center"/>
    </xf>
    <xf numFmtId="0" fontId="106" fillId="20" borderId="0" xfId="0" applyFont="1" applyFill="1"/>
    <xf numFmtId="9" fontId="0" fillId="0" borderId="0" xfId="0" applyNumberFormat="1" applyAlignment="1">
      <alignment horizontal="center"/>
    </xf>
    <xf numFmtId="8" fontId="0" fillId="0" borderId="0" xfId="0" applyNumberFormat="1"/>
    <xf numFmtId="228" fontId="0" fillId="0" borderId="0" xfId="0" applyNumberFormat="1"/>
    <xf numFmtId="0" fontId="0" fillId="61" borderId="0" xfId="0" applyFill="1"/>
    <xf numFmtId="0" fontId="89" fillId="61" borderId="0" xfId="0" applyFont="1" applyFill="1"/>
    <xf numFmtId="164" fontId="62" fillId="20" borderId="0" xfId="2" applyFont="1" applyFill="1"/>
    <xf numFmtId="0" fontId="20" fillId="0" borderId="0" xfId="0" applyFont="1"/>
    <xf numFmtId="0" fontId="107" fillId="0" borderId="0" xfId="0" applyFont="1"/>
    <xf numFmtId="0" fontId="43" fillId="0" borderId="0" xfId="0" applyFont="1"/>
    <xf numFmtId="192" fontId="0" fillId="0" borderId="0" xfId="3" applyNumberFormat="1" applyFont="1"/>
    <xf numFmtId="179" fontId="0" fillId="0" borderId="0" xfId="0" applyNumberFormat="1" applyProtection="1">
      <protection locked="0"/>
    </xf>
    <xf numFmtId="229" fontId="0" fillId="0" borderId="0" xfId="0" applyNumberFormat="1" applyAlignment="1" applyProtection="1">
      <alignment horizontal="center"/>
      <protection locked="0"/>
    </xf>
    <xf numFmtId="179" fontId="0" fillId="0" borderId="0" xfId="0" applyNumberFormat="1" applyAlignment="1" applyProtection="1">
      <alignment horizontal="center"/>
      <protection locked="0"/>
    </xf>
    <xf numFmtId="0" fontId="0" fillId="2" borderId="111" xfId="0" applyFill="1" applyBorder="1"/>
    <xf numFmtId="0" fontId="0" fillId="2" borderId="112" xfId="0" applyFill="1" applyBorder="1"/>
    <xf numFmtId="0" fontId="93" fillId="2" borderId="0" xfId="0" applyFont="1" applyFill="1"/>
    <xf numFmtId="0" fontId="0" fillId="2" borderId="114" xfId="0" applyFill="1" applyBorder="1"/>
    <xf numFmtId="0" fontId="5" fillId="4" borderId="143" xfId="0" applyFont="1" applyFill="1" applyBorder="1" applyAlignment="1" applyProtection="1">
      <alignment horizontal="left"/>
      <protection locked="0"/>
    </xf>
    <xf numFmtId="0" fontId="19" fillId="0" borderId="0" xfId="0" applyFont="1" applyAlignment="1">
      <alignment horizontal="center"/>
    </xf>
    <xf numFmtId="0" fontId="19" fillId="0" borderId="0" xfId="0" applyFont="1" applyAlignment="1" applyProtection="1">
      <alignment horizontal="left"/>
      <protection locked="0"/>
    </xf>
    <xf numFmtId="0" fontId="19" fillId="0" borderId="0" xfId="0" applyFont="1" applyAlignment="1" applyProtection="1">
      <alignment horizontal="center"/>
      <protection locked="0"/>
    </xf>
    <xf numFmtId="15" fontId="0" fillId="0" borderId="48" xfId="0" applyNumberFormat="1" applyBorder="1" applyAlignment="1" applyProtection="1">
      <alignment horizontal="center" vertical="center"/>
      <protection locked="0"/>
    </xf>
    <xf numFmtId="15" fontId="0" fillId="0" borderId="49" xfId="0" applyNumberFormat="1" applyBorder="1" applyAlignment="1" applyProtection="1">
      <alignment horizontal="center" vertical="center"/>
      <protection locked="0"/>
    </xf>
    <xf numFmtId="15" fontId="0" fillId="0" borderId="50" xfId="0" applyNumberFormat="1" applyBorder="1" applyAlignment="1" applyProtection="1">
      <alignment horizontal="center" vertical="center"/>
      <protection locked="0"/>
    </xf>
    <xf numFmtId="0" fontId="0" fillId="10" borderId="0" xfId="0" applyFill="1" applyAlignment="1" applyProtection="1">
      <alignment horizontal="left" vertical="top"/>
      <protection locked="0"/>
    </xf>
    <xf numFmtId="0" fontId="53" fillId="0" borderId="135" xfId="0" applyFont="1" applyBorder="1" applyAlignment="1">
      <alignment horizontal="left" vertical="top" wrapText="1"/>
    </xf>
    <xf numFmtId="0" fontId="53" fillId="0" borderId="136" xfId="0" applyFont="1" applyBorder="1" applyAlignment="1">
      <alignment horizontal="left" vertical="top" wrapText="1"/>
    </xf>
    <xf numFmtId="0" fontId="53" fillId="0" borderId="137" xfId="0" applyFont="1" applyBorder="1" applyAlignment="1">
      <alignment horizontal="left" vertical="top" wrapText="1"/>
    </xf>
    <xf numFmtId="0" fontId="53" fillId="0" borderId="138" xfId="0" applyFont="1" applyBorder="1" applyAlignment="1">
      <alignment horizontal="left" vertical="top" wrapText="1"/>
    </xf>
    <xf numFmtId="0" fontId="53" fillId="0" borderId="0" xfId="0" applyFont="1" applyAlignment="1">
      <alignment horizontal="left" vertical="top" wrapText="1"/>
    </xf>
    <xf numFmtId="0" fontId="53" fillId="0" borderId="139" xfId="0" applyFont="1" applyBorder="1" applyAlignment="1">
      <alignment horizontal="left" vertical="top" wrapText="1"/>
    </xf>
    <xf numFmtId="0" fontId="53" fillId="0" borderId="140" xfId="0" applyFont="1" applyBorder="1" applyAlignment="1">
      <alignment horizontal="left" vertical="top" wrapText="1"/>
    </xf>
    <xf numFmtId="0" fontId="53" fillId="0" borderId="141" xfId="0" applyFont="1" applyBorder="1" applyAlignment="1">
      <alignment horizontal="left" vertical="top" wrapText="1"/>
    </xf>
    <xf numFmtId="0" fontId="53" fillId="0" borderId="142" xfId="0" applyFont="1" applyBorder="1" applyAlignment="1">
      <alignment horizontal="left" vertical="top" wrapText="1"/>
    </xf>
    <xf numFmtId="0" fontId="0" fillId="0" borderId="12" xfId="0" applyBorder="1" applyAlignment="1">
      <alignment horizontal="center"/>
    </xf>
    <xf numFmtId="0" fontId="0" fillId="0" borderId="14" xfId="0" applyBorder="1" applyAlignment="1">
      <alignment horizontal="center"/>
    </xf>
    <xf numFmtId="0" fontId="95" fillId="0" borderId="96" xfId="0" applyFont="1" applyBorder="1" applyAlignment="1">
      <alignment horizontal="center"/>
    </xf>
    <xf numFmtId="0" fontId="95" fillId="0" borderId="97" xfId="0" applyFont="1" applyBorder="1" applyAlignment="1">
      <alignment horizontal="center"/>
    </xf>
    <xf numFmtId="0" fontId="95" fillId="0" borderId="98" xfId="0" applyFont="1" applyBorder="1" applyAlignment="1">
      <alignment horizontal="center"/>
    </xf>
    <xf numFmtId="49" fontId="0" fillId="0" borderId="116" xfId="0" quotePrefix="1" applyNumberFormat="1" applyBorder="1" applyAlignment="1">
      <alignment horizontal="center"/>
    </xf>
    <xf numFmtId="49" fontId="0" fillId="0" borderId="117" xfId="0" applyNumberFormat="1" applyBorder="1" applyAlignment="1">
      <alignment horizontal="center"/>
    </xf>
    <xf numFmtId="0" fontId="0" fillId="0" borderId="0" xfId="0" applyAlignment="1">
      <alignment horizontal="center" wrapText="1"/>
    </xf>
    <xf numFmtId="210" fontId="67" fillId="20" borderId="0" xfId="0" applyNumberFormat="1" applyFont="1" applyFill="1" applyAlignment="1">
      <alignment horizontal="left"/>
    </xf>
    <xf numFmtId="0" fontId="0" fillId="17" borderId="0" xfId="0" applyFill="1" applyAlignment="1">
      <alignment horizontal="center"/>
    </xf>
    <xf numFmtId="0" fontId="0" fillId="0" borderId="0" xfId="0" applyAlignment="1">
      <alignment horizontal="center"/>
    </xf>
    <xf numFmtId="0" fontId="21" fillId="0" borderId="0" xfId="0" applyFont="1" applyAlignment="1">
      <alignment horizontal="right"/>
    </xf>
    <xf numFmtId="0" fontId="0" fillId="0" borderId="3" xfId="0" applyBorder="1" applyAlignment="1">
      <alignment horizontal="right" wrapText="1"/>
    </xf>
    <xf numFmtId="0" fontId="0" fillId="0" borderId="0" xfId="0" applyAlignment="1">
      <alignment horizontal="right" wrapText="1"/>
    </xf>
    <xf numFmtId="0" fontId="0" fillId="0" borderId="0" xfId="0" applyAlignment="1">
      <alignment horizontal="right" vertical="center" textRotation="90"/>
    </xf>
    <xf numFmtId="0" fontId="0" fillId="0" borderId="6" xfId="0" applyBorder="1" applyAlignment="1">
      <alignment horizontal="right" vertical="center" textRotation="90"/>
    </xf>
    <xf numFmtId="0" fontId="0" fillId="0" borderId="0" xfId="0" applyAlignment="1">
      <alignment horizontal="center" vertical="center" textRotation="90"/>
    </xf>
    <xf numFmtId="0" fontId="0" fillId="0" borderId="0" xfId="0" applyAlignment="1">
      <alignment horizontal="center" vertical="center" textRotation="90" wrapText="1"/>
    </xf>
    <xf numFmtId="0" fontId="0" fillId="0" borderId="0" xfId="0" applyAlignment="1">
      <alignment horizontal="center" vertical="center" wrapText="1"/>
    </xf>
    <xf numFmtId="0" fontId="96" fillId="55" borderId="44" xfId="0" applyFont="1" applyFill="1" applyBorder="1" applyAlignment="1" applyProtection="1">
      <alignment horizontal="center" vertical="center" shrinkToFit="1"/>
      <protection locked="0"/>
    </xf>
    <xf numFmtId="0" fontId="96" fillId="55" borderId="45" xfId="0" applyFont="1" applyFill="1" applyBorder="1" applyAlignment="1" applyProtection="1">
      <alignment horizontal="center" vertical="center" shrinkToFit="1"/>
      <protection locked="0"/>
    </xf>
    <xf numFmtId="0" fontId="96" fillId="55" borderId="46" xfId="0" applyFont="1" applyFill="1" applyBorder="1" applyAlignment="1" applyProtection="1">
      <alignment horizontal="center" vertical="center" shrinkToFit="1"/>
      <protection locked="0"/>
    </xf>
    <xf numFmtId="0" fontId="23" fillId="56" borderId="0" xfId="0" applyFont="1" applyFill="1" applyAlignment="1">
      <alignment horizontal="center" vertical="center"/>
    </xf>
    <xf numFmtId="0" fontId="4" fillId="0" borderId="9" xfId="0" applyFont="1" applyBorder="1" applyAlignment="1">
      <alignment horizontal="center" vertical="center" wrapText="1"/>
    </xf>
    <xf numFmtId="0" fontId="4" fillId="0" borderId="0" xfId="0" applyFont="1" applyAlignment="1">
      <alignment horizontal="center" vertical="center" wrapText="1"/>
    </xf>
    <xf numFmtId="0" fontId="4" fillId="0" borderId="10" xfId="0" applyFont="1" applyBorder="1" applyAlignment="1">
      <alignment horizontal="center" vertical="center" wrapText="1"/>
    </xf>
    <xf numFmtId="0" fontId="27" fillId="0" borderId="0" xfId="0" applyFont="1" applyAlignment="1">
      <alignment horizontal="center"/>
    </xf>
    <xf numFmtId="0" fontId="26" fillId="0" borderId="0" xfId="0" applyFont="1" applyAlignment="1">
      <alignment horizontal="center" wrapText="1"/>
    </xf>
    <xf numFmtId="0" fontId="40" fillId="0" borderId="0" xfId="0" applyFont="1" applyAlignment="1">
      <alignment horizontal="right" vertical="top" wrapText="1"/>
    </xf>
    <xf numFmtId="209" fontId="28" fillId="0" borderId="0" xfId="0" applyNumberFormat="1" applyFont="1" applyAlignment="1">
      <alignment horizontal="left" vertical="top"/>
    </xf>
    <xf numFmtId="218" fontId="29" fillId="0" borderId="0" xfId="0" applyNumberFormat="1" applyFont="1" applyAlignment="1">
      <alignment horizontal="left" vertical="top"/>
    </xf>
    <xf numFmtId="0" fontId="22" fillId="0" borderId="29" xfId="0" applyFont="1" applyBorder="1" applyAlignment="1">
      <alignment horizontal="center" wrapText="1"/>
    </xf>
    <xf numFmtId="164" fontId="0" fillId="0" borderId="29" xfId="0" applyNumberFormat="1" applyBorder="1" applyAlignment="1">
      <alignment horizontal="center"/>
    </xf>
    <xf numFmtId="0" fontId="0" fillId="0" borderId="29" xfId="0" applyBorder="1" applyAlignment="1">
      <alignment horizontal="center"/>
    </xf>
    <xf numFmtId="0" fontId="23" fillId="3" borderId="0" xfId="0" applyFont="1" applyFill="1" applyAlignment="1">
      <alignment horizontal="center" vertical="center"/>
    </xf>
    <xf numFmtId="178" fontId="25" fillId="0" borderId="0" xfId="0" applyNumberFormat="1" applyFont="1" applyAlignment="1">
      <alignment horizontal="center" wrapText="1"/>
    </xf>
    <xf numFmtId="10" fontId="0" fillId="0" borderId="29" xfId="3" applyNumberFormat="1" applyFont="1" applyBorder="1" applyAlignment="1">
      <alignment horizontal="center"/>
    </xf>
    <xf numFmtId="178" fontId="25" fillId="0" borderId="0" xfId="0" applyNumberFormat="1" applyFont="1" applyAlignment="1">
      <alignment horizontal="center"/>
    </xf>
    <xf numFmtId="196" fontId="0" fillId="0" borderId="41" xfId="0" applyNumberFormat="1" applyBorder="1" applyAlignment="1">
      <alignment horizontal="right"/>
    </xf>
    <xf numFmtId="196" fontId="0" fillId="0" borderId="42" xfId="0" applyNumberFormat="1" applyBorder="1" applyAlignment="1">
      <alignment horizontal="right"/>
    </xf>
    <xf numFmtId="205" fontId="0" fillId="0" borderId="41" xfId="0" applyNumberFormat="1" applyBorder="1" applyAlignment="1">
      <alignment horizontal="right"/>
    </xf>
    <xf numFmtId="205" fontId="0" fillId="0" borderId="42" xfId="0" applyNumberFormat="1" applyBorder="1" applyAlignment="1">
      <alignment horizontal="right"/>
    </xf>
    <xf numFmtId="0" fontId="28" fillId="0" borderId="0" xfId="0" applyFont="1" applyAlignment="1">
      <alignment horizontal="center" vertical="center"/>
    </xf>
    <xf numFmtId="0" fontId="0" fillId="0" borderId="13" xfId="0" applyBorder="1" applyAlignment="1">
      <alignment horizontal="center"/>
    </xf>
    <xf numFmtId="190" fontId="17" fillId="3" borderId="23" xfId="0" applyNumberFormat="1" applyFont="1" applyFill="1" applyBorder="1" applyAlignment="1">
      <alignment horizontal="center" vertical="center" wrapText="1"/>
    </xf>
    <xf numFmtId="189" fontId="12" fillId="3" borderId="23" xfId="0" applyNumberFormat="1" applyFont="1" applyFill="1" applyBorder="1" applyAlignment="1">
      <alignment horizontal="center" vertical="center"/>
    </xf>
    <xf numFmtId="0" fontId="12" fillId="0" borderId="23" xfId="0" applyFont="1" applyBorder="1" applyAlignment="1">
      <alignment horizontal="center" vertical="center"/>
    </xf>
    <xf numFmtId="0" fontId="17" fillId="0" borderId="23" xfId="0" applyFont="1" applyBorder="1" applyAlignment="1">
      <alignment horizontal="left" vertical="center" wrapText="1"/>
    </xf>
    <xf numFmtId="0" fontId="17" fillId="0" borderId="23" xfId="0" applyFont="1" applyBorder="1" applyAlignment="1">
      <alignment horizontal="center" vertical="center" wrapText="1"/>
    </xf>
    <xf numFmtId="190" fontId="17" fillId="0" borderId="23" xfId="0" applyNumberFormat="1" applyFont="1" applyBorder="1" applyAlignment="1">
      <alignment horizontal="center" vertical="center" wrapText="1"/>
    </xf>
    <xf numFmtId="189" fontId="12" fillId="0" borderId="23" xfId="0" applyNumberFormat="1" applyFont="1" applyBorder="1" applyAlignment="1">
      <alignment horizontal="center" vertical="center"/>
    </xf>
    <xf numFmtId="0" fontId="16" fillId="9" borderId="0" xfId="4" applyFont="1" applyFill="1" applyBorder="1" applyAlignment="1">
      <alignment horizontal="center"/>
    </xf>
    <xf numFmtId="0" fontId="12" fillId="3" borderId="23" xfId="0" applyFont="1" applyFill="1" applyBorder="1" applyAlignment="1">
      <alignment horizontal="center" vertical="center"/>
    </xf>
    <xf numFmtId="0" fontId="17" fillId="3" borderId="23" xfId="0" applyFont="1" applyFill="1" applyBorder="1" applyAlignment="1">
      <alignment horizontal="left" vertical="center" wrapText="1"/>
    </xf>
    <xf numFmtId="0" fontId="17" fillId="3" borderId="23" xfId="0" applyFont="1" applyFill="1" applyBorder="1" applyAlignment="1">
      <alignment horizontal="center" vertical="center" wrapText="1"/>
    </xf>
    <xf numFmtId="0" fontId="16" fillId="9" borderId="0" xfId="4" applyFont="1" applyFill="1" applyBorder="1" applyAlignment="1">
      <alignment horizontal="center" vertical="center"/>
    </xf>
    <xf numFmtId="0" fontId="16" fillId="9" borderId="21" xfId="4" applyFont="1" applyFill="1" applyBorder="1" applyAlignment="1">
      <alignment horizontal="center" vertical="center"/>
    </xf>
    <xf numFmtId="190" fontId="17" fillId="0" borderId="24" xfId="0" applyNumberFormat="1" applyFont="1" applyBorder="1" applyAlignment="1">
      <alignment horizontal="center" vertical="center" wrapText="1"/>
    </xf>
    <xf numFmtId="190" fontId="17" fillId="0" borderId="25" xfId="0" applyNumberFormat="1" applyFont="1" applyBorder="1" applyAlignment="1">
      <alignment horizontal="center" vertical="center" wrapText="1"/>
    </xf>
    <xf numFmtId="190" fontId="17" fillId="3" borderId="24" xfId="0" applyNumberFormat="1" applyFont="1" applyFill="1" applyBorder="1" applyAlignment="1">
      <alignment horizontal="center" vertical="center" wrapText="1"/>
    </xf>
    <xf numFmtId="190" fontId="17" fillId="3" borderId="25" xfId="0" applyNumberFormat="1" applyFont="1" applyFill="1" applyBorder="1" applyAlignment="1">
      <alignment horizontal="center" vertical="center" wrapText="1"/>
    </xf>
    <xf numFmtId="0" fontId="19" fillId="2" borderId="23" xfId="0" applyFont="1" applyFill="1" applyBorder="1" applyAlignment="1">
      <alignment horizontal="center"/>
    </xf>
    <xf numFmtId="0" fontId="41" fillId="0" borderId="5" xfId="0" applyFont="1" applyBorder="1" applyAlignment="1">
      <alignment horizontal="center"/>
    </xf>
    <xf numFmtId="0" fontId="41" fillId="0" borderId="0" xfId="0" applyFont="1" applyAlignment="1">
      <alignment horizontal="center"/>
    </xf>
    <xf numFmtId="14" fontId="41" fillId="0" borderId="0" xfId="0" applyNumberFormat="1" applyFont="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1" xfId="0" applyBorder="1" applyAlignment="1">
      <alignment horizontal="center"/>
    </xf>
    <xf numFmtId="0" fontId="0" fillId="0" borderId="8" xfId="0" applyBorder="1" applyAlignment="1">
      <alignment horizontal="center"/>
    </xf>
    <xf numFmtId="0" fontId="42" fillId="0" borderId="0" xfId="0" applyFont="1" applyAlignment="1">
      <alignment horizontal="left"/>
    </xf>
    <xf numFmtId="0" fontId="42" fillId="0" borderId="6" xfId="0" applyFont="1" applyBorder="1" applyAlignment="1">
      <alignment horizontal="left"/>
    </xf>
    <xf numFmtId="0" fontId="45" fillId="0" borderId="0" xfId="5" applyBorder="1" applyAlignment="1" applyProtection="1"/>
    <xf numFmtId="0" fontId="0" fillId="0" borderId="0" xfId="0"/>
    <xf numFmtId="0" fontId="0" fillId="0" borderId="6" xfId="0" applyBorder="1"/>
    <xf numFmtId="0" fontId="42" fillId="0" borderId="1" xfId="0" applyFont="1" applyBorder="1" applyAlignment="1">
      <alignment horizontal="left"/>
    </xf>
    <xf numFmtId="0" fontId="42" fillId="0" borderId="8" xfId="0" applyFont="1" applyBorder="1" applyAlignment="1">
      <alignment horizontal="left"/>
    </xf>
    <xf numFmtId="0" fontId="19" fillId="2" borderId="12" xfId="0" applyFont="1" applyFill="1" applyBorder="1" applyAlignment="1">
      <alignment horizontal="center"/>
    </xf>
    <xf numFmtId="0" fontId="19" fillId="2" borderId="13" xfId="0" applyFont="1" applyFill="1" applyBorder="1" applyAlignment="1">
      <alignment horizontal="center"/>
    </xf>
    <xf numFmtId="0" fontId="19" fillId="2" borderId="14" xfId="0" applyFont="1" applyFill="1" applyBorder="1" applyAlignment="1">
      <alignment horizontal="center"/>
    </xf>
    <xf numFmtId="0" fontId="19" fillId="2" borderId="2" xfId="0" applyFont="1" applyFill="1" applyBorder="1" applyAlignment="1">
      <alignment horizontal="center"/>
    </xf>
    <xf numFmtId="0" fontId="19" fillId="2" borderId="3" xfId="0" applyFont="1" applyFill="1" applyBorder="1" applyAlignment="1">
      <alignment horizontal="center"/>
    </xf>
    <xf numFmtId="0" fontId="19" fillId="2" borderId="4" xfId="0" applyFont="1" applyFill="1" applyBorder="1" applyAlignment="1">
      <alignment horizontal="center"/>
    </xf>
    <xf numFmtId="0" fontId="19" fillId="2" borderId="7" xfId="0" applyFont="1" applyFill="1" applyBorder="1" applyAlignment="1">
      <alignment horizontal="center"/>
    </xf>
    <xf numFmtId="0" fontId="19" fillId="2" borderId="1" xfId="0" applyFont="1" applyFill="1" applyBorder="1" applyAlignment="1">
      <alignment horizontal="center"/>
    </xf>
    <xf numFmtId="0" fontId="19" fillId="2" borderId="8" xfId="0" applyFont="1" applyFill="1" applyBorder="1" applyAlignment="1">
      <alignment horizontal="center"/>
    </xf>
    <xf numFmtId="0" fontId="42" fillId="0" borderId="3" xfId="0" applyFont="1" applyBorder="1" applyAlignment="1">
      <alignment horizontal="left"/>
    </xf>
    <xf numFmtId="0" fontId="42" fillId="0" borderId="4" xfId="0" applyFont="1" applyBorder="1" applyAlignment="1">
      <alignment horizontal="left"/>
    </xf>
    <xf numFmtId="0" fontId="47" fillId="0" borderId="0" xfId="0" applyFont="1" applyAlignment="1">
      <alignment horizontal="center"/>
    </xf>
    <xf numFmtId="0" fontId="50" fillId="0" borderId="14" xfId="0" applyFont="1" applyBorder="1" applyAlignment="1">
      <alignment horizontal="left" vertical="center"/>
    </xf>
    <xf numFmtId="0" fontId="50" fillId="0" borderId="23" xfId="0" applyFont="1" applyBorder="1" applyAlignment="1">
      <alignment horizontal="left" vertical="center"/>
    </xf>
    <xf numFmtId="49" fontId="52" fillId="0" borderId="2" xfId="0" applyNumberFormat="1" applyFont="1" applyBorder="1" applyAlignment="1">
      <alignment horizontal="center" vertical="center"/>
    </xf>
    <xf numFmtId="0" fontId="52" fillId="0" borderId="4" xfId="0" applyFont="1" applyBorder="1" applyAlignment="1">
      <alignment horizontal="center" vertical="center"/>
    </xf>
    <xf numFmtId="0" fontId="52" fillId="0" borderId="7" xfId="0" applyFont="1" applyBorder="1" applyAlignment="1">
      <alignment horizontal="center" vertical="center"/>
    </xf>
    <xf numFmtId="0" fontId="52" fillId="0" borderId="8" xfId="0" applyFont="1" applyBorder="1" applyAlignment="1">
      <alignment horizontal="center" vertical="center"/>
    </xf>
    <xf numFmtId="0" fontId="54" fillId="0" borderId="2" xfId="0" applyFont="1" applyBorder="1" applyAlignment="1">
      <alignment horizontal="center" vertical="center"/>
    </xf>
    <xf numFmtId="0" fontId="54" fillId="0" borderId="4" xfId="0" applyFont="1" applyBorder="1" applyAlignment="1">
      <alignment horizontal="center" vertical="center"/>
    </xf>
    <xf numFmtId="0" fontId="54" fillId="0" borderId="7" xfId="0" applyFont="1" applyBorder="1" applyAlignment="1">
      <alignment horizontal="center" vertical="center"/>
    </xf>
    <xf numFmtId="0" fontId="54" fillId="0" borderId="8" xfId="0" applyFont="1" applyBorder="1" applyAlignment="1">
      <alignment horizontal="center" vertical="center"/>
    </xf>
    <xf numFmtId="0" fontId="52" fillId="0" borderId="12" xfId="0" applyFont="1" applyBorder="1" applyAlignment="1">
      <alignment horizontal="center"/>
    </xf>
    <xf numFmtId="0" fontId="52" fillId="0" borderId="14" xfId="0" applyFont="1" applyBorder="1" applyAlignment="1">
      <alignment horizontal="center"/>
    </xf>
    <xf numFmtId="0" fontId="50" fillId="0" borderId="14" xfId="0" applyFont="1" applyBorder="1" applyAlignment="1">
      <alignment horizontal="left" vertical="center" wrapText="1"/>
    </xf>
    <xf numFmtId="0" fontId="50" fillId="0" borderId="23" xfId="0" applyFont="1" applyBorder="1" applyAlignment="1">
      <alignment horizontal="left" vertical="center" wrapText="1"/>
    </xf>
    <xf numFmtId="0" fontId="50" fillId="0" borderId="23" xfId="0" applyFont="1" applyBorder="1" applyAlignment="1">
      <alignment horizontal="left"/>
    </xf>
    <xf numFmtId="0" fontId="50" fillId="0" borderId="12" xfId="0" applyFont="1" applyBorder="1" applyAlignment="1">
      <alignment horizontal="left"/>
    </xf>
    <xf numFmtId="0" fontId="50" fillId="0" borderId="14" xfId="0" applyFont="1" applyBorder="1" applyAlignment="1">
      <alignment horizontal="left"/>
    </xf>
    <xf numFmtId="0" fontId="50" fillId="0" borderId="2" xfId="0" applyFont="1" applyBorder="1" applyAlignment="1">
      <alignment horizontal="center"/>
    </xf>
    <xf numFmtId="0" fontId="50" fillId="0" borderId="4" xfId="0" applyFont="1" applyBorder="1" applyAlignment="1">
      <alignment horizontal="center"/>
    </xf>
    <xf numFmtId="0" fontId="50" fillId="0" borderId="7" xfId="0" applyFont="1" applyBorder="1" applyAlignment="1">
      <alignment horizontal="center"/>
    </xf>
    <xf numFmtId="0" fontId="50" fillId="0" borderId="8" xfId="0" applyFont="1" applyBorder="1" applyAlignment="1">
      <alignment horizontal="center"/>
    </xf>
    <xf numFmtId="0" fontId="53" fillId="0" borderId="23" xfId="0" applyFont="1" applyBorder="1" applyAlignment="1">
      <alignment horizontal="left" wrapText="1"/>
    </xf>
    <xf numFmtId="0" fontId="53" fillId="0" borderId="12" xfId="0" applyFont="1" applyBorder="1" applyAlignment="1">
      <alignment horizontal="left" wrapText="1"/>
    </xf>
    <xf numFmtId="14" fontId="19" fillId="0" borderId="2" xfId="0" applyNumberFormat="1" applyFont="1" applyBorder="1" applyAlignment="1">
      <alignment horizontal="center" vertical="center"/>
    </xf>
    <xf numFmtId="0" fontId="19" fillId="0" borderId="4" xfId="0" applyFont="1" applyBorder="1" applyAlignment="1">
      <alignment horizontal="center" vertical="center"/>
    </xf>
    <xf numFmtId="0" fontId="19" fillId="0" borderId="7" xfId="0" applyFont="1" applyBorder="1" applyAlignment="1">
      <alignment horizontal="center" vertical="center"/>
    </xf>
    <xf numFmtId="0" fontId="19" fillId="0" borderId="8" xfId="0" applyFont="1" applyBorder="1" applyAlignment="1">
      <alignment horizontal="center" vertical="center"/>
    </xf>
    <xf numFmtId="0" fontId="53" fillId="0" borderId="23" xfId="0" applyFont="1" applyBorder="1" applyAlignment="1">
      <alignment horizontal="left" vertical="center" wrapText="1"/>
    </xf>
    <xf numFmtId="0" fontId="53" fillId="0" borderId="12" xfId="0" applyFont="1" applyBorder="1" applyAlignment="1">
      <alignment horizontal="left" vertical="center" wrapText="1"/>
    </xf>
    <xf numFmtId="0" fontId="51" fillId="0" borderId="0" xfId="0" applyFont="1" applyAlignment="1">
      <alignment horizontal="left"/>
    </xf>
    <xf numFmtId="0" fontId="52" fillId="0" borderId="8" xfId="0" applyFont="1" applyBorder="1" applyAlignment="1">
      <alignment horizontal="left"/>
    </xf>
    <xf numFmtId="0" fontId="52" fillId="0" borderId="25" xfId="0" applyFont="1" applyBorder="1" applyAlignment="1">
      <alignment horizontal="left"/>
    </xf>
    <xf numFmtId="0" fontId="52" fillId="0" borderId="25" xfId="0" applyFont="1" applyBorder="1" applyAlignment="1">
      <alignment horizontal="center"/>
    </xf>
    <xf numFmtId="0" fontId="19" fillId="0" borderId="7" xfId="0" applyFont="1" applyBorder="1" applyAlignment="1">
      <alignment horizontal="left"/>
    </xf>
    <xf numFmtId="0" fontId="19" fillId="0" borderId="1" xfId="0" applyFont="1" applyBorder="1" applyAlignment="1">
      <alignment horizontal="left"/>
    </xf>
    <xf numFmtId="0" fontId="55" fillId="0" borderId="23" xfId="0" applyFont="1" applyBorder="1" applyAlignment="1">
      <alignment horizontal="left" vertical="center" wrapText="1"/>
    </xf>
    <xf numFmtId="0" fontId="55" fillId="0" borderId="12" xfId="0" applyFont="1" applyBorder="1" applyAlignment="1">
      <alignment horizontal="left" vertical="center" wrapText="1"/>
    </xf>
    <xf numFmtId="2" fontId="52" fillId="0" borderId="12" xfId="0" applyNumberFormat="1" applyFont="1" applyBorder="1" applyAlignment="1">
      <alignment horizontal="center"/>
    </xf>
    <xf numFmtId="2" fontId="52" fillId="0" borderId="14" xfId="0" applyNumberFormat="1" applyFont="1" applyBorder="1" applyAlignment="1">
      <alignment horizontal="center"/>
    </xf>
    <xf numFmtId="0" fontId="0" fillId="0" borderId="2" xfId="0" applyBorder="1" applyAlignment="1">
      <alignment horizontal="center"/>
    </xf>
    <xf numFmtId="0" fontId="0" fillId="0" borderId="4" xfId="0" applyBorder="1" applyAlignment="1">
      <alignment horizontal="center"/>
    </xf>
    <xf numFmtId="0" fontId="50" fillId="0" borderId="14" xfId="0" applyFont="1" applyBorder="1" applyAlignment="1">
      <alignment horizontal="left" wrapText="1"/>
    </xf>
    <xf numFmtId="0" fontId="50" fillId="0" borderId="23" xfId="0" applyFont="1" applyBorder="1" applyAlignment="1">
      <alignment horizontal="left" wrapText="1"/>
    </xf>
    <xf numFmtId="0" fontId="50" fillId="0" borderId="4" xfId="0" applyFont="1" applyBorder="1" applyAlignment="1">
      <alignment horizontal="left" wrapText="1"/>
    </xf>
    <xf numFmtId="0" fontId="50" fillId="0" borderId="24" xfId="0" applyFont="1" applyBorder="1" applyAlignment="1">
      <alignment horizontal="left" wrapText="1"/>
    </xf>
    <xf numFmtId="0" fontId="50" fillId="0" borderId="2" xfId="0" applyFont="1" applyBorder="1" applyAlignment="1">
      <alignment horizontal="left"/>
    </xf>
    <xf numFmtId="0" fontId="50" fillId="0" borderId="4" xfId="0" applyFont="1" applyBorder="1" applyAlignment="1">
      <alignment horizontal="left"/>
    </xf>
    <xf numFmtId="0" fontId="50" fillId="0" borderId="7" xfId="0" applyFont="1" applyBorder="1" applyAlignment="1">
      <alignment horizontal="left"/>
    </xf>
    <xf numFmtId="0" fontId="50" fillId="0" borderId="8" xfId="0" applyFont="1" applyBorder="1" applyAlignment="1">
      <alignment horizontal="left"/>
    </xf>
    <xf numFmtId="0" fontId="50" fillId="0" borderId="24" xfId="0" applyFont="1" applyBorder="1" applyAlignment="1">
      <alignment horizontal="left" vertical="center"/>
    </xf>
    <xf numFmtId="0" fontId="0" fillId="0" borderId="5" xfId="0" applyBorder="1" applyAlignment="1">
      <alignment horizontal="center"/>
    </xf>
    <xf numFmtId="0" fontId="53" fillId="0" borderId="24" xfId="0" applyFont="1" applyBorder="1" applyAlignment="1">
      <alignment horizontal="left" vertical="center" wrapText="1"/>
    </xf>
    <xf numFmtId="0" fontId="53" fillId="0" borderId="2" xfId="0" applyFont="1" applyBorder="1" applyAlignment="1">
      <alignment horizontal="left" vertical="center" wrapText="1"/>
    </xf>
    <xf numFmtId="0" fontId="0" fillId="0" borderId="0" xfId="0" applyAlignment="1">
      <alignment horizontal="left" vertical="top" wrapText="1"/>
    </xf>
    <xf numFmtId="1" fontId="0" fillId="0" borderId="0" xfId="0" applyNumberFormat="1" applyAlignment="1">
      <alignment horizontal="left"/>
    </xf>
    <xf numFmtId="0" fontId="0" fillId="0" borderId="0" xfId="0" applyAlignment="1">
      <alignment horizontal="left" wrapText="1"/>
    </xf>
    <xf numFmtId="0" fontId="0" fillId="0" borderId="0" xfId="0" applyProtection="1"/>
    <xf numFmtId="226" fontId="0" fillId="0" borderId="0" xfId="0" applyNumberFormat="1" applyProtection="1"/>
    <xf numFmtId="225" fontId="0" fillId="0" borderId="0" xfId="0" applyNumberFormat="1" applyProtection="1"/>
    <xf numFmtId="0" fontId="0" fillId="0" borderId="0" xfId="0" applyNumberFormat="1"/>
  </cellXfs>
  <cellStyles count="49">
    <cellStyle name="20% - Ênfase1" xfId="24" builtinId="30" customBuiltin="1"/>
    <cellStyle name="20% - Ênfase2" xfId="28" builtinId="34" customBuiltin="1"/>
    <cellStyle name="20% - Ênfase3" xfId="32" builtinId="38" customBuiltin="1"/>
    <cellStyle name="20% - Ênfase4" xfId="36" builtinId="42" customBuiltin="1"/>
    <cellStyle name="20% - Ênfase5" xfId="40" builtinId="46" customBuiltin="1"/>
    <cellStyle name="20% - Ênfase6" xfId="44" builtinId="50" customBuiltin="1"/>
    <cellStyle name="40% - Ênfase1" xfId="25" builtinId="31" customBuiltin="1"/>
    <cellStyle name="40% - Ênfase2" xfId="29" builtinId="35" customBuiltin="1"/>
    <cellStyle name="40% - Ênfase3" xfId="33" builtinId="39" customBuiltin="1"/>
    <cellStyle name="40% - Ênfase4" xfId="37" builtinId="43" customBuiltin="1"/>
    <cellStyle name="40% - Ênfase5" xfId="41" builtinId="47" customBuiltin="1"/>
    <cellStyle name="40% - Ênfase6" xfId="45" builtinId="51" customBuiltin="1"/>
    <cellStyle name="60% - Ênfase1" xfId="26" builtinId="32" customBuiltin="1"/>
    <cellStyle name="60% - Ênfase2" xfId="30" builtinId="36" customBuiltin="1"/>
    <cellStyle name="60% - Ênfase3" xfId="34" builtinId="40" customBuiltin="1"/>
    <cellStyle name="60% - Ênfase4" xfId="38" builtinId="44" customBuiltin="1"/>
    <cellStyle name="60% - Ênfase4 2" xfId="4" xr:uid="{F8333E69-E4FB-4EA9-9F7C-2986915538C0}"/>
    <cellStyle name="60% - Ênfase5" xfId="42" builtinId="48" customBuiltin="1"/>
    <cellStyle name="60% - Ênfase6" xfId="46" builtinId="52" customBuiltin="1"/>
    <cellStyle name="Bom" xfId="11" builtinId="26" customBuiltin="1"/>
    <cellStyle name="Cálculo" xfId="16" builtinId="22" customBuiltin="1"/>
    <cellStyle name="Célula de Verificação" xfId="18" builtinId="23" customBuiltin="1"/>
    <cellStyle name="Célula Vinculada" xfId="17" builtinId="24" customBuiltin="1"/>
    <cellStyle name="Ênfase1" xfId="23" builtinId="29" customBuiltin="1"/>
    <cellStyle name="Ênfase2" xfId="27" builtinId="33" customBuiltin="1"/>
    <cellStyle name="Ênfase3" xfId="31" builtinId="37" customBuiltin="1"/>
    <cellStyle name="Ênfase4" xfId="35" builtinId="41" customBuiltin="1"/>
    <cellStyle name="Ênfase5" xfId="39" builtinId="45" customBuiltin="1"/>
    <cellStyle name="Ênfase6" xfId="43" builtinId="49" customBuiltin="1"/>
    <cellStyle name="Entrada" xfId="14" builtinId="20" customBuiltin="1"/>
    <cellStyle name="Hiperlink" xfId="1" builtinId="8"/>
    <cellStyle name="Hiperlink 2" xfId="5" xr:uid="{2319C744-A0A0-4F39-BF9E-901445F05A94}"/>
    <cellStyle name="Moeda" xfId="2" builtinId="4"/>
    <cellStyle name="Neutro" xfId="13" builtinId="28" customBuiltin="1"/>
    <cellStyle name="Normal" xfId="0" builtinId="0"/>
    <cellStyle name="Normal 2" xfId="47" xr:uid="{B8D3542C-7F84-499E-98CF-21F503364844}"/>
    <cellStyle name="Nota" xfId="20" builtinId="10" customBuiltin="1"/>
    <cellStyle name="Porcentagem" xfId="3" builtinId="5"/>
    <cellStyle name="Ruim" xfId="12" builtinId="27" customBuiltin="1"/>
    <cellStyle name="Saída" xfId="15" builtinId="21" customBuiltin="1"/>
    <cellStyle name="Texto de Aviso" xfId="19" builtinId="11" customBuiltin="1"/>
    <cellStyle name="Texto Explicativo" xfId="21" builtinId="53" customBuiltin="1"/>
    <cellStyle name="Título" xfId="6" builtinId="15" customBuiltin="1"/>
    <cellStyle name="Título 1" xfId="7" builtinId="16" customBuiltin="1"/>
    <cellStyle name="Título 2" xfId="8" builtinId="17" customBuiltin="1"/>
    <cellStyle name="Título 3" xfId="9" builtinId="18" customBuiltin="1"/>
    <cellStyle name="Título 4" xfId="10" builtinId="19" customBuiltin="1"/>
    <cellStyle name="Total" xfId="22" builtinId="25" customBuiltin="1"/>
    <cellStyle name="Vírgula" xfId="48" builtinId="3"/>
  </cellStyles>
  <dxfs count="208">
    <dxf>
      <numFmt numFmtId="0" formatCode="General"/>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dxf>
    <dxf>
      <numFmt numFmtId="178" formatCode="0\ &quot;anos&quot;"/>
      <alignment horizontal="center" vertical="bottom" textRotation="0" wrapText="0" indent="0" justifyLastLine="0" shrinkToFit="0" readingOrder="0"/>
    </dxf>
    <dxf>
      <numFmt numFmtId="178" formatCode="0\ &quot;anos&quo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dxf>
    <dxf>
      <numFmt numFmtId="182" formatCode="0&quot;mm&quot;"/>
      <alignment horizontal="center" vertical="bottom" textRotation="0" wrapText="0" indent="0" justifyLastLine="0" shrinkToFit="0" readingOrder="0"/>
    </dxf>
    <dxf>
      <numFmt numFmtId="182" formatCode="0&quot;mm&quot;"/>
      <alignment horizontal="center" vertical="bottom" textRotation="0" wrapText="0" indent="0" justifyLastLine="0" shrinkToFit="0" readingOrder="0"/>
    </dxf>
    <dxf>
      <numFmt numFmtId="182" formatCode="0&quot;mm&quot;"/>
      <alignment horizontal="center" vertical="bottom" textRotation="0" wrapText="0" indent="0" justifyLastLine="0" shrinkToFit="0" readingOrder="0"/>
    </dxf>
    <dxf>
      <numFmt numFmtId="182" formatCode="0&quot;mm&quot;"/>
      <alignment horizontal="center" vertical="bottom" textRotation="0" wrapText="0" indent="0" justifyLastLine="0" shrinkToFit="0" readingOrder="0"/>
    </dxf>
    <dxf>
      <numFmt numFmtId="183" formatCode="0.00\ &quot;kg&quot;"/>
      <alignment horizontal="center" vertical="bottom" textRotation="0" wrapText="0" indent="0" justifyLastLine="0" shrinkToFit="0" readingOrder="0"/>
    </dxf>
    <dxf>
      <numFmt numFmtId="191" formatCode="0\ \°\C"/>
      <alignment horizontal="center" vertical="bottom" textRotation="0" wrapText="0" indent="0" justifyLastLine="0" shrinkToFit="0" readingOrder="0"/>
    </dxf>
    <dxf>
      <numFmt numFmtId="191" formatCode="0\ \°\C"/>
      <alignment horizontal="center" vertical="bottom" textRotation="0" wrapText="0" indent="0" justifyLastLine="0" shrinkToFit="0" readingOrder="0"/>
    </dxf>
    <dxf>
      <numFmt numFmtId="179" formatCode="0.00&quot;A&quo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94" formatCode="0.000%&quot; / °C&quo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94" formatCode="0.000%&quot; / °C&quo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94" formatCode="0.000%&quot; / °C&quot;"/>
      <alignment horizontal="center" vertical="bottom" textRotation="0" wrapText="0" indent="0" justifyLastLine="0" shrinkToFit="0" readingOrder="0"/>
    </dxf>
    <dxf>
      <numFmt numFmtId="179" formatCode="0.00&quot;A&quot;"/>
      <alignment horizontal="center" vertical="bottom" textRotation="0" wrapText="0" indent="0" justifyLastLine="0" shrinkToFit="0" readingOrder="0"/>
    </dxf>
    <dxf>
      <numFmt numFmtId="180" formatCode="0.00&quot;V&quot;"/>
      <alignment horizontal="center" vertical="bottom" textRotation="0" wrapText="0" indent="0" justifyLastLine="0" shrinkToFit="0" readingOrder="0"/>
    </dxf>
    <dxf>
      <numFmt numFmtId="179" formatCode="0.00&quot;A&quot;"/>
      <alignment horizontal="center" vertical="bottom" textRotation="0" wrapText="0" indent="0" justifyLastLine="0" shrinkToFit="0" readingOrder="0"/>
    </dxf>
    <dxf>
      <numFmt numFmtId="180" formatCode="0.00&quot;V&quot;"/>
      <alignment horizontal="center" vertical="bottom" textRotation="0" wrapText="0" indent="0" justifyLastLine="0" shrinkToFit="0" readingOrder="0"/>
    </dxf>
    <dxf>
      <numFmt numFmtId="179" formatCode="0.00&quot;A&quot;"/>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numFmt numFmtId="181" formatCode="0&quot;W&quot;"/>
      <alignment horizontal="center" vertical="bottom" textRotation="0" wrapText="0" indent="0" justifyLastLine="0" shrinkToFit="0" readingOrder="0"/>
    </dxf>
    <dxf>
      <numFmt numFmtId="19" formatCode="dd/mm/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210" formatCode="&quot;R$&quot;\ #,##0.00"/>
    </dxf>
    <dxf>
      <font>
        <b val="0"/>
        <i val="0"/>
        <strike val="0"/>
        <condense val="0"/>
        <extend val="0"/>
        <outline val="0"/>
        <shadow val="0"/>
        <u val="none"/>
        <vertAlign val="baseline"/>
        <sz val="11"/>
        <color theme="1"/>
        <name val="Calibri"/>
        <family val="2"/>
        <scheme val="minor"/>
      </font>
    </dxf>
    <dxf>
      <numFmt numFmtId="188" formatCode="#.00\ &quot;kWp&quot;"/>
    </dxf>
    <dxf>
      <numFmt numFmtId="0" formatCode="General"/>
    </dxf>
    <dxf>
      <numFmt numFmtId="0" formatCode="General"/>
    </dxf>
    <dxf>
      <numFmt numFmtId="0" formatCode="General"/>
    </dxf>
    <dxf>
      <numFmt numFmtId="0" formatCode="General"/>
    </dxf>
    <dxf>
      <numFmt numFmtId="227"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227" formatCode="m/d/yyyy"/>
    </dxf>
    <dxf>
      <numFmt numFmtId="0" formatCode="General"/>
    </dxf>
    <dxf>
      <numFmt numFmtId="0" formatCode="General"/>
    </dxf>
    <dxf>
      <numFmt numFmtId="0" formatCode="General"/>
    </dxf>
    <dxf>
      <numFmt numFmtId="0" formatCode="General"/>
    </dxf>
    <dxf>
      <font>
        <color rgb="FFFFFF00"/>
      </font>
      <fill>
        <patternFill>
          <bgColor rgb="FFFF0000"/>
        </patternFill>
      </fill>
    </dxf>
    <dxf>
      <font>
        <b/>
        <i val="0"/>
        <color rgb="FFFF0000"/>
      </font>
    </dxf>
    <dxf>
      <font>
        <b/>
        <i val="0"/>
        <color rgb="FFFF0000"/>
      </font>
    </dxf>
    <dxf>
      <font>
        <b/>
        <i val="0"/>
        <color rgb="FFFF0000"/>
      </font>
    </dxf>
    <dxf>
      <font>
        <b/>
        <i val="0"/>
        <color rgb="FFFF0000"/>
      </font>
    </dxf>
    <dxf>
      <font>
        <b/>
        <i val="0"/>
        <color rgb="FFFF0000"/>
      </font>
    </dxf>
    <dxf>
      <font>
        <color theme="2" tint="-9.9948118533890809E-2"/>
      </font>
      <fill>
        <patternFill>
          <bgColor rgb="FFC00000"/>
        </patternFill>
      </fill>
    </dxf>
    <dxf>
      <font>
        <b/>
        <i val="0"/>
        <color theme="0" tint="-4.9989318521683403E-2"/>
      </font>
      <fill>
        <patternFill>
          <bgColor rgb="FFFF0000"/>
        </patternFill>
      </fill>
    </dxf>
    <dxf>
      <font>
        <color theme="0"/>
      </font>
      <fill>
        <patternFill>
          <bgColor theme="0"/>
        </patternFill>
      </fill>
    </dxf>
    <dxf>
      <font>
        <color theme="0"/>
      </font>
      <fill>
        <patternFill>
          <bgColor theme="0"/>
        </patternFill>
      </fill>
    </dxf>
    <dxf>
      <font>
        <color theme="0"/>
      </font>
      <fill>
        <patternFill>
          <bgColor theme="0"/>
        </patternFill>
      </fill>
    </dxf>
    <dxf>
      <font>
        <b/>
        <i val="0"/>
        <color theme="0" tint="-4.9989318521683403E-2"/>
      </font>
      <fill>
        <patternFill>
          <bgColor rgb="FFFF0000"/>
        </patternFill>
      </fill>
    </dxf>
    <dxf>
      <font>
        <color rgb="FF0070C0"/>
      </font>
      <fill>
        <patternFill>
          <bgColor theme="8" tint="0.79998168889431442"/>
        </patternFill>
      </fill>
    </dxf>
    <dxf>
      <font>
        <color rgb="FFFFFF00"/>
      </font>
      <fill>
        <patternFill>
          <bgColor theme="9"/>
        </patternFill>
      </fill>
    </dxf>
    <dxf>
      <font>
        <color rgb="FFFF0000"/>
      </font>
    </dxf>
    <dxf>
      <fill>
        <patternFill>
          <bgColor rgb="FFFF0000"/>
        </patternFill>
      </fill>
    </dxf>
    <dxf>
      <font>
        <b/>
        <i val="0"/>
        <color theme="0" tint="-4.9989318521683403E-2"/>
      </font>
      <fill>
        <patternFill>
          <bgColor rgb="FFFF0000"/>
        </patternFill>
      </fill>
    </dxf>
    <dxf>
      <font>
        <color theme="4"/>
      </font>
    </dxf>
    <dxf>
      <font>
        <color rgb="FFC00000"/>
      </font>
    </dxf>
    <dxf>
      <fill>
        <patternFill>
          <bgColor rgb="FFFF0000"/>
        </patternFill>
      </fill>
    </dxf>
    <dxf>
      <fill>
        <patternFill patternType="lightUp">
          <bgColor theme="0" tint="-4.9989318521683403E-2"/>
        </patternFill>
      </fill>
    </dxf>
    <dxf>
      <fill>
        <patternFill>
          <fgColor theme="0"/>
          <bgColor theme="9" tint="0.39988402966399123"/>
        </patternFill>
      </fill>
    </dxf>
    <dxf>
      <fill>
        <patternFill>
          <fgColor theme="2"/>
          <bgColor theme="0" tint="-4.9989318521683403E-2"/>
        </patternFill>
      </fill>
      <border>
        <left/>
        <right/>
        <vertical/>
        <horizontal/>
      </border>
    </dxf>
    <dxf>
      <fill>
        <patternFill>
          <fgColor theme="2"/>
          <bgColor rgb="FFFCE7DC"/>
        </patternFill>
      </fill>
      <border>
        <left/>
        <right/>
        <vertical/>
        <horizontal/>
      </border>
    </dxf>
    <dxf>
      <border>
        <left style="thin">
          <color rgb="FFC00000"/>
        </left>
        <right style="thin">
          <color rgb="FFC00000"/>
        </right>
        <vertical/>
        <horizontal/>
      </border>
    </dxf>
    <dxf>
      <fill>
        <patternFill patternType="lightUp">
          <bgColor theme="0" tint="-4.9989318521683403E-2"/>
        </patternFill>
      </fill>
    </dxf>
    <dxf>
      <fill>
        <patternFill>
          <fgColor theme="0"/>
          <bgColor theme="9" tint="0.39988402966399123"/>
        </patternFill>
      </fill>
    </dxf>
    <dxf>
      <fill>
        <patternFill>
          <fgColor theme="2"/>
          <bgColor theme="0" tint="-4.9989318521683403E-2"/>
        </patternFill>
      </fill>
      <border>
        <left/>
        <right/>
        <vertical/>
        <horizontal/>
      </border>
    </dxf>
    <dxf>
      <fill>
        <patternFill>
          <fgColor theme="2"/>
          <bgColor rgb="FFFCE7DC"/>
        </patternFill>
      </fill>
      <border>
        <left/>
        <right/>
        <vertical/>
        <horizontal/>
      </border>
    </dxf>
    <dxf>
      <border>
        <left style="thin">
          <color rgb="FFC00000"/>
        </left>
        <right style="thin">
          <color rgb="FFC00000"/>
        </right>
        <vertical/>
        <horizontal/>
      </border>
    </dxf>
    <dxf>
      <fill>
        <patternFill patternType="lightUp">
          <bgColor theme="0" tint="-4.9989318521683403E-2"/>
        </patternFill>
      </fill>
    </dxf>
    <dxf>
      <border>
        <left style="thin">
          <color rgb="FFC00000"/>
        </left>
        <right style="thin">
          <color rgb="FFC00000"/>
        </right>
        <vertical/>
        <horizontal/>
      </border>
    </dxf>
    <dxf>
      <fill>
        <patternFill>
          <fgColor theme="0"/>
          <bgColor theme="9" tint="0.39988402966399123"/>
        </patternFill>
      </fill>
    </dxf>
    <dxf>
      <fill>
        <patternFill>
          <fgColor theme="2"/>
          <bgColor theme="0" tint="-4.9989318521683403E-2"/>
        </patternFill>
      </fill>
      <border>
        <left/>
        <right/>
        <vertical/>
        <horizontal/>
      </border>
    </dxf>
    <dxf>
      <fill>
        <patternFill>
          <fgColor theme="2"/>
          <bgColor rgb="FFFCE7DC"/>
        </patternFill>
      </fill>
      <border>
        <left/>
        <right/>
        <vertical/>
        <horizontal/>
      </border>
    </dxf>
    <dxf>
      <font>
        <b val="0"/>
        <i val="0"/>
        <strike val="0"/>
        <condense val="0"/>
        <extend val="0"/>
        <outline val="0"/>
        <shadow val="0"/>
        <u val="none"/>
        <vertAlign val="baseline"/>
        <sz val="12"/>
        <color theme="1"/>
        <name val="Times New Roman"/>
        <family val="1"/>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2"/>
        <color rgb="FF3D3D3D"/>
        <name val="Times New Roman"/>
        <family val="1"/>
        <scheme val="none"/>
      </font>
      <alignment horizontal="center" vertical="top" textRotation="0" wrapText="1" indent="0" justifyLastLine="0" shrinkToFit="0" readingOrder="0"/>
    </dxf>
    <dxf>
      <font>
        <b val="0"/>
        <i val="0"/>
        <strike val="0"/>
        <condense val="0"/>
        <extend val="0"/>
        <outline val="0"/>
        <shadow val="0"/>
        <u val="none"/>
        <vertAlign val="baseline"/>
        <sz val="12"/>
        <color rgb="FF3D3D3D"/>
        <name val="Times New Roman"/>
        <family val="1"/>
        <scheme val="none"/>
      </font>
      <alignment horizontal="general" vertical="top" textRotation="0" wrapText="1" indent="0" justifyLastLine="0" shrinkToFit="0" readingOrder="0"/>
    </dxf>
    <dxf>
      <font>
        <b val="0"/>
        <i val="0"/>
        <strike val="0"/>
        <condense val="0"/>
        <extend val="0"/>
        <outline val="0"/>
        <shadow val="0"/>
        <u val="none"/>
        <vertAlign val="baseline"/>
        <sz val="12"/>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Times New Roman"/>
        <family val="1"/>
        <scheme val="none"/>
      </font>
      <alignment horizontal="center"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4"/>
        <color theme="1"/>
        <name val="Times New Roman"/>
        <family val="1"/>
        <scheme val="none"/>
      </font>
      <fill>
        <patternFill patternType="solid">
          <fgColor indexed="64"/>
          <bgColor rgb="FF87C880"/>
        </patternFill>
      </fil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192" formatCode="_-&quot;R$&quot;\ * #,##0.000000_-;\-&quot;R$&quot;\ * #,##0.000000_-;_-&quot;R$&quot;\ * &quot;-&quot;?????_-;_-@_-"/>
    </dxf>
    <dxf>
      <numFmt numFmtId="172" formatCode="&quot;até&quot;\ 0&quot;kWh&quot;"/>
    </dxf>
    <dxf>
      <numFmt numFmtId="2" formatCode="0.00"/>
    </dxf>
    <dxf>
      <numFmt numFmtId="2" formatCode="0.00"/>
    </dxf>
    <dxf>
      <font>
        <b val="0"/>
        <i val="0"/>
        <strike val="0"/>
        <condense val="0"/>
        <extend val="0"/>
        <outline val="0"/>
        <shadow val="0"/>
        <u val="none"/>
        <vertAlign val="baseline"/>
        <sz val="11"/>
        <color theme="1"/>
        <name val="Calibri"/>
        <family val="2"/>
        <scheme val="minor"/>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_(&quot;R$&quot;* #,##0.00_);_(&quot;R$&quot;* \(#,##0.00\);_(&quot;R$&quot;* &quot;-&quot;??_);_(@_)"/>
    </dxf>
    <dxf>
      <numFmt numFmtId="230" formatCode="mmm\-yy"/>
    </dxf>
    <dxf>
      <alignment horizontal="center" vertical="center" textRotation="0" wrapText="1" indent="0" justifyLastLine="0" shrinkToFit="0" readingOrder="0"/>
    </dxf>
    <dxf>
      <numFmt numFmtId="0" formatCode="General"/>
    </dxf>
    <dxf>
      <numFmt numFmtId="0" formatCode="General"/>
    </dxf>
    <dxf>
      <numFmt numFmtId="0" formatCode="General"/>
    </dxf>
    <dxf>
      <numFmt numFmtId="0" formatCode="General"/>
    </dxf>
    <dxf>
      <protection locked="0" hidden="0"/>
    </dxf>
    <dxf>
      <numFmt numFmtId="0" formatCode="General"/>
      <protection locked="0" hidden="0"/>
    </dxf>
    <dxf>
      <numFmt numFmtId="1" formatCode="0"/>
      <fill>
        <patternFill patternType="solid">
          <fgColor indexed="64"/>
          <bgColor theme="0" tint="-4.9989318521683403E-2"/>
        </patternFill>
      </fill>
      <protection locked="0" hidden="0"/>
    </dxf>
    <dxf>
      <numFmt numFmtId="1" formatCode="0"/>
      <fill>
        <patternFill patternType="solid">
          <fgColor indexed="64"/>
          <bgColor theme="0" tint="-4.9989318521683403E-2"/>
        </patternFill>
      </fill>
      <protection locked="0" hidden="0"/>
    </dxf>
    <dxf>
      <numFmt numFmtId="1" formatCode="0"/>
      <fill>
        <patternFill patternType="solid">
          <fgColor indexed="64"/>
          <bgColor theme="0" tint="-4.9989318521683403E-2"/>
        </patternFill>
      </fill>
      <protection locked="0" hidden="0"/>
    </dxf>
    <dxf>
      <numFmt numFmtId="1" formatCode="0"/>
      <fill>
        <patternFill patternType="solid">
          <fgColor indexed="64"/>
          <bgColor theme="0" tint="-4.9989318521683403E-2"/>
        </patternFill>
      </fill>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fill>
        <patternFill patternType="solid">
          <fgColor indexed="64"/>
          <bgColor theme="0" tint="-4.9989318521683403E-2"/>
        </patternFill>
      </fill>
    </dxf>
    <dxf>
      <numFmt numFmtId="0" formatCode="General"/>
      <fill>
        <patternFill patternType="solid">
          <fgColor indexed="64"/>
          <bgColor theme="0" tint="-4.9989318521683403E-2"/>
        </patternFill>
      </fill>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font>
        <b val="0"/>
        <i val="0"/>
        <strike val="0"/>
        <condense val="0"/>
        <extend val="0"/>
        <outline val="0"/>
        <shadow val="0"/>
        <u val="none"/>
        <vertAlign val="baseline"/>
        <sz val="11"/>
        <color theme="1" tint="0.249977111117893"/>
        <name val="Calibri"/>
        <family val="2"/>
        <scheme val="minor"/>
      </font>
      <numFmt numFmtId="14" formatCode="0.00%"/>
      <alignment horizontal="center" vertical="bottom" textRotation="0" wrapText="0" indent="0" justifyLastLine="0" shrinkToFit="0" readingOrder="0"/>
      <protection locked="0" hidden="0"/>
    </dxf>
    <dxf>
      <font>
        <strike val="0"/>
        <outline val="0"/>
        <shadow val="0"/>
        <u val="none"/>
        <vertAlign val="baseline"/>
        <sz val="11"/>
        <color theme="1" tint="0.249977111117893"/>
        <name val="Calibri"/>
        <family val="2"/>
        <scheme val="minor"/>
      </font>
      <alignment horizontal="center" vertical="bottom" textRotation="0" wrapText="0" indent="0" justifyLastLine="0" shrinkToFit="0" readingOrder="0"/>
      <protection locked="0" hidden="0"/>
    </dxf>
    <dxf>
      <font>
        <strike val="0"/>
        <outline val="0"/>
        <shadow val="0"/>
        <u val="none"/>
        <vertAlign val="baseline"/>
        <sz val="11"/>
        <color theme="1" tint="0.249977111117893"/>
        <name val="Calibri"/>
        <family val="2"/>
        <scheme val="minor"/>
      </font>
      <alignment horizontal="center" vertical="bottom" textRotation="0" wrapText="0" indent="0" justifyLastLine="0" shrinkToFit="0" readingOrder="0"/>
      <protection locked="0" hidden="0"/>
    </dxf>
    <dxf>
      <font>
        <strike val="0"/>
        <outline val="0"/>
        <shadow val="0"/>
        <u val="none"/>
        <vertAlign val="baseline"/>
        <sz val="11"/>
        <color theme="1" tint="0.249977111117893"/>
        <name val="Calibri"/>
        <family val="2"/>
        <scheme val="minor"/>
      </font>
      <alignment horizontal="center" vertical="bottom" textRotation="0" wrapText="0" indent="0" justifyLastLine="0" shrinkToFit="0" readingOrder="0"/>
      <protection locked="0" hidden="0"/>
    </dxf>
    <dxf>
      <font>
        <strike val="0"/>
        <outline val="0"/>
        <shadow val="0"/>
        <u val="none"/>
        <vertAlign val="baseline"/>
        <sz val="11"/>
        <color theme="1" tint="0.249977111117893"/>
        <name val="Calibri"/>
        <family val="2"/>
        <scheme val="minor"/>
      </font>
      <numFmt numFmtId="164" formatCode="_(&quot;R$&quot;* #,##0.00_);_(&quot;R$&quot;* \(#,##0.00\);_(&quot;R$&quot;* &quot;-&quot;??_);_(@_)"/>
      <alignment horizontal="center" vertical="bottom" textRotation="0" wrapText="0" indent="0" justifyLastLine="0" shrinkToFit="0" readingOrder="0"/>
      <protection locked="0" hidden="0"/>
    </dxf>
    <dxf>
      <font>
        <strike val="0"/>
        <outline val="0"/>
        <shadow val="0"/>
        <u val="none"/>
        <vertAlign val="baseline"/>
        <sz val="11"/>
        <color theme="1" tint="0.249977111117893"/>
        <name val="Calibri"/>
        <family val="2"/>
        <scheme val="minor"/>
      </font>
      <alignment horizontal="center" vertical="bottom" textRotation="0" wrapText="0" indent="0" justifyLastLine="0" shrinkToFit="0" readingOrder="0"/>
      <protection locked="0" hidden="0"/>
    </dxf>
    <dxf>
      <numFmt numFmtId="2" formatCode="0.00"/>
      <alignment horizontal="center" vertical="bottom" textRotation="0" wrapText="0" indent="0" justifyLastLine="0" shrinkToFit="0" readingOrder="0"/>
      <protection locked="0" hidden="0"/>
    </dxf>
    <dxf>
      <numFmt numFmtId="0" formatCode="General"/>
      <alignment horizontal="center" vertical="bottom" textRotation="0" wrapText="0" indent="0" justifyLastLine="0" shrinkToFit="0" readingOrder="0"/>
      <protection locked="0" hidden="0"/>
    </dxf>
    <dxf>
      <numFmt numFmtId="164" formatCode="_(&quot;R$&quot;* #,##0.00_);_(&quot;R$&quot;* \(#,##0.00\);_(&quot;R$&quot;* &quot;-&quot;??_);_(@_)"/>
      <alignment horizontal="center" vertical="bottom" textRotation="0" wrapText="0" indent="0" justifyLastLine="0" shrinkToFit="0" readingOrder="0"/>
      <protection locked="0" hidden="0"/>
    </dxf>
    <dxf>
      <alignment horizontal="center" vertical="bottom" textRotation="0" wrapText="0" indent="0" justifyLastLine="0" shrinkToFit="0" readingOrder="0"/>
      <protection locked="0" hidden="0"/>
    </dxf>
    <dxf>
      <font>
        <strike val="0"/>
        <outline val="0"/>
        <shadow val="0"/>
        <u val="none"/>
        <vertAlign val="baseline"/>
        <sz val="11"/>
        <color theme="1" tint="0.249977111117893"/>
        <name val="Calibri"/>
        <family val="2"/>
        <scheme val="minor"/>
      </font>
      <numFmt numFmtId="1" formatCode="0"/>
      <alignment horizontal="center" vertical="bottom" textRotation="0" wrapText="0" indent="0" justifyLastLine="0" shrinkToFit="0" readingOrder="0"/>
      <protection locked="0" hidden="0"/>
    </dxf>
    <dxf>
      <numFmt numFmtId="2" formatCode="0.00"/>
      <alignment horizontal="center" vertical="bottom" textRotation="0" wrapText="0" indent="0" justifyLastLine="0" shrinkToFit="0" readingOrder="0"/>
      <protection locked="0" hidden="0"/>
    </dxf>
    <dxf>
      <alignment horizontal="center" vertical="bottom" textRotation="0" wrapText="0" indent="0" justifyLastLine="0" shrinkToFit="0" readingOrder="0"/>
      <protection locked="0" hidden="0"/>
    </dxf>
    <dxf>
      <alignment horizontal="center" vertical="bottom" textRotation="0" wrapText="0" indent="0" justifyLastLine="0" shrinkToFit="0" readingOrder="0"/>
      <protection locked="0" hidden="0"/>
    </dxf>
    <dxf>
      <alignment horizontal="center" vertical="bottom" textRotation="0" wrapText="0" indent="0" justifyLastLine="0" shrinkToFit="0" readingOrder="0"/>
      <protection locked="0" hidden="0"/>
    </dxf>
    <dxf>
      <alignment horizontal="center" vertical="bottom" textRotation="0" wrapText="0" indent="0" justifyLastLine="0" shrinkToFit="0" readingOrder="0"/>
      <protection locked="0" hidden="0"/>
    </dxf>
    <dxf>
      <alignment horizontal="center" vertical="bottom" textRotation="0" wrapText="0" indent="0" justifyLastLine="0" shrinkToFit="0" readingOrder="0"/>
      <protection locked="0" hidden="0"/>
    </dxf>
    <dxf>
      <protection locked="1" hidden="0"/>
    </dxf>
    <dxf>
      <protection locked="1" hidden="0"/>
    </dxf>
    <dxf>
      <protection locked="1" hidden="0"/>
    </dxf>
    <dxf>
      <protection locked="1" hidden="0"/>
    </dxf>
    <dxf>
      <protection locked="1" hidden="0"/>
    </dxf>
    <dxf>
      <protection locked="1" hidden="0"/>
    </dxf>
    <dxf>
      <numFmt numFmtId="30" formatCode="@"/>
      <protection locked="1" hidden="0"/>
    </dxf>
    <dxf>
      <protection locked="1" hidden="0"/>
    </dxf>
    <dxf>
      <protection locked="1" hidden="0"/>
    </dxf>
    <dxf>
      <protection locked="1" hidden="0"/>
    </dxf>
    <dxf>
      <numFmt numFmtId="225" formatCode="[$-F400]h:mm:ss\ AM/PM"/>
      <protection locked="1" hidden="0"/>
    </dxf>
    <dxf>
      <numFmt numFmtId="226" formatCode="m/d/yyyy\ h:mm"/>
      <protection locked="1" hidden="0"/>
    </dxf>
    <dxf>
      <numFmt numFmtId="226" formatCode="m/d/yyyy\ h:mm"/>
      <protection locked="1" hidden="0"/>
    </dxf>
    <dxf>
      <protection locked="1" hidden="0"/>
    </dxf>
    <dxf>
      <protection locked="1" hidden="0"/>
    </dxf>
    <dxf>
      <font>
        <b val="0"/>
        <i val="0"/>
        <strike val="0"/>
        <condense val="0"/>
        <extend val="0"/>
        <outline val="0"/>
        <shadow val="0"/>
        <u val="none"/>
        <vertAlign val="baseline"/>
        <sz val="11"/>
        <color theme="0"/>
        <name val="Calibri"/>
        <family val="2"/>
        <scheme val="minor"/>
      </font>
      <fill>
        <patternFill patternType="solid">
          <fgColor indexed="64"/>
          <bgColor rgb="FF0070C0"/>
        </patternFill>
      </fill>
      <protection locked="1" hidden="0"/>
    </dxf>
  </dxfs>
  <tableStyles count="0" defaultTableStyle="TableStyleMedium2" defaultPivotStyle="PivotStyleLight16"/>
  <colors>
    <mruColors>
      <color rgb="FFAF780D"/>
      <color rgb="FFFF6161"/>
      <color rgb="FF1D2C12"/>
      <color rgb="FFBC8F00"/>
      <color rgb="FF003300"/>
      <color rgb="FF338575"/>
      <color rgb="FFFCE7DC"/>
      <color rgb="FF538135"/>
      <color rgb="FFFFC6B9"/>
      <color rgb="FFFF9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Avaliação Econômica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2.5280605203372733E-2"/>
          <c:y val="0.11748081459385228"/>
          <c:w val="0.94193245368955159"/>
          <c:h val="0.83427244429984293"/>
        </c:manualLayout>
      </c:layout>
      <c:barChart>
        <c:barDir val="col"/>
        <c:grouping val="clustered"/>
        <c:varyColors val="0"/>
        <c:ser>
          <c:idx val="1"/>
          <c:order val="1"/>
          <c:tx>
            <c:strRef>
              <c:f>Financeiro!$N$171</c:f>
              <c:strCache>
                <c:ptCount val="1"/>
                <c:pt idx="0">
                  <c:v>Economia Negativa</c:v>
                </c:pt>
              </c:strCache>
            </c:strRef>
          </c:tx>
          <c:spPr>
            <a:solidFill>
              <a:srgbClr val="C00000"/>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4B4-4E24-8903-B35F24E75B18}"/>
                </c:ext>
              </c:extLst>
            </c:dLbl>
            <c:numFmt formatCode="_(&quot;R$&quot;* #,##0.00_);_(&quot;R$&quot;* \(#,##0.00\);_(&quot;R$&quot;* &quot;-&quot;??_);_(@_)" sourceLinked="0"/>
            <c:spPr>
              <a:solidFill>
                <a:srgbClr val="C00000">
                  <a:alpha val="7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Financeiro!$B$172:$B$197</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numCache>
            </c:numRef>
          </c:cat>
          <c:val>
            <c:numRef>
              <c:f>Financeiro!$N$172:$N$197</c:f>
              <c:numCache>
                <c:formatCode>_("R$"* #,##0.00_);_("R$"* \(#,##0.00\);_("R$"* "-"??_);_(@_)</c:formatCode>
                <c:ptCount val="26"/>
                <c:pt idx="0">
                  <c:v>-23440</c:v>
                </c:pt>
                <c:pt idx="1">
                  <c:v>-13820.102848607718</c:v>
                </c:pt>
                <c:pt idx="2">
                  <c:v>-2910.9724762284332</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extLst>
            <c:ext xmlns:c16="http://schemas.microsoft.com/office/drawing/2014/chart" uri="{C3380CC4-5D6E-409C-BE32-E72D297353CC}">
              <c16:uniqueId val="{0000000D-04B4-4E24-8903-B35F24E75B18}"/>
            </c:ext>
          </c:extLst>
        </c:ser>
        <c:ser>
          <c:idx val="2"/>
          <c:order val="2"/>
          <c:tx>
            <c:strRef>
              <c:f>Financeiro!$O$171</c:f>
              <c:strCache>
                <c:ptCount val="1"/>
                <c:pt idx="0">
                  <c:v>Economia com o Sistema</c:v>
                </c:pt>
              </c:strCache>
            </c:strRef>
          </c:tx>
          <c:spPr>
            <a:solidFill>
              <a:schemeClr val="accent6"/>
            </a:solidFill>
            <a:ln>
              <a:noFill/>
            </a:ln>
            <a:effectLst/>
          </c:spPr>
          <c:invertIfNegative val="0"/>
          <c:dLbls>
            <c:dLbl>
              <c:idx val="25"/>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4B4-4E24-8903-B35F24E75B18}"/>
                </c:ext>
              </c:extLst>
            </c:dLbl>
            <c:numFmt formatCode="_(&quot;R$&quot;* #,##0.00_);_(&quot;R$&quot;* \(#,##0.00\);_(&quot;R$&quot;* &quot;-&quot;??_);_(@_)" sourceLinked="0"/>
            <c:spPr>
              <a:solidFill>
                <a:schemeClr val="accent6">
                  <a:alpha val="1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Financeiro!$B$172:$B$197</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numCache>
            </c:numRef>
          </c:cat>
          <c:val>
            <c:numRef>
              <c:f>Financeiro!$O$172:$O$197</c:f>
              <c:numCache>
                <c:formatCode>_("R$"* #,##0.00_);_("R$"* \(#,##0.00\);_("R$"* "-"??_);_(@_)</c:formatCode>
                <c:ptCount val="26"/>
                <c:pt idx="0">
                  <c:v>0</c:v>
                </c:pt>
                <c:pt idx="1">
                  <c:v>0</c:v>
                </c:pt>
                <c:pt idx="2">
                  <c:v>0</c:v>
                </c:pt>
                <c:pt idx="3">
                  <c:v>8862.4810276139669</c:v>
                </c:pt>
                <c:pt idx="4">
                  <c:v>21507.540956646699</c:v>
                </c:pt>
                <c:pt idx="5">
                  <c:v>35062.242302513303</c:v>
                </c:pt>
                <c:pt idx="6">
                  <c:v>49880.942533994683</c:v>
                </c:pt>
                <c:pt idx="7">
                  <c:v>66081.598743372218</c:v>
                </c:pt>
                <c:pt idx="8">
                  <c:v>83793.184462058765</c:v>
                </c:pt>
                <c:pt idx="9">
                  <c:v>103156.71937788189</c:v>
                </c:pt>
                <c:pt idx="10">
                  <c:v>124326.39538526747</c:v>
                </c:pt>
                <c:pt idx="11">
                  <c:v>145424.95744154282</c:v>
                </c:pt>
                <c:pt idx="12">
                  <c:v>166451.69440719683</c:v>
                </c:pt>
                <c:pt idx="13">
                  <c:v>187405.88803132329</c:v>
                </c:pt>
                <c:pt idx="14">
                  <c:v>208286.81288050691</c:v>
                </c:pt>
                <c:pt idx="15">
                  <c:v>229093.73626699828</c:v>
                </c:pt>
                <c:pt idx="16">
                  <c:v>249825.91817617047</c:v>
                </c:pt>
                <c:pt idx="17">
                  <c:v>270482.61119325028</c:v>
                </c:pt>
                <c:pt idx="18">
                  <c:v>291063.06042931683</c:v>
                </c:pt>
                <c:pt idx="19">
                  <c:v>311566.50344655995</c:v>
                </c:pt>
                <c:pt idx="20">
                  <c:v>331992.17018279136</c:v>
                </c:pt>
                <c:pt idx="21">
                  <c:v>352339.28287520102</c:v>
                </c:pt>
                <c:pt idx="22">
                  <c:v>372607.05598335067</c:v>
                </c:pt>
                <c:pt idx="23">
                  <c:v>392794.6961113977</c:v>
                </c:pt>
                <c:pt idx="24">
                  <c:v>412901.40192954114</c:v>
                </c:pt>
                <c:pt idx="25">
                  <c:v>432926.36409468192</c:v>
                </c:pt>
              </c:numCache>
            </c:numRef>
          </c:val>
          <c:extLst>
            <c:ext xmlns:c16="http://schemas.microsoft.com/office/drawing/2014/chart" uri="{C3380CC4-5D6E-409C-BE32-E72D297353CC}">
              <c16:uniqueId val="{0000000E-04B4-4E24-8903-B35F24E75B18}"/>
            </c:ext>
          </c:extLst>
        </c:ser>
        <c:ser>
          <c:idx val="3"/>
          <c:order val="3"/>
          <c:tx>
            <c:strRef>
              <c:f>Financeiro!$P$171</c:f>
              <c:strCache>
                <c:ptCount val="1"/>
                <c:pt idx="0">
                  <c:v>CDI</c:v>
                </c:pt>
              </c:strCache>
            </c:strRef>
          </c:tx>
          <c:spPr>
            <a:solidFill>
              <a:schemeClr val="accent2">
                <a:lumMod val="40000"/>
                <a:lumOff val="60000"/>
              </a:schemeClr>
            </a:solidFill>
            <a:ln>
              <a:noFill/>
            </a:ln>
            <a:effectLst/>
          </c:spPr>
          <c:invertIfNegative val="0"/>
          <c:dLbls>
            <c:dLbl>
              <c:idx val="25"/>
              <c:layout>
                <c:manualLayout>
                  <c:x val="-4.4509164655629374E-2"/>
                  <c:y val="0.24739923622616616"/>
                </c:manualLayout>
              </c:layout>
              <c:spPr>
                <a:solidFill>
                  <a:srgbClr val="ED7D31">
                    <a:lumMod val="40000"/>
                    <a:lumOff val="60000"/>
                    <a:alpha val="29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13-04B4-4E24-8903-B35F24E75B18}"/>
                </c:ext>
              </c:extLst>
            </c:dLbl>
            <c:numFmt formatCode="_(&quot;R$&quot;* #,##0.00_);_(&quot;R$&quot;* \(#,##0.00\);_(&quot;R$&quot;* &quot;-&quot;??_);_(@_)" sourceLinked="0"/>
            <c:spPr>
              <a:solidFill>
                <a:schemeClr val="accent2">
                  <a:lumMod val="40000"/>
                  <a:lumOff val="60000"/>
                  <a:alpha val="36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Financeiro!$B$172:$B$197</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numCache>
            </c:numRef>
          </c:cat>
          <c:val>
            <c:numRef>
              <c:f>Financeiro!$P$172:$P$197</c:f>
              <c:numCache>
                <c:formatCode>_("R$"* #,##0.00_);_("R$"* \(#,##0.00\);_("R$"* "-"??_);_(@_)</c:formatCode>
                <c:ptCount val="26"/>
                <c:pt idx="0">
                  <c:v>23440</c:v>
                </c:pt>
                <c:pt idx="1">
                  <c:v>23885.359999999997</c:v>
                </c:pt>
                <c:pt idx="2">
                  <c:v>24339.181839999994</c:v>
                </c:pt>
                <c:pt idx="3">
                  <c:v>24801.626294959991</c:v>
                </c:pt>
                <c:pt idx="4">
                  <c:v>25272.857194564229</c:v>
                </c:pt>
                <c:pt idx="5">
                  <c:v>25753.041481260945</c:v>
                </c:pt>
                <c:pt idx="6">
                  <c:v>26242.349269404902</c:v>
                </c:pt>
                <c:pt idx="7">
                  <c:v>26740.953905523591</c:v>
                </c:pt>
                <c:pt idx="8">
                  <c:v>27249.032029728536</c:v>
                </c:pt>
                <c:pt idx="9">
                  <c:v>27766.763638293374</c:v>
                </c:pt>
                <c:pt idx="10">
                  <c:v>28294.332147420944</c:v>
                </c:pt>
                <c:pt idx="11">
                  <c:v>28831.92445822194</c:v>
                </c:pt>
                <c:pt idx="12">
                  <c:v>29379.731022928154</c:v>
                </c:pt>
                <c:pt idx="13">
                  <c:v>29937.945912363786</c:v>
                </c:pt>
                <c:pt idx="14">
                  <c:v>30506.766884698696</c:v>
                </c:pt>
                <c:pt idx="15">
                  <c:v>31086.395455507969</c:v>
                </c:pt>
                <c:pt idx="16">
                  <c:v>31677.036969162618</c:v>
                </c:pt>
                <c:pt idx="17">
                  <c:v>32278.900671576706</c:v>
                </c:pt>
                <c:pt idx="18">
                  <c:v>32892.199784336663</c:v>
                </c:pt>
                <c:pt idx="19">
                  <c:v>33517.151580239057</c:v>
                </c:pt>
                <c:pt idx="20">
                  <c:v>34153.977460263595</c:v>
                </c:pt>
                <c:pt idx="21">
                  <c:v>34802.903032008602</c:v>
                </c:pt>
                <c:pt idx="22">
                  <c:v>35464.158189616763</c:v>
                </c:pt>
                <c:pt idx="23">
                  <c:v>36137.977195219479</c:v>
                </c:pt>
                <c:pt idx="24">
                  <c:v>36824.598761928646</c:v>
                </c:pt>
                <c:pt idx="25">
                  <c:v>37524.266138405284</c:v>
                </c:pt>
              </c:numCache>
            </c:numRef>
          </c:val>
          <c:extLst>
            <c:ext xmlns:c16="http://schemas.microsoft.com/office/drawing/2014/chart" uri="{C3380CC4-5D6E-409C-BE32-E72D297353CC}">
              <c16:uniqueId val="{0000000F-04B4-4E24-8903-B35F24E75B18}"/>
            </c:ext>
          </c:extLst>
        </c:ser>
        <c:ser>
          <c:idx val="4"/>
          <c:order val="4"/>
          <c:tx>
            <c:strRef>
              <c:f>Financeiro!$Q$171</c:f>
              <c:strCache>
                <c:ptCount val="1"/>
                <c:pt idx="0">
                  <c:v>Poupança</c:v>
                </c:pt>
              </c:strCache>
            </c:strRef>
          </c:tx>
          <c:spPr>
            <a:solidFill>
              <a:schemeClr val="bg2">
                <a:lumMod val="75000"/>
              </a:scheme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2D-04B4-4E24-8903-B35F24E75B18}"/>
                </c:ext>
              </c:extLst>
            </c:dLbl>
            <c:dLbl>
              <c:idx val="1"/>
              <c:delete val="1"/>
              <c:extLst>
                <c:ext xmlns:c15="http://schemas.microsoft.com/office/drawing/2012/chart" uri="{CE6537A1-D6FC-4f65-9D91-7224C49458BB}"/>
                <c:ext xmlns:c16="http://schemas.microsoft.com/office/drawing/2014/chart" uri="{C3380CC4-5D6E-409C-BE32-E72D297353CC}">
                  <c16:uniqueId val="{0000002C-04B4-4E24-8903-B35F24E75B18}"/>
                </c:ext>
              </c:extLst>
            </c:dLbl>
            <c:dLbl>
              <c:idx val="2"/>
              <c:delete val="1"/>
              <c:extLst>
                <c:ext xmlns:c15="http://schemas.microsoft.com/office/drawing/2012/chart" uri="{CE6537A1-D6FC-4f65-9D91-7224C49458BB}"/>
                <c:ext xmlns:c16="http://schemas.microsoft.com/office/drawing/2014/chart" uri="{C3380CC4-5D6E-409C-BE32-E72D297353CC}">
                  <c16:uniqueId val="{0000002B-04B4-4E24-8903-B35F24E75B18}"/>
                </c:ext>
              </c:extLst>
            </c:dLbl>
            <c:dLbl>
              <c:idx val="3"/>
              <c:delete val="1"/>
              <c:extLst>
                <c:ext xmlns:c15="http://schemas.microsoft.com/office/drawing/2012/chart" uri="{CE6537A1-D6FC-4f65-9D91-7224C49458BB}"/>
                <c:ext xmlns:c16="http://schemas.microsoft.com/office/drawing/2014/chart" uri="{C3380CC4-5D6E-409C-BE32-E72D297353CC}">
                  <c16:uniqueId val="{0000002A-04B4-4E24-8903-B35F24E75B18}"/>
                </c:ext>
              </c:extLst>
            </c:dLbl>
            <c:dLbl>
              <c:idx val="4"/>
              <c:delete val="1"/>
              <c:extLst>
                <c:ext xmlns:c15="http://schemas.microsoft.com/office/drawing/2012/chart" uri="{CE6537A1-D6FC-4f65-9D91-7224C49458BB}"/>
                <c:ext xmlns:c16="http://schemas.microsoft.com/office/drawing/2014/chart" uri="{C3380CC4-5D6E-409C-BE32-E72D297353CC}">
                  <c16:uniqueId val="{00000029-04B4-4E24-8903-B35F24E75B18}"/>
                </c:ext>
              </c:extLst>
            </c:dLbl>
            <c:dLbl>
              <c:idx val="5"/>
              <c:delete val="1"/>
              <c:extLst>
                <c:ext xmlns:c15="http://schemas.microsoft.com/office/drawing/2012/chart" uri="{CE6537A1-D6FC-4f65-9D91-7224C49458BB}"/>
                <c:ext xmlns:c16="http://schemas.microsoft.com/office/drawing/2014/chart" uri="{C3380CC4-5D6E-409C-BE32-E72D297353CC}">
                  <c16:uniqueId val="{00000028-04B4-4E24-8903-B35F24E75B18}"/>
                </c:ext>
              </c:extLst>
            </c:dLbl>
            <c:dLbl>
              <c:idx val="6"/>
              <c:delete val="1"/>
              <c:extLst>
                <c:ext xmlns:c15="http://schemas.microsoft.com/office/drawing/2012/chart" uri="{CE6537A1-D6FC-4f65-9D91-7224C49458BB}"/>
                <c:ext xmlns:c16="http://schemas.microsoft.com/office/drawing/2014/chart" uri="{C3380CC4-5D6E-409C-BE32-E72D297353CC}">
                  <c16:uniqueId val="{00000027-04B4-4E24-8903-B35F24E75B18}"/>
                </c:ext>
              </c:extLst>
            </c:dLbl>
            <c:dLbl>
              <c:idx val="7"/>
              <c:delete val="1"/>
              <c:extLst>
                <c:ext xmlns:c15="http://schemas.microsoft.com/office/drawing/2012/chart" uri="{CE6537A1-D6FC-4f65-9D91-7224C49458BB}"/>
                <c:ext xmlns:c16="http://schemas.microsoft.com/office/drawing/2014/chart" uri="{C3380CC4-5D6E-409C-BE32-E72D297353CC}">
                  <c16:uniqueId val="{00000026-04B4-4E24-8903-B35F24E75B18}"/>
                </c:ext>
              </c:extLst>
            </c:dLbl>
            <c:dLbl>
              <c:idx val="8"/>
              <c:delete val="1"/>
              <c:extLst>
                <c:ext xmlns:c15="http://schemas.microsoft.com/office/drawing/2012/chart" uri="{CE6537A1-D6FC-4f65-9D91-7224C49458BB}"/>
                <c:ext xmlns:c16="http://schemas.microsoft.com/office/drawing/2014/chart" uri="{C3380CC4-5D6E-409C-BE32-E72D297353CC}">
                  <c16:uniqueId val="{00000025-04B4-4E24-8903-B35F24E75B18}"/>
                </c:ext>
              </c:extLst>
            </c:dLbl>
            <c:dLbl>
              <c:idx val="9"/>
              <c:delete val="1"/>
              <c:extLst>
                <c:ext xmlns:c15="http://schemas.microsoft.com/office/drawing/2012/chart" uri="{CE6537A1-D6FC-4f65-9D91-7224C49458BB}"/>
                <c:ext xmlns:c16="http://schemas.microsoft.com/office/drawing/2014/chart" uri="{C3380CC4-5D6E-409C-BE32-E72D297353CC}">
                  <c16:uniqueId val="{00000024-04B4-4E24-8903-B35F24E75B18}"/>
                </c:ext>
              </c:extLst>
            </c:dLbl>
            <c:dLbl>
              <c:idx val="10"/>
              <c:delete val="1"/>
              <c:extLst>
                <c:ext xmlns:c15="http://schemas.microsoft.com/office/drawing/2012/chart" uri="{CE6537A1-D6FC-4f65-9D91-7224C49458BB}"/>
                <c:ext xmlns:c16="http://schemas.microsoft.com/office/drawing/2014/chart" uri="{C3380CC4-5D6E-409C-BE32-E72D297353CC}">
                  <c16:uniqueId val="{00000023-04B4-4E24-8903-B35F24E75B18}"/>
                </c:ext>
              </c:extLst>
            </c:dLbl>
            <c:dLbl>
              <c:idx val="11"/>
              <c:delete val="1"/>
              <c:extLst>
                <c:ext xmlns:c15="http://schemas.microsoft.com/office/drawing/2012/chart" uri="{CE6537A1-D6FC-4f65-9D91-7224C49458BB}"/>
                <c:ext xmlns:c16="http://schemas.microsoft.com/office/drawing/2014/chart" uri="{C3380CC4-5D6E-409C-BE32-E72D297353CC}">
                  <c16:uniqueId val="{00000022-04B4-4E24-8903-B35F24E75B18}"/>
                </c:ext>
              </c:extLst>
            </c:dLbl>
            <c:dLbl>
              <c:idx val="12"/>
              <c:delete val="1"/>
              <c:extLst>
                <c:ext xmlns:c15="http://schemas.microsoft.com/office/drawing/2012/chart" uri="{CE6537A1-D6FC-4f65-9D91-7224C49458BB}"/>
                <c:ext xmlns:c16="http://schemas.microsoft.com/office/drawing/2014/chart" uri="{C3380CC4-5D6E-409C-BE32-E72D297353CC}">
                  <c16:uniqueId val="{00000021-04B4-4E24-8903-B35F24E75B18}"/>
                </c:ext>
              </c:extLst>
            </c:dLbl>
            <c:dLbl>
              <c:idx val="13"/>
              <c:delete val="1"/>
              <c:extLst>
                <c:ext xmlns:c15="http://schemas.microsoft.com/office/drawing/2012/chart" uri="{CE6537A1-D6FC-4f65-9D91-7224C49458BB}"/>
                <c:ext xmlns:c16="http://schemas.microsoft.com/office/drawing/2014/chart" uri="{C3380CC4-5D6E-409C-BE32-E72D297353CC}">
                  <c16:uniqueId val="{00000020-04B4-4E24-8903-B35F24E75B18}"/>
                </c:ext>
              </c:extLst>
            </c:dLbl>
            <c:dLbl>
              <c:idx val="14"/>
              <c:delete val="1"/>
              <c:extLst>
                <c:ext xmlns:c15="http://schemas.microsoft.com/office/drawing/2012/chart" uri="{CE6537A1-D6FC-4f65-9D91-7224C49458BB}"/>
                <c:ext xmlns:c16="http://schemas.microsoft.com/office/drawing/2014/chart" uri="{C3380CC4-5D6E-409C-BE32-E72D297353CC}">
                  <c16:uniqueId val="{0000001F-04B4-4E24-8903-B35F24E75B18}"/>
                </c:ext>
              </c:extLst>
            </c:dLbl>
            <c:dLbl>
              <c:idx val="15"/>
              <c:delete val="1"/>
              <c:extLst>
                <c:ext xmlns:c15="http://schemas.microsoft.com/office/drawing/2012/chart" uri="{CE6537A1-D6FC-4f65-9D91-7224C49458BB}"/>
                <c:ext xmlns:c16="http://schemas.microsoft.com/office/drawing/2014/chart" uri="{C3380CC4-5D6E-409C-BE32-E72D297353CC}">
                  <c16:uniqueId val="{0000001E-04B4-4E24-8903-B35F24E75B18}"/>
                </c:ext>
              </c:extLst>
            </c:dLbl>
            <c:dLbl>
              <c:idx val="16"/>
              <c:delete val="1"/>
              <c:extLst>
                <c:ext xmlns:c15="http://schemas.microsoft.com/office/drawing/2012/chart" uri="{CE6537A1-D6FC-4f65-9D91-7224C49458BB}"/>
                <c:ext xmlns:c16="http://schemas.microsoft.com/office/drawing/2014/chart" uri="{C3380CC4-5D6E-409C-BE32-E72D297353CC}">
                  <c16:uniqueId val="{0000001D-04B4-4E24-8903-B35F24E75B18}"/>
                </c:ext>
              </c:extLst>
            </c:dLbl>
            <c:dLbl>
              <c:idx val="17"/>
              <c:delete val="1"/>
              <c:extLst>
                <c:ext xmlns:c15="http://schemas.microsoft.com/office/drawing/2012/chart" uri="{CE6537A1-D6FC-4f65-9D91-7224C49458BB}"/>
                <c:ext xmlns:c16="http://schemas.microsoft.com/office/drawing/2014/chart" uri="{C3380CC4-5D6E-409C-BE32-E72D297353CC}">
                  <c16:uniqueId val="{0000001C-04B4-4E24-8903-B35F24E75B18}"/>
                </c:ext>
              </c:extLst>
            </c:dLbl>
            <c:dLbl>
              <c:idx val="18"/>
              <c:delete val="1"/>
              <c:extLst>
                <c:ext xmlns:c15="http://schemas.microsoft.com/office/drawing/2012/chart" uri="{CE6537A1-D6FC-4f65-9D91-7224C49458BB}"/>
                <c:ext xmlns:c16="http://schemas.microsoft.com/office/drawing/2014/chart" uri="{C3380CC4-5D6E-409C-BE32-E72D297353CC}">
                  <c16:uniqueId val="{0000001B-04B4-4E24-8903-B35F24E75B18}"/>
                </c:ext>
              </c:extLst>
            </c:dLbl>
            <c:dLbl>
              <c:idx val="19"/>
              <c:delete val="1"/>
              <c:extLst>
                <c:ext xmlns:c15="http://schemas.microsoft.com/office/drawing/2012/chart" uri="{CE6537A1-D6FC-4f65-9D91-7224C49458BB}"/>
                <c:ext xmlns:c16="http://schemas.microsoft.com/office/drawing/2014/chart" uri="{C3380CC4-5D6E-409C-BE32-E72D297353CC}">
                  <c16:uniqueId val="{0000001A-04B4-4E24-8903-B35F24E75B18}"/>
                </c:ext>
              </c:extLst>
            </c:dLbl>
            <c:dLbl>
              <c:idx val="20"/>
              <c:delete val="1"/>
              <c:extLst>
                <c:ext xmlns:c15="http://schemas.microsoft.com/office/drawing/2012/chart" uri="{CE6537A1-D6FC-4f65-9D91-7224C49458BB}"/>
                <c:ext xmlns:c16="http://schemas.microsoft.com/office/drawing/2014/chart" uri="{C3380CC4-5D6E-409C-BE32-E72D297353CC}">
                  <c16:uniqueId val="{00000019-04B4-4E24-8903-B35F24E75B18}"/>
                </c:ext>
              </c:extLst>
            </c:dLbl>
            <c:dLbl>
              <c:idx val="21"/>
              <c:delete val="1"/>
              <c:extLst>
                <c:ext xmlns:c15="http://schemas.microsoft.com/office/drawing/2012/chart" uri="{CE6537A1-D6FC-4f65-9D91-7224C49458BB}"/>
                <c:ext xmlns:c16="http://schemas.microsoft.com/office/drawing/2014/chart" uri="{C3380CC4-5D6E-409C-BE32-E72D297353CC}">
                  <c16:uniqueId val="{00000018-04B4-4E24-8903-B35F24E75B18}"/>
                </c:ext>
              </c:extLst>
            </c:dLbl>
            <c:dLbl>
              <c:idx val="22"/>
              <c:delete val="1"/>
              <c:extLst>
                <c:ext xmlns:c15="http://schemas.microsoft.com/office/drawing/2012/chart" uri="{CE6537A1-D6FC-4f65-9D91-7224C49458BB}"/>
                <c:ext xmlns:c16="http://schemas.microsoft.com/office/drawing/2014/chart" uri="{C3380CC4-5D6E-409C-BE32-E72D297353CC}">
                  <c16:uniqueId val="{00000017-04B4-4E24-8903-B35F24E75B18}"/>
                </c:ext>
              </c:extLst>
            </c:dLbl>
            <c:dLbl>
              <c:idx val="23"/>
              <c:delete val="1"/>
              <c:extLst>
                <c:ext xmlns:c15="http://schemas.microsoft.com/office/drawing/2012/chart" uri="{CE6537A1-D6FC-4f65-9D91-7224C49458BB}"/>
                <c:ext xmlns:c16="http://schemas.microsoft.com/office/drawing/2014/chart" uri="{C3380CC4-5D6E-409C-BE32-E72D297353CC}">
                  <c16:uniqueId val="{00000016-04B4-4E24-8903-B35F24E75B18}"/>
                </c:ext>
              </c:extLst>
            </c:dLbl>
            <c:dLbl>
              <c:idx val="24"/>
              <c:delete val="1"/>
              <c:extLst>
                <c:ext xmlns:c15="http://schemas.microsoft.com/office/drawing/2012/chart" uri="{CE6537A1-D6FC-4f65-9D91-7224C49458BB}"/>
                <c:ext xmlns:c16="http://schemas.microsoft.com/office/drawing/2014/chart" uri="{C3380CC4-5D6E-409C-BE32-E72D297353CC}">
                  <c16:uniqueId val="{00000015-04B4-4E24-8903-B35F24E75B18}"/>
                </c:ext>
              </c:extLst>
            </c:dLbl>
            <c:dLbl>
              <c:idx val="25"/>
              <c:layout>
                <c:manualLayout>
                  <c:x val="-1.1706069509916093E-3"/>
                  <c:y val="0.280788190451309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04B4-4E24-8903-B35F24E75B18}"/>
                </c:ext>
              </c:extLst>
            </c:dLbl>
            <c:numFmt formatCode="_(&quot;R$&quot;* #,##0.00_);_(&quot;R$&quot;* \(#,##0.00\);_(&quot;R$&quot;* &quot;-&quot;??_);_(@_)" sourceLinked="0"/>
            <c:spPr>
              <a:solidFill>
                <a:srgbClr val="E7E6E6">
                  <a:lumMod val="75000"/>
                  <a:alpha val="29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numRef>
              <c:f>Financeiro!$B$172:$B$197</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numCache>
            </c:numRef>
          </c:cat>
          <c:val>
            <c:numRef>
              <c:f>Financeiro!$Q$172:$Q$197</c:f>
              <c:numCache>
                <c:formatCode>_("R$"* #,##0.00_);_("R$"* \(#,##0.00\);_("R$"* "-"??_);_(@_)</c:formatCode>
                <c:ptCount val="26"/>
                <c:pt idx="0">
                  <c:v>23440</c:v>
                </c:pt>
                <c:pt idx="1">
                  <c:v>23751.752</c:v>
                </c:pt>
                <c:pt idx="2">
                  <c:v>24067.650301600002</c:v>
                </c:pt>
                <c:pt idx="3">
                  <c:v>24387.750050611285</c:v>
                </c:pt>
                <c:pt idx="4">
                  <c:v>24712.107126284416</c:v>
                </c:pt>
                <c:pt idx="5">
                  <c:v>25040.778151064002</c:v>
                </c:pt>
                <c:pt idx="6">
                  <c:v>25373.820500473154</c:v>
                </c:pt>
                <c:pt idx="7">
                  <c:v>25711.292313129448</c:v>
                </c:pt>
                <c:pt idx="8">
                  <c:v>26053.252500894072</c:v>
                </c:pt>
                <c:pt idx="9">
                  <c:v>26399.760759155964</c:v>
                </c:pt>
                <c:pt idx="10">
                  <c:v>26750.877577252741</c:v>
                </c:pt>
                <c:pt idx="11">
                  <c:v>27106.664249030204</c:v>
                </c:pt>
                <c:pt idx="12">
                  <c:v>27467.182883542308</c:v>
                </c:pt>
                <c:pt idx="13">
                  <c:v>27832.496415893424</c:v>
                </c:pt>
                <c:pt idx="14">
                  <c:v>28202.668618224809</c:v>
                </c:pt>
                <c:pt idx="15">
                  <c:v>28577.764110847202</c:v>
                </c:pt>
                <c:pt idx="16">
                  <c:v>28957.848373521472</c:v>
                </c:pt>
                <c:pt idx="17">
                  <c:v>29342.98775688931</c:v>
                </c:pt>
                <c:pt idx="18">
                  <c:v>29733.249494055941</c:v>
                </c:pt>
                <c:pt idx="19">
                  <c:v>30128.701712326889</c:v>
                </c:pt>
                <c:pt idx="20">
                  <c:v>30529.413445100839</c:v>
                </c:pt>
                <c:pt idx="21">
                  <c:v>30935.454643920682</c:v>
                </c:pt>
                <c:pt idx="22">
                  <c:v>31346.896190684831</c:v>
                </c:pt>
                <c:pt idx="23">
                  <c:v>31763.80991002094</c:v>
                </c:pt>
                <c:pt idx="24">
                  <c:v>32186.268581824221</c:v>
                </c:pt>
                <c:pt idx="25">
                  <c:v>32614.345953962486</c:v>
                </c:pt>
              </c:numCache>
            </c:numRef>
          </c:val>
          <c:extLst>
            <c:ext xmlns:c16="http://schemas.microsoft.com/office/drawing/2014/chart" uri="{C3380CC4-5D6E-409C-BE32-E72D297353CC}">
              <c16:uniqueId val="{00000010-04B4-4E24-8903-B35F24E75B18}"/>
            </c:ext>
          </c:extLst>
        </c:ser>
        <c:dLbls>
          <c:showLegendKey val="0"/>
          <c:showVal val="0"/>
          <c:showCatName val="0"/>
          <c:showSerName val="0"/>
          <c:showPercent val="0"/>
          <c:showBubbleSize val="0"/>
        </c:dLbls>
        <c:gapWidth val="219"/>
        <c:overlap val="-27"/>
        <c:axId val="690186159"/>
        <c:axId val="147447439"/>
        <c:extLst>
          <c:ext xmlns:c15="http://schemas.microsoft.com/office/drawing/2012/chart" uri="{02D57815-91ED-43cb-92C2-25804820EDAC}">
            <c15:filteredBarSeries>
              <c15:ser>
                <c:idx val="0"/>
                <c:order val="0"/>
                <c:tx>
                  <c:strRef>
                    <c:extLst>
                      <c:ext uri="{02D57815-91ED-43cb-92C2-25804820EDAC}">
                        <c15:formulaRef>
                          <c15:sqref>Financeiro!$K$171</c15:sqref>
                        </c15:formulaRef>
                      </c:ext>
                    </c:extLst>
                    <c:strCache>
                      <c:ptCount val="1"/>
                      <c:pt idx="0">
                        <c:v>Economia Acumulada</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8024-4418-89FD-046C651E1F34}"/>
                    </c:ext>
                  </c:extLst>
                </c:dPt>
                <c:dPt>
                  <c:idx val="1"/>
                  <c:invertIfNegative val="0"/>
                  <c:bubble3D val="0"/>
                  <c:spPr>
                    <a:solidFill>
                      <a:srgbClr val="C00000"/>
                    </a:solidFill>
                    <a:ln>
                      <a:noFill/>
                    </a:ln>
                    <a:effectLst/>
                  </c:spPr>
                  <c:extLst>
                    <c:ext xmlns:c16="http://schemas.microsoft.com/office/drawing/2014/chart" uri="{C3380CC4-5D6E-409C-BE32-E72D297353CC}">
                      <c16:uniqueId val="{00000002-8024-4418-89FD-046C651E1F34}"/>
                    </c:ext>
                  </c:extLst>
                </c:dPt>
                <c:dPt>
                  <c:idx val="2"/>
                  <c:invertIfNegative val="0"/>
                  <c:bubble3D val="0"/>
                  <c:spPr>
                    <a:solidFill>
                      <a:srgbClr val="C00000"/>
                    </a:solidFill>
                    <a:ln>
                      <a:noFill/>
                    </a:ln>
                    <a:effectLst/>
                  </c:spPr>
                  <c:extLst>
                    <c:ext xmlns:c16="http://schemas.microsoft.com/office/drawing/2014/chart" uri="{C3380CC4-5D6E-409C-BE32-E72D297353CC}">
                      <c16:uniqueId val="{00000003-8024-4418-89FD-046C651E1F34}"/>
                    </c:ext>
                  </c:extLst>
                </c:dPt>
                <c:dPt>
                  <c:idx val="3"/>
                  <c:invertIfNegative val="0"/>
                  <c:bubble3D val="0"/>
                  <c:spPr>
                    <a:solidFill>
                      <a:srgbClr val="C00000"/>
                    </a:solidFill>
                    <a:ln>
                      <a:noFill/>
                    </a:ln>
                    <a:effectLst/>
                  </c:spPr>
                  <c:extLst>
                    <c:ext xmlns:c16="http://schemas.microsoft.com/office/drawing/2014/chart" uri="{C3380CC4-5D6E-409C-BE32-E72D297353CC}">
                      <c16:uniqueId val="{00000004-8024-4418-89FD-046C651E1F34}"/>
                    </c:ext>
                  </c:extLst>
                </c:dPt>
                <c:dPt>
                  <c:idx val="4"/>
                  <c:invertIfNegative val="0"/>
                  <c:bubble3D val="0"/>
                  <c:spPr>
                    <a:solidFill>
                      <a:srgbClr val="C00000"/>
                    </a:solidFill>
                    <a:ln>
                      <a:noFill/>
                    </a:ln>
                    <a:effectLst/>
                  </c:spPr>
                  <c:extLst>
                    <c:ext xmlns:c16="http://schemas.microsoft.com/office/drawing/2014/chart" uri="{C3380CC4-5D6E-409C-BE32-E72D297353CC}">
                      <c16:uniqueId val="{00000009-8639-4026-8B85-655A348FAB51}"/>
                    </c:ext>
                  </c:extLst>
                </c:dPt>
                <c:dPt>
                  <c:idx val="5"/>
                  <c:invertIfNegative val="0"/>
                  <c:bubble3D val="0"/>
                  <c:spPr>
                    <a:solidFill>
                      <a:srgbClr val="C00000"/>
                    </a:solidFill>
                    <a:ln>
                      <a:noFill/>
                    </a:ln>
                    <a:effectLst/>
                  </c:spPr>
                  <c:extLst>
                    <c:ext xmlns:c16="http://schemas.microsoft.com/office/drawing/2014/chart" uri="{C3380CC4-5D6E-409C-BE32-E72D297353CC}">
                      <c16:uniqueId val="{0000000A-8639-4026-8B85-655A348FAB51}"/>
                    </c:ext>
                  </c:extLst>
                </c:dPt>
                <c:dLbls>
                  <c:dLbl>
                    <c:idx val="25"/>
                    <c:dLblPos val="outEnd"/>
                    <c:showLegendKey val="0"/>
                    <c:showVal val="1"/>
                    <c:showCatName val="0"/>
                    <c:showSerName val="0"/>
                    <c:showPercent val="0"/>
                    <c:showBubbleSize val="0"/>
                    <c:extLst>
                      <c:ext uri="{CE6537A1-D6FC-4f65-9D91-7224C49458BB}"/>
                      <c:ext xmlns:c16="http://schemas.microsoft.com/office/drawing/2014/chart" uri="{C3380CC4-5D6E-409C-BE32-E72D297353CC}">
                        <c16:uniqueId val="{00000009-486B-4E5C-96C4-3D246604A72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Financeiro!$B$172:$B$197</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numCache>
                  </c:numRef>
                </c:cat>
                <c:val>
                  <c:numRef>
                    <c:extLst>
                      <c:ext uri="{02D57815-91ED-43cb-92C2-25804820EDAC}">
                        <c15:formulaRef>
                          <c15:sqref>Financeiro!$K$172:$K$197</c15:sqref>
                        </c15:formulaRef>
                      </c:ext>
                    </c:extLst>
                    <c:numCache>
                      <c:formatCode>_("R$"* #,##0.00_);_("R$"* \(#,##0.00\);_("R$"* "-"??_);_(@_)</c:formatCode>
                      <c:ptCount val="26"/>
                      <c:pt idx="0">
                        <c:v>-23440</c:v>
                      </c:pt>
                      <c:pt idx="1">
                        <c:v>-13820.102848607718</c:v>
                      </c:pt>
                      <c:pt idx="2">
                        <c:v>-2910.9724762284332</c:v>
                      </c:pt>
                      <c:pt idx="3">
                        <c:v>8862.4810276139669</c:v>
                      </c:pt>
                      <c:pt idx="4">
                        <c:v>21507.540956646699</c:v>
                      </c:pt>
                      <c:pt idx="5">
                        <c:v>35062.242302513303</c:v>
                      </c:pt>
                      <c:pt idx="6">
                        <c:v>49880.942533994683</c:v>
                      </c:pt>
                      <c:pt idx="7">
                        <c:v>66081.598743372218</c:v>
                      </c:pt>
                      <c:pt idx="8">
                        <c:v>83793.184462058765</c:v>
                      </c:pt>
                      <c:pt idx="9">
                        <c:v>103156.71937788189</c:v>
                      </c:pt>
                      <c:pt idx="10">
                        <c:v>124326.39538526747</c:v>
                      </c:pt>
                      <c:pt idx="11">
                        <c:v>145424.95744154282</c:v>
                      </c:pt>
                      <c:pt idx="12">
                        <c:v>166451.69440719683</c:v>
                      </c:pt>
                      <c:pt idx="13">
                        <c:v>187405.88803132329</c:v>
                      </c:pt>
                      <c:pt idx="14">
                        <c:v>208286.81288050691</c:v>
                      </c:pt>
                      <c:pt idx="15">
                        <c:v>229093.73626699828</c:v>
                      </c:pt>
                      <c:pt idx="16">
                        <c:v>249825.91817617047</c:v>
                      </c:pt>
                      <c:pt idx="17">
                        <c:v>270482.61119325028</c:v>
                      </c:pt>
                      <c:pt idx="18">
                        <c:v>291063.06042931683</c:v>
                      </c:pt>
                      <c:pt idx="19">
                        <c:v>311566.50344655995</c:v>
                      </c:pt>
                      <c:pt idx="20">
                        <c:v>331992.17018279136</c:v>
                      </c:pt>
                      <c:pt idx="21">
                        <c:v>352339.28287520102</c:v>
                      </c:pt>
                      <c:pt idx="22">
                        <c:v>372607.05598335067</c:v>
                      </c:pt>
                      <c:pt idx="23">
                        <c:v>392794.6961113977</c:v>
                      </c:pt>
                      <c:pt idx="24">
                        <c:v>412901.40192954114</c:v>
                      </c:pt>
                      <c:pt idx="25">
                        <c:v>432926.36409468192</c:v>
                      </c:pt>
                    </c:numCache>
                  </c:numRef>
                </c:val>
                <c:extLst>
                  <c:ext xmlns:c16="http://schemas.microsoft.com/office/drawing/2014/chart" uri="{C3380CC4-5D6E-409C-BE32-E72D297353CC}">
                    <c16:uniqueId val="{00000000-8024-4418-89FD-046C651E1F34}"/>
                  </c:ext>
                </c:extLst>
              </c15:ser>
            </c15:filteredBarSeries>
          </c:ext>
        </c:extLst>
      </c:barChart>
      <c:catAx>
        <c:axId val="690186159"/>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7447439"/>
        <c:crosses val="autoZero"/>
        <c:auto val="1"/>
        <c:lblAlgn val="ctr"/>
        <c:lblOffset val="50"/>
        <c:noMultiLvlLbl val="0"/>
      </c:catAx>
      <c:valAx>
        <c:axId val="147447439"/>
        <c:scaling>
          <c:orientation val="minMax"/>
        </c:scaling>
        <c:delete val="0"/>
        <c:axPos val="l"/>
        <c:majorGridlines>
          <c:spPr>
            <a:ln w="9525" cap="flat" cmpd="sng" algn="ctr">
              <a:solidFill>
                <a:schemeClr val="bg1">
                  <a:lumMod val="85000"/>
                  <a:alpha val="49000"/>
                </a:schemeClr>
              </a:solidFill>
              <a:round/>
            </a:ln>
            <a:effectLst/>
          </c:spPr>
        </c:majorGridlines>
        <c:numFmt formatCode="_-&quot;R$&quot;\ * #,##0,_-&quot;k&quot;;\-&quot;R$&quot;\ * #,##0,_-&quot;k&quot;;_-&quot;R$&quot;\ * &quot;-&quot;?_-;_-@_-" sourceLinked="0"/>
        <c:majorTickMark val="out"/>
        <c:minorTickMark val="none"/>
        <c:tickLblPos val="nextTo"/>
        <c:spPr>
          <a:noFill/>
          <a:ln>
            <a:noFill/>
          </a:ln>
          <a:effectLst/>
        </c:spPr>
        <c:txPr>
          <a:bodyPr rot="-1500000" spcFirstLastPara="1" vertOverflow="ellipsis" wrap="square" anchor="ctr" anchorCtr="1"/>
          <a:lstStyle/>
          <a:p>
            <a:pPr>
              <a:defRPr sz="900" b="0" i="0" u="none" strike="noStrike" kern="1200" baseline="0">
                <a:solidFill>
                  <a:schemeClr val="tx1">
                    <a:lumMod val="65000"/>
                    <a:lumOff val="35000"/>
                    <a:alpha val="79000"/>
                  </a:schemeClr>
                </a:solidFill>
                <a:latin typeface="+mn-lt"/>
                <a:ea typeface="+mn-ea"/>
                <a:cs typeface="+mn-cs"/>
              </a:defRPr>
            </a:pPr>
            <a:endParaRPr lang="pt-BR"/>
          </a:p>
        </c:txPr>
        <c:crossAx val="690186159"/>
        <c:crosses val="autoZero"/>
        <c:crossBetween val="between"/>
      </c:valAx>
      <c:spPr>
        <a:noFill/>
        <a:ln>
          <a:noFill/>
        </a:ln>
        <a:effectLst/>
      </c:spPr>
    </c:plotArea>
    <c:legend>
      <c:legendPos val="b"/>
      <c:legendEntry>
        <c:idx val="0"/>
        <c:delete val="1"/>
      </c:legendEntry>
      <c:layout>
        <c:manualLayout>
          <c:xMode val="edge"/>
          <c:yMode val="edge"/>
          <c:x val="0.397151802745768"/>
          <c:y val="0.89891715229213243"/>
          <c:w val="0.20335453523760177"/>
          <c:h val="4.387858035960887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Avaliação Econômica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8.8507036748776094E-2"/>
          <c:y val="0.11748081459385228"/>
          <c:w val="0.89926727708458776"/>
          <c:h val="0.83427244429984293"/>
        </c:manualLayout>
      </c:layout>
      <c:barChart>
        <c:barDir val="col"/>
        <c:grouping val="clustered"/>
        <c:varyColors val="0"/>
        <c:ser>
          <c:idx val="0"/>
          <c:order val="0"/>
          <c:tx>
            <c:strRef>
              <c:f>Financeiro!$K$171</c:f>
              <c:strCache>
                <c:ptCount val="1"/>
                <c:pt idx="0">
                  <c:v>Economia Acumulada</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94B4-42C2-9682-8C3724E9048D}"/>
              </c:ext>
            </c:extLst>
          </c:dPt>
          <c:dPt>
            <c:idx val="1"/>
            <c:invertIfNegative val="0"/>
            <c:bubble3D val="0"/>
            <c:spPr>
              <a:solidFill>
                <a:srgbClr val="C00000"/>
              </a:solidFill>
              <a:ln>
                <a:noFill/>
              </a:ln>
              <a:effectLst/>
            </c:spPr>
            <c:extLst>
              <c:ext xmlns:c16="http://schemas.microsoft.com/office/drawing/2014/chart" uri="{C3380CC4-5D6E-409C-BE32-E72D297353CC}">
                <c16:uniqueId val="{00000003-94B4-42C2-9682-8C3724E9048D}"/>
              </c:ext>
            </c:extLst>
          </c:dPt>
          <c:dPt>
            <c:idx val="2"/>
            <c:invertIfNegative val="0"/>
            <c:bubble3D val="0"/>
            <c:spPr>
              <a:solidFill>
                <a:srgbClr val="C00000"/>
              </a:solidFill>
              <a:ln>
                <a:noFill/>
              </a:ln>
              <a:effectLst/>
            </c:spPr>
            <c:extLst>
              <c:ext xmlns:c16="http://schemas.microsoft.com/office/drawing/2014/chart" uri="{C3380CC4-5D6E-409C-BE32-E72D297353CC}">
                <c16:uniqueId val="{00000005-94B4-42C2-9682-8C3724E9048D}"/>
              </c:ext>
            </c:extLst>
          </c:dPt>
          <c:dPt>
            <c:idx val="3"/>
            <c:invertIfNegative val="0"/>
            <c:bubble3D val="0"/>
            <c:spPr>
              <a:solidFill>
                <a:srgbClr val="C00000"/>
              </a:solidFill>
              <a:ln>
                <a:noFill/>
              </a:ln>
              <a:effectLst/>
            </c:spPr>
            <c:extLst>
              <c:ext xmlns:c16="http://schemas.microsoft.com/office/drawing/2014/chart" uri="{C3380CC4-5D6E-409C-BE32-E72D297353CC}">
                <c16:uniqueId val="{00000007-94B4-42C2-9682-8C3724E9048D}"/>
              </c:ext>
            </c:extLst>
          </c:dPt>
          <c:dPt>
            <c:idx val="4"/>
            <c:invertIfNegative val="0"/>
            <c:bubble3D val="0"/>
            <c:spPr>
              <a:solidFill>
                <a:srgbClr val="C00000"/>
              </a:solidFill>
              <a:ln>
                <a:noFill/>
              </a:ln>
              <a:effectLst/>
            </c:spPr>
            <c:extLst>
              <c:ext xmlns:c16="http://schemas.microsoft.com/office/drawing/2014/chart" uri="{C3380CC4-5D6E-409C-BE32-E72D297353CC}">
                <c16:uniqueId val="{00000009-94B4-42C2-9682-8C3724E9048D}"/>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4B4-42C2-9682-8C3724E9048D}"/>
                </c:ext>
              </c:extLst>
            </c:dLbl>
            <c:dLbl>
              <c:idx val="2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4B4-42C2-9682-8C3724E904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Financeiro!$B$234:$B$259</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numCache>
            </c:numRef>
          </c:cat>
          <c:val>
            <c:numRef>
              <c:f>Financeiro!$K$234:$K$259</c:f>
              <c:numCache>
                <c:formatCode>_("R$"* #,##0.00_);_("R$"* \(#,##0.00\);_("R$"* "-"??_);_(@_)</c:formatCode>
                <c:ptCount val="26"/>
                <c:pt idx="0">
                  <c:v>0</c:v>
                </c:pt>
                <c:pt idx="1">
                  <c:v>1171.3381876156545</c:v>
                </c:pt>
                <c:pt idx="2">
                  <c:v>1942.1978034629865</c:v>
                </c:pt>
                <c:pt idx="3">
                  <c:v>3577.3805507734342</c:v>
                </c:pt>
                <c:pt idx="4">
                  <c:v>6084.1697232742154</c:v>
                </c:pt>
                <c:pt idx="5">
                  <c:v>9500.6003126088672</c:v>
                </c:pt>
                <c:pt idx="6">
                  <c:v>22629.588751334923</c:v>
                </c:pt>
                <c:pt idx="7">
                  <c:v>47278.803924489082</c:v>
                </c:pt>
                <c:pt idx="8">
                  <c:v>64990.389643175629</c:v>
                </c:pt>
                <c:pt idx="9">
                  <c:v>84353.924558998755</c:v>
                </c:pt>
                <c:pt idx="10">
                  <c:v>105523.60056638435</c:v>
                </c:pt>
                <c:pt idx="11">
                  <c:v>126622.1626226597</c:v>
                </c:pt>
                <c:pt idx="12">
                  <c:v>147648.89958831371</c:v>
                </c:pt>
                <c:pt idx="13">
                  <c:v>168603.09321244017</c:v>
                </c:pt>
                <c:pt idx="14">
                  <c:v>189484.01806162379</c:v>
                </c:pt>
                <c:pt idx="15">
                  <c:v>210290.94144811516</c:v>
                </c:pt>
                <c:pt idx="16">
                  <c:v>231023.12335728735</c:v>
                </c:pt>
                <c:pt idx="17">
                  <c:v>251679.81637436716</c:v>
                </c:pt>
                <c:pt idx="18">
                  <c:v>272260.26561043371</c:v>
                </c:pt>
                <c:pt idx="19">
                  <c:v>292763.70862767682</c:v>
                </c:pt>
                <c:pt idx="20">
                  <c:v>313189.37536390824</c:v>
                </c:pt>
                <c:pt idx="21">
                  <c:v>333536.4880563179</c:v>
                </c:pt>
                <c:pt idx="22">
                  <c:v>353804.26116446755</c:v>
                </c:pt>
                <c:pt idx="23">
                  <c:v>373991.90129251458</c:v>
                </c:pt>
                <c:pt idx="24">
                  <c:v>394098.60711065802</c:v>
                </c:pt>
                <c:pt idx="25">
                  <c:v>414123.5692757988</c:v>
                </c:pt>
              </c:numCache>
            </c:numRef>
          </c:val>
          <c:extLst>
            <c:ext xmlns:c16="http://schemas.microsoft.com/office/drawing/2014/chart" uri="{C3380CC4-5D6E-409C-BE32-E72D297353CC}">
              <c16:uniqueId val="{00000008-94B4-42C2-9682-8C3724E9048D}"/>
            </c:ext>
          </c:extLst>
        </c:ser>
        <c:dLbls>
          <c:showLegendKey val="0"/>
          <c:showVal val="0"/>
          <c:showCatName val="0"/>
          <c:showSerName val="0"/>
          <c:showPercent val="0"/>
          <c:showBubbleSize val="0"/>
        </c:dLbls>
        <c:gapWidth val="219"/>
        <c:overlap val="-27"/>
        <c:axId val="690186159"/>
        <c:axId val="147447439"/>
      </c:barChart>
      <c:catAx>
        <c:axId val="690186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7447439"/>
        <c:crosses val="autoZero"/>
        <c:auto val="1"/>
        <c:lblAlgn val="ctr"/>
        <c:lblOffset val="100"/>
        <c:noMultiLvlLbl val="0"/>
      </c:catAx>
      <c:valAx>
        <c:axId val="147447439"/>
        <c:scaling>
          <c:orientation val="minMax"/>
          <c:max val="156000"/>
          <c:min val="-5000"/>
        </c:scaling>
        <c:delete val="0"/>
        <c:axPos val="l"/>
        <c:majorGridlines>
          <c:spPr>
            <a:ln w="9525" cap="flat" cmpd="sng" algn="ctr">
              <a:solidFill>
                <a:schemeClr val="tx1">
                  <a:lumMod val="15000"/>
                  <a:lumOff val="85000"/>
                </a:schemeClr>
              </a:solidFill>
              <a:round/>
            </a:ln>
            <a:effectLst/>
          </c:spPr>
        </c:majorGridlines>
        <c:numFmt formatCode="_(&quot;R$&quot;* #,##0.00_);_(&quot;R$&quot;* \(#,##0.00\);_(&quot;R$&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90186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[Modelo - Cactos - Dimensionamento V15.11.xlsx]Dash!Tabela dinâmica3</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010936132983375"/>
          <c:y val="8.771929824561403E-2"/>
          <c:w val="0.69544619422572174"/>
          <c:h val="0.89843028624192056"/>
        </c:manualLayout>
      </c:layout>
      <c:barChart>
        <c:barDir val="bar"/>
        <c:grouping val="clustered"/>
        <c:varyColors val="0"/>
        <c:ser>
          <c:idx val="0"/>
          <c:order val="0"/>
          <c:tx>
            <c:strRef>
              <c:f>Dash!$F$2</c:f>
              <c:strCache>
                <c:ptCount val="1"/>
                <c:pt idx="0">
                  <c:v>Total</c:v>
                </c:pt>
              </c:strCache>
            </c:strRef>
          </c:tx>
          <c:spPr>
            <a:solidFill>
              <a:schemeClr val="accent1"/>
            </a:solidFill>
            <a:ln>
              <a:noFill/>
            </a:ln>
            <a:effectLst/>
          </c:spPr>
          <c:invertIfNegative val="0"/>
          <c:cat>
            <c:strRef>
              <c:f>Dash!$E$3:$E$14</c:f>
              <c:strCache>
                <c:ptCount val="11"/>
                <c:pt idx="0">
                  <c:v>(vazio)</c:v>
                </c:pt>
                <c:pt idx="1">
                  <c:v>Solutudo</c:v>
                </c:pt>
                <c:pt idx="2">
                  <c:v>Instagram</c:v>
                </c:pt>
                <c:pt idx="3">
                  <c:v>Outros</c:v>
                </c:pt>
                <c:pt idx="4">
                  <c:v>Google Ads</c:v>
                </c:pt>
                <c:pt idx="5">
                  <c:v>Engelink</c:v>
                </c:pt>
                <c:pt idx="6">
                  <c:v>Indicação (outros)</c:v>
                </c:pt>
                <c:pt idx="7">
                  <c:v>Indicação Remunerada</c:v>
                </c:pt>
                <c:pt idx="8">
                  <c:v>Network</c:v>
                </c:pt>
                <c:pt idx="9">
                  <c:v>Meta Ads</c:v>
                </c:pt>
                <c:pt idx="10">
                  <c:v>Indicação de Clientes</c:v>
                </c:pt>
              </c:strCache>
            </c:strRef>
          </c:cat>
          <c:val>
            <c:numRef>
              <c:f>Dash!$F$3:$F$14</c:f>
              <c:numCache>
                <c:formatCode>General</c:formatCode>
                <c:ptCount val="11"/>
                <c:pt idx="1">
                  <c:v>1</c:v>
                </c:pt>
                <c:pt idx="2">
                  <c:v>1</c:v>
                </c:pt>
                <c:pt idx="3">
                  <c:v>2</c:v>
                </c:pt>
                <c:pt idx="4">
                  <c:v>8</c:v>
                </c:pt>
                <c:pt idx="5">
                  <c:v>9</c:v>
                </c:pt>
                <c:pt idx="6">
                  <c:v>20</c:v>
                </c:pt>
                <c:pt idx="7">
                  <c:v>29</c:v>
                </c:pt>
                <c:pt idx="8">
                  <c:v>36</c:v>
                </c:pt>
                <c:pt idx="9">
                  <c:v>50</c:v>
                </c:pt>
                <c:pt idx="10">
                  <c:v>53</c:v>
                </c:pt>
              </c:numCache>
            </c:numRef>
          </c:val>
          <c:extLst>
            <c:ext xmlns:c16="http://schemas.microsoft.com/office/drawing/2014/chart" uri="{C3380CC4-5D6E-409C-BE32-E72D297353CC}">
              <c16:uniqueId val="{00000000-4F7F-43CD-AA56-619E9FAE4CD2}"/>
            </c:ext>
          </c:extLst>
        </c:ser>
        <c:dLbls>
          <c:showLegendKey val="0"/>
          <c:showVal val="0"/>
          <c:showCatName val="0"/>
          <c:showSerName val="0"/>
          <c:showPercent val="0"/>
          <c:showBubbleSize val="0"/>
        </c:dLbls>
        <c:gapWidth val="182"/>
        <c:axId val="724509055"/>
        <c:axId val="724529263"/>
      </c:barChart>
      <c:catAx>
        <c:axId val="724509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pt-BR"/>
          </a:p>
        </c:txPr>
        <c:crossAx val="724529263"/>
        <c:crosses val="autoZero"/>
        <c:auto val="1"/>
        <c:lblAlgn val="ctr"/>
        <c:lblOffset val="100"/>
        <c:noMultiLvlLbl val="0"/>
      </c:catAx>
      <c:valAx>
        <c:axId val="724529263"/>
        <c:scaling>
          <c:orientation val="minMax"/>
        </c:scaling>
        <c:delete val="1"/>
        <c:axPos val="b"/>
        <c:numFmt formatCode="General" sourceLinked="1"/>
        <c:majorTickMark val="none"/>
        <c:minorTickMark val="none"/>
        <c:tickLblPos val="nextTo"/>
        <c:crossAx val="724509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[Modelo - Cactos - Dimensionamento V15.11.xlsx]Dash!TDnfechamentos</c:name>
    <c:fmtId val="16"/>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pt-BR">
                <a:solidFill>
                  <a:schemeClr val="bg1">
                    <a:lumMod val="95000"/>
                  </a:schemeClr>
                </a:solidFill>
              </a:rPr>
              <a:t>Fechamentos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pt-BR"/>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3.0541656699903774E-2"/>
          <c:y val="5.127601400311748E-2"/>
          <c:w val="0.89406387062293213"/>
          <c:h val="0.73697226288924944"/>
        </c:manualLayout>
      </c:layout>
      <c:bar3DChart>
        <c:barDir val="col"/>
        <c:grouping val="clustered"/>
        <c:varyColors val="0"/>
        <c:ser>
          <c:idx val="0"/>
          <c:order val="0"/>
          <c:tx>
            <c:strRef>
              <c:f>Dash!$N$2</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Dash!$M$3:$M$16</c:f>
              <c:strCache>
                <c:ptCount val="13"/>
                <c:pt idx="0">
                  <c:v>&lt;21/07/2020</c:v>
                </c:pt>
                <c:pt idx="1">
                  <c:v>jan</c:v>
                </c:pt>
                <c:pt idx="2">
                  <c:v>fev</c:v>
                </c:pt>
                <c:pt idx="3">
                  <c:v>mar</c:v>
                </c:pt>
                <c:pt idx="4">
                  <c:v>abr</c:v>
                </c:pt>
                <c:pt idx="5">
                  <c:v>mai</c:v>
                </c:pt>
                <c:pt idx="6">
                  <c:v>jun</c:v>
                </c:pt>
                <c:pt idx="7">
                  <c:v>jul</c:v>
                </c:pt>
                <c:pt idx="8">
                  <c:v>ago</c:v>
                </c:pt>
                <c:pt idx="9">
                  <c:v>set</c:v>
                </c:pt>
                <c:pt idx="10">
                  <c:v>out</c:v>
                </c:pt>
                <c:pt idx="11">
                  <c:v>nov</c:v>
                </c:pt>
                <c:pt idx="12">
                  <c:v>dez</c:v>
                </c:pt>
              </c:strCache>
            </c:strRef>
          </c:cat>
          <c:val>
            <c:numRef>
              <c:f>Dash!$N$3:$N$16</c:f>
              <c:numCache>
                <c:formatCode>General</c:formatCode>
                <c:ptCount val="13"/>
                <c:pt idx="1">
                  <c:v>3</c:v>
                </c:pt>
                <c:pt idx="2">
                  <c:v>8</c:v>
                </c:pt>
                <c:pt idx="3">
                  <c:v>5</c:v>
                </c:pt>
                <c:pt idx="4">
                  <c:v>8</c:v>
                </c:pt>
                <c:pt idx="5">
                  <c:v>8</c:v>
                </c:pt>
                <c:pt idx="6">
                  <c:v>15</c:v>
                </c:pt>
                <c:pt idx="7">
                  <c:v>10</c:v>
                </c:pt>
                <c:pt idx="8">
                  <c:v>30</c:v>
                </c:pt>
                <c:pt idx="9">
                  <c:v>17</c:v>
                </c:pt>
                <c:pt idx="10">
                  <c:v>16</c:v>
                </c:pt>
                <c:pt idx="11">
                  <c:v>13</c:v>
                </c:pt>
                <c:pt idx="12">
                  <c:v>11</c:v>
                </c:pt>
              </c:numCache>
            </c:numRef>
          </c:val>
          <c:extLst>
            <c:ext xmlns:c16="http://schemas.microsoft.com/office/drawing/2014/chart" uri="{C3380CC4-5D6E-409C-BE32-E72D297353CC}">
              <c16:uniqueId val="{00000000-37F6-415A-8F37-B9B9689D0B56}"/>
            </c:ext>
          </c:extLst>
        </c:ser>
        <c:dLbls>
          <c:showLegendKey val="0"/>
          <c:showVal val="1"/>
          <c:showCatName val="0"/>
          <c:showSerName val="0"/>
          <c:showPercent val="0"/>
          <c:showBubbleSize val="0"/>
        </c:dLbls>
        <c:gapWidth val="150"/>
        <c:shape val="box"/>
        <c:axId val="726727119"/>
        <c:axId val="724649743"/>
        <c:axId val="0"/>
      </c:bar3DChart>
      <c:catAx>
        <c:axId val="7267271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pt-BR"/>
          </a:p>
        </c:txPr>
        <c:crossAx val="724649743"/>
        <c:crosses val="autoZero"/>
        <c:auto val="1"/>
        <c:lblAlgn val="ctr"/>
        <c:lblOffset val="100"/>
        <c:noMultiLvlLbl val="0"/>
      </c:catAx>
      <c:valAx>
        <c:axId val="724649743"/>
        <c:scaling>
          <c:orientation val="minMax"/>
        </c:scaling>
        <c:delete val="1"/>
        <c:axPos val="l"/>
        <c:numFmt formatCode="General" sourceLinked="1"/>
        <c:majorTickMark val="none"/>
        <c:minorTickMark val="none"/>
        <c:tickLblPos val="nextTo"/>
        <c:crossAx val="726727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[Modelo - Cactos - Dimensionamento V15.11.xlsx]Dash!TDfaturamento</c:name>
    <c:fmtId val="19"/>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pt-BR">
                <a:solidFill>
                  <a:schemeClr val="bg1">
                    <a:lumMod val="95000"/>
                  </a:schemeClr>
                </a:solidFill>
              </a:rPr>
              <a:t>Faturamento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pt-BR"/>
        </a:p>
      </c:txPr>
    </c:title>
    <c:autoTitleDeleted val="0"/>
    <c:pivotFmts>
      <c:pivotFmt>
        <c:idx val="0"/>
        <c:spPr>
          <a:solidFill>
            <a:schemeClr val="accent1"/>
          </a:solidFill>
          <a:ln>
            <a:noFill/>
          </a:ln>
          <a:effectLst/>
          <a:sp3d/>
        </c:spPr>
        <c:marker>
          <c:symbol val="none"/>
        </c:marker>
        <c:dLbl>
          <c:idx val="0"/>
          <c:numFmt formatCode="&quot;R$&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numFmt formatCode="&quot;R$&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numFmt formatCode="_-&quot;R$&quot;\ * #,##0,_-&quot;k&quot;;\-&quot;R$&quot;\ * #,##0,_-&quot;k&quot;;_-&quot;R$&quot;\ *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Dash!$R$14</c:f>
              <c:strCache>
                <c:ptCount val="1"/>
                <c:pt idx="0">
                  <c:v>Total</c:v>
                </c:pt>
              </c:strCache>
            </c:strRef>
          </c:tx>
          <c:spPr>
            <a:solidFill>
              <a:schemeClr val="accent1"/>
            </a:solidFill>
            <a:ln>
              <a:noFill/>
            </a:ln>
            <a:effectLst/>
            <a:sp3d/>
          </c:spPr>
          <c:invertIfNegative val="0"/>
          <c:dLbls>
            <c:numFmt formatCode="_-&quot;R$&quot;\ * #,##0,_-&quot;k&quot;;\-&quot;R$&quot;\ * #,##0,_-&quot;k&quot;;_-&quot;R$&quot;\ *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Dash!$Q$15:$Q$27</c:f>
              <c:strCache>
                <c:ptCount val="13"/>
                <c:pt idx="0">
                  <c:v>&lt;21/07/2020</c:v>
                </c:pt>
                <c:pt idx="1">
                  <c:v>jan</c:v>
                </c:pt>
                <c:pt idx="2">
                  <c:v>fev</c:v>
                </c:pt>
                <c:pt idx="3">
                  <c:v>mar</c:v>
                </c:pt>
                <c:pt idx="4">
                  <c:v>abr</c:v>
                </c:pt>
                <c:pt idx="5">
                  <c:v>mai</c:v>
                </c:pt>
                <c:pt idx="6">
                  <c:v>jun</c:v>
                </c:pt>
                <c:pt idx="7">
                  <c:v>jul</c:v>
                </c:pt>
                <c:pt idx="8">
                  <c:v>ago</c:v>
                </c:pt>
                <c:pt idx="9">
                  <c:v>set</c:v>
                </c:pt>
                <c:pt idx="10">
                  <c:v>out</c:v>
                </c:pt>
                <c:pt idx="11">
                  <c:v>nov</c:v>
                </c:pt>
                <c:pt idx="12">
                  <c:v>dez</c:v>
                </c:pt>
              </c:strCache>
            </c:strRef>
          </c:cat>
          <c:val>
            <c:numRef>
              <c:f>Dash!$R$15:$R$27</c:f>
              <c:numCache>
                <c:formatCode>"R$"\ #,##0.00</c:formatCode>
                <c:ptCount val="13"/>
                <c:pt idx="1">
                  <c:v>95980</c:v>
                </c:pt>
                <c:pt idx="2">
                  <c:v>51219.93</c:v>
                </c:pt>
                <c:pt idx="3">
                  <c:v>22600</c:v>
                </c:pt>
                <c:pt idx="4">
                  <c:v>33117.11</c:v>
                </c:pt>
                <c:pt idx="5">
                  <c:v>75000</c:v>
                </c:pt>
                <c:pt idx="7">
                  <c:v>78715.360000000001</c:v>
                </c:pt>
                <c:pt idx="8">
                  <c:v>145900</c:v>
                </c:pt>
                <c:pt idx="9">
                  <c:v>84884.06</c:v>
                </c:pt>
                <c:pt idx="10">
                  <c:v>40500</c:v>
                </c:pt>
                <c:pt idx="11">
                  <c:v>130300</c:v>
                </c:pt>
                <c:pt idx="12">
                  <c:v>106269.92</c:v>
                </c:pt>
              </c:numCache>
            </c:numRef>
          </c:val>
          <c:extLst>
            <c:ext xmlns:c16="http://schemas.microsoft.com/office/drawing/2014/chart" uri="{C3380CC4-5D6E-409C-BE32-E72D297353CC}">
              <c16:uniqueId val="{00000000-B3D7-4370-8C03-53D66471F477}"/>
            </c:ext>
          </c:extLst>
        </c:ser>
        <c:dLbls>
          <c:showLegendKey val="0"/>
          <c:showVal val="0"/>
          <c:showCatName val="0"/>
          <c:showSerName val="0"/>
          <c:showPercent val="0"/>
          <c:showBubbleSize val="0"/>
        </c:dLbls>
        <c:gapWidth val="150"/>
        <c:shape val="box"/>
        <c:axId val="926094815"/>
        <c:axId val="724558063"/>
        <c:axId val="0"/>
      </c:bar3DChart>
      <c:catAx>
        <c:axId val="9260948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pt-BR"/>
          </a:p>
        </c:txPr>
        <c:crossAx val="724558063"/>
        <c:crosses val="autoZero"/>
        <c:auto val="1"/>
        <c:lblAlgn val="ctr"/>
        <c:lblOffset val="100"/>
        <c:noMultiLvlLbl val="0"/>
      </c:catAx>
      <c:valAx>
        <c:axId val="724558063"/>
        <c:scaling>
          <c:orientation val="minMax"/>
        </c:scaling>
        <c:delete val="1"/>
        <c:axPos val="l"/>
        <c:numFmt formatCode="&quot;R$&quot;\ #,##0.00" sourceLinked="1"/>
        <c:majorTickMark val="none"/>
        <c:minorTickMark val="none"/>
        <c:tickLblPos val="nextTo"/>
        <c:crossAx val="92609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Geração x Consumo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3.0669680475637461E-2"/>
          <c:y val="0.35118684791266763"/>
          <c:w val="0.943421321230828"/>
          <c:h val="0.52809495827946884"/>
        </c:manualLayout>
      </c:layout>
      <c:barChart>
        <c:barDir val="col"/>
        <c:grouping val="clustered"/>
        <c:varyColors val="0"/>
        <c:ser>
          <c:idx val="3"/>
          <c:order val="0"/>
          <c:tx>
            <c:v>apagar</c:v>
          </c:tx>
          <c:spPr>
            <a:noFill/>
            <a:ln>
              <a:noFill/>
            </a:ln>
            <a:effectLst/>
          </c:spPr>
          <c:invertIfNegative val="0"/>
          <c:cat>
            <c:strRef>
              <c:f>Financeiro!$S$5:$S$16</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Financeiro!$T$5:$T$16</c:f>
              <c:numCache>
                <c:formatCode>#,###\ "kWh"</c:formatCode>
                <c:ptCount val="12"/>
                <c:pt idx="0">
                  <c:v>1202.6880000000001</c:v>
                </c:pt>
                <c:pt idx="1">
                  <c:v>1202.6880000000001</c:v>
                </c:pt>
                <c:pt idx="2">
                  <c:v>1002.24</c:v>
                </c:pt>
                <c:pt idx="3">
                  <c:v>902.01600000000008</c:v>
                </c:pt>
                <c:pt idx="4">
                  <c:v>701.56799999999998</c:v>
                </c:pt>
                <c:pt idx="5">
                  <c:v>601.34400000000005</c:v>
                </c:pt>
                <c:pt idx="6">
                  <c:v>601.34400000000005</c:v>
                </c:pt>
                <c:pt idx="7">
                  <c:v>701.56799999999998</c:v>
                </c:pt>
                <c:pt idx="8">
                  <c:v>701.56799999999998</c:v>
                </c:pt>
                <c:pt idx="9">
                  <c:v>701.56799999999998</c:v>
                </c:pt>
                <c:pt idx="10">
                  <c:v>801.79200000000003</c:v>
                </c:pt>
                <c:pt idx="11">
                  <c:v>1002.24</c:v>
                </c:pt>
              </c:numCache>
            </c:numRef>
          </c:val>
          <c:extLst>
            <c:ext xmlns:c16="http://schemas.microsoft.com/office/drawing/2014/chart" uri="{C3380CC4-5D6E-409C-BE32-E72D297353CC}">
              <c16:uniqueId val="{00000000-FE1B-4B4B-8F59-E7EF8B1C6CA6}"/>
            </c:ext>
          </c:extLst>
        </c:ser>
        <c:ser>
          <c:idx val="2"/>
          <c:order val="3"/>
          <c:tx>
            <c:v>Créditos</c:v>
          </c:tx>
          <c:spPr>
            <a:solidFill>
              <a:srgbClr val="0070C0"/>
            </a:solidFill>
            <a:ln w="25400">
              <a:noFill/>
            </a:ln>
            <a:effectLst/>
          </c:spPr>
          <c:invertIfNegative val="0"/>
          <c:dLbls>
            <c:spPr>
              <a:noFill/>
              <a:ln>
                <a:noFill/>
              </a:ln>
              <a:effectLst/>
            </c:spPr>
            <c:txPr>
              <a:bodyPr rot="-5400000" spcFirstLastPara="1" vertOverflow="overflow" horzOverflow="overflow" vert="horz" wrap="square" lIns="36000" tIns="36000" rIns="36000" bIns="36000" anchor="b" anchorCtr="1">
                <a:spAutoFit/>
              </a:bodyPr>
              <a:lstStyle/>
              <a:p>
                <a:pPr>
                  <a:defRPr sz="900" b="0" i="0" u="none" strike="noStrike" kern="1200" baseline="0">
                    <a:solidFill>
                      <a:schemeClr val="accent6">
                        <a:lumMod val="7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Financeiro!$S$5:$S$16</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Financeiro!$Y$5:$Y$16</c:f>
              <c:numCache>
                <c:formatCode>#,###\ "kWh"</c:formatCode>
                <c:ptCount val="12"/>
                <c:pt idx="0">
                  <c:v>1202.6880000000001</c:v>
                </c:pt>
                <c:pt idx="1">
                  <c:v>1202.6880000000001</c:v>
                </c:pt>
                <c:pt idx="2">
                  <c:v>1002.2399999999999</c:v>
                </c:pt>
                <c:pt idx="3">
                  <c:v>902.01600000000008</c:v>
                </c:pt>
                <c:pt idx="4">
                  <c:v>701.56799999999998</c:v>
                </c:pt>
                <c:pt idx="5">
                  <c:v>601.34400000000005</c:v>
                </c:pt>
                <c:pt idx="6">
                  <c:v>601.76883073128033</c:v>
                </c:pt>
                <c:pt idx="7">
                  <c:v>775.36007200340009</c:v>
                </c:pt>
                <c:pt idx="8">
                  <c:v>765.28521421013443</c:v>
                </c:pt>
                <c:pt idx="9">
                  <c:v>917.96679517340317</c:v>
                </c:pt>
                <c:pt idx="10">
                  <c:v>919.5976114147046</c:v>
                </c:pt>
                <c:pt idx="11">
                  <c:v>1089.8825615637115</c:v>
                </c:pt>
              </c:numCache>
            </c:numRef>
          </c:val>
          <c:extLst>
            <c:ext xmlns:c16="http://schemas.microsoft.com/office/drawing/2014/chart" uri="{C3380CC4-5D6E-409C-BE32-E72D297353CC}">
              <c16:uniqueId val="{00000001-FE1B-4B4B-8F59-E7EF8B1C6CA6}"/>
            </c:ext>
          </c:extLst>
        </c:ser>
        <c:dLbls>
          <c:showLegendKey val="0"/>
          <c:showVal val="0"/>
          <c:showCatName val="0"/>
          <c:showSerName val="0"/>
          <c:showPercent val="0"/>
          <c:showBubbleSize val="0"/>
        </c:dLbls>
        <c:gapWidth val="183"/>
        <c:axId val="170656944"/>
        <c:axId val="435973200"/>
      </c:barChart>
      <c:barChart>
        <c:barDir val="col"/>
        <c:grouping val="clustered"/>
        <c:varyColors val="0"/>
        <c:ser>
          <c:idx val="0"/>
          <c:order val="1"/>
          <c:tx>
            <c:v>Consumo</c:v>
          </c:tx>
          <c:spPr>
            <a:solidFill>
              <a:schemeClr val="bg1">
                <a:lumMod val="65000"/>
              </a:schemeClr>
            </a:solidFill>
            <a:ln>
              <a:noFill/>
            </a:ln>
            <a:effectLst/>
          </c:spPr>
          <c:invertIfNegative val="0"/>
          <c:dLbls>
            <c:spPr>
              <a:noFill/>
              <a:ln>
                <a:noFill/>
              </a:ln>
              <a:effectLst/>
            </c:spPr>
            <c:txPr>
              <a:bodyPr rot="-5400000" spcFirstLastPara="1" vertOverflow="ellipsis" horzOverflow="clip" vert="horz" wrap="none" lIns="36000" tIns="36000" rIns="36000" bIns="36000" anchor="t" anchorCtr="1">
                <a:spAutoFit/>
              </a:bodyPr>
              <a:lstStyle/>
              <a:p>
                <a:pPr>
                  <a:defRPr sz="900" b="0" i="0" u="none" strike="noStrike" kern="1200" baseline="0">
                    <a:solidFill>
                      <a:schemeClr val="bg2">
                        <a:lumMod val="50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Financeiro!$B$23:$B$34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Financeiro!$T$5:$T$16</c:f>
              <c:numCache>
                <c:formatCode>#,###\ "kWh"</c:formatCode>
                <c:ptCount val="12"/>
                <c:pt idx="0">
                  <c:v>1202.6880000000001</c:v>
                </c:pt>
                <c:pt idx="1">
                  <c:v>1202.6880000000001</c:v>
                </c:pt>
                <c:pt idx="2">
                  <c:v>1002.24</c:v>
                </c:pt>
                <c:pt idx="3">
                  <c:v>902.01600000000008</c:v>
                </c:pt>
                <c:pt idx="4">
                  <c:v>701.56799999999998</c:v>
                </c:pt>
                <c:pt idx="5">
                  <c:v>601.34400000000005</c:v>
                </c:pt>
                <c:pt idx="6">
                  <c:v>601.34400000000005</c:v>
                </c:pt>
                <c:pt idx="7">
                  <c:v>701.56799999999998</c:v>
                </c:pt>
                <c:pt idx="8">
                  <c:v>701.56799999999998</c:v>
                </c:pt>
                <c:pt idx="9">
                  <c:v>701.56799999999998</c:v>
                </c:pt>
                <c:pt idx="10">
                  <c:v>801.79200000000003</c:v>
                </c:pt>
                <c:pt idx="11">
                  <c:v>1002.24</c:v>
                </c:pt>
              </c:numCache>
            </c:numRef>
          </c:val>
          <c:extLst>
            <c:ext xmlns:c16="http://schemas.microsoft.com/office/drawing/2014/chart" uri="{C3380CC4-5D6E-409C-BE32-E72D297353CC}">
              <c16:uniqueId val="{00000002-FE1B-4B4B-8F59-E7EF8B1C6CA6}"/>
            </c:ext>
          </c:extLst>
        </c:ser>
        <c:ser>
          <c:idx val="1"/>
          <c:order val="2"/>
          <c:tx>
            <c:v>Geração</c:v>
          </c:tx>
          <c:spPr>
            <a:solidFill>
              <a:schemeClr val="accent6">
                <a:lumMod val="60000"/>
                <a:lumOff val="40000"/>
              </a:schemeClr>
            </a:solidFill>
            <a:ln>
              <a:noFill/>
            </a:ln>
            <a:effectLst/>
          </c:spPr>
          <c:invertIfNegative val="0"/>
          <c:val>
            <c:numRef>
              <c:f>Financeiro!$V$5:$V$16</c:f>
              <c:numCache>
                <c:formatCode>#,###\ "kWh"</c:formatCode>
                <c:ptCount val="12"/>
                <c:pt idx="0">
                  <c:v>1084.8376513550154</c:v>
                </c:pt>
                <c:pt idx="1">
                  <c:v>1052.9504794979748</c:v>
                </c:pt>
                <c:pt idx="2">
                  <c:v>916.80030381396921</c:v>
                </c:pt>
                <c:pt idx="3">
                  <c:v>781.17375166229635</c:v>
                </c:pt>
                <c:pt idx="4">
                  <c:v>648.75196802267681</c:v>
                </c:pt>
                <c:pt idx="5">
                  <c:v>597.94081889917743</c:v>
                </c:pt>
                <c:pt idx="6">
                  <c:v>601.34400000000005</c:v>
                </c:pt>
                <c:pt idx="7">
                  <c:v>701.56799999999998</c:v>
                </c:pt>
                <c:pt idx="8">
                  <c:v>701.56799999999998</c:v>
                </c:pt>
                <c:pt idx="9">
                  <c:v>701.56799999999998</c:v>
                </c:pt>
                <c:pt idx="10">
                  <c:v>801.79200000000003</c:v>
                </c:pt>
                <c:pt idx="11">
                  <c:v>1002.24</c:v>
                </c:pt>
              </c:numCache>
            </c:numRef>
          </c:val>
          <c:extLst>
            <c:ext xmlns:c16="http://schemas.microsoft.com/office/drawing/2014/chart" uri="{C3380CC4-5D6E-409C-BE32-E72D297353CC}">
              <c16:uniqueId val="{00000003-FE1B-4B4B-8F59-E7EF8B1C6CA6}"/>
            </c:ext>
          </c:extLst>
        </c:ser>
        <c:dLbls>
          <c:showLegendKey val="0"/>
          <c:showVal val="0"/>
          <c:showCatName val="0"/>
          <c:showSerName val="0"/>
          <c:showPercent val="0"/>
          <c:showBubbleSize val="0"/>
        </c:dLbls>
        <c:gapWidth val="183"/>
        <c:axId val="2036129247"/>
        <c:axId val="1861175423"/>
      </c:barChart>
      <c:catAx>
        <c:axId val="1706569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35973200"/>
        <c:crosses val="autoZero"/>
        <c:auto val="0"/>
        <c:lblAlgn val="ctr"/>
        <c:lblOffset val="100"/>
        <c:noMultiLvlLbl val="0"/>
      </c:catAx>
      <c:valAx>
        <c:axId val="435973200"/>
        <c:scaling>
          <c:orientation val="minMax"/>
        </c:scaling>
        <c:delete val="1"/>
        <c:axPos val="l"/>
        <c:numFmt formatCode="#,###\ &quot;kWh&quot;" sourceLinked="1"/>
        <c:majorTickMark val="none"/>
        <c:minorTickMark val="none"/>
        <c:tickLblPos val="nextTo"/>
        <c:crossAx val="170656944"/>
        <c:crosses val="autoZero"/>
        <c:crossBetween val="between"/>
      </c:valAx>
      <c:valAx>
        <c:axId val="1861175423"/>
        <c:scaling>
          <c:orientation val="minMax"/>
        </c:scaling>
        <c:delete val="1"/>
        <c:axPos val="r"/>
        <c:numFmt formatCode="#,###\ &quot;kWh&quot;" sourceLinked="1"/>
        <c:majorTickMark val="out"/>
        <c:minorTickMark val="none"/>
        <c:tickLblPos val="nextTo"/>
        <c:crossAx val="2036129247"/>
        <c:crosses val="max"/>
        <c:crossBetween val="between"/>
      </c:valAx>
      <c:catAx>
        <c:axId val="2036129247"/>
        <c:scaling>
          <c:orientation val="minMax"/>
        </c:scaling>
        <c:delete val="1"/>
        <c:axPos val="t"/>
        <c:numFmt formatCode="General" sourceLinked="1"/>
        <c:majorTickMark val="out"/>
        <c:minorTickMark val="none"/>
        <c:tickLblPos val="nextTo"/>
        <c:crossAx val="1861175423"/>
        <c:crosses val="max"/>
        <c:auto val="1"/>
        <c:lblAlgn val="ctr"/>
        <c:lblOffset val="100"/>
        <c:noMultiLvlLbl val="0"/>
      </c:catAx>
      <c:spPr>
        <a:noFill/>
        <a:ln>
          <a:noFill/>
        </a:ln>
        <a:effectLst/>
      </c:spPr>
    </c:plotArea>
    <c:legend>
      <c:legendPos val="r"/>
      <c:legendEntry>
        <c:idx val="0"/>
        <c:delete val="1"/>
      </c:legendEntry>
      <c:layout>
        <c:manualLayout>
          <c:xMode val="edge"/>
          <c:yMode val="edge"/>
          <c:x val="0.65636497508728175"/>
          <c:y val="1.9186785214838326E-2"/>
          <c:w val="0.12187171031753066"/>
          <c:h val="0.196875862272470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18443274426486E-2"/>
          <c:y val="0.35118684791266763"/>
          <c:w val="0.94690665363363224"/>
          <c:h val="0.52809495827946884"/>
        </c:manualLayout>
      </c:layout>
      <c:barChart>
        <c:barDir val="col"/>
        <c:grouping val="clustered"/>
        <c:varyColors val="0"/>
        <c:ser>
          <c:idx val="3"/>
          <c:order val="0"/>
          <c:tx>
            <c:v>apagar</c:v>
          </c:tx>
          <c:spPr>
            <a:solidFill>
              <a:schemeClr val="bg1">
                <a:lumMod val="65000"/>
              </a:schemeClr>
            </a:solidFill>
            <a:ln>
              <a:noFill/>
            </a:ln>
            <a:effectLst/>
          </c:spPr>
          <c:invertIfNegative val="0"/>
          <c:cat>
            <c:strRef>
              <c:f>Financeiro!$S$5:$S$17</c:f>
              <c:strCache>
                <c:ptCount val="13"/>
                <c:pt idx="0">
                  <c:v>Jan</c:v>
                </c:pt>
                <c:pt idx="1">
                  <c:v>Fev</c:v>
                </c:pt>
                <c:pt idx="2">
                  <c:v>Mar</c:v>
                </c:pt>
                <c:pt idx="3">
                  <c:v>Abr</c:v>
                </c:pt>
                <c:pt idx="4">
                  <c:v>Mai</c:v>
                </c:pt>
                <c:pt idx="5">
                  <c:v>Jun</c:v>
                </c:pt>
                <c:pt idx="6">
                  <c:v>Jul</c:v>
                </c:pt>
                <c:pt idx="7">
                  <c:v>Ago</c:v>
                </c:pt>
                <c:pt idx="8">
                  <c:v>Set</c:v>
                </c:pt>
                <c:pt idx="9">
                  <c:v>Out</c:v>
                </c:pt>
                <c:pt idx="10">
                  <c:v>Nov</c:v>
                </c:pt>
                <c:pt idx="11">
                  <c:v>Dez</c:v>
                </c:pt>
                <c:pt idx="12">
                  <c:v>Média</c:v>
                </c:pt>
              </c:strCache>
            </c:strRef>
          </c:cat>
          <c:val>
            <c:numRef>
              <c:f>Financeiro!$T$5:$T$17</c:f>
              <c:numCache>
                <c:formatCode>#,###\ "kWh"</c:formatCode>
                <c:ptCount val="13"/>
                <c:pt idx="0">
                  <c:v>1202.6880000000001</c:v>
                </c:pt>
                <c:pt idx="1">
                  <c:v>1202.6880000000001</c:v>
                </c:pt>
                <c:pt idx="2">
                  <c:v>1002.24</c:v>
                </c:pt>
                <c:pt idx="3">
                  <c:v>902.01600000000008</c:v>
                </c:pt>
                <c:pt idx="4">
                  <c:v>701.56799999999998</c:v>
                </c:pt>
                <c:pt idx="5">
                  <c:v>601.34400000000005</c:v>
                </c:pt>
                <c:pt idx="6">
                  <c:v>601.34400000000005</c:v>
                </c:pt>
                <c:pt idx="7">
                  <c:v>701.56799999999998</c:v>
                </c:pt>
                <c:pt idx="8">
                  <c:v>701.56799999999998</c:v>
                </c:pt>
                <c:pt idx="9">
                  <c:v>701.56799999999998</c:v>
                </c:pt>
                <c:pt idx="10">
                  <c:v>801.79200000000003</c:v>
                </c:pt>
                <c:pt idx="11">
                  <c:v>1002.24</c:v>
                </c:pt>
                <c:pt idx="12">
                  <c:v>843.55200000000002</c:v>
                </c:pt>
              </c:numCache>
            </c:numRef>
          </c:val>
          <c:extLst>
            <c:ext xmlns:c16="http://schemas.microsoft.com/office/drawing/2014/chart" uri="{C3380CC4-5D6E-409C-BE32-E72D297353CC}">
              <c16:uniqueId val="{00000000-6AD3-4944-9E75-B3D007C008B3}"/>
            </c:ext>
          </c:extLst>
        </c:ser>
        <c:ser>
          <c:idx val="2"/>
          <c:order val="3"/>
          <c:tx>
            <c:strRef>
              <c:f>Financeiro!$X$4</c:f>
              <c:strCache>
                <c:ptCount val="1"/>
                <c:pt idx="0">
                  <c:v>Crédito gerado</c:v>
                </c:pt>
              </c:strCache>
            </c:strRef>
          </c:tx>
          <c:spPr>
            <a:solidFill>
              <a:srgbClr val="0070C0"/>
            </a:solidFill>
            <a:ln>
              <a:noFill/>
            </a:ln>
            <a:effectLst/>
          </c:spPr>
          <c:invertIfNegative val="0"/>
          <c:cat>
            <c:strRef>
              <c:f>Financeiro!$S$5:$S$17</c:f>
              <c:strCache>
                <c:ptCount val="13"/>
                <c:pt idx="0">
                  <c:v>Jan</c:v>
                </c:pt>
                <c:pt idx="1">
                  <c:v>Fev</c:v>
                </c:pt>
                <c:pt idx="2">
                  <c:v>Mar</c:v>
                </c:pt>
                <c:pt idx="3">
                  <c:v>Abr</c:v>
                </c:pt>
                <c:pt idx="4">
                  <c:v>Mai</c:v>
                </c:pt>
                <c:pt idx="5">
                  <c:v>Jun</c:v>
                </c:pt>
                <c:pt idx="6">
                  <c:v>Jul</c:v>
                </c:pt>
                <c:pt idx="7">
                  <c:v>Ago</c:v>
                </c:pt>
                <c:pt idx="8">
                  <c:v>Set</c:v>
                </c:pt>
                <c:pt idx="9">
                  <c:v>Out</c:v>
                </c:pt>
                <c:pt idx="10">
                  <c:v>Nov</c:v>
                </c:pt>
                <c:pt idx="11">
                  <c:v>Dez</c:v>
                </c:pt>
                <c:pt idx="12">
                  <c:v>Média</c:v>
                </c:pt>
              </c:strCache>
            </c:strRef>
          </c:cat>
          <c:val>
            <c:numRef>
              <c:f>Financeiro!$X$5:$X$17</c:f>
              <c:numCache>
                <c:formatCode>#,###\ "kWh"</c:formatCode>
                <c:ptCount val="13"/>
                <c:pt idx="0">
                  <c:v>0</c:v>
                </c:pt>
                <c:pt idx="1">
                  <c:v>0</c:v>
                </c:pt>
                <c:pt idx="2">
                  <c:v>0</c:v>
                </c:pt>
                <c:pt idx="3">
                  <c:v>0</c:v>
                </c:pt>
                <c:pt idx="4">
                  <c:v>0</c:v>
                </c:pt>
                <c:pt idx="5">
                  <c:v>0</c:v>
                </c:pt>
                <c:pt idx="6">
                  <c:v>601.76883073128033</c:v>
                </c:pt>
                <c:pt idx="7">
                  <c:v>775.36007200340009</c:v>
                </c:pt>
                <c:pt idx="8">
                  <c:v>765.28521421013443</c:v>
                </c:pt>
                <c:pt idx="9">
                  <c:v>917.96679517340317</c:v>
                </c:pt>
                <c:pt idx="10">
                  <c:v>919.5976114147046</c:v>
                </c:pt>
                <c:pt idx="11">
                  <c:v>1089.8825615637115</c:v>
                </c:pt>
              </c:numCache>
            </c:numRef>
          </c:val>
          <c:extLst>
            <c:ext xmlns:c16="http://schemas.microsoft.com/office/drawing/2014/chart" uri="{C3380CC4-5D6E-409C-BE32-E72D297353CC}">
              <c16:uniqueId val="{00000001-6AD3-4944-9E75-B3D007C008B3}"/>
            </c:ext>
          </c:extLst>
        </c:ser>
        <c:dLbls>
          <c:showLegendKey val="0"/>
          <c:showVal val="0"/>
          <c:showCatName val="0"/>
          <c:showSerName val="0"/>
          <c:showPercent val="0"/>
          <c:showBubbleSize val="0"/>
        </c:dLbls>
        <c:gapWidth val="182"/>
        <c:axId val="170656944"/>
        <c:axId val="435973200"/>
      </c:barChart>
      <c:barChart>
        <c:barDir val="col"/>
        <c:grouping val="clustered"/>
        <c:varyColors val="0"/>
        <c:ser>
          <c:idx val="0"/>
          <c:order val="1"/>
          <c:tx>
            <c:v>Consumo</c:v>
          </c:tx>
          <c:spPr>
            <a:solidFill>
              <a:schemeClr val="bg1">
                <a:lumMod val="65000"/>
              </a:schemeClr>
            </a:solidFill>
            <a:ln>
              <a:noFill/>
            </a:ln>
            <a:effectLst/>
          </c:spPr>
          <c:invertIfNegative val="0"/>
          <c:cat>
            <c:strRef>
              <c:f>Financeiro!$B$23:$B$34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Financeiro!$T$5:$T$17</c:f>
              <c:numCache>
                <c:formatCode>#,###\ "kWh"</c:formatCode>
                <c:ptCount val="13"/>
                <c:pt idx="0">
                  <c:v>1202.6880000000001</c:v>
                </c:pt>
                <c:pt idx="1">
                  <c:v>1202.6880000000001</c:v>
                </c:pt>
                <c:pt idx="2">
                  <c:v>1002.24</c:v>
                </c:pt>
                <c:pt idx="3">
                  <c:v>902.01600000000008</c:v>
                </c:pt>
                <c:pt idx="4">
                  <c:v>701.56799999999998</c:v>
                </c:pt>
                <c:pt idx="5">
                  <c:v>601.34400000000005</c:v>
                </c:pt>
                <c:pt idx="6">
                  <c:v>601.34400000000005</c:v>
                </c:pt>
                <c:pt idx="7">
                  <c:v>701.56799999999998</c:v>
                </c:pt>
                <c:pt idx="8">
                  <c:v>701.56799999999998</c:v>
                </c:pt>
                <c:pt idx="9">
                  <c:v>701.56799999999998</c:v>
                </c:pt>
                <c:pt idx="10">
                  <c:v>801.79200000000003</c:v>
                </c:pt>
                <c:pt idx="11">
                  <c:v>1002.24</c:v>
                </c:pt>
                <c:pt idx="12">
                  <c:v>843.55200000000002</c:v>
                </c:pt>
              </c:numCache>
            </c:numRef>
          </c:val>
          <c:extLst>
            <c:ext xmlns:c16="http://schemas.microsoft.com/office/drawing/2014/chart" uri="{C3380CC4-5D6E-409C-BE32-E72D297353CC}">
              <c16:uniqueId val="{00000002-6AD3-4944-9E75-B3D007C008B3}"/>
            </c:ext>
          </c:extLst>
        </c:ser>
        <c:ser>
          <c:idx val="1"/>
          <c:order val="2"/>
          <c:tx>
            <c:strRef>
              <c:f>Financeiro!$W$4</c:f>
              <c:strCache>
                <c:ptCount val="1"/>
                <c:pt idx="0">
                  <c:v>Crédito consumido</c:v>
                </c:pt>
              </c:strCache>
            </c:strRef>
          </c:tx>
          <c:spPr>
            <a:solidFill>
              <a:schemeClr val="accent2"/>
            </a:solidFill>
            <a:ln>
              <a:noFill/>
            </a:ln>
            <a:effectLst/>
          </c:spPr>
          <c:invertIfNegative val="0"/>
          <c:val>
            <c:numRef>
              <c:f>Financeiro!$W$5:$W$17</c:f>
              <c:numCache>
                <c:formatCode>#,###\ "kWh"</c:formatCode>
                <c:ptCount val="13"/>
                <c:pt idx="0">
                  <c:v>1202.6880000000001</c:v>
                </c:pt>
                <c:pt idx="1">
                  <c:v>1202.6880000000001</c:v>
                </c:pt>
                <c:pt idx="2">
                  <c:v>1002.2399999999999</c:v>
                </c:pt>
                <c:pt idx="3">
                  <c:v>902.01600000000008</c:v>
                </c:pt>
                <c:pt idx="4">
                  <c:v>701.56799999999998</c:v>
                </c:pt>
                <c:pt idx="5">
                  <c:v>601.34400000000005</c:v>
                </c:pt>
                <c:pt idx="6">
                  <c:v>0</c:v>
                </c:pt>
                <c:pt idx="7">
                  <c:v>0</c:v>
                </c:pt>
                <c:pt idx="8">
                  <c:v>0</c:v>
                </c:pt>
                <c:pt idx="9">
                  <c:v>0</c:v>
                </c:pt>
                <c:pt idx="10">
                  <c:v>0</c:v>
                </c:pt>
                <c:pt idx="11">
                  <c:v>0</c:v>
                </c:pt>
              </c:numCache>
            </c:numRef>
          </c:val>
          <c:extLst>
            <c:ext xmlns:c16="http://schemas.microsoft.com/office/drawing/2014/chart" uri="{C3380CC4-5D6E-409C-BE32-E72D297353CC}">
              <c16:uniqueId val="{00000003-6AD3-4944-9E75-B3D007C008B3}"/>
            </c:ext>
          </c:extLst>
        </c:ser>
        <c:dLbls>
          <c:showLegendKey val="0"/>
          <c:showVal val="0"/>
          <c:showCatName val="0"/>
          <c:showSerName val="0"/>
          <c:showPercent val="0"/>
          <c:showBubbleSize val="0"/>
        </c:dLbls>
        <c:gapWidth val="183"/>
        <c:axId val="2036129247"/>
        <c:axId val="1861175423"/>
      </c:barChart>
      <c:catAx>
        <c:axId val="170656944"/>
        <c:scaling>
          <c:orientation val="minMax"/>
        </c:scaling>
        <c:delete val="1"/>
        <c:axPos val="b"/>
        <c:numFmt formatCode="General" sourceLinked="1"/>
        <c:majorTickMark val="out"/>
        <c:minorTickMark val="none"/>
        <c:tickLblPos val="nextTo"/>
        <c:crossAx val="435973200"/>
        <c:crosses val="autoZero"/>
        <c:auto val="0"/>
        <c:lblAlgn val="ctr"/>
        <c:lblOffset val="100"/>
        <c:noMultiLvlLbl val="0"/>
      </c:catAx>
      <c:valAx>
        <c:axId val="435973200"/>
        <c:scaling>
          <c:orientation val="minMax"/>
        </c:scaling>
        <c:delete val="1"/>
        <c:axPos val="l"/>
        <c:numFmt formatCode="#,###\ &quot;kWh&quot;" sourceLinked="1"/>
        <c:majorTickMark val="none"/>
        <c:minorTickMark val="none"/>
        <c:tickLblPos val="nextTo"/>
        <c:crossAx val="170656944"/>
        <c:crosses val="autoZero"/>
        <c:crossBetween val="between"/>
      </c:valAx>
      <c:valAx>
        <c:axId val="1861175423"/>
        <c:scaling>
          <c:orientation val="minMax"/>
        </c:scaling>
        <c:delete val="1"/>
        <c:axPos val="r"/>
        <c:numFmt formatCode="#,###\ &quot;kWh&quot;" sourceLinked="1"/>
        <c:majorTickMark val="out"/>
        <c:minorTickMark val="none"/>
        <c:tickLblPos val="nextTo"/>
        <c:crossAx val="2036129247"/>
        <c:crosses val="max"/>
        <c:crossBetween val="between"/>
      </c:valAx>
      <c:catAx>
        <c:axId val="2036129247"/>
        <c:scaling>
          <c:orientation val="minMax"/>
        </c:scaling>
        <c:delete val="1"/>
        <c:axPos val="t"/>
        <c:numFmt formatCode="General" sourceLinked="1"/>
        <c:majorTickMark val="out"/>
        <c:minorTickMark val="none"/>
        <c:tickLblPos val="nextTo"/>
        <c:crossAx val="1861175423"/>
        <c:crosses val="max"/>
        <c:auto val="1"/>
        <c:lblAlgn val="ctr"/>
        <c:lblOffset val="100"/>
        <c:noMultiLvlLbl val="0"/>
      </c:catAx>
      <c:spPr>
        <a:noFill/>
        <a:ln>
          <a:noFill/>
        </a:ln>
        <a:effectLst/>
      </c:spPr>
    </c:plotArea>
    <c:legend>
      <c:legendPos val="r"/>
      <c:legendEntry>
        <c:idx val="0"/>
        <c:delete val="1"/>
      </c:legendEntry>
      <c:legendEntry>
        <c:idx val="2"/>
        <c:delete val="1"/>
      </c:legendEntry>
      <c:layout>
        <c:manualLayout>
          <c:xMode val="edge"/>
          <c:yMode val="edge"/>
          <c:x val="0.66185152634491484"/>
          <c:y val="0.11673036833242069"/>
          <c:w val="0.16864465739928494"/>
          <c:h val="8.83241403006929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Geração x Consumo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2.8858373640415901E-2"/>
          <c:y val="0.34887625698609764"/>
          <c:w val="0.94523256883579743"/>
          <c:h val="0.53040567958235152"/>
        </c:manualLayout>
      </c:layout>
      <c:barChart>
        <c:barDir val="col"/>
        <c:grouping val="clustered"/>
        <c:varyColors val="0"/>
        <c:ser>
          <c:idx val="3"/>
          <c:order val="0"/>
          <c:tx>
            <c:v>apagar</c:v>
          </c:tx>
          <c:spPr>
            <a:solidFill>
              <a:schemeClr val="bg1">
                <a:lumMod val="65000"/>
              </a:schemeClr>
            </a:solidFill>
            <a:ln>
              <a:noFill/>
            </a:ln>
            <a:effectLst/>
          </c:spPr>
          <c:invertIfNegative val="0"/>
          <c:dPt>
            <c:idx val="12"/>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1-3B7E-4D01-820E-D4CED95ED64E}"/>
              </c:ext>
            </c:extLst>
          </c:dPt>
          <c:dLbls>
            <c:spPr>
              <a:noFill/>
              <a:ln>
                <a:noFill/>
              </a:ln>
              <a:effectLst/>
            </c:spPr>
            <c:txPr>
              <a:bodyPr rot="-5400000" spcFirstLastPara="1" vertOverflow="ellipsis" horzOverflow="clip" vert="horz" wrap="none" lIns="36000" tIns="36000" rIns="36000" bIns="36000" anchor="t" anchorCtr="1">
                <a:spAutoFit/>
              </a:bodyPr>
              <a:lstStyle/>
              <a:p>
                <a:pPr>
                  <a:defRPr sz="900" b="0" i="0" u="none" strike="noStrike" kern="1200" baseline="0">
                    <a:solidFill>
                      <a:schemeClr val="bg2">
                        <a:lumMod val="50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Financeiro!$S$5:$S$17</c:f>
              <c:strCache>
                <c:ptCount val="13"/>
                <c:pt idx="0">
                  <c:v>Jan</c:v>
                </c:pt>
                <c:pt idx="1">
                  <c:v>Fev</c:v>
                </c:pt>
                <c:pt idx="2">
                  <c:v>Mar</c:v>
                </c:pt>
                <c:pt idx="3">
                  <c:v>Abr</c:v>
                </c:pt>
                <c:pt idx="4">
                  <c:v>Mai</c:v>
                </c:pt>
                <c:pt idx="5">
                  <c:v>Jun</c:v>
                </c:pt>
                <c:pt idx="6">
                  <c:v>Jul</c:v>
                </c:pt>
                <c:pt idx="7">
                  <c:v>Ago</c:v>
                </c:pt>
                <c:pt idx="8">
                  <c:v>Set</c:v>
                </c:pt>
                <c:pt idx="9">
                  <c:v>Out</c:v>
                </c:pt>
                <c:pt idx="10">
                  <c:v>Nov</c:v>
                </c:pt>
                <c:pt idx="11">
                  <c:v>Dez</c:v>
                </c:pt>
                <c:pt idx="12">
                  <c:v>Média</c:v>
                </c:pt>
              </c:strCache>
            </c:strRef>
          </c:cat>
          <c:val>
            <c:numRef>
              <c:f>Financeiro!$T$5:$T$17</c:f>
              <c:numCache>
                <c:formatCode>#,###\ "kWh"</c:formatCode>
                <c:ptCount val="13"/>
                <c:pt idx="0">
                  <c:v>1202.6880000000001</c:v>
                </c:pt>
                <c:pt idx="1">
                  <c:v>1202.6880000000001</c:v>
                </c:pt>
                <c:pt idx="2">
                  <c:v>1002.24</c:v>
                </c:pt>
                <c:pt idx="3">
                  <c:v>902.01600000000008</c:v>
                </c:pt>
                <c:pt idx="4">
                  <c:v>701.56799999999998</c:v>
                </c:pt>
                <c:pt idx="5">
                  <c:v>601.34400000000005</c:v>
                </c:pt>
                <c:pt idx="6">
                  <c:v>601.34400000000005</c:v>
                </c:pt>
                <c:pt idx="7">
                  <c:v>701.56799999999998</c:v>
                </c:pt>
                <c:pt idx="8">
                  <c:v>701.56799999999998</c:v>
                </c:pt>
                <c:pt idx="9">
                  <c:v>701.56799999999998</c:v>
                </c:pt>
                <c:pt idx="10">
                  <c:v>801.79200000000003</c:v>
                </c:pt>
                <c:pt idx="11">
                  <c:v>1002.24</c:v>
                </c:pt>
                <c:pt idx="12">
                  <c:v>843.55200000000002</c:v>
                </c:pt>
              </c:numCache>
            </c:numRef>
          </c:val>
          <c:extLst>
            <c:ext xmlns:c16="http://schemas.microsoft.com/office/drawing/2014/chart" uri="{C3380CC4-5D6E-409C-BE32-E72D297353CC}">
              <c16:uniqueId val="{00000002-3B7E-4D01-820E-D4CED95ED64E}"/>
            </c:ext>
          </c:extLst>
        </c:ser>
        <c:ser>
          <c:idx val="2"/>
          <c:order val="3"/>
          <c:tx>
            <c:v>Créditos</c:v>
          </c:tx>
          <c:spPr>
            <a:solidFill>
              <a:srgbClr val="0070C0">
                <a:alpha val="0"/>
              </a:srgbClr>
            </a:solidFill>
            <a:ln w="25400">
              <a:noFill/>
            </a:ln>
            <a:effectLst/>
          </c:spPr>
          <c:invertIfNegative val="0"/>
          <c:dPt>
            <c:idx val="12"/>
            <c:invertIfNegative val="0"/>
            <c:bubble3D val="0"/>
            <c:spPr>
              <a:solidFill>
                <a:schemeClr val="accent6">
                  <a:lumMod val="75000"/>
                </a:schemeClr>
              </a:solidFill>
              <a:ln w="25400">
                <a:noFill/>
              </a:ln>
              <a:effectLst/>
            </c:spPr>
            <c:extLst>
              <c:ext xmlns:c16="http://schemas.microsoft.com/office/drawing/2014/chart" uri="{C3380CC4-5D6E-409C-BE32-E72D297353CC}">
                <c16:uniqueId val="{00000004-3B7E-4D01-820E-D4CED95ED64E}"/>
              </c:ext>
            </c:extLst>
          </c:dPt>
          <c:dLbls>
            <c:spPr>
              <a:noFill/>
              <a:ln>
                <a:noFill/>
              </a:ln>
              <a:effectLst/>
            </c:spPr>
            <c:txPr>
              <a:bodyPr rot="-5400000" spcFirstLastPara="1" vertOverflow="overflow" horzOverflow="overflow" vert="horz" wrap="square" lIns="36000" tIns="36000" rIns="36000" bIns="36000" anchor="b" anchorCtr="1">
                <a:spAutoFit/>
              </a:bodyPr>
              <a:lstStyle/>
              <a:p>
                <a:pPr>
                  <a:defRPr sz="900" b="0" i="0" u="none" strike="noStrike" kern="1200" baseline="0">
                    <a:solidFill>
                      <a:schemeClr val="accent6">
                        <a:lumMod val="7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Financeiro!$S$5:$S$17</c:f>
              <c:strCache>
                <c:ptCount val="13"/>
                <c:pt idx="0">
                  <c:v>Jan</c:v>
                </c:pt>
                <c:pt idx="1">
                  <c:v>Fev</c:v>
                </c:pt>
                <c:pt idx="2">
                  <c:v>Mar</c:v>
                </c:pt>
                <c:pt idx="3">
                  <c:v>Abr</c:v>
                </c:pt>
                <c:pt idx="4">
                  <c:v>Mai</c:v>
                </c:pt>
                <c:pt idx="5">
                  <c:v>Jun</c:v>
                </c:pt>
                <c:pt idx="6">
                  <c:v>Jul</c:v>
                </c:pt>
                <c:pt idx="7">
                  <c:v>Ago</c:v>
                </c:pt>
                <c:pt idx="8">
                  <c:v>Set</c:v>
                </c:pt>
                <c:pt idx="9">
                  <c:v>Out</c:v>
                </c:pt>
                <c:pt idx="10">
                  <c:v>Nov</c:v>
                </c:pt>
                <c:pt idx="11">
                  <c:v>Dez</c:v>
                </c:pt>
                <c:pt idx="12">
                  <c:v>Média</c:v>
                </c:pt>
              </c:strCache>
            </c:strRef>
          </c:cat>
          <c:val>
            <c:numRef>
              <c:f>Financeiro!$Y$5:$Y$17</c:f>
              <c:numCache>
                <c:formatCode>#,###\ "kWh"</c:formatCode>
                <c:ptCount val="13"/>
                <c:pt idx="0">
                  <c:v>1202.6880000000001</c:v>
                </c:pt>
                <c:pt idx="1">
                  <c:v>1202.6880000000001</c:v>
                </c:pt>
                <c:pt idx="2">
                  <c:v>1002.2399999999999</c:v>
                </c:pt>
                <c:pt idx="3">
                  <c:v>902.01600000000008</c:v>
                </c:pt>
                <c:pt idx="4">
                  <c:v>701.56799999999998</c:v>
                </c:pt>
                <c:pt idx="5">
                  <c:v>601.34400000000005</c:v>
                </c:pt>
                <c:pt idx="6">
                  <c:v>601.76883073128033</c:v>
                </c:pt>
                <c:pt idx="7">
                  <c:v>775.36007200340009</c:v>
                </c:pt>
                <c:pt idx="8">
                  <c:v>765.28521421013443</c:v>
                </c:pt>
                <c:pt idx="9">
                  <c:v>917.96679517340317</c:v>
                </c:pt>
                <c:pt idx="10">
                  <c:v>919.5976114147046</c:v>
                </c:pt>
                <c:pt idx="11">
                  <c:v>1089.8825615637115</c:v>
                </c:pt>
                <c:pt idx="12">
                  <c:v>846.02633819564528</c:v>
                </c:pt>
              </c:numCache>
            </c:numRef>
          </c:val>
          <c:extLst>
            <c:ext xmlns:c16="http://schemas.microsoft.com/office/drawing/2014/chart" uri="{C3380CC4-5D6E-409C-BE32-E72D297353CC}">
              <c16:uniqueId val="{00000005-3B7E-4D01-820E-D4CED95ED64E}"/>
            </c:ext>
          </c:extLst>
        </c:ser>
        <c:dLbls>
          <c:showLegendKey val="0"/>
          <c:showVal val="0"/>
          <c:showCatName val="0"/>
          <c:showSerName val="0"/>
          <c:showPercent val="0"/>
          <c:showBubbleSize val="0"/>
        </c:dLbls>
        <c:gapWidth val="183"/>
        <c:axId val="170656944"/>
        <c:axId val="435973200"/>
      </c:barChart>
      <c:barChart>
        <c:barDir val="col"/>
        <c:grouping val="clustered"/>
        <c:varyColors val="0"/>
        <c:ser>
          <c:idx val="0"/>
          <c:order val="1"/>
          <c:tx>
            <c:v>Consumo</c:v>
          </c:tx>
          <c:spPr>
            <a:solidFill>
              <a:schemeClr val="bg1">
                <a:lumMod val="65000"/>
              </a:schemeClr>
            </a:solidFill>
            <a:ln>
              <a:noFill/>
            </a:ln>
            <a:effectLst/>
          </c:spPr>
          <c:invertIfNegative val="0"/>
          <c:dLbls>
            <c:spPr>
              <a:noFill/>
              <a:ln>
                <a:noFill/>
              </a:ln>
              <a:effectLst/>
            </c:spPr>
            <c:txPr>
              <a:bodyPr rot="-5400000" spcFirstLastPara="1" vertOverflow="ellipsis" horzOverflow="clip" vert="horz" wrap="none" lIns="36000" tIns="36000" rIns="36000" bIns="36000" anchor="t" anchorCtr="1">
                <a:spAutoFit/>
              </a:bodyPr>
              <a:lstStyle/>
              <a:p>
                <a:pPr>
                  <a:defRPr sz="900" b="0" i="0" u="none" strike="noStrike" kern="1200" baseline="0">
                    <a:solidFill>
                      <a:schemeClr val="bg2">
                        <a:lumMod val="50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Financeiro!$B$23:$B$34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Financeiro!$T$5:$T$17</c:f>
              <c:numCache>
                <c:formatCode>#,###\ "kWh"</c:formatCode>
                <c:ptCount val="13"/>
                <c:pt idx="0">
                  <c:v>1202.6880000000001</c:v>
                </c:pt>
                <c:pt idx="1">
                  <c:v>1202.6880000000001</c:v>
                </c:pt>
                <c:pt idx="2">
                  <c:v>1002.24</c:v>
                </c:pt>
                <c:pt idx="3">
                  <c:v>902.01600000000008</c:v>
                </c:pt>
                <c:pt idx="4">
                  <c:v>701.56799999999998</c:v>
                </c:pt>
                <c:pt idx="5">
                  <c:v>601.34400000000005</c:v>
                </c:pt>
                <c:pt idx="6">
                  <c:v>601.34400000000005</c:v>
                </c:pt>
                <c:pt idx="7">
                  <c:v>701.56799999999998</c:v>
                </c:pt>
                <c:pt idx="8">
                  <c:v>701.56799999999998</c:v>
                </c:pt>
                <c:pt idx="9">
                  <c:v>701.56799999999998</c:v>
                </c:pt>
                <c:pt idx="10">
                  <c:v>801.79200000000003</c:v>
                </c:pt>
                <c:pt idx="11">
                  <c:v>1002.24</c:v>
                </c:pt>
                <c:pt idx="12">
                  <c:v>843.55200000000002</c:v>
                </c:pt>
              </c:numCache>
            </c:numRef>
          </c:val>
          <c:extLst>
            <c:ext xmlns:c16="http://schemas.microsoft.com/office/drawing/2014/chart" uri="{C3380CC4-5D6E-409C-BE32-E72D297353CC}">
              <c16:uniqueId val="{00000006-3B7E-4D01-820E-D4CED95ED64E}"/>
            </c:ext>
          </c:extLst>
        </c:ser>
        <c:ser>
          <c:idx val="1"/>
          <c:order val="2"/>
          <c:tx>
            <c:v>Geração</c:v>
          </c:tx>
          <c:spPr>
            <a:solidFill>
              <a:schemeClr val="accent6">
                <a:lumMod val="60000"/>
                <a:lumOff val="40000"/>
                <a:alpha val="98000"/>
              </a:schemeClr>
            </a:solidFill>
            <a:ln>
              <a:noFill/>
            </a:ln>
            <a:effectLst/>
          </c:spPr>
          <c:invertIfNegative val="0"/>
          <c:dLbls>
            <c:numFmt formatCode="#,##0" sourceLinked="0"/>
            <c:spPr>
              <a:noFill/>
              <a:ln>
                <a:noFill/>
              </a:ln>
              <a:effectLst/>
            </c:spPr>
            <c:txPr>
              <a:bodyPr rot="-5400000" spcFirstLastPara="1" vertOverflow="ellipsis" wrap="square" lIns="38100" tIns="19050" rIns="38100" bIns="19050" anchor="ctr" anchorCtr="0">
                <a:spAutoFit/>
              </a:bodyPr>
              <a:lstStyle/>
              <a:p>
                <a:pPr algn="ctr">
                  <a:defRPr lang="en-US" sz="900" b="0" i="0" u="none" strike="noStrike" kern="1200" baseline="0">
                    <a:solidFill>
                      <a:schemeClr val="accent6">
                        <a:lumMod val="75000"/>
                      </a:schemeClr>
                    </a:solidFill>
                    <a:latin typeface="+mn-lt"/>
                    <a:ea typeface="+mn-ea"/>
                    <a:cs typeface="+mn-cs"/>
                  </a:defRPr>
                </a:pPr>
                <a:endParaRPr lang="pt-BR"/>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Financeiro!$V$5:$V$17</c:f>
              <c:numCache>
                <c:formatCode>#,###\ "kWh"</c:formatCode>
                <c:ptCount val="13"/>
                <c:pt idx="0">
                  <c:v>1084.8376513550154</c:v>
                </c:pt>
                <c:pt idx="1">
                  <c:v>1052.9504794979748</c:v>
                </c:pt>
                <c:pt idx="2">
                  <c:v>916.80030381396921</c:v>
                </c:pt>
                <c:pt idx="3">
                  <c:v>781.17375166229635</c:v>
                </c:pt>
                <c:pt idx="4">
                  <c:v>648.75196802267681</c:v>
                </c:pt>
                <c:pt idx="5">
                  <c:v>597.94081889917743</c:v>
                </c:pt>
                <c:pt idx="6">
                  <c:v>601.34400000000005</c:v>
                </c:pt>
                <c:pt idx="7">
                  <c:v>701.56799999999998</c:v>
                </c:pt>
                <c:pt idx="8">
                  <c:v>701.56799999999998</c:v>
                </c:pt>
                <c:pt idx="9">
                  <c:v>701.56799999999998</c:v>
                </c:pt>
                <c:pt idx="10">
                  <c:v>801.79200000000003</c:v>
                </c:pt>
                <c:pt idx="11">
                  <c:v>1002.24</c:v>
                </c:pt>
              </c:numCache>
            </c:numRef>
          </c:val>
          <c:extLst>
            <c:ext xmlns:c16="http://schemas.microsoft.com/office/drawing/2014/chart" uri="{C3380CC4-5D6E-409C-BE32-E72D297353CC}">
              <c16:uniqueId val="{00000007-3B7E-4D01-820E-D4CED95ED64E}"/>
            </c:ext>
          </c:extLst>
        </c:ser>
        <c:dLbls>
          <c:showLegendKey val="0"/>
          <c:showVal val="0"/>
          <c:showCatName val="0"/>
          <c:showSerName val="0"/>
          <c:showPercent val="0"/>
          <c:showBubbleSize val="0"/>
        </c:dLbls>
        <c:gapWidth val="183"/>
        <c:axId val="2036129247"/>
        <c:axId val="1861175423"/>
      </c:barChart>
      <c:catAx>
        <c:axId val="17065694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35973200"/>
        <c:crosses val="autoZero"/>
        <c:auto val="0"/>
        <c:lblAlgn val="ctr"/>
        <c:lblOffset val="100"/>
        <c:noMultiLvlLbl val="0"/>
      </c:catAx>
      <c:valAx>
        <c:axId val="435973200"/>
        <c:scaling>
          <c:orientation val="minMax"/>
        </c:scaling>
        <c:delete val="1"/>
        <c:axPos val="l"/>
        <c:numFmt formatCode="#,###\ &quot;kWh&quot;" sourceLinked="1"/>
        <c:majorTickMark val="none"/>
        <c:minorTickMark val="none"/>
        <c:tickLblPos val="nextTo"/>
        <c:crossAx val="170656944"/>
        <c:crosses val="autoZero"/>
        <c:crossBetween val="between"/>
      </c:valAx>
      <c:valAx>
        <c:axId val="1861175423"/>
        <c:scaling>
          <c:orientation val="minMax"/>
        </c:scaling>
        <c:delete val="1"/>
        <c:axPos val="r"/>
        <c:numFmt formatCode="#,###\ &quot;kWh&quot;" sourceLinked="1"/>
        <c:majorTickMark val="out"/>
        <c:minorTickMark val="none"/>
        <c:tickLblPos val="nextTo"/>
        <c:crossAx val="2036129247"/>
        <c:crosses val="max"/>
        <c:crossBetween val="between"/>
      </c:valAx>
      <c:catAx>
        <c:axId val="2036129247"/>
        <c:scaling>
          <c:orientation val="minMax"/>
        </c:scaling>
        <c:delete val="1"/>
        <c:axPos val="t"/>
        <c:numFmt formatCode="General" sourceLinked="1"/>
        <c:majorTickMark val="out"/>
        <c:minorTickMark val="none"/>
        <c:tickLblPos val="nextTo"/>
        <c:crossAx val="1861175423"/>
        <c:crosses val="max"/>
        <c:auto val="1"/>
        <c:lblAlgn val="ctr"/>
        <c:lblOffset val="100"/>
        <c:noMultiLvlLbl val="0"/>
      </c:catAx>
      <c:spPr>
        <a:noFill/>
        <a:ln>
          <a:noFill/>
        </a:ln>
        <a:effectLst/>
      </c:spPr>
    </c:plotArea>
    <c:legend>
      <c:legendPos val="r"/>
      <c:legendEntry>
        <c:idx val="0"/>
        <c:delete val="1"/>
      </c:legendEntry>
      <c:legendEntry>
        <c:idx val="1"/>
        <c:delete val="1"/>
      </c:legendEntry>
      <c:layout>
        <c:manualLayout>
          <c:xMode val="edge"/>
          <c:yMode val="edge"/>
          <c:x val="0.65636497508728175"/>
          <c:y val="1.9186785214838326E-2"/>
          <c:w val="0.12007999821674405"/>
          <c:h val="9.580446636330969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Avaliação Econômica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2.5280605203372733E-2"/>
          <c:y val="0.11748081459385228"/>
          <c:w val="0.91742573521210546"/>
          <c:h val="0.83427244429984293"/>
        </c:manualLayout>
      </c:layout>
      <c:barChart>
        <c:barDir val="col"/>
        <c:grouping val="clustered"/>
        <c:varyColors val="0"/>
        <c:ser>
          <c:idx val="1"/>
          <c:order val="1"/>
          <c:tx>
            <c:strRef>
              <c:f>Financeiro!$N$171</c:f>
              <c:strCache>
                <c:ptCount val="1"/>
                <c:pt idx="0">
                  <c:v>Economia Negativa</c:v>
                </c:pt>
              </c:strCache>
            </c:strRef>
          </c:tx>
          <c:spPr>
            <a:solidFill>
              <a:srgbClr val="C00000"/>
            </a:solidFill>
            <a:ln>
              <a:noFill/>
            </a:ln>
            <a:effectLst/>
          </c:spPr>
          <c:invertIfNegative val="0"/>
          <c:dLbls>
            <c:dLbl>
              <c:idx val="0"/>
              <c:layout>
                <c:manualLayout>
                  <c:x val="2.321322819376621E-2"/>
                  <c:y val="-5.953068724897100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D30-4FB0-A1BE-AD72111AA771}"/>
                </c:ext>
              </c:extLst>
            </c:dLbl>
            <c:numFmt formatCode="_(&quot;R$&quot;* #,##0.00_);_(&quot;R$&quot;* \(#,##0.00\);_(&quot;R$&quot;* &quot;-&quot;??_);_(@_)" sourceLinked="0"/>
            <c:spPr>
              <a:solidFill>
                <a:srgbClr val="C00000">
                  <a:alpha val="7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Financeiro!$B$172:$B$197</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numCache>
            </c:numRef>
          </c:cat>
          <c:val>
            <c:numRef>
              <c:f>Financeiro!$N$172:$N$197</c:f>
              <c:numCache>
                <c:formatCode>_("R$"* #,##0.00_);_("R$"* \(#,##0.00\);_("R$"* "-"??_);_(@_)</c:formatCode>
                <c:ptCount val="26"/>
                <c:pt idx="0">
                  <c:v>-23440</c:v>
                </c:pt>
                <c:pt idx="1">
                  <c:v>-13820.102848607718</c:v>
                </c:pt>
                <c:pt idx="2">
                  <c:v>-2910.9724762284332</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extLst>
            <c:ext xmlns:c16="http://schemas.microsoft.com/office/drawing/2014/chart" uri="{C3380CC4-5D6E-409C-BE32-E72D297353CC}">
              <c16:uniqueId val="{00000001-2D30-4FB0-A1BE-AD72111AA771}"/>
            </c:ext>
          </c:extLst>
        </c:ser>
        <c:ser>
          <c:idx val="2"/>
          <c:order val="2"/>
          <c:tx>
            <c:strRef>
              <c:f>Financeiro!$O$171</c:f>
              <c:strCache>
                <c:ptCount val="1"/>
                <c:pt idx="0">
                  <c:v>Economia com o Sistema</c:v>
                </c:pt>
              </c:strCache>
            </c:strRef>
          </c:tx>
          <c:spPr>
            <a:solidFill>
              <a:schemeClr val="accent6"/>
            </a:solidFill>
            <a:ln>
              <a:noFill/>
            </a:ln>
            <a:effectLst/>
          </c:spPr>
          <c:invertIfNegative val="0"/>
          <c:dLbls>
            <c:dLbl>
              <c:idx val="25"/>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D30-4FB0-A1BE-AD72111AA771}"/>
                </c:ext>
              </c:extLst>
            </c:dLbl>
            <c:numFmt formatCode="_(&quot;R$&quot;* #,##0.00_);_(&quot;R$&quot;* \(#,##0.00\);_(&quot;R$&quot;* &quot;-&quot;??_);_(@_)" sourceLinked="0"/>
            <c:spPr>
              <a:solidFill>
                <a:schemeClr val="accent6">
                  <a:alpha val="1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Financeiro!$B$172:$B$197</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numCache>
            </c:numRef>
          </c:cat>
          <c:val>
            <c:numRef>
              <c:f>Financeiro!$O$172:$O$197</c:f>
              <c:numCache>
                <c:formatCode>_("R$"* #,##0.00_);_("R$"* \(#,##0.00\);_("R$"* "-"??_);_(@_)</c:formatCode>
                <c:ptCount val="26"/>
                <c:pt idx="0">
                  <c:v>0</c:v>
                </c:pt>
                <c:pt idx="1">
                  <c:v>0</c:v>
                </c:pt>
                <c:pt idx="2">
                  <c:v>0</c:v>
                </c:pt>
                <c:pt idx="3">
                  <c:v>8862.4810276139669</c:v>
                </c:pt>
                <c:pt idx="4">
                  <c:v>21507.540956646699</c:v>
                </c:pt>
                <c:pt idx="5">
                  <c:v>35062.242302513303</c:v>
                </c:pt>
                <c:pt idx="6">
                  <c:v>49880.942533994683</c:v>
                </c:pt>
                <c:pt idx="7">
                  <c:v>66081.598743372218</c:v>
                </c:pt>
                <c:pt idx="8">
                  <c:v>83793.184462058765</c:v>
                </c:pt>
                <c:pt idx="9">
                  <c:v>103156.71937788189</c:v>
                </c:pt>
                <c:pt idx="10">
                  <c:v>124326.39538526747</c:v>
                </c:pt>
                <c:pt idx="11">
                  <c:v>145424.95744154282</c:v>
                </c:pt>
                <c:pt idx="12">
                  <c:v>166451.69440719683</c:v>
                </c:pt>
                <c:pt idx="13">
                  <c:v>187405.88803132329</c:v>
                </c:pt>
                <c:pt idx="14">
                  <c:v>208286.81288050691</c:v>
                </c:pt>
                <c:pt idx="15">
                  <c:v>229093.73626699828</c:v>
                </c:pt>
                <c:pt idx="16">
                  <c:v>249825.91817617047</c:v>
                </c:pt>
                <c:pt idx="17">
                  <c:v>270482.61119325028</c:v>
                </c:pt>
                <c:pt idx="18">
                  <c:v>291063.06042931683</c:v>
                </c:pt>
                <c:pt idx="19">
                  <c:v>311566.50344655995</c:v>
                </c:pt>
                <c:pt idx="20">
                  <c:v>331992.17018279136</c:v>
                </c:pt>
                <c:pt idx="21">
                  <c:v>352339.28287520102</c:v>
                </c:pt>
                <c:pt idx="22">
                  <c:v>372607.05598335067</c:v>
                </c:pt>
                <c:pt idx="23">
                  <c:v>392794.6961113977</c:v>
                </c:pt>
                <c:pt idx="24">
                  <c:v>412901.40192954114</c:v>
                </c:pt>
                <c:pt idx="25">
                  <c:v>432926.36409468192</c:v>
                </c:pt>
              </c:numCache>
            </c:numRef>
          </c:val>
          <c:extLst>
            <c:ext xmlns:c16="http://schemas.microsoft.com/office/drawing/2014/chart" uri="{C3380CC4-5D6E-409C-BE32-E72D297353CC}">
              <c16:uniqueId val="{00000003-2D30-4FB0-A1BE-AD72111AA771}"/>
            </c:ext>
          </c:extLst>
        </c:ser>
        <c:ser>
          <c:idx val="3"/>
          <c:order val="3"/>
          <c:tx>
            <c:strRef>
              <c:f>Financeiro!$P$171</c:f>
              <c:strCache>
                <c:ptCount val="1"/>
                <c:pt idx="0">
                  <c:v>CDI</c:v>
                </c:pt>
              </c:strCache>
            </c:strRef>
          </c:tx>
          <c:spPr>
            <a:solidFill>
              <a:schemeClr val="accent2">
                <a:lumMod val="40000"/>
                <a:lumOff val="60000"/>
              </a:schemeClr>
            </a:solidFill>
            <a:ln>
              <a:noFill/>
            </a:ln>
            <a:effectLst/>
          </c:spPr>
          <c:invertIfNegative val="0"/>
          <c:dLbls>
            <c:dLbl>
              <c:idx val="25"/>
              <c:layout>
                <c:manualLayout>
                  <c:x val="-8.1337798517969587E-2"/>
                  <c:y val="0.17808734657892639"/>
                </c:manualLayout>
              </c:layout>
              <c:spPr>
                <a:solidFill>
                  <a:srgbClr val="ED7D31">
                    <a:lumMod val="40000"/>
                    <a:lumOff val="60000"/>
                    <a:alpha val="29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2D30-4FB0-A1BE-AD72111AA771}"/>
                </c:ext>
              </c:extLst>
            </c:dLbl>
            <c:numFmt formatCode="_(&quot;R$&quot;* #,##0.00_);_(&quot;R$&quot;* \(#,##0.00\);_(&quot;R$&quot;* &quot;-&quot;??_);_(@_)" sourceLinked="0"/>
            <c:spPr>
              <a:solidFill>
                <a:schemeClr val="accent2">
                  <a:lumMod val="40000"/>
                  <a:lumOff val="60000"/>
                  <a:alpha val="36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Financeiro!$B$172:$B$197</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numCache>
            </c:numRef>
          </c:cat>
          <c:val>
            <c:numRef>
              <c:f>Financeiro!$P$172:$P$197</c:f>
              <c:numCache>
                <c:formatCode>_("R$"* #,##0.00_);_("R$"* \(#,##0.00\);_("R$"* "-"??_);_(@_)</c:formatCode>
                <c:ptCount val="26"/>
                <c:pt idx="0">
                  <c:v>23440</c:v>
                </c:pt>
                <c:pt idx="1">
                  <c:v>23885.359999999997</c:v>
                </c:pt>
                <c:pt idx="2">
                  <c:v>24339.181839999994</c:v>
                </c:pt>
                <c:pt idx="3">
                  <c:v>24801.626294959991</c:v>
                </c:pt>
                <c:pt idx="4">
                  <c:v>25272.857194564229</c:v>
                </c:pt>
                <c:pt idx="5">
                  <c:v>25753.041481260945</c:v>
                </c:pt>
                <c:pt idx="6">
                  <c:v>26242.349269404902</c:v>
                </c:pt>
                <c:pt idx="7">
                  <c:v>26740.953905523591</c:v>
                </c:pt>
                <c:pt idx="8">
                  <c:v>27249.032029728536</c:v>
                </c:pt>
                <c:pt idx="9">
                  <c:v>27766.763638293374</c:v>
                </c:pt>
                <c:pt idx="10">
                  <c:v>28294.332147420944</c:v>
                </c:pt>
                <c:pt idx="11">
                  <c:v>28831.92445822194</c:v>
                </c:pt>
                <c:pt idx="12">
                  <c:v>29379.731022928154</c:v>
                </c:pt>
                <c:pt idx="13">
                  <c:v>29937.945912363786</c:v>
                </c:pt>
                <c:pt idx="14">
                  <c:v>30506.766884698696</c:v>
                </c:pt>
                <c:pt idx="15">
                  <c:v>31086.395455507969</c:v>
                </c:pt>
                <c:pt idx="16">
                  <c:v>31677.036969162618</c:v>
                </c:pt>
                <c:pt idx="17">
                  <c:v>32278.900671576706</c:v>
                </c:pt>
                <c:pt idx="18">
                  <c:v>32892.199784336663</c:v>
                </c:pt>
                <c:pt idx="19">
                  <c:v>33517.151580239057</c:v>
                </c:pt>
                <c:pt idx="20">
                  <c:v>34153.977460263595</c:v>
                </c:pt>
                <c:pt idx="21">
                  <c:v>34802.903032008602</c:v>
                </c:pt>
                <c:pt idx="22">
                  <c:v>35464.158189616763</c:v>
                </c:pt>
                <c:pt idx="23">
                  <c:v>36137.977195219479</c:v>
                </c:pt>
                <c:pt idx="24">
                  <c:v>36824.598761928646</c:v>
                </c:pt>
                <c:pt idx="25">
                  <c:v>37524.266138405284</c:v>
                </c:pt>
              </c:numCache>
            </c:numRef>
          </c:val>
          <c:extLst>
            <c:ext xmlns:c16="http://schemas.microsoft.com/office/drawing/2014/chart" uri="{C3380CC4-5D6E-409C-BE32-E72D297353CC}">
              <c16:uniqueId val="{00000005-2D30-4FB0-A1BE-AD72111AA771}"/>
            </c:ext>
          </c:extLst>
        </c:ser>
        <c:ser>
          <c:idx val="4"/>
          <c:order val="4"/>
          <c:tx>
            <c:strRef>
              <c:f>Financeiro!$Q$171</c:f>
              <c:strCache>
                <c:ptCount val="1"/>
                <c:pt idx="0">
                  <c:v>Poupança</c:v>
                </c:pt>
              </c:strCache>
            </c:strRef>
          </c:tx>
          <c:spPr>
            <a:solidFill>
              <a:schemeClr val="bg2">
                <a:lumMod val="75000"/>
              </a:scheme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6-2D30-4FB0-A1BE-AD72111AA771}"/>
                </c:ext>
              </c:extLst>
            </c:dLbl>
            <c:dLbl>
              <c:idx val="1"/>
              <c:delete val="1"/>
              <c:extLst>
                <c:ext xmlns:c15="http://schemas.microsoft.com/office/drawing/2012/chart" uri="{CE6537A1-D6FC-4f65-9D91-7224C49458BB}"/>
                <c:ext xmlns:c16="http://schemas.microsoft.com/office/drawing/2014/chart" uri="{C3380CC4-5D6E-409C-BE32-E72D297353CC}">
                  <c16:uniqueId val="{00000007-2D30-4FB0-A1BE-AD72111AA771}"/>
                </c:ext>
              </c:extLst>
            </c:dLbl>
            <c:dLbl>
              <c:idx val="2"/>
              <c:delete val="1"/>
              <c:extLst>
                <c:ext xmlns:c15="http://schemas.microsoft.com/office/drawing/2012/chart" uri="{CE6537A1-D6FC-4f65-9D91-7224C49458BB}"/>
                <c:ext xmlns:c16="http://schemas.microsoft.com/office/drawing/2014/chart" uri="{C3380CC4-5D6E-409C-BE32-E72D297353CC}">
                  <c16:uniqueId val="{00000008-2D30-4FB0-A1BE-AD72111AA771}"/>
                </c:ext>
              </c:extLst>
            </c:dLbl>
            <c:dLbl>
              <c:idx val="3"/>
              <c:delete val="1"/>
              <c:extLst>
                <c:ext xmlns:c15="http://schemas.microsoft.com/office/drawing/2012/chart" uri="{CE6537A1-D6FC-4f65-9D91-7224C49458BB}"/>
                <c:ext xmlns:c16="http://schemas.microsoft.com/office/drawing/2014/chart" uri="{C3380CC4-5D6E-409C-BE32-E72D297353CC}">
                  <c16:uniqueId val="{00000009-2D30-4FB0-A1BE-AD72111AA771}"/>
                </c:ext>
              </c:extLst>
            </c:dLbl>
            <c:dLbl>
              <c:idx val="4"/>
              <c:delete val="1"/>
              <c:extLst>
                <c:ext xmlns:c15="http://schemas.microsoft.com/office/drawing/2012/chart" uri="{CE6537A1-D6FC-4f65-9D91-7224C49458BB}"/>
                <c:ext xmlns:c16="http://schemas.microsoft.com/office/drawing/2014/chart" uri="{C3380CC4-5D6E-409C-BE32-E72D297353CC}">
                  <c16:uniqueId val="{0000000A-2D30-4FB0-A1BE-AD72111AA771}"/>
                </c:ext>
              </c:extLst>
            </c:dLbl>
            <c:dLbl>
              <c:idx val="5"/>
              <c:delete val="1"/>
              <c:extLst>
                <c:ext xmlns:c15="http://schemas.microsoft.com/office/drawing/2012/chart" uri="{CE6537A1-D6FC-4f65-9D91-7224C49458BB}"/>
                <c:ext xmlns:c16="http://schemas.microsoft.com/office/drawing/2014/chart" uri="{C3380CC4-5D6E-409C-BE32-E72D297353CC}">
                  <c16:uniqueId val="{0000000B-2D30-4FB0-A1BE-AD72111AA771}"/>
                </c:ext>
              </c:extLst>
            </c:dLbl>
            <c:dLbl>
              <c:idx val="6"/>
              <c:delete val="1"/>
              <c:extLst>
                <c:ext xmlns:c15="http://schemas.microsoft.com/office/drawing/2012/chart" uri="{CE6537A1-D6FC-4f65-9D91-7224C49458BB}"/>
                <c:ext xmlns:c16="http://schemas.microsoft.com/office/drawing/2014/chart" uri="{C3380CC4-5D6E-409C-BE32-E72D297353CC}">
                  <c16:uniqueId val="{0000000C-2D30-4FB0-A1BE-AD72111AA771}"/>
                </c:ext>
              </c:extLst>
            </c:dLbl>
            <c:dLbl>
              <c:idx val="7"/>
              <c:delete val="1"/>
              <c:extLst>
                <c:ext xmlns:c15="http://schemas.microsoft.com/office/drawing/2012/chart" uri="{CE6537A1-D6FC-4f65-9D91-7224C49458BB}"/>
                <c:ext xmlns:c16="http://schemas.microsoft.com/office/drawing/2014/chart" uri="{C3380CC4-5D6E-409C-BE32-E72D297353CC}">
                  <c16:uniqueId val="{0000000D-2D30-4FB0-A1BE-AD72111AA771}"/>
                </c:ext>
              </c:extLst>
            </c:dLbl>
            <c:dLbl>
              <c:idx val="8"/>
              <c:delete val="1"/>
              <c:extLst>
                <c:ext xmlns:c15="http://schemas.microsoft.com/office/drawing/2012/chart" uri="{CE6537A1-D6FC-4f65-9D91-7224C49458BB}"/>
                <c:ext xmlns:c16="http://schemas.microsoft.com/office/drawing/2014/chart" uri="{C3380CC4-5D6E-409C-BE32-E72D297353CC}">
                  <c16:uniqueId val="{0000000E-2D30-4FB0-A1BE-AD72111AA771}"/>
                </c:ext>
              </c:extLst>
            </c:dLbl>
            <c:dLbl>
              <c:idx val="9"/>
              <c:delete val="1"/>
              <c:extLst>
                <c:ext xmlns:c15="http://schemas.microsoft.com/office/drawing/2012/chart" uri="{CE6537A1-D6FC-4f65-9D91-7224C49458BB}"/>
                <c:ext xmlns:c16="http://schemas.microsoft.com/office/drawing/2014/chart" uri="{C3380CC4-5D6E-409C-BE32-E72D297353CC}">
                  <c16:uniqueId val="{0000000F-2D30-4FB0-A1BE-AD72111AA771}"/>
                </c:ext>
              </c:extLst>
            </c:dLbl>
            <c:dLbl>
              <c:idx val="10"/>
              <c:delete val="1"/>
              <c:extLst>
                <c:ext xmlns:c15="http://schemas.microsoft.com/office/drawing/2012/chart" uri="{CE6537A1-D6FC-4f65-9D91-7224C49458BB}"/>
                <c:ext xmlns:c16="http://schemas.microsoft.com/office/drawing/2014/chart" uri="{C3380CC4-5D6E-409C-BE32-E72D297353CC}">
                  <c16:uniqueId val="{00000010-2D30-4FB0-A1BE-AD72111AA771}"/>
                </c:ext>
              </c:extLst>
            </c:dLbl>
            <c:dLbl>
              <c:idx val="11"/>
              <c:delete val="1"/>
              <c:extLst>
                <c:ext xmlns:c15="http://schemas.microsoft.com/office/drawing/2012/chart" uri="{CE6537A1-D6FC-4f65-9D91-7224C49458BB}"/>
                <c:ext xmlns:c16="http://schemas.microsoft.com/office/drawing/2014/chart" uri="{C3380CC4-5D6E-409C-BE32-E72D297353CC}">
                  <c16:uniqueId val="{00000011-2D30-4FB0-A1BE-AD72111AA771}"/>
                </c:ext>
              </c:extLst>
            </c:dLbl>
            <c:dLbl>
              <c:idx val="12"/>
              <c:delete val="1"/>
              <c:extLst>
                <c:ext xmlns:c15="http://schemas.microsoft.com/office/drawing/2012/chart" uri="{CE6537A1-D6FC-4f65-9D91-7224C49458BB}"/>
                <c:ext xmlns:c16="http://schemas.microsoft.com/office/drawing/2014/chart" uri="{C3380CC4-5D6E-409C-BE32-E72D297353CC}">
                  <c16:uniqueId val="{00000012-2D30-4FB0-A1BE-AD72111AA771}"/>
                </c:ext>
              </c:extLst>
            </c:dLbl>
            <c:dLbl>
              <c:idx val="13"/>
              <c:delete val="1"/>
              <c:extLst>
                <c:ext xmlns:c15="http://schemas.microsoft.com/office/drawing/2012/chart" uri="{CE6537A1-D6FC-4f65-9D91-7224C49458BB}"/>
                <c:ext xmlns:c16="http://schemas.microsoft.com/office/drawing/2014/chart" uri="{C3380CC4-5D6E-409C-BE32-E72D297353CC}">
                  <c16:uniqueId val="{00000013-2D30-4FB0-A1BE-AD72111AA771}"/>
                </c:ext>
              </c:extLst>
            </c:dLbl>
            <c:dLbl>
              <c:idx val="14"/>
              <c:delete val="1"/>
              <c:extLst>
                <c:ext xmlns:c15="http://schemas.microsoft.com/office/drawing/2012/chart" uri="{CE6537A1-D6FC-4f65-9D91-7224C49458BB}"/>
                <c:ext xmlns:c16="http://schemas.microsoft.com/office/drawing/2014/chart" uri="{C3380CC4-5D6E-409C-BE32-E72D297353CC}">
                  <c16:uniqueId val="{00000014-2D30-4FB0-A1BE-AD72111AA771}"/>
                </c:ext>
              </c:extLst>
            </c:dLbl>
            <c:dLbl>
              <c:idx val="15"/>
              <c:delete val="1"/>
              <c:extLst>
                <c:ext xmlns:c15="http://schemas.microsoft.com/office/drawing/2012/chart" uri="{CE6537A1-D6FC-4f65-9D91-7224C49458BB}"/>
                <c:ext xmlns:c16="http://schemas.microsoft.com/office/drawing/2014/chart" uri="{C3380CC4-5D6E-409C-BE32-E72D297353CC}">
                  <c16:uniqueId val="{00000015-2D30-4FB0-A1BE-AD72111AA771}"/>
                </c:ext>
              </c:extLst>
            </c:dLbl>
            <c:dLbl>
              <c:idx val="16"/>
              <c:delete val="1"/>
              <c:extLst>
                <c:ext xmlns:c15="http://schemas.microsoft.com/office/drawing/2012/chart" uri="{CE6537A1-D6FC-4f65-9D91-7224C49458BB}"/>
                <c:ext xmlns:c16="http://schemas.microsoft.com/office/drawing/2014/chart" uri="{C3380CC4-5D6E-409C-BE32-E72D297353CC}">
                  <c16:uniqueId val="{00000016-2D30-4FB0-A1BE-AD72111AA771}"/>
                </c:ext>
              </c:extLst>
            </c:dLbl>
            <c:dLbl>
              <c:idx val="17"/>
              <c:delete val="1"/>
              <c:extLst>
                <c:ext xmlns:c15="http://schemas.microsoft.com/office/drawing/2012/chart" uri="{CE6537A1-D6FC-4f65-9D91-7224C49458BB}"/>
                <c:ext xmlns:c16="http://schemas.microsoft.com/office/drawing/2014/chart" uri="{C3380CC4-5D6E-409C-BE32-E72D297353CC}">
                  <c16:uniqueId val="{00000017-2D30-4FB0-A1BE-AD72111AA771}"/>
                </c:ext>
              </c:extLst>
            </c:dLbl>
            <c:dLbl>
              <c:idx val="18"/>
              <c:delete val="1"/>
              <c:extLst>
                <c:ext xmlns:c15="http://schemas.microsoft.com/office/drawing/2012/chart" uri="{CE6537A1-D6FC-4f65-9D91-7224C49458BB}"/>
                <c:ext xmlns:c16="http://schemas.microsoft.com/office/drawing/2014/chart" uri="{C3380CC4-5D6E-409C-BE32-E72D297353CC}">
                  <c16:uniqueId val="{00000018-2D30-4FB0-A1BE-AD72111AA771}"/>
                </c:ext>
              </c:extLst>
            </c:dLbl>
            <c:dLbl>
              <c:idx val="19"/>
              <c:delete val="1"/>
              <c:extLst>
                <c:ext xmlns:c15="http://schemas.microsoft.com/office/drawing/2012/chart" uri="{CE6537A1-D6FC-4f65-9D91-7224C49458BB}"/>
                <c:ext xmlns:c16="http://schemas.microsoft.com/office/drawing/2014/chart" uri="{C3380CC4-5D6E-409C-BE32-E72D297353CC}">
                  <c16:uniqueId val="{00000019-2D30-4FB0-A1BE-AD72111AA771}"/>
                </c:ext>
              </c:extLst>
            </c:dLbl>
            <c:dLbl>
              <c:idx val="20"/>
              <c:delete val="1"/>
              <c:extLst>
                <c:ext xmlns:c15="http://schemas.microsoft.com/office/drawing/2012/chart" uri="{CE6537A1-D6FC-4f65-9D91-7224C49458BB}"/>
                <c:ext xmlns:c16="http://schemas.microsoft.com/office/drawing/2014/chart" uri="{C3380CC4-5D6E-409C-BE32-E72D297353CC}">
                  <c16:uniqueId val="{0000001A-2D30-4FB0-A1BE-AD72111AA771}"/>
                </c:ext>
              </c:extLst>
            </c:dLbl>
            <c:dLbl>
              <c:idx val="21"/>
              <c:delete val="1"/>
              <c:extLst>
                <c:ext xmlns:c15="http://schemas.microsoft.com/office/drawing/2012/chart" uri="{CE6537A1-D6FC-4f65-9D91-7224C49458BB}"/>
                <c:ext xmlns:c16="http://schemas.microsoft.com/office/drawing/2014/chart" uri="{C3380CC4-5D6E-409C-BE32-E72D297353CC}">
                  <c16:uniqueId val="{0000001B-2D30-4FB0-A1BE-AD72111AA771}"/>
                </c:ext>
              </c:extLst>
            </c:dLbl>
            <c:dLbl>
              <c:idx val="22"/>
              <c:delete val="1"/>
              <c:extLst>
                <c:ext xmlns:c15="http://schemas.microsoft.com/office/drawing/2012/chart" uri="{CE6537A1-D6FC-4f65-9D91-7224C49458BB}"/>
                <c:ext xmlns:c16="http://schemas.microsoft.com/office/drawing/2014/chart" uri="{C3380CC4-5D6E-409C-BE32-E72D297353CC}">
                  <c16:uniqueId val="{0000001C-2D30-4FB0-A1BE-AD72111AA771}"/>
                </c:ext>
              </c:extLst>
            </c:dLbl>
            <c:dLbl>
              <c:idx val="23"/>
              <c:delete val="1"/>
              <c:extLst>
                <c:ext xmlns:c15="http://schemas.microsoft.com/office/drawing/2012/chart" uri="{CE6537A1-D6FC-4f65-9D91-7224C49458BB}"/>
                <c:ext xmlns:c16="http://schemas.microsoft.com/office/drawing/2014/chart" uri="{C3380CC4-5D6E-409C-BE32-E72D297353CC}">
                  <c16:uniqueId val="{0000001D-2D30-4FB0-A1BE-AD72111AA771}"/>
                </c:ext>
              </c:extLst>
            </c:dLbl>
            <c:dLbl>
              <c:idx val="24"/>
              <c:delete val="1"/>
              <c:extLst>
                <c:ext xmlns:c15="http://schemas.microsoft.com/office/drawing/2012/chart" uri="{CE6537A1-D6FC-4f65-9D91-7224C49458BB}"/>
                <c:ext xmlns:c16="http://schemas.microsoft.com/office/drawing/2014/chart" uri="{C3380CC4-5D6E-409C-BE32-E72D297353CC}">
                  <c16:uniqueId val="{0000001E-2D30-4FB0-A1BE-AD72111AA771}"/>
                </c:ext>
              </c:extLst>
            </c:dLbl>
            <c:dLbl>
              <c:idx val="25"/>
              <c:layout>
                <c:manualLayout>
                  <c:x val="-1.1705835292108854E-3"/>
                  <c:y val="0.3067518373358640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2D30-4FB0-A1BE-AD72111AA771}"/>
                </c:ext>
              </c:extLst>
            </c:dLbl>
            <c:numFmt formatCode="_(&quot;R$&quot;* #,##0.00_);_(&quot;R$&quot;* \(#,##0.00\);_(&quot;R$&quot;* &quot;-&quot;??_);_(@_)" sourceLinked="0"/>
            <c:spPr>
              <a:solidFill>
                <a:srgbClr val="E7E6E6">
                  <a:lumMod val="75000"/>
                  <a:alpha val="29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numRef>
              <c:f>Financeiro!$B$172:$B$197</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numCache>
            </c:numRef>
          </c:cat>
          <c:val>
            <c:numRef>
              <c:f>Financeiro!$Q$172:$Q$197</c:f>
              <c:numCache>
                <c:formatCode>_("R$"* #,##0.00_);_("R$"* \(#,##0.00\);_("R$"* "-"??_);_(@_)</c:formatCode>
                <c:ptCount val="26"/>
                <c:pt idx="0">
                  <c:v>23440</c:v>
                </c:pt>
                <c:pt idx="1">
                  <c:v>23751.752</c:v>
                </c:pt>
                <c:pt idx="2">
                  <c:v>24067.650301600002</c:v>
                </c:pt>
                <c:pt idx="3">
                  <c:v>24387.750050611285</c:v>
                </c:pt>
                <c:pt idx="4">
                  <c:v>24712.107126284416</c:v>
                </c:pt>
                <c:pt idx="5">
                  <c:v>25040.778151064002</c:v>
                </c:pt>
                <c:pt idx="6">
                  <c:v>25373.820500473154</c:v>
                </c:pt>
                <c:pt idx="7">
                  <c:v>25711.292313129448</c:v>
                </c:pt>
                <c:pt idx="8">
                  <c:v>26053.252500894072</c:v>
                </c:pt>
                <c:pt idx="9">
                  <c:v>26399.760759155964</c:v>
                </c:pt>
                <c:pt idx="10">
                  <c:v>26750.877577252741</c:v>
                </c:pt>
                <c:pt idx="11">
                  <c:v>27106.664249030204</c:v>
                </c:pt>
                <c:pt idx="12">
                  <c:v>27467.182883542308</c:v>
                </c:pt>
                <c:pt idx="13">
                  <c:v>27832.496415893424</c:v>
                </c:pt>
                <c:pt idx="14">
                  <c:v>28202.668618224809</c:v>
                </c:pt>
                <c:pt idx="15">
                  <c:v>28577.764110847202</c:v>
                </c:pt>
                <c:pt idx="16">
                  <c:v>28957.848373521472</c:v>
                </c:pt>
                <c:pt idx="17">
                  <c:v>29342.98775688931</c:v>
                </c:pt>
                <c:pt idx="18">
                  <c:v>29733.249494055941</c:v>
                </c:pt>
                <c:pt idx="19">
                  <c:v>30128.701712326889</c:v>
                </c:pt>
                <c:pt idx="20">
                  <c:v>30529.413445100839</c:v>
                </c:pt>
                <c:pt idx="21">
                  <c:v>30935.454643920682</c:v>
                </c:pt>
                <c:pt idx="22">
                  <c:v>31346.896190684831</c:v>
                </c:pt>
                <c:pt idx="23">
                  <c:v>31763.80991002094</c:v>
                </c:pt>
                <c:pt idx="24">
                  <c:v>32186.268581824221</c:v>
                </c:pt>
                <c:pt idx="25">
                  <c:v>32614.345953962486</c:v>
                </c:pt>
              </c:numCache>
            </c:numRef>
          </c:val>
          <c:extLst>
            <c:ext xmlns:c16="http://schemas.microsoft.com/office/drawing/2014/chart" uri="{C3380CC4-5D6E-409C-BE32-E72D297353CC}">
              <c16:uniqueId val="{00000020-2D30-4FB0-A1BE-AD72111AA771}"/>
            </c:ext>
          </c:extLst>
        </c:ser>
        <c:dLbls>
          <c:showLegendKey val="0"/>
          <c:showVal val="0"/>
          <c:showCatName val="0"/>
          <c:showSerName val="0"/>
          <c:showPercent val="0"/>
          <c:showBubbleSize val="0"/>
        </c:dLbls>
        <c:gapWidth val="219"/>
        <c:overlap val="-27"/>
        <c:axId val="690186159"/>
        <c:axId val="147447439"/>
        <c:extLst>
          <c:ext xmlns:c15="http://schemas.microsoft.com/office/drawing/2012/chart" uri="{02D57815-91ED-43cb-92C2-25804820EDAC}">
            <c15:filteredBarSeries>
              <c15:ser>
                <c:idx val="0"/>
                <c:order val="0"/>
                <c:tx>
                  <c:strRef>
                    <c:extLst>
                      <c:ext uri="{02D57815-91ED-43cb-92C2-25804820EDAC}">
                        <c15:formulaRef>
                          <c15:sqref>Financeiro!$K$171</c15:sqref>
                        </c15:formulaRef>
                      </c:ext>
                    </c:extLst>
                    <c:strCache>
                      <c:ptCount val="1"/>
                      <c:pt idx="0">
                        <c:v>Economia Acumulada</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22-2D30-4FB0-A1BE-AD72111AA771}"/>
                    </c:ext>
                  </c:extLst>
                </c:dPt>
                <c:dPt>
                  <c:idx val="1"/>
                  <c:invertIfNegative val="0"/>
                  <c:bubble3D val="0"/>
                  <c:spPr>
                    <a:solidFill>
                      <a:srgbClr val="C00000"/>
                    </a:solidFill>
                    <a:ln>
                      <a:noFill/>
                    </a:ln>
                    <a:effectLst/>
                  </c:spPr>
                  <c:extLst>
                    <c:ext xmlns:c16="http://schemas.microsoft.com/office/drawing/2014/chart" uri="{C3380CC4-5D6E-409C-BE32-E72D297353CC}">
                      <c16:uniqueId val="{00000024-2D30-4FB0-A1BE-AD72111AA771}"/>
                    </c:ext>
                  </c:extLst>
                </c:dPt>
                <c:dPt>
                  <c:idx val="2"/>
                  <c:invertIfNegative val="0"/>
                  <c:bubble3D val="0"/>
                  <c:spPr>
                    <a:solidFill>
                      <a:srgbClr val="C00000"/>
                    </a:solidFill>
                    <a:ln>
                      <a:noFill/>
                    </a:ln>
                    <a:effectLst/>
                  </c:spPr>
                  <c:extLst>
                    <c:ext xmlns:c16="http://schemas.microsoft.com/office/drawing/2014/chart" uri="{C3380CC4-5D6E-409C-BE32-E72D297353CC}">
                      <c16:uniqueId val="{00000026-2D30-4FB0-A1BE-AD72111AA771}"/>
                    </c:ext>
                  </c:extLst>
                </c:dPt>
                <c:dPt>
                  <c:idx val="3"/>
                  <c:invertIfNegative val="0"/>
                  <c:bubble3D val="0"/>
                  <c:spPr>
                    <a:solidFill>
                      <a:srgbClr val="C00000"/>
                    </a:solidFill>
                    <a:ln>
                      <a:noFill/>
                    </a:ln>
                    <a:effectLst/>
                  </c:spPr>
                  <c:extLst>
                    <c:ext xmlns:c16="http://schemas.microsoft.com/office/drawing/2014/chart" uri="{C3380CC4-5D6E-409C-BE32-E72D297353CC}">
                      <c16:uniqueId val="{00000028-2D30-4FB0-A1BE-AD72111AA771}"/>
                    </c:ext>
                  </c:extLst>
                </c:dPt>
                <c:dPt>
                  <c:idx val="4"/>
                  <c:invertIfNegative val="0"/>
                  <c:bubble3D val="0"/>
                  <c:spPr>
                    <a:solidFill>
                      <a:srgbClr val="C00000"/>
                    </a:solidFill>
                    <a:ln>
                      <a:noFill/>
                    </a:ln>
                    <a:effectLst/>
                  </c:spPr>
                  <c:extLst>
                    <c:ext xmlns:c16="http://schemas.microsoft.com/office/drawing/2014/chart" uri="{C3380CC4-5D6E-409C-BE32-E72D297353CC}">
                      <c16:uniqueId val="{0000002A-2D30-4FB0-A1BE-AD72111AA771}"/>
                    </c:ext>
                  </c:extLst>
                </c:dPt>
                <c:dPt>
                  <c:idx val="5"/>
                  <c:invertIfNegative val="0"/>
                  <c:bubble3D val="0"/>
                  <c:spPr>
                    <a:solidFill>
                      <a:srgbClr val="C00000"/>
                    </a:solidFill>
                    <a:ln>
                      <a:noFill/>
                    </a:ln>
                    <a:effectLst/>
                  </c:spPr>
                  <c:extLst>
                    <c:ext xmlns:c16="http://schemas.microsoft.com/office/drawing/2014/chart" uri="{C3380CC4-5D6E-409C-BE32-E72D297353CC}">
                      <c16:uniqueId val="{0000002C-2D30-4FB0-A1BE-AD72111AA771}"/>
                    </c:ext>
                  </c:extLst>
                </c:dPt>
                <c:dLbls>
                  <c:dLbl>
                    <c:idx val="25"/>
                    <c:dLblPos val="outEnd"/>
                    <c:showLegendKey val="0"/>
                    <c:showVal val="1"/>
                    <c:showCatName val="0"/>
                    <c:showSerName val="0"/>
                    <c:showPercent val="0"/>
                    <c:showBubbleSize val="0"/>
                    <c:extLst>
                      <c:ext uri="{CE6537A1-D6FC-4f65-9D91-7224C49458BB}"/>
                      <c:ext xmlns:c16="http://schemas.microsoft.com/office/drawing/2014/chart" uri="{C3380CC4-5D6E-409C-BE32-E72D297353CC}">
                        <c16:uniqueId val="{0000002D-2D30-4FB0-A1BE-AD72111AA77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Financeiro!$B$172:$B$197</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numCache>
                  </c:numRef>
                </c:cat>
                <c:val>
                  <c:numRef>
                    <c:extLst>
                      <c:ext uri="{02D57815-91ED-43cb-92C2-25804820EDAC}">
                        <c15:formulaRef>
                          <c15:sqref>Financeiro!$K$172:$K$197</c15:sqref>
                        </c15:formulaRef>
                      </c:ext>
                    </c:extLst>
                    <c:numCache>
                      <c:formatCode>_("R$"* #,##0.00_);_("R$"* \(#,##0.00\);_("R$"* "-"??_);_(@_)</c:formatCode>
                      <c:ptCount val="26"/>
                      <c:pt idx="0">
                        <c:v>-23440</c:v>
                      </c:pt>
                      <c:pt idx="1">
                        <c:v>-13820.102848607718</c:v>
                      </c:pt>
                      <c:pt idx="2">
                        <c:v>-2910.9724762284332</c:v>
                      </c:pt>
                      <c:pt idx="3">
                        <c:v>8862.4810276139669</c:v>
                      </c:pt>
                      <c:pt idx="4">
                        <c:v>21507.540956646699</c:v>
                      </c:pt>
                      <c:pt idx="5">
                        <c:v>35062.242302513303</c:v>
                      </c:pt>
                      <c:pt idx="6">
                        <c:v>49880.942533994683</c:v>
                      </c:pt>
                      <c:pt idx="7">
                        <c:v>66081.598743372218</c:v>
                      </c:pt>
                      <c:pt idx="8">
                        <c:v>83793.184462058765</c:v>
                      </c:pt>
                      <c:pt idx="9">
                        <c:v>103156.71937788189</c:v>
                      </c:pt>
                      <c:pt idx="10">
                        <c:v>124326.39538526747</c:v>
                      </c:pt>
                      <c:pt idx="11">
                        <c:v>145424.95744154282</c:v>
                      </c:pt>
                      <c:pt idx="12">
                        <c:v>166451.69440719683</c:v>
                      </c:pt>
                      <c:pt idx="13">
                        <c:v>187405.88803132329</c:v>
                      </c:pt>
                      <c:pt idx="14">
                        <c:v>208286.81288050691</c:v>
                      </c:pt>
                      <c:pt idx="15">
                        <c:v>229093.73626699828</c:v>
                      </c:pt>
                      <c:pt idx="16">
                        <c:v>249825.91817617047</c:v>
                      </c:pt>
                      <c:pt idx="17">
                        <c:v>270482.61119325028</c:v>
                      </c:pt>
                      <c:pt idx="18">
                        <c:v>291063.06042931683</c:v>
                      </c:pt>
                      <c:pt idx="19">
                        <c:v>311566.50344655995</c:v>
                      </c:pt>
                      <c:pt idx="20">
                        <c:v>331992.17018279136</c:v>
                      </c:pt>
                      <c:pt idx="21">
                        <c:v>352339.28287520102</c:v>
                      </c:pt>
                      <c:pt idx="22">
                        <c:v>372607.05598335067</c:v>
                      </c:pt>
                      <c:pt idx="23">
                        <c:v>392794.6961113977</c:v>
                      </c:pt>
                      <c:pt idx="24">
                        <c:v>412901.40192954114</c:v>
                      </c:pt>
                      <c:pt idx="25">
                        <c:v>432926.36409468192</c:v>
                      </c:pt>
                    </c:numCache>
                  </c:numRef>
                </c:val>
                <c:extLst>
                  <c:ext xmlns:c16="http://schemas.microsoft.com/office/drawing/2014/chart" uri="{C3380CC4-5D6E-409C-BE32-E72D297353CC}">
                    <c16:uniqueId val="{0000002E-2D30-4FB0-A1BE-AD72111AA771}"/>
                  </c:ext>
                </c:extLst>
              </c15:ser>
            </c15:filteredBarSeries>
          </c:ext>
        </c:extLst>
      </c:barChart>
      <c:catAx>
        <c:axId val="690186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7447439"/>
        <c:crosses val="autoZero"/>
        <c:auto val="1"/>
        <c:lblAlgn val="ctr"/>
        <c:lblOffset val="100"/>
        <c:noMultiLvlLbl val="0"/>
      </c:catAx>
      <c:valAx>
        <c:axId val="147447439"/>
        <c:scaling>
          <c:orientation val="minMax"/>
        </c:scaling>
        <c:delete val="0"/>
        <c:axPos val="l"/>
        <c:majorGridlines>
          <c:spPr>
            <a:ln w="9525" cap="flat" cmpd="sng" algn="ctr">
              <a:solidFill>
                <a:schemeClr val="bg1">
                  <a:lumMod val="85000"/>
                  <a:alpha val="49000"/>
                </a:schemeClr>
              </a:solidFill>
              <a:round/>
            </a:ln>
            <a:effectLst/>
          </c:spPr>
        </c:majorGridlines>
        <c:numFmt formatCode="_-&quot;R$&quot;\ * #,##0,_-&quot;k&quot;;\-&quot;R$&quot;\ * #,##0,_-&quot;k&quot;;_-&quot;R$&quot;\ * &quot;-&quot;?_-;_-@_-" sourceLinked="0"/>
        <c:majorTickMark val="out"/>
        <c:minorTickMark val="none"/>
        <c:tickLblPos val="nextTo"/>
        <c:spPr>
          <a:noFill/>
          <a:ln>
            <a:noFill/>
          </a:ln>
          <a:effectLst/>
        </c:spPr>
        <c:txPr>
          <a:bodyPr rot="-1500000" spcFirstLastPara="1" vertOverflow="ellipsis" wrap="square" anchor="ctr" anchorCtr="1"/>
          <a:lstStyle/>
          <a:p>
            <a:pPr>
              <a:defRPr sz="900" b="0" i="0" u="none" strike="noStrike" kern="1200" baseline="0">
                <a:solidFill>
                  <a:schemeClr val="tx1">
                    <a:lumMod val="65000"/>
                    <a:lumOff val="35000"/>
                    <a:alpha val="79000"/>
                  </a:schemeClr>
                </a:solidFill>
                <a:latin typeface="+mn-lt"/>
                <a:ea typeface="+mn-ea"/>
                <a:cs typeface="+mn-cs"/>
              </a:defRPr>
            </a:pPr>
            <a:endParaRPr lang="pt-BR"/>
          </a:p>
        </c:txPr>
        <c:crossAx val="690186159"/>
        <c:crosses val="autoZero"/>
        <c:crossBetween val="between"/>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Avaliação Econômica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2.5280605203372733E-2"/>
          <c:y val="0.11748081459385228"/>
          <c:w val="0.91742573521210546"/>
          <c:h val="0.83427244429984293"/>
        </c:manualLayout>
      </c:layout>
      <c:barChart>
        <c:barDir val="col"/>
        <c:grouping val="clustered"/>
        <c:varyColors val="0"/>
        <c:ser>
          <c:idx val="1"/>
          <c:order val="1"/>
          <c:tx>
            <c:strRef>
              <c:f>Financeiro!$N$171</c:f>
              <c:strCache>
                <c:ptCount val="1"/>
                <c:pt idx="0">
                  <c:v>Economia Negativa</c:v>
                </c:pt>
              </c:strCache>
            </c:strRef>
          </c:tx>
          <c:spPr>
            <a:solidFill>
              <a:srgbClr val="C00000"/>
            </a:solidFill>
            <a:ln>
              <a:noFill/>
            </a:ln>
            <a:effectLst/>
          </c:spPr>
          <c:invertIfNegative val="0"/>
          <c:dLbls>
            <c:dLbl>
              <c:idx val="0"/>
              <c:layout>
                <c:manualLayout>
                  <c:x val="2.321322819376621E-2"/>
                  <c:y val="-5.953068724897100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B6F-4E7F-A5C8-12C6C48D77D4}"/>
                </c:ext>
              </c:extLst>
            </c:dLbl>
            <c:numFmt formatCode="_(&quot;R$&quot;* #,##0.00_);_(&quot;R$&quot;* \(#,##0.00\);_(&quot;R$&quot;* &quot;-&quot;??_);_(@_)" sourceLinked="0"/>
            <c:spPr>
              <a:solidFill>
                <a:srgbClr val="C00000">
                  <a:alpha val="7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Financeiro!$B$172:$B$197</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numCache>
            </c:numRef>
          </c:cat>
          <c:val>
            <c:numRef>
              <c:f>Financeiro!$N$172:$N$197</c:f>
              <c:numCache>
                <c:formatCode>_("R$"* #,##0.00_);_("R$"* \(#,##0.00\);_("R$"* "-"??_);_(@_)</c:formatCode>
                <c:ptCount val="26"/>
                <c:pt idx="0">
                  <c:v>-23440</c:v>
                </c:pt>
                <c:pt idx="1">
                  <c:v>-13820.102848607718</c:v>
                </c:pt>
                <c:pt idx="2">
                  <c:v>-2910.9724762284332</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extLst>
            <c:ext xmlns:c16="http://schemas.microsoft.com/office/drawing/2014/chart" uri="{C3380CC4-5D6E-409C-BE32-E72D297353CC}">
              <c16:uniqueId val="{00000001-FB6F-4E7F-A5C8-12C6C48D77D4}"/>
            </c:ext>
          </c:extLst>
        </c:ser>
        <c:ser>
          <c:idx val="2"/>
          <c:order val="2"/>
          <c:tx>
            <c:strRef>
              <c:f>Financeiro!$O$171</c:f>
              <c:strCache>
                <c:ptCount val="1"/>
                <c:pt idx="0">
                  <c:v>Economia com o Sistema</c:v>
                </c:pt>
              </c:strCache>
            </c:strRef>
          </c:tx>
          <c:spPr>
            <a:solidFill>
              <a:schemeClr val="accent6"/>
            </a:solidFill>
            <a:ln>
              <a:noFill/>
            </a:ln>
            <a:effectLst/>
          </c:spPr>
          <c:invertIfNegative val="0"/>
          <c:dLbls>
            <c:dLbl>
              <c:idx val="25"/>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B6F-4E7F-A5C8-12C6C48D77D4}"/>
                </c:ext>
              </c:extLst>
            </c:dLbl>
            <c:numFmt formatCode="_(&quot;R$&quot;* #,##0.00_);_(&quot;R$&quot;* \(#,##0.00\);_(&quot;R$&quot;* &quot;-&quot;??_);_(@_)" sourceLinked="0"/>
            <c:spPr>
              <a:solidFill>
                <a:schemeClr val="accent6">
                  <a:alpha val="1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Financeiro!$B$172:$B$197</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numCache>
            </c:numRef>
          </c:cat>
          <c:val>
            <c:numRef>
              <c:f>Financeiro!$O$172:$O$197</c:f>
              <c:numCache>
                <c:formatCode>_("R$"* #,##0.00_);_("R$"* \(#,##0.00\);_("R$"* "-"??_);_(@_)</c:formatCode>
                <c:ptCount val="26"/>
                <c:pt idx="0">
                  <c:v>0</c:v>
                </c:pt>
                <c:pt idx="1">
                  <c:v>0</c:v>
                </c:pt>
                <c:pt idx="2">
                  <c:v>0</c:v>
                </c:pt>
                <c:pt idx="3">
                  <c:v>8862.4810276139669</c:v>
                </c:pt>
                <c:pt idx="4">
                  <c:v>21507.540956646699</c:v>
                </c:pt>
                <c:pt idx="5">
                  <c:v>35062.242302513303</c:v>
                </c:pt>
                <c:pt idx="6">
                  <c:v>49880.942533994683</c:v>
                </c:pt>
                <c:pt idx="7">
                  <c:v>66081.598743372218</c:v>
                </c:pt>
                <c:pt idx="8">
                  <c:v>83793.184462058765</c:v>
                </c:pt>
                <c:pt idx="9">
                  <c:v>103156.71937788189</c:v>
                </c:pt>
                <c:pt idx="10">
                  <c:v>124326.39538526747</c:v>
                </c:pt>
                <c:pt idx="11">
                  <c:v>145424.95744154282</c:v>
                </c:pt>
                <c:pt idx="12">
                  <c:v>166451.69440719683</c:v>
                </c:pt>
                <c:pt idx="13">
                  <c:v>187405.88803132329</c:v>
                </c:pt>
                <c:pt idx="14">
                  <c:v>208286.81288050691</c:v>
                </c:pt>
                <c:pt idx="15">
                  <c:v>229093.73626699828</c:v>
                </c:pt>
                <c:pt idx="16">
                  <c:v>249825.91817617047</c:v>
                </c:pt>
                <c:pt idx="17">
                  <c:v>270482.61119325028</c:v>
                </c:pt>
                <c:pt idx="18">
                  <c:v>291063.06042931683</c:v>
                </c:pt>
                <c:pt idx="19">
                  <c:v>311566.50344655995</c:v>
                </c:pt>
                <c:pt idx="20">
                  <c:v>331992.17018279136</c:v>
                </c:pt>
                <c:pt idx="21">
                  <c:v>352339.28287520102</c:v>
                </c:pt>
                <c:pt idx="22">
                  <c:v>372607.05598335067</c:v>
                </c:pt>
                <c:pt idx="23">
                  <c:v>392794.6961113977</c:v>
                </c:pt>
                <c:pt idx="24">
                  <c:v>412901.40192954114</c:v>
                </c:pt>
                <c:pt idx="25">
                  <c:v>432926.36409468192</c:v>
                </c:pt>
              </c:numCache>
            </c:numRef>
          </c:val>
          <c:extLst>
            <c:ext xmlns:c16="http://schemas.microsoft.com/office/drawing/2014/chart" uri="{C3380CC4-5D6E-409C-BE32-E72D297353CC}">
              <c16:uniqueId val="{00000003-FB6F-4E7F-A5C8-12C6C48D77D4}"/>
            </c:ext>
          </c:extLst>
        </c:ser>
        <c:ser>
          <c:idx val="3"/>
          <c:order val="3"/>
          <c:tx>
            <c:strRef>
              <c:f>Financeiro!$P$171</c:f>
              <c:strCache>
                <c:ptCount val="1"/>
                <c:pt idx="0">
                  <c:v>CDI</c:v>
                </c:pt>
              </c:strCache>
            </c:strRef>
          </c:tx>
          <c:spPr>
            <a:solidFill>
              <a:schemeClr val="accent2">
                <a:lumMod val="40000"/>
                <a:lumOff val="60000"/>
              </a:schemeClr>
            </a:solidFill>
            <a:ln>
              <a:noFill/>
            </a:ln>
            <a:effectLst/>
          </c:spPr>
          <c:invertIfNegative val="0"/>
          <c:dLbls>
            <c:dLbl>
              <c:idx val="25"/>
              <c:layout>
                <c:manualLayout>
                  <c:x val="-7.9089191845264403E-2"/>
                  <c:y val="0.19347681213921775"/>
                </c:manualLayout>
              </c:layout>
              <c:spPr>
                <a:solidFill>
                  <a:srgbClr val="ED7D31">
                    <a:lumMod val="40000"/>
                    <a:lumOff val="60000"/>
                    <a:alpha val="29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FB6F-4E7F-A5C8-12C6C48D77D4}"/>
                </c:ext>
              </c:extLst>
            </c:dLbl>
            <c:numFmt formatCode="_(&quot;R$&quot;* #,##0.00_);_(&quot;R$&quot;* \(#,##0.00\);_(&quot;R$&quot;* &quot;-&quot;??_);_(@_)" sourceLinked="0"/>
            <c:spPr>
              <a:solidFill>
                <a:schemeClr val="accent2">
                  <a:lumMod val="40000"/>
                  <a:lumOff val="60000"/>
                  <a:alpha val="36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Financeiro!$B$172:$B$197</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numCache>
            </c:numRef>
          </c:cat>
          <c:val>
            <c:numRef>
              <c:f>Financeiro!$P$172:$P$197</c:f>
              <c:numCache>
                <c:formatCode>_("R$"* #,##0.00_);_("R$"* \(#,##0.00\);_("R$"* "-"??_);_(@_)</c:formatCode>
                <c:ptCount val="26"/>
                <c:pt idx="0">
                  <c:v>23440</c:v>
                </c:pt>
                <c:pt idx="1">
                  <c:v>23885.359999999997</c:v>
                </c:pt>
                <c:pt idx="2">
                  <c:v>24339.181839999994</c:v>
                </c:pt>
                <c:pt idx="3">
                  <c:v>24801.626294959991</c:v>
                </c:pt>
                <c:pt idx="4">
                  <c:v>25272.857194564229</c:v>
                </c:pt>
                <c:pt idx="5">
                  <c:v>25753.041481260945</c:v>
                </c:pt>
                <c:pt idx="6">
                  <c:v>26242.349269404902</c:v>
                </c:pt>
                <c:pt idx="7">
                  <c:v>26740.953905523591</c:v>
                </c:pt>
                <c:pt idx="8">
                  <c:v>27249.032029728536</c:v>
                </c:pt>
                <c:pt idx="9">
                  <c:v>27766.763638293374</c:v>
                </c:pt>
                <c:pt idx="10">
                  <c:v>28294.332147420944</c:v>
                </c:pt>
                <c:pt idx="11">
                  <c:v>28831.92445822194</c:v>
                </c:pt>
                <c:pt idx="12">
                  <c:v>29379.731022928154</c:v>
                </c:pt>
                <c:pt idx="13">
                  <c:v>29937.945912363786</c:v>
                </c:pt>
                <c:pt idx="14">
                  <c:v>30506.766884698696</c:v>
                </c:pt>
                <c:pt idx="15">
                  <c:v>31086.395455507969</c:v>
                </c:pt>
                <c:pt idx="16">
                  <c:v>31677.036969162618</c:v>
                </c:pt>
                <c:pt idx="17">
                  <c:v>32278.900671576706</c:v>
                </c:pt>
                <c:pt idx="18">
                  <c:v>32892.199784336663</c:v>
                </c:pt>
                <c:pt idx="19">
                  <c:v>33517.151580239057</c:v>
                </c:pt>
                <c:pt idx="20">
                  <c:v>34153.977460263595</c:v>
                </c:pt>
                <c:pt idx="21">
                  <c:v>34802.903032008602</c:v>
                </c:pt>
                <c:pt idx="22">
                  <c:v>35464.158189616763</c:v>
                </c:pt>
                <c:pt idx="23">
                  <c:v>36137.977195219479</c:v>
                </c:pt>
                <c:pt idx="24">
                  <c:v>36824.598761928646</c:v>
                </c:pt>
                <c:pt idx="25">
                  <c:v>37524.266138405284</c:v>
                </c:pt>
              </c:numCache>
            </c:numRef>
          </c:val>
          <c:extLst>
            <c:ext xmlns:c16="http://schemas.microsoft.com/office/drawing/2014/chart" uri="{C3380CC4-5D6E-409C-BE32-E72D297353CC}">
              <c16:uniqueId val="{00000005-FB6F-4E7F-A5C8-12C6C48D77D4}"/>
            </c:ext>
          </c:extLst>
        </c:ser>
        <c:ser>
          <c:idx val="4"/>
          <c:order val="4"/>
          <c:tx>
            <c:strRef>
              <c:f>Financeiro!$Q$171</c:f>
              <c:strCache>
                <c:ptCount val="1"/>
                <c:pt idx="0">
                  <c:v>Poupança</c:v>
                </c:pt>
              </c:strCache>
            </c:strRef>
          </c:tx>
          <c:spPr>
            <a:solidFill>
              <a:schemeClr val="bg2">
                <a:lumMod val="75000"/>
              </a:scheme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6-FB6F-4E7F-A5C8-12C6C48D77D4}"/>
                </c:ext>
              </c:extLst>
            </c:dLbl>
            <c:dLbl>
              <c:idx val="1"/>
              <c:delete val="1"/>
              <c:extLst>
                <c:ext xmlns:c15="http://schemas.microsoft.com/office/drawing/2012/chart" uri="{CE6537A1-D6FC-4f65-9D91-7224C49458BB}"/>
                <c:ext xmlns:c16="http://schemas.microsoft.com/office/drawing/2014/chart" uri="{C3380CC4-5D6E-409C-BE32-E72D297353CC}">
                  <c16:uniqueId val="{00000007-FB6F-4E7F-A5C8-12C6C48D77D4}"/>
                </c:ext>
              </c:extLst>
            </c:dLbl>
            <c:dLbl>
              <c:idx val="2"/>
              <c:delete val="1"/>
              <c:extLst>
                <c:ext xmlns:c15="http://schemas.microsoft.com/office/drawing/2012/chart" uri="{CE6537A1-D6FC-4f65-9D91-7224C49458BB}"/>
                <c:ext xmlns:c16="http://schemas.microsoft.com/office/drawing/2014/chart" uri="{C3380CC4-5D6E-409C-BE32-E72D297353CC}">
                  <c16:uniqueId val="{00000008-FB6F-4E7F-A5C8-12C6C48D77D4}"/>
                </c:ext>
              </c:extLst>
            </c:dLbl>
            <c:dLbl>
              <c:idx val="3"/>
              <c:delete val="1"/>
              <c:extLst>
                <c:ext xmlns:c15="http://schemas.microsoft.com/office/drawing/2012/chart" uri="{CE6537A1-D6FC-4f65-9D91-7224C49458BB}"/>
                <c:ext xmlns:c16="http://schemas.microsoft.com/office/drawing/2014/chart" uri="{C3380CC4-5D6E-409C-BE32-E72D297353CC}">
                  <c16:uniqueId val="{00000009-FB6F-4E7F-A5C8-12C6C48D77D4}"/>
                </c:ext>
              </c:extLst>
            </c:dLbl>
            <c:dLbl>
              <c:idx val="4"/>
              <c:delete val="1"/>
              <c:extLst>
                <c:ext xmlns:c15="http://schemas.microsoft.com/office/drawing/2012/chart" uri="{CE6537A1-D6FC-4f65-9D91-7224C49458BB}"/>
                <c:ext xmlns:c16="http://schemas.microsoft.com/office/drawing/2014/chart" uri="{C3380CC4-5D6E-409C-BE32-E72D297353CC}">
                  <c16:uniqueId val="{0000000A-FB6F-4E7F-A5C8-12C6C48D77D4}"/>
                </c:ext>
              </c:extLst>
            </c:dLbl>
            <c:dLbl>
              <c:idx val="5"/>
              <c:delete val="1"/>
              <c:extLst>
                <c:ext xmlns:c15="http://schemas.microsoft.com/office/drawing/2012/chart" uri="{CE6537A1-D6FC-4f65-9D91-7224C49458BB}"/>
                <c:ext xmlns:c16="http://schemas.microsoft.com/office/drawing/2014/chart" uri="{C3380CC4-5D6E-409C-BE32-E72D297353CC}">
                  <c16:uniqueId val="{0000000B-FB6F-4E7F-A5C8-12C6C48D77D4}"/>
                </c:ext>
              </c:extLst>
            </c:dLbl>
            <c:dLbl>
              <c:idx val="6"/>
              <c:delete val="1"/>
              <c:extLst>
                <c:ext xmlns:c15="http://schemas.microsoft.com/office/drawing/2012/chart" uri="{CE6537A1-D6FC-4f65-9D91-7224C49458BB}"/>
                <c:ext xmlns:c16="http://schemas.microsoft.com/office/drawing/2014/chart" uri="{C3380CC4-5D6E-409C-BE32-E72D297353CC}">
                  <c16:uniqueId val="{0000000C-FB6F-4E7F-A5C8-12C6C48D77D4}"/>
                </c:ext>
              </c:extLst>
            </c:dLbl>
            <c:dLbl>
              <c:idx val="7"/>
              <c:delete val="1"/>
              <c:extLst>
                <c:ext xmlns:c15="http://schemas.microsoft.com/office/drawing/2012/chart" uri="{CE6537A1-D6FC-4f65-9D91-7224C49458BB}"/>
                <c:ext xmlns:c16="http://schemas.microsoft.com/office/drawing/2014/chart" uri="{C3380CC4-5D6E-409C-BE32-E72D297353CC}">
                  <c16:uniqueId val="{0000000D-FB6F-4E7F-A5C8-12C6C48D77D4}"/>
                </c:ext>
              </c:extLst>
            </c:dLbl>
            <c:dLbl>
              <c:idx val="8"/>
              <c:delete val="1"/>
              <c:extLst>
                <c:ext xmlns:c15="http://schemas.microsoft.com/office/drawing/2012/chart" uri="{CE6537A1-D6FC-4f65-9D91-7224C49458BB}"/>
                <c:ext xmlns:c16="http://schemas.microsoft.com/office/drawing/2014/chart" uri="{C3380CC4-5D6E-409C-BE32-E72D297353CC}">
                  <c16:uniqueId val="{0000000E-FB6F-4E7F-A5C8-12C6C48D77D4}"/>
                </c:ext>
              </c:extLst>
            </c:dLbl>
            <c:dLbl>
              <c:idx val="9"/>
              <c:delete val="1"/>
              <c:extLst>
                <c:ext xmlns:c15="http://schemas.microsoft.com/office/drawing/2012/chart" uri="{CE6537A1-D6FC-4f65-9D91-7224C49458BB}"/>
                <c:ext xmlns:c16="http://schemas.microsoft.com/office/drawing/2014/chart" uri="{C3380CC4-5D6E-409C-BE32-E72D297353CC}">
                  <c16:uniqueId val="{0000000F-FB6F-4E7F-A5C8-12C6C48D77D4}"/>
                </c:ext>
              </c:extLst>
            </c:dLbl>
            <c:dLbl>
              <c:idx val="10"/>
              <c:delete val="1"/>
              <c:extLst>
                <c:ext xmlns:c15="http://schemas.microsoft.com/office/drawing/2012/chart" uri="{CE6537A1-D6FC-4f65-9D91-7224C49458BB}"/>
                <c:ext xmlns:c16="http://schemas.microsoft.com/office/drawing/2014/chart" uri="{C3380CC4-5D6E-409C-BE32-E72D297353CC}">
                  <c16:uniqueId val="{00000010-FB6F-4E7F-A5C8-12C6C48D77D4}"/>
                </c:ext>
              </c:extLst>
            </c:dLbl>
            <c:dLbl>
              <c:idx val="11"/>
              <c:delete val="1"/>
              <c:extLst>
                <c:ext xmlns:c15="http://schemas.microsoft.com/office/drawing/2012/chart" uri="{CE6537A1-D6FC-4f65-9D91-7224C49458BB}"/>
                <c:ext xmlns:c16="http://schemas.microsoft.com/office/drawing/2014/chart" uri="{C3380CC4-5D6E-409C-BE32-E72D297353CC}">
                  <c16:uniqueId val="{00000011-FB6F-4E7F-A5C8-12C6C48D77D4}"/>
                </c:ext>
              </c:extLst>
            </c:dLbl>
            <c:dLbl>
              <c:idx val="12"/>
              <c:delete val="1"/>
              <c:extLst>
                <c:ext xmlns:c15="http://schemas.microsoft.com/office/drawing/2012/chart" uri="{CE6537A1-D6FC-4f65-9D91-7224C49458BB}"/>
                <c:ext xmlns:c16="http://schemas.microsoft.com/office/drawing/2014/chart" uri="{C3380CC4-5D6E-409C-BE32-E72D297353CC}">
                  <c16:uniqueId val="{00000012-FB6F-4E7F-A5C8-12C6C48D77D4}"/>
                </c:ext>
              </c:extLst>
            </c:dLbl>
            <c:dLbl>
              <c:idx val="13"/>
              <c:delete val="1"/>
              <c:extLst>
                <c:ext xmlns:c15="http://schemas.microsoft.com/office/drawing/2012/chart" uri="{CE6537A1-D6FC-4f65-9D91-7224C49458BB}"/>
                <c:ext xmlns:c16="http://schemas.microsoft.com/office/drawing/2014/chart" uri="{C3380CC4-5D6E-409C-BE32-E72D297353CC}">
                  <c16:uniqueId val="{00000013-FB6F-4E7F-A5C8-12C6C48D77D4}"/>
                </c:ext>
              </c:extLst>
            </c:dLbl>
            <c:dLbl>
              <c:idx val="14"/>
              <c:delete val="1"/>
              <c:extLst>
                <c:ext xmlns:c15="http://schemas.microsoft.com/office/drawing/2012/chart" uri="{CE6537A1-D6FC-4f65-9D91-7224C49458BB}"/>
                <c:ext xmlns:c16="http://schemas.microsoft.com/office/drawing/2014/chart" uri="{C3380CC4-5D6E-409C-BE32-E72D297353CC}">
                  <c16:uniqueId val="{00000014-FB6F-4E7F-A5C8-12C6C48D77D4}"/>
                </c:ext>
              </c:extLst>
            </c:dLbl>
            <c:dLbl>
              <c:idx val="15"/>
              <c:delete val="1"/>
              <c:extLst>
                <c:ext xmlns:c15="http://schemas.microsoft.com/office/drawing/2012/chart" uri="{CE6537A1-D6FC-4f65-9D91-7224C49458BB}"/>
                <c:ext xmlns:c16="http://schemas.microsoft.com/office/drawing/2014/chart" uri="{C3380CC4-5D6E-409C-BE32-E72D297353CC}">
                  <c16:uniqueId val="{00000015-FB6F-4E7F-A5C8-12C6C48D77D4}"/>
                </c:ext>
              </c:extLst>
            </c:dLbl>
            <c:dLbl>
              <c:idx val="16"/>
              <c:delete val="1"/>
              <c:extLst>
                <c:ext xmlns:c15="http://schemas.microsoft.com/office/drawing/2012/chart" uri="{CE6537A1-D6FC-4f65-9D91-7224C49458BB}"/>
                <c:ext xmlns:c16="http://schemas.microsoft.com/office/drawing/2014/chart" uri="{C3380CC4-5D6E-409C-BE32-E72D297353CC}">
                  <c16:uniqueId val="{00000016-FB6F-4E7F-A5C8-12C6C48D77D4}"/>
                </c:ext>
              </c:extLst>
            </c:dLbl>
            <c:dLbl>
              <c:idx val="17"/>
              <c:delete val="1"/>
              <c:extLst>
                <c:ext xmlns:c15="http://schemas.microsoft.com/office/drawing/2012/chart" uri="{CE6537A1-D6FC-4f65-9D91-7224C49458BB}"/>
                <c:ext xmlns:c16="http://schemas.microsoft.com/office/drawing/2014/chart" uri="{C3380CC4-5D6E-409C-BE32-E72D297353CC}">
                  <c16:uniqueId val="{00000017-FB6F-4E7F-A5C8-12C6C48D77D4}"/>
                </c:ext>
              </c:extLst>
            </c:dLbl>
            <c:dLbl>
              <c:idx val="18"/>
              <c:delete val="1"/>
              <c:extLst>
                <c:ext xmlns:c15="http://schemas.microsoft.com/office/drawing/2012/chart" uri="{CE6537A1-D6FC-4f65-9D91-7224C49458BB}"/>
                <c:ext xmlns:c16="http://schemas.microsoft.com/office/drawing/2014/chart" uri="{C3380CC4-5D6E-409C-BE32-E72D297353CC}">
                  <c16:uniqueId val="{00000018-FB6F-4E7F-A5C8-12C6C48D77D4}"/>
                </c:ext>
              </c:extLst>
            </c:dLbl>
            <c:dLbl>
              <c:idx val="19"/>
              <c:delete val="1"/>
              <c:extLst>
                <c:ext xmlns:c15="http://schemas.microsoft.com/office/drawing/2012/chart" uri="{CE6537A1-D6FC-4f65-9D91-7224C49458BB}"/>
                <c:ext xmlns:c16="http://schemas.microsoft.com/office/drawing/2014/chart" uri="{C3380CC4-5D6E-409C-BE32-E72D297353CC}">
                  <c16:uniqueId val="{00000019-FB6F-4E7F-A5C8-12C6C48D77D4}"/>
                </c:ext>
              </c:extLst>
            </c:dLbl>
            <c:dLbl>
              <c:idx val="20"/>
              <c:delete val="1"/>
              <c:extLst>
                <c:ext xmlns:c15="http://schemas.microsoft.com/office/drawing/2012/chart" uri="{CE6537A1-D6FC-4f65-9D91-7224C49458BB}"/>
                <c:ext xmlns:c16="http://schemas.microsoft.com/office/drawing/2014/chart" uri="{C3380CC4-5D6E-409C-BE32-E72D297353CC}">
                  <c16:uniqueId val="{0000001A-FB6F-4E7F-A5C8-12C6C48D77D4}"/>
                </c:ext>
              </c:extLst>
            </c:dLbl>
            <c:dLbl>
              <c:idx val="21"/>
              <c:delete val="1"/>
              <c:extLst>
                <c:ext xmlns:c15="http://schemas.microsoft.com/office/drawing/2012/chart" uri="{CE6537A1-D6FC-4f65-9D91-7224C49458BB}"/>
                <c:ext xmlns:c16="http://schemas.microsoft.com/office/drawing/2014/chart" uri="{C3380CC4-5D6E-409C-BE32-E72D297353CC}">
                  <c16:uniqueId val="{0000001B-FB6F-4E7F-A5C8-12C6C48D77D4}"/>
                </c:ext>
              </c:extLst>
            </c:dLbl>
            <c:dLbl>
              <c:idx val="22"/>
              <c:delete val="1"/>
              <c:extLst>
                <c:ext xmlns:c15="http://schemas.microsoft.com/office/drawing/2012/chart" uri="{CE6537A1-D6FC-4f65-9D91-7224C49458BB}"/>
                <c:ext xmlns:c16="http://schemas.microsoft.com/office/drawing/2014/chart" uri="{C3380CC4-5D6E-409C-BE32-E72D297353CC}">
                  <c16:uniqueId val="{0000001C-FB6F-4E7F-A5C8-12C6C48D77D4}"/>
                </c:ext>
              </c:extLst>
            </c:dLbl>
            <c:dLbl>
              <c:idx val="23"/>
              <c:delete val="1"/>
              <c:extLst>
                <c:ext xmlns:c15="http://schemas.microsoft.com/office/drawing/2012/chart" uri="{CE6537A1-D6FC-4f65-9D91-7224C49458BB}"/>
                <c:ext xmlns:c16="http://schemas.microsoft.com/office/drawing/2014/chart" uri="{C3380CC4-5D6E-409C-BE32-E72D297353CC}">
                  <c16:uniqueId val="{0000001D-FB6F-4E7F-A5C8-12C6C48D77D4}"/>
                </c:ext>
              </c:extLst>
            </c:dLbl>
            <c:dLbl>
              <c:idx val="24"/>
              <c:delete val="1"/>
              <c:extLst>
                <c:ext xmlns:c15="http://schemas.microsoft.com/office/drawing/2012/chart" uri="{CE6537A1-D6FC-4f65-9D91-7224C49458BB}"/>
                <c:ext xmlns:c16="http://schemas.microsoft.com/office/drawing/2014/chart" uri="{C3380CC4-5D6E-409C-BE32-E72D297353CC}">
                  <c16:uniqueId val="{0000001E-FB6F-4E7F-A5C8-12C6C48D77D4}"/>
                </c:ext>
              </c:extLst>
            </c:dLbl>
            <c:dLbl>
              <c:idx val="25"/>
              <c:layout>
                <c:manualLayout>
                  <c:x val="-1.1705835292108854E-3"/>
                  <c:y val="0.3067518373358640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FB6F-4E7F-A5C8-12C6C48D77D4}"/>
                </c:ext>
              </c:extLst>
            </c:dLbl>
            <c:numFmt formatCode="_(&quot;R$&quot;* #,##0.00_);_(&quot;R$&quot;* \(#,##0.00\);_(&quot;R$&quot;* &quot;-&quot;??_);_(@_)" sourceLinked="0"/>
            <c:spPr>
              <a:solidFill>
                <a:srgbClr val="E7E6E6">
                  <a:lumMod val="75000"/>
                  <a:alpha val="29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numRef>
              <c:f>Financeiro!$B$172:$B$197</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numCache>
            </c:numRef>
          </c:cat>
          <c:val>
            <c:numRef>
              <c:f>Financeiro!$Q$172:$Q$197</c:f>
              <c:numCache>
                <c:formatCode>_("R$"* #,##0.00_);_("R$"* \(#,##0.00\);_("R$"* "-"??_);_(@_)</c:formatCode>
                <c:ptCount val="26"/>
                <c:pt idx="0">
                  <c:v>23440</c:v>
                </c:pt>
                <c:pt idx="1">
                  <c:v>23751.752</c:v>
                </c:pt>
                <c:pt idx="2">
                  <c:v>24067.650301600002</c:v>
                </c:pt>
                <c:pt idx="3">
                  <c:v>24387.750050611285</c:v>
                </c:pt>
                <c:pt idx="4">
                  <c:v>24712.107126284416</c:v>
                </c:pt>
                <c:pt idx="5">
                  <c:v>25040.778151064002</c:v>
                </c:pt>
                <c:pt idx="6">
                  <c:v>25373.820500473154</c:v>
                </c:pt>
                <c:pt idx="7">
                  <c:v>25711.292313129448</c:v>
                </c:pt>
                <c:pt idx="8">
                  <c:v>26053.252500894072</c:v>
                </c:pt>
                <c:pt idx="9">
                  <c:v>26399.760759155964</c:v>
                </c:pt>
                <c:pt idx="10">
                  <c:v>26750.877577252741</c:v>
                </c:pt>
                <c:pt idx="11">
                  <c:v>27106.664249030204</c:v>
                </c:pt>
                <c:pt idx="12">
                  <c:v>27467.182883542308</c:v>
                </c:pt>
                <c:pt idx="13">
                  <c:v>27832.496415893424</c:v>
                </c:pt>
                <c:pt idx="14">
                  <c:v>28202.668618224809</c:v>
                </c:pt>
                <c:pt idx="15">
                  <c:v>28577.764110847202</c:v>
                </c:pt>
                <c:pt idx="16">
                  <c:v>28957.848373521472</c:v>
                </c:pt>
                <c:pt idx="17">
                  <c:v>29342.98775688931</c:v>
                </c:pt>
                <c:pt idx="18">
                  <c:v>29733.249494055941</c:v>
                </c:pt>
                <c:pt idx="19">
                  <c:v>30128.701712326889</c:v>
                </c:pt>
                <c:pt idx="20">
                  <c:v>30529.413445100839</c:v>
                </c:pt>
                <c:pt idx="21">
                  <c:v>30935.454643920682</c:v>
                </c:pt>
                <c:pt idx="22">
                  <c:v>31346.896190684831</c:v>
                </c:pt>
                <c:pt idx="23">
                  <c:v>31763.80991002094</c:v>
                </c:pt>
                <c:pt idx="24">
                  <c:v>32186.268581824221</c:v>
                </c:pt>
                <c:pt idx="25">
                  <c:v>32614.345953962486</c:v>
                </c:pt>
              </c:numCache>
            </c:numRef>
          </c:val>
          <c:extLst>
            <c:ext xmlns:c16="http://schemas.microsoft.com/office/drawing/2014/chart" uri="{C3380CC4-5D6E-409C-BE32-E72D297353CC}">
              <c16:uniqueId val="{00000020-FB6F-4E7F-A5C8-12C6C48D77D4}"/>
            </c:ext>
          </c:extLst>
        </c:ser>
        <c:dLbls>
          <c:showLegendKey val="0"/>
          <c:showVal val="0"/>
          <c:showCatName val="0"/>
          <c:showSerName val="0"/>
          <c:showPercent val="0"/>
          <c:showBubbleSize val="0"/>
        </c:dLbls>
        <c:gapWidth val="219"/>
        <c:overlap val="-27"/>
        <c:axId val="690186159"/>
        <c:axId val="147447439"/>
        <c:extLst>
          <c:ext xmlns:c15="http://schemas.microsoft.com/office/drawing/2012/chart" uri="{02D57815-91ED-43cb-92C2-25804820EDAC}">
            <c15:filteredBarSeries>
              <c15:ser>
                <c:idx val="0"/>
                <c:order val="0"/>
                <c:tx>
                  <c:strRef>
                    <c:extLst>
                      <c:ext uri="{02D57815-91ED-43cb-92C2-25804820EDAC}">
                        <c15:formulaRef>
                          <c15:sqref>Financeiro!$K$171</c15:sqref>
                        </c15:formulaRef>
                      </c:ext>
                    </c:extLst>
                    <c:strCache>
                      <c:ptCount val="1"/>
                      <c:pt idx="0">
                        <c:v>Economia Acumulada</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22-FB6F-4E7F-A5C8-12C6C48D77D4}"/>
                    </c:ext>
                  </c:extLst>
                </c:dPt>
                <c:dPt>
                  <c:idx val="1"/>
                  <c:invertIfNegative val="0"/>
                  <c:bubble3D val="0"/>
                  <c:spPr>
                    <a:solidFill>
                      <a:srgbClr val="C00000"/>
                    </a:solidFill>
                    <a:ln>
                      <a:noFill/>
                    </a:ln>
                    <a:effectLst/>
                  </c:spPr>
                  <c:extLst>
                    <c:ext xmlns:c16="http://schemas.microsoft.com/office/drawing/2014/chart" uri="{C3380CC4-5D6E-409C-BE32-E72D297353CC}">
                      <c16:uniqueId val="{00000024-FB6F-4E7F-A5C8-12C6C48D77D4}"/>
                    </c:ext>
                  </c:extLst>
                </c:dPt>
                <c:dPt>
                  <c:idx val="2"/>
                  <c:invertIfNegative val="0"/>
                  <c:bubble3D val="0"/>
                  <c:spPr>
                    <a:solidFill>
                      <a:srgbClr val="C00000"/>
                    </a:solidFill>
                    <a:ln>
                      <a:noFill/>
                    </a:ln>
                    <a:effectLst/>
                  </c:spPr>
                  <c:extLst>
                    <c:ext xmlns:c16="http://schemas.microsoft.com/office/drawing/2014/chart" uri="{C3380CC4-5D6E-409C-BE32-E72D297353CC}">
                      <c16:uniqueId val="{00000026-FB6F-4E7F-A5C8-12C6C48D77D4}"/>
                    </c:ext>
                  </c:extLst>
                </c:dPt>
                <c:dPt>
                  <c:idx val="3"/>
                  <c:invertIfNegative val="0"/>
                  <c:bubble3D val="0"/>
                  <c:spPr>
                    <a:solidFill>
                      <a:srgbClr val="C00000"/>
                    </a:solidFill>
                    <a:ln>
                      <a:noFill/>
                    </a:ln>
                    <a:effectLst/>
                  </c:spPr>
                  <c:extLst>
                    <c:ext xmlns:c16="http://schemas.microsoft.com/office/drawing/2014/chart" uri="{C3380CC4-5D6E-409C-BE32-E72D297353CC}">
                      <c16:uniqueId val="{00000028-FB6F-4E7F-A5C8-12C6C48D77D4}"/>
                    </c:ext>
                  </c:extLst>
                </c:dPt>
                <c:dPt>
                  <c:idx val="4"/>
                  <c:invertIfNegative val="0"/>
                  <c:bubble3D val="0"/>
                  <c:spPr>
                    <a:solidFill>
                      <a:srgbClr val="C00000"/>
                    </a:solidFill>
                    <a:ln>
                      <a:noFill/>
                    </a:ln>
                    <a:effectLst/>
                  </c:spPr>
                  <c:extLst>
                    <c:ext xmlns:c16="http://schemas.microsoft.com/office/drawing/2014/chart" uri="{C3380CC4-5D6E-409C-BE32-E72D297353CC}">
                      <c16:uniqueId val="{0000002A-FB6F-4E7F-A5C8-12C6C48D77D4}"/>
                    </c:ext>
                  </c:extLst>
                </c:dPt>
                <c:dPt>
                  <c:idx val="5"/>
                  <c:invertIfNegative val="0"/>
                  <c:bubble3D val="0"/>
                  <c:spPr>
                    <a:solidFill>
                      <a:srgbClr val="C00000"/>
                    </a:solidFill>
                    <a:ln>
                      <a:noFill/>
                    </a:ln>
                    <a:effectLst/>
                  </c:spPr>
                  <c:extLst>
                    <c:ext xmlns:c16="http://schemas.microsoft.com/office/drawing/2014/chart" uri="{C3380CC4-5D6E-409C-BE32-E72D297353CC}">
                      <c16:uniqueId val="{0000002C-FB6F-4E7F-A5C8-12C6C48D77D4}"/>
                    </c:ext>
                  </c:extLst>
                </c:dPt>
                <c:dLbls>
                  <c:dLbl>
                    <c:idx val="25"/>
                    <c:dLblPos val="outEnd"/>
                    <c:showLegendKey val="0"/>
                    <c:showVal val="1"/>
                    <c:showCatName val="0"/>
                    <c:showSerName val="0"/>
                    <c:showPercent val="0"/>
                    <c:showBubbleSize val="0"/>
                    <c:extLst>
                      <c:ext uri="{CE6537A1-D6FC-4f65-9D91-7224C49458BB}"/>
                      <c:ext xmlns:c16="http://schemas.microsoft.com/office/drawing/2014/chart" uri="{C3380CC4-5D6E-409C-BE32-E72D297353CC}">
                        <c16:uniqueId val="{0000002D-FB6F-4E7F-A5C8-12C6C48D77D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Financeiro!$B$172:$B$197</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numCache>
                  </c:numRef>
                </c:cat>
                <c:val>
                  <c:numRef>
                    <c:extLst>
                      <c:ext uri="{02D57815-91ED-43cb-92C2-25804820EDAC}">
                        <c15:formulaRef>
                          <c15:sqref>Financeiro!$K$172:$K$197</c15:sqref>
                        </c15:formulaRef>
                      </c:ext>
                    </c:extLst>
                    <c:numCache>
                      <c:formatCode>_("R$"* #,##0.00_);_("R$"* \(#,##0.00\);_("R$"* "-"??_);_(@_)</c:formatCode>
                      <c:ptCount val="26"/>
                      <c:pt idx="0">
                        <c:v>-23440</c:v>
                      </c:pt>
                      <c:pt idx="1">
                        <c:v>-13820.102848607718</c:v>
                      </c:pt>
                      <c:pt idx="2">
                        <c:v>-2910.9724762284332</c:v>
                      </c:pt>
                      <c:pt idx="3">
                        <c:v>8862.4810276139669</c:v>
                      </c:pt>
                      <c:pt idx="4">
                        <c:v>21507.540956646699</c:v>
                      </c:pt>
                      <c:pt idx="5">
                        <c:v>35062.242302513303</c:v>
                      </c:pt>
                      <c:pt idx="6">
                        <c:v>49880.942533994683</c:v>
                      </c:pt>
                      <c:pt idx="7">
                        <c:v>66081.598743372218</c:v>
                      </c:pt>
                      <c:pt idx="8">
                        <c:v>83793.184462058765</c:v>
                      </c:pt>
                      <c:pt idx="9">
                        <c:v>103156.71937788189</c:v>
                      </c:pt>
                      <c:pt idx="10">
                        <c:v>124326.39538526747</c:v>
                      </c:pt>
                      <c:pt idx="11">
                        <c:v>145424.95744154282</c:v>
                      </c:pt>
                      <c:pt idx="12">
                        <c:v>166451.69440719683</c:v>
                      </c:pt>
                      <c:pt idx="13">
                        <c:v>187405.88803132329</c:v>
                      </c:pt>
                      <c:pt idx="14">
                        <c:v>208286.81288050691</c:v>
                      </c:pt>
                      <c:pt idx="15">
                        <c:v>229093.73626699828</c:v>
                      </c:pt>
                      <c:pt idx="16">
                        <c:v>249825.91817617047</c:v>
                      </c:pt>
                      <c:pt idx="17">
                        <c:v>270482.61119325028</c:v>
                      </c:pt>
                      <c:pt idx="18">
                        <c:v>291063.06042931683</c:v>
                      </c:pt>
                      <c:pt idx="19">
                        <c:v>311566.50344655995</c:v>
                      </c:pt>
                      <c:pt idx="20">
                        <c:v>331992.17018279136</c:v>
                      </c:pt>
                      <c:pt idx="21">
                        <c:v>352339.28287520102</c:v>
                      </c:pt>
                      <c:pt idx="22">
                        <c:v>372607.05598335067</c:v>
                      </c:pt>
                      <c:pt idx="23">
                        <c:v>392794.6961113977</c:v>
                      </c:pt>
                      <c:pt idx="24">
                        <c:v>412901.40192954114</c:v>
                      </c:pt>
                      <c:pt idx="25">
                        <c:v>432926.36409468192</c:v>
                      </c:pt>
                    </c:numCache>
                  </c:numRef>
                </c:val>
                <c:extLst>
                  <c:ext xmlns:c16="http://schemas.microsoft.com/office/drawing/2014/chart" uri="{C3380CC4-5D6E-409C-BE32-E72D297353CC}">
                    <c16:uniqueId val="{0000002E-FB6F-4E7F-A5C8-12C6C48D77D4}"/>
                  </c:ext>
                </c:extLst>
              </c15:ser>
            </c15:filteredBarSeries>
          </c:ext>
        </c:extLst>
      </c:barChart>
      <c:catAx>
        <c:axId val="690186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7447439"/>
        <c:crosses val="autoZero"/>
        <c:auto val="1"/>
        <c:lblAlgn val="ctr"/>
        <c:lblOffset val="100"/>
        <c:noMultiLvlLbl val="0"/>
      </c:catAx>
      <c:valAx>
        <c:axId val="147447439"/>
        <c:scaling>
          <c:orientation val="minMax"/>
        </c:scaling>
        <c:delete val="0"/>
        <c:axPos val="l"/>
        <c:majorGridlines>
          <c:spPr>
            <a:ln w="9525" cap="flat" cmpd="sng" algn="ctr">
              <a:solidFill>
                <a:schemeClr val="bg1">
                  <a:lumMod val="85000"/>
                  <a:alpha val="49000"/>
                </a:schemeClr>
              </a:solidFill>
              <a:round/>
            </a:ln>
            <a:effectLst/>
          </c:spPr>
        </c:majorGridlines>
        <c:numFmt formatCode="_-&quot;R$&quot;\ * #,##0,_-&quot;k&quot;;\-&quot;R$&quot;\ * #,##0,_-&quot;k&quot;;_-&quot;R$&quot;\ * &quot;-&quot;?_-;_-@_-" sourceLinked="0"/>
        <c:majorTickMark val="out"/>
        <c:minorTickMark val="none"/>
        <c:tickLblPos val="nextTo"/>
        <c:spPr>
          <a:noFill/>
          <a:ln>
            <a:noFill/>
          </a:ln>
          <a:effectLst/>
        </c:spPr>
        <c:txPr>
          <a:bodyPr rot="-1500000" spcFirstLastPara="1" vertOverflow="ellipsis" wrap="square" anchor="ctr" anchorCtr="1"/>
          <a:lstStyle/>
          <a:p>
            <a:pPr>
              <a:defRPr sz="900" b="0" i="0" u="none" strike="noStrike" kern="1200" baseline="0">
                <a:solidFill>
                  <a:schemeClr val="tx1">
                    <a:lumMod val="65000"/>
                    <a:lumOff val="35000"/>
                    <a:alpha val="79000"/>
                  </a:schemeClr>
                </a:solidFill>
                <a:latin typeface="+mn-lt"/>
                <a:ea typeface="+mn-ea"/>
                <a:cs typeface="+mn-cs"/>
              </a:defRPr>
            </a:pPr>
            <a:endParaRPr lang="pt-BR"/>
          </a:p>
        </c:txPr>
        <c:crossAx val="690186159"/>
        <c:crosses val="autoZero"/>
        <c:crossBetween val="between"/>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18443274426486E-2"/>
          <c:y val="0.35118684791266763"/>
          <c:w val="0.94690665363363224"/>
          <c:h val="0.52809495827946884"/>
        </c:manualLayout>
      </c:layout>
      <c:barChart>
        <c:barDir val="col"/>
        <c:grouping val="clustered"/>
        <c:varyColors val="0"/>
        <c:ser>
          <c:idx val="3"/>
          <c:order val="0"/>
          <c:tx>
            <c:v>apagar</c:v>
          </c:tx>
          <c:spPr>
            <a:solidFill>
              <a:schemeClr val="bg1">
                <a:lumMod val="65000"/>
              </a:schemeClr>
            </a:solidFill>
            <a:ln>
              <a:noFill/>
            </a:ln>
            <a:effectLst/>
          </c:spPr>
          <c:invertIfNegative val="0"/>
          <c:cat>
            <c:strRef>
              <c:f>Financeiro!$S$5:$S$17</c:f>
              <c:strCache>
                <c:ptCount val="13"/>
                <c:pt idx="0">
                  <c:v>Jan</c:v>
                </c:pt>
                <c:pt idx="1">
                  <c:v>Fev</c:v>
                </c:pt>
                <c:pt idx="2">
                  <c:v>Mar</c:v>
                </c:pt>
                <c:pt idx="3">
                  <c:v>Abr</c:v>
                </c:pt>
                <c:pt idx="4">
                  <c:v>Mai</c:v>
                </c:pt>
                <c:pt idx="5">
                  <c:v>Jun</c:v>
                </c:pt>
                <c:pt idx="6">
                  <c:v>Jul</c:v>
                </c:pt>
                <c:pt idx="7">
                  <c:v>Ago</c:v>
                </c:pt>
                <c:pt idx="8">
                  <c:v>Set</c:v>
                </c:pt>
                <c:pt idx="9">
                  <c:v>Out</c:v>
                </c:pt>
                <c:pt idx="10">
                  <c:v>Nov</c:v>
                </c:pt>
                <c:pt idx="11">
                  <c:v>Dez</c:v>
                </c:pt>
                <c:pt idx="12">
                  <c:v>Média</c:v>
                </c:pt>
              </c:strCache>
            </c:strRef>
          </c:cat>
          <c:val>
            <c:numRef>
              <c:f>Financeiro!$T$5:$T$17</c:f>
              <c:numCache>
                <c:formatCode>#,###\ "kWh"</c:formatCode>
                <c:ptCount val="13"/>
                <c:pt idx="0">
                  <c:v>1202.6880000000001</c:v>
                </c:pt>
                <c:pt idx="1">
                  <c:v>1202.6880000000001</c:v>
                </c:pt>
                <c:pt idx="2">
                  <c:v>1002.24</c:v>
                </c:pt>
                <c:pt idx="3">
                  <c:v>902.01600000000008</c:v>
                </c:pt>
                <c:pt idx="4">
                  <c:v>701.56799999999998</c:v>
                </c:pt>
                <c:pt idx="5">
                  <c:v>601.34400000000005</c:v>
                </c:pt>
                <c:pt idx="6">
                  <c:v>601.34400000000005</c:v>
                </c:pt>
                <c:pt idx="7">
                  <c:v>701.56799999999998</c:v>
                </c:pt>
                <c:pt idx="8">
                  <c:v>701.56799999999998</c:v>
                </c:pt>
                <c:pt idx="9">
                  <c:v>701.56799999999998</c:v>
                </c:pt>
                <c:pt idx="10">
                  <c:v>801.79200000000003</c:v>
                </c:pt>
                <c:pt idx="11">
                  <c:v>1002.24</c:v>
                </c:pt>
                <c:pt idx="12">
                  <c:v>843.55200000000002</c:v>
                </c:pt>
              </c:numCache>
            </c:numRef>
          </c:val>
          <c:extLst>
            <c:ext xmlns:c16="http://schemas.microsoft.com/office/drawing/2014/chart" uri="{C3380CC4-5D6E-409C-BE32-E72D297353CC}">
              <c16:uniqueId val="{00000000-9A03-459E-AE86-5A94359C1171}"/>
            </c:ext>
          </c:extLst>
        </c:ser>
        <c:ser>
          <c:idx val="2"/>
          <c:order val="3"/>
          <c:tx>
            <c:strRef>
              <c:f>Financeiro!$X$4</c:f>
              <c:strCache>
                <c:ptCount val="1"/>
                <c:pt idx="0">
                  <c:v>Crédito gerado</c:v>
                </c:pt>
              </c:strCache>
            </c:strRef>
          </c:tx>
          <c:spPr>
            <a:solidFill>
              <a:srgbClr val="0070C0"/>
            </a:solidFill>
            <a:ln>
              <a:noFill/>
            </a:ln>
            <a:effectLst/>
          </c:spPr>
          <c:invertIfNegative val="0"/>
          <c:cat>
            <c:strRef>
              <c:f>Financeiro!$S$5:$S$17</c:f>
              <c:strCache>
                <c:ptCount val="13"/>
                <c:pt idx="0">
                  <c:v>Jan</c:v>
                </c:pt>
                <c:pt idx="1">
                  <c:v>Fev</c:v>
                </c:pt>
                <c:pt idx="2">
                  <c:v>Mar</c:v>
                </c:pt>
                <c:pt idx="3">
                  <c:v>Abr</c:v>
                </c:pt>
                <c:pt idx="4">
                  <c:v>Mai</c:v>
                </c:pt>
                <c:pt idx="5">
                  <c:v>Jun</c:v>
                </c:pt>
                <c:pt idx="6">
                  <c:v>Jul</c:v>
                </c:pt>
                <c:pt idx="7">
                  <c:v>Ago</c:v>
                </c:pt>
                <c:pt idx="8">
                  <c:v>Set</c:v>
                </c:pt>
                <c:pt idx="9">
                  <c:v>Out</c:v>
                </c:pt>
                <c:pt idx="10">
                  <c:v>Nov</c:v>
                </c:pt>
                <c:pt idx="11">
                  <c:v>Dez</c:v>
                </c:pt>
                <c:pt idx="12">
                  <c:v>Média</c:v>
                </c:pt>
              </c:strCache>
            </c:strRef>
          </c:cat>
          <c:val>
            <c:numRef>
              <c:f>Financeiro!$X$5:$X$17</c:f>
              <c:numCache>
                <c:formatCode>#,###\ "kWh"</c:formatCode>
                <c:ptCount val="13"/>
                <c:pt idx="0">
                  <c:v>0</c:v>
                </c:pt>
                <c:pt idx="1">
                  <c:v>0</c:v>
                </c:pt>
                <c:pt idx="2">
                  <c:v>0</c:v>
                </c:pt>
                <c:pt idx="3">
                  <c:v>0</c:v>
                </c:pt>
                <c:pt idx="4">
                  <c:v>0</c:v>
                </c:pt>
                <c:pt idx="5">
                  <c:v>0</c:v>
                </c:pt>
                <c:pt idx="6">
                  <c:v>601.76883073128033</c:v>
                </c:pt>
                <c:pt idx="7">
                  <c:v>775.36007200340009</c:v>
                </c:pt>
                <c:pt idx="8">
                  <c:v>765.28521421013443</c:v>
                </c:pt>
                <c:pt idx="9">
                  <c:v>917.96679517340317</c:v>
                </c:pt>
                <c:pt idx="10">
                  <c:v>919.5976114147046</c:v>
                </c:pt>
                <c:pt idx="11">
                  <c:v>1089.8825615637115</c:v>
                </c:pt>
              </c:numCache>
            </c:numRef>
          </c:val>
          <c:extLst>
            <c:ext xmlns:c16="http://schemas.microsoft.com/office/drawing/2014/chart" uri="{C3380CC4-5D6E-409C-BE32-E72D297353CC}">
              <c16:uniqueId val="{00000001-9A03-459E-AE86-5A94359C1171}"/>
            </c:ext>
          </c:extLst>
        </c:ser>
        <c:dLbls>
          <c:showLegendKey val="0"/>
          <c:showVal val="0"/>
          <c:showCatName val="0"/>
          <c:showSerName val="0"/>
          <c:showPercent val="0"/>
          <c:showBubbleSize val="0"/>
        </c:dLbls>
        <c:gapWidth val="182"/>
        <c:axId val="170656944"/>
        <c:axId val="435973200"/>
      </c:barChart>
      <c:barChart>
        <c:barDir val="col"/>
        <c:grouping val="clustered"/>
        <c:varyColors val="0"/>
        <c:ser>
          <c:idx val="0"/>
          <c:order val="1"/>
          <c:tx>
            <c:v>Consumo</c:v>
          </c:tx>
          <c:spPr>
            <a:solidFill>
              <a:schemeClr val="bg1">
                <a:lumMod val="65000"/>
              </a:schemeClr>
            </a:solidFill>
            <a:ln>
              <a:noFill/>
            </a:ln>
            <a:effectLst/>
          </c:spPr>
          <c:invertIfNegative val="0"/>
          <c:cat>
            <c:strRef>
              <c:f>Financeiro!$B$23:$B$34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Financeiro!$T$5:$T$17</c:f>
              <c:numCache>
                <c:formatCode>#,###\ "kWh"</c:formatCode>
                <c:ptCount val="13"/>
                <c:pt idx="0">
                  <c:v>1202.6880000000001</c:v>
                </c:pt>
                <c:pt idx="1">
                  <c:v>1202.6880000000001</c:v>
                </c:pt>
                <c:pt idx="2">
                  <c:v>1002.24</c:v>
                </c:pt>
                <c:pt idx="3">
                  <c:v>902.01600000000008</c:v>
                </c:pt>
                <c:pt idx="4">
                  <c:v>701.56799999999998</c:v>
                </c:pt>
                <c:pt idx="5">
                  <c:v>601.34400000000005</c:v>
                </c:pt>
                <c:pt idx="6">
                  <c:v>601.34400000000005</c:v>
                </c:pt>
                <c:pt idx="7">
                  <c:v>701.56799999999998</c:v>
                </c:pt>
                <c:pt idx="8">
                  <c:v>701.56799999999998</c:v>
                </c:pt>
                <c:pt idx="9">
                  <c:v>701.56799999999998</c:v>
                </c:pt>
                <c:pt idx="10">
                  <c:v>801.79200000000003</c:v>
                </c:pt>
                <c:pt idx="11">
                  <c:v>1002.24</c:v>
                </c:pt>
                <c:pt idx="12">
                  <c:v>843.55200000000002</c:v>
                </c:pt>
              </c:numCache>
            </c:numRef>
          </c:val>
          <c:extLst>
            <c:ext xmlns:c16="http://schemas.microsoft.com/office/drawing/2014/chart" uri="{C3380CC4-5D6E-409C-BE32-E72D297353CC}">
              <c16:uniqueId val="{00000002-9A03-459E-AE86-5A94359C1171}"/>
            </c:ext>
          </c:extLst>
        </c:ser>
        <c:ser>
          <c:idx val="1"/>
          <c:order val="2"/>
          <c:tx>
            <c:strRef>
              <c:f>Financeiro!$W$4</c:f>
              <c:strCache>
                <c:ptCount val="1"/>
                <c:pt idx="0">
                  <c:v>Crédito consumido</c:v>
                </c:pt>
              </c:strCache>
            </c:strRef>
          </c:tx>
          <c:spPr>
            <a:solidFill>
              <a:schemeClr val="accent2"/>
            </a:solidFill>
            <a:ln>
              <a:noFill/>
            </a:ln>
            <a:effectLst/>
          </c:spPr>
          <c:invertIfNegative val="0"/>
          <c:val>
            <c:numRef>
              <c:f>Financeiro!$W$5:$W$17</c:f>
              <c:numCache>
                <c:formatCode>#,###\ "kWh"</c:formatCode>
                <c:ptCount val="13"/>
                <c:pt idx="0">
                  <c:v>1202.6880000000001</c:v>
                </c:pt>
                <c:pt idx="1">
                  <c:v>1202.6880000000001</c:v>
                </c:pt>
                <c:pt idx="2">
                  <c:v>1002.2399999999999</c:v>
                </c:pt>
                <c:pt idx="3">
                  <c:v>902.01600000000008</c:v>
                </c:pt>
                <c:pt idx="4">
                  <c:v>701.56799999999998</c:v>
                </c:pt>
                <c:pt idx="5">
                  <c:v>601.34400000000005</c:v>
                </c:pt>
                <c:pt idx="6">
                  <c:v>0</c:v>
                </c:pt>
                <c:pt idx="7">
                  <c:v>0</c:v>
                </c:pt>
                <c:pt idx="8">
                  <c:v>0</c:v>
                </c:pt>
                <c:pt idx="9">
                  <c:v>0</c:v>
                </c:pt>
                <c:pt idx="10">
                  <c:v>0</c:v>
                </c:pt>
                <c:pt idx="11">
                  <c:v>0</c:v>
                </c:pt>
              </c:numCache>
            </c:numRef>
          </c:val>
          <c:extLst>
            <c:ext xmlns:c16="http://schemas.microsoft.com/office/drawing/2014/chart" uri="{C3380CC4-5D6E-409C-BE32-E72D297353CC}">
              <c16:uniqueId val="{00000003-9A03-459E-AE86-5A94359C1171}"/>
            </c:ext>
          </c:extLst>
        </c:ser>
        <c:dLbls>
          <c:showLegendKey val="0"/>
          <c:showVal val="0"/>
          <c:showCatName val="0"/>
          <c:showSerName val="0"/>
          <c:showPercent val="0"/>
          <c:showBubbleSize val="0"/>
        </c:dLbls>
        <c:gapWidth val="183"/>
        <c:axId val="2036129247"/>
        <c:axId val="1861175423"/>
      </c:barChart>
      <c:catAx>
        <c:axId val="170656944"/>
        <c:scaling>
          <c:orientation val="minMax"/>
        </c:scaling>
        <c:delete val="1"/>
        <c:axPos val="b"/>
        <c:numFmt formatCode="General" sourceLinked="1"/>
        <c:majorTickMark val="out"/>
        <c:minorTickMark val="none"/>
        <c:tickLblPos val="nextTo"/>
        <c:crossAx val="435973200"/>
        <c:crosses val="autoZero"/>
        <c:auto val="0"/>
        <c:lblAlgn val="ctr"/>
        <c:lblOffset val="100"/>
        <c:noMultiLvlLbl val="0"/>
      </c:catAx>
      <c:valAx>
        <c:axId val="435973200"/>
        <c:scaling>
          <c:orientation val="minMax"/>
        </c:scaling>
        <c:delete val="1"/>
        <c:axPos val="l"/>
        <c:numFmt formatCode="#,###\ &quot;kWh&quot;" sourceLinked="1"/>
        <c:majorTickMark val="none"/>
        <c:minorTickMark val="none"/>
        <c:tickLblPos val="nextTo"/>
        <c:crossAx val="170656944"/>
        <c:crosses val="autoZero"/>
        <c:crossBetween val="between"/>
      </c:valAx>
      <c:valAx>
        <c:axId val="1861175423"/>
        <c:scaling>
          <c:orientation val="minMax"/>
        </c:scaling>
        <c:delete val="1"/>
        <c:axPos val="r"/>
        <c:numFmt formatCode="#,###\ &quot;kWh&quot;" sourceLinked="1"/>
        <c:majorTickMark val="out"/>
        <c:minorTickMark val="none"/>
        <c:tickLblPos val="nextTo"/>
        <c:crossAx val="2036129247"/>
        <c:crosses val="max"/>
        <c:crossBetween val="between"/>
      </c:valAx>
      <c:catAx>
        <c:axId val="2036129247"/>
        <c:scaling>
          <c:orientation val="minMax"/>
        </c:scaling>
        <c:delete val="1"/>
        <c:axPos val="t"/>
        <c:numFmt formatCode="General" sourceLinked="1"/>
        <c:majorTickMark val="out"/>
        <c:minorTickMark val="none"/>
        <c:tickLblPos val="nextTo"/>
        <c:crossAx val="1861175423"/>
        <c:crosses val="max"/>
        <c:auto val="1"/>
        <c:lblAlgn val="ctr"/>
        <c:lblOffset val="100"/>
        <c:noMultiLvlLbl val="0"/>
      </c:catAx>
      <c:spPr>
        <a:noFill/>
        <a:ln>
          <a:noFill/>
        </a:ln>
        <a:effectLst/>
      </c:spPr>
    </c:plotArea>
    <c:legend>
      <c:legendPos val="r"/>
      <c:legendEntry>
        <c:idx val="0"/>
        <c:delete val="1"/>
      </c:legendEntry>
      <c:legendEntry>
        <c:idx val="2"/>
        <c:delete val="1"/>
      </c:legendEntry>
      <c:layout>
        <c:manualLayout>
          <c:xMode val="edge"/>
          <c:yMode val="edge"/>
          <c:x val="0.66185152634491484"/>
          <c:y val="0.11673036833242069"/>
          <c:w val="0.16864465739928494"/>
          <c:h val="8.83241403006929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Geração x Consumo</a:t>
            </a:r>
          </a:p>
        </c:rich>
      </c:tx>
      <c:layout>
        <c:manualLayout>
          <c:xMode val="edge"/>
          <c:yMode val="edge"/>
          <c:x val="0.38331500932873069"/>
          <c:y val="3.14457135871171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3.0669638946210189E-2"/>
          <c:y val="0.3511867891615586"/>
          <c:w val="0.94342133701297026"/>
          <c:h val="0.52809495827946884"/>
        </c:manualLayout>
      </c:layout>
      <c:barChart>
        <c:barDir val="col"/>
        <c:grouping val="clustered"/>
        <c:varyColors val="0"/>
        <c:ser>
          <c:idx val="3"/>
          <c:order val="0"/>
          <c:tx>
            <c:v>apagar</c:v>
          </c:tx>
          <c:spPr>
            <a:solidFill>
              <a:schemeClr val="bg1">
                <a:lumMod val="65000"/>
              </a:schemeClr>
            </a:solidFill>
            <a:ln>
              <a:noFill/>
            </a:ln>
            <a:effectLst/>
          </c:spPr>
          <c:invertIfNegative val="0"/>
          <c:dPt>
            <c:idx val="12"/>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1-5328-493F-AAFD-7CC58E127A7F}"/>
              </c:ext>
            </c:extLst>
          </c:dPt>
          <c:dLbls>
            <c:spPr>
              <a:noFill/>
              <a:ln>
                <a:noFill/>
              </a:ln>
              <a:effectLst/>
            </c:spPr>
            <c:txPr>
              <a:bodyPr rot="-5400000" spcFirstLastPara="1" vertOverflow="ellipsis" horzOverflow="clip" vert="horz" wrap="none" lIns="36000" tIns="36000" rIns="36000" bIns="36000" anchor="t" anchorCtr="1">
                <a:spAutoFit/>
              </a:bodyPr>
              <a:lstStyle/>
              <a:p>
                <a:pPr>
                  <a:defRPr sz="900" b="0" i="0" u="none" strike="noStrike" kern="1200" baseline="0">
                    <a:solidFill>
                      <a:schemeClr val="bg2">
                        <a:lumMod val="50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Financeiro!$S$5:$S$17</c:f>
              <c:strCache>
                <c:ptCount val="13"/>
                <c:pt idx="0">
                  <c:v>Jan</c:v>
                </c:pt>
                <c:pt idx="1">
                  <c:v>Fev</c:v>
                </c:pt>
                <c:pt idx="2">
                  <c:v>Mar</c:v>
                </c:pt>
                <c:pt idx="3">
                  <c:v>Abr</c:v>
                </c:pt>
                <c:pt idx="4">
                  <c:v>Mai</c:v>
                </c:pt>
                <c:pt idx="5">
                  <c:v>Jun</c:v>
                </c:pt>
                <c:pt idx="6">
                  <c:v>Jul</c:v>
                </c:pt>
                <c:pt idx="7">
                  <c:v>Ago</c:v>
                </c:pt>
                <c:pt idx="8">
                  <c:v>Set</c:v>
                </c:pt>
                <c:pt idx="9">
                  <c:v>Out</c:v>
                </c:pt>
                <c:pt idx="10">
                  <c:v>Nov</c:v>
                </c:pt>
                <c:pt idx="11">
                  <c:v>Dez</c:v>
                </c:pt>
                <c:pt idx="12">
                  <c:v>Média</c:v>
                </c:pt>
              </c:strCache>
            </c:strRef>
          </c:cat>
          <c:val>
            <c:numRef>
              <c:f>Financeiro!$T$5:$T$17</c:f>
              <c:numCache>
                <c:formatCode>#,###\ "kWh"</c:formatCode>
                <c:ptCount val="13"/>
                <c:pt idx="0">
                  <c:v>1202.6880000000001</c:v>
                </c:pt>
                <c:pt idx="1">
                  <c:v>1202.6880000000001</c:v>
                </c:pt>
                <c:pt idx="2">
                  <c:v>1002.24</c:v>
                </c:pt>
                <c:pt idx="3">
                  <c:v>902.01600000000008</c:v>
                </c:pt>
                <c:pt idx="4">
                  <c:v>701.56799999999998</c:v>
                </c:pt>
                <c:pt idx="5">
                  <c:v>601.34400000000005</c:v>
                </c:pt>
                <c:pt idx="6">
                  <c:v>601.34400000000005</c:v>
                </c:pt>
                <c:pt idx="7">
                  <c:v>701.56799999999998</c:v>
                </c:pt>
                <c:pt idx="8">
                  <c:v>701.56799999999998</c:v>
                </c:pt>
                <c:pt idx="9">
                  <c:v>701.56799999999998</c:v>
                </c:pt>
                <c:pt idx="10">
                  <c:v>801.79200000000003</c:v>
                </c:pt>
                <c:pt idx="11">
                  <c:v>1002.24</c:v>
                </c:pt>
                <c:pt idx="12">
                  <c:v>843.55200000000002</c:v>
                </c:pt>
              </c:numCache>
            </c:numRef>
          </c:val>
          <c:extLst>
            <c:ext xmlns:c16="http://schemas.microsoft.com/office/drawing/2014/chart" uri="{C3380CC4-5D6E-409C-BE32-E72D297353CC}">
              <c16:uniqueId val="{00000000-BFBA-4195-BD87-06534C42CC57}"/>
            </c:ext>
          </c:extLst>
        </c:ser>
        <c:ser>
          <c:idx val="2"/>
          <c:order val="3"/>
          <c:tx>
            <c:v>Créditos</c:v>
          </c:tx>
          <c:spPr>
            <a:solidFill>
              <a:srgbClr val="0070C0">
                <a:alpha val="0"/>
              </a:srgbClr>
            </a:solidFill>
            <a:ln w="25400">
              <a:noFill/>
            </a:ln>
            <a:effectLst/>
          </c:spPr>
          <c:invertIfNegative val="0"/>
          <c:dPt>
            <c:idx val="12"/>
            <c:invertIfNegative val="0"/>
            <c:bubble3D val="0"/>
            <c:spPr>
              <a:solidFill>
                <a:schemeClr val="accent6">
                  <a:lumMod val="75000"/>
                </a:schemeClr>
              </a:solidFill>
              <a:ln w="25400">
                <a:noFill/>
              </a:ln>
              <a:effectLst/>
            </c:spPr>
            <c:extLst>
              <c:ext xmlns:c16="http://schemas.microsoft.com/office/drawing/2014/chart" uri="{C3380CC4-5D6E-409C-BE32-E72D297353CC}">
                <c16:uniqueId val="{00000001-AD17-4DEA-B16A-3E265EFD5B75}"/>
              </c:ext>
            </c:extLst>
          </c:dPt>
          <c:dLbls>
            <c:spPr>
              <a:noFill/>
              <a:ln>
                <a:noFill/>
              </a:ln>
              <a:effectLst/>
            </c:spPr>
            <c:txPr>
              <a:bodyPr rot="-5400000" spcFirstLastPara="1" vertOverflow="overflow" horzOverflow="overflow" vert="horz" wrap="square" lIns="36000" tIns="36000" rIns="36000" bIns="36000" anchor="b" anchorCtr="1">
                <a:spAutoFit/>
              </a:bodyPr>
              <a:lstStyle/>
              <a:p>
                <a:pPr>
                  <a:defRPr sz="900" b="0" i="0" u="none" strike="noStrike" kern="1200" baseline="0">
                    <a:solidFill>
                      <a:schemeClr val="accent6">
                        <a:lumMod val="7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Financeiro!$S$5:$S$17</c:f>
              <c:strCache>
                <c:ptCount val="13"/>
                <c:pt idx="0">
                  <c:v>Jan</c:v>
                </c:pt>
                <c:pt idx="1">
                  <c:v>Fev</c:v>
                </c:pt>
                <c:pt idx="2">
                  <c:v>Mar</c:v>
                </c:pt>
                <c:pt idx="3">
                  <c:v>Abr</c:v>
                </c:pt>
                <c:pt idx="4">
                  <c:v>Mai</c:v>
                </c:pt>
                <c:pt idx="5">
                  <c:v>Jun</c:v>
                </c:pt>
                <c:pt idx="6">
                  <c:v>Jul</c:v>
                </c:pt>
                <c:pt idx="7">
                  <c:v>Ago</c:v>
                </c:pt>
                <c:pt idx="8">
                  <c:v>Set</c:v>
                </c:pt>
                <c:pt idx="9">
                  <c:v>Out</c:v>
                </c:pt>
                <c:pt idx="10">
                  <c:v>Nov</c:v>
                </c:pt>
                <c:pt idx="11">
                  <c:v>Dez</c:v>
                </c:pt>
                <c:pt idx="12">
                  <c:v>Média</c:v>
                </c:pt>
              </c:strCache>
            </c:strRef>
          </c:cat>
          <c:val>
            <c:numRef>
              <c:f>Financeiro!$Y$5:$Y$17</c:f>
              <c:numCache>
                <c:formatCode>#,###\ "kWh"</c:formatCode>
                <c:ptCount val="13"/>
                <c:pt idx="0">
                  <c:v>1202.6880000000001</c:v>
                </c:pt>
                <c:pt idx="1">
                  <c:v>1202.6880000000001</c:v>
                </c:pt>
                <c:pt idx="2">
                  <c:v>1002.2399999999999</c:v>
                </c:pt>
                <c:pt idx="3">
                  <c:v>902.01600000000008</c:v>
                </c:pt>
                <c:pt idx="4">
                  <c:v>701.56799999999998</c:v>
                </c:pt>
                <c:pt idx="5">
                  <c:v>601.34400000000005</c:v>
                </c:pt>
                <c:pt idx="6">
                  <c:v>601.76883073128033</c:v>
                </c:pt>
                <c:pt idx="7">
                  <c:v>775.36007200340009</c:v>
                </c:pt>
                <c:pt idx="8">
                  <c:v>765.28521421013443</c:v>
                </c:pt>
                <c:pt idx="9">
                  <c:v>917.96679517340317</c:v>
                </c:pt>
                <c:pt idx="10">
                  <c:v>919.5976114147046</c:v>
                </c:pt>
                <c:pt idx="11">
                  <c:v>1089.8825615637115</c:v>
                </c:pt>
                <c:pt idx="12">
                  <c:v>846.02633819564528</c:v>
                </c:pt>
              </c:numCache>
            </c:numRef>
          </c:val>
          <c:extLst>
            <c:ext xmlns:c16="http://schemas.microsoft.com/office/drawing/2014/chart" uri="{C3380CC4-5D6E-409C-BE32-E72D297353CC}">
              <c16:uniqueId val="{00000001-BFBA-4195-BD87-06534C42CC57}"/>
            </c:ext>
          </c:extLst>
        </c:ser>
        <c:dLbls>
          <c:showLegendKey val="0"/>
          <c:showVal val="0"/>
          <c:showCatName val="0"/>
          <c:showSerName val="0"/>
          <c:showPercent val="0"/>
          <c:showBubbleSize val="0"/>
        </c:dLbls>
        <c:gapWidth val="183"/>
        <c:axId val="170656944"/>
        <c:axId val="435973200"/>
      </c:barChart>
      <c:barChart>
        <c:barDir val="col"/>
        <c:grouping val="clustered"/>
        <c:varyColors val="0"/>
        <c:ser>
          <c:idx val="0"/>
          <c:order val="1"/>
          <c:tx>
            <c:v>Consumo</c:v>
          </c:tx>
          <c:spPr>
            <a:solidFill>
              <a:schemeClr val="bg1">
                <a:lumMod val="65000"/>
              </a:schemeClr>
            </a:solidFill>
            <a:ln>
              <a:noFill/>
            </a:ln>
            <a:effectLst/>
          </c:spPr>
          <c:invertIfNegative val="0"/>
          <c:dLbls>
            <c:spPr>
              <a:noFill/>
              <a:ln>
                <a:noFill/>
              </a:ln>
              <a:effectLst/>
            </c:spPr>
            <c:txPr>
              <a:bodyPr rot="-5400000" spcFirstLastPara="1" vertOverflow="ellipsis" horzOverflow="clip" vert="horz" wrap="none" lIns="36000" tIns="36000" rIns="36000" bIns="36000" anchor="t" anchorCtr="1">
                <a:spAutoFit/>
              </a:bodyPr>
              <a:lstStyle/>
              <a:p>
                <a:pPr>
                  <a:defRPr sz="900" b="0" i="0" u="none" strike="noStrike" kern="1200" baseline="0">
                    <a:solidFill>
                      <a:schemeClr val="bg2">
                        <a:lumMod val="50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Financeiro!$B$23:$B$34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Financeiro!$T$5:$T$17</c:f>
              <c:numCache>
                <c:formatCode>#,###\ "kWh"</c:formatCode>
                <c:ptCount val="13"/>
                <c:pt idx="0">
                  <c:v>1202.6880000000001</c:v>
                </c:pt>
                <c:pt idx="1">
                  <c:v>1202.6880000000001</c:v>
                </c:pt>
                <c:pt idx="2">
                  <c:v>1002.24</c:v>
                </c:pt>
                <c:pt idx="3">
                  <c:v>902.01600000000008</c:v>
                </c:pt>
                <c:pt idx="4">
                  <c:v>701.56799999999998</c:v>
                </c:pt>
                <c:pt idx="5">
                  <c:v>601.34400000000005</c:v>
                </c:pt>
                <c:pt idx="6">
                  <c:v>601.34400000000005</c:v>
                </c:pt>
                <c:pt idx="7">
                  <c:v>701.56799999999998</c:v>
                </c:pt>
                <c:pt idx="8">
                  <c:v>701.56799999999998</c:v>
                </c:pt>
                <c:pt idx="9">
                  <c:v>701.56799999999998</c:v>
                </c:pt>
                <c:pt idx="10">
                  <c:v>801.79200000000003</c:v>
                </c:pt>
                <c:pt idx="11">
                  <c:v>1002.24</c:v>
                </c:pt>
                <c:pt idx="12">
                  <c:v>843.55200000000002</c:v>
                </c:pt>
              </c:numCache>
            </c:numRef>
          </c:val>
          <c:extLst>
            <c:ext xmlns:c16="http://schemas.microsoft.com/office/drawing/2014/chart" uri="{C3380CC4-5D6E-409C-BE32-E72D297353CC}">
              <c16:uniqueId val="{00000002-BFBA-4195-BD87-06534C42CC57}"/>
            </c:ext>
          </c:extLst>
        </c:ser>
        <c:ser>
          <c:idx val="1"/>
          <c:order val="2"/>
          <c:tx>
            <c:v>Geração</c:v>
          </c:tx>
          <c:spPr>
            <a:solidFill>
              <a:schemeClr val="accent6">
                <a:lumMod val="60000"/>
                <a:lumOff val="40000"/>
                <a:alpha val="98000"/>
              </a:schemeClr>
            </a:solidFill>
            <a:ln>
              <a:noFill/>
            </a:ln>
            <a:effectLst/>
          </c:spPr>
          <c:invertIfNegative val="0"/>
          <c:dLbls>
            <c:numFmt formatCode="#,##0" sourceLinked="0"/>
            <c:spPr>
              <a:noFill/>
              <a:ln>
                <a:noFill/>
              </a:ln>
              <a:effectLst/>
            </c:spPr>
            <c:txPr>
              <a:bodyPr rot="-5400000" spcFirstLastPara="1" vertOverflow="ellipsis" wrap="square" lIns="38100" tIns="19050" rIns="38100" bIns="19050" anchor="ctr" anchorCtr="0">
                <a:spAutoFit/>
              </a:bodyPr>
              <a:lstStyle/>
              <a:p>
                <a:pPr algn="ctr">
                  <a:defRPr lang="en-US" sz="900" b="0" i="0" u="none" strike="noStrike" kern="1200" baseline="0">
                    <a:solidFill>
                      <a:schemeClr val="accent6">
                        <a:lumMod val="75000"/>
                      </a:schemeClr>
                    </a:solidFill>
                    <a:latin typeface="+mn-lt"/>
                    <a:ea typeface="+mn-ea"/>
                    <a:cs typeface="+mn-cs"/>
                  </a:defRPr>
                </a:pPr>
                <a:endParaRPr lang="pt-BR"/>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Financeiro!$V$5:$V$17</c:f>
              <c:numCache>
                <c:formatCode>#,###\ "kWh"</c:formatCode>
                <c:ptCount val="13"/>
                <c:pt idx="0">
                  <c:v>1084.8376513550154</c:v>
                </c:pt>
                <c:pt idx="1">
                  <c:v>1052.9504794979748</c:v>
                </c:pt>
                <c:pt idx="2">
                  <c:v>916.80030381396921</c:v>
                </c:pt>
                <c:pt idx="3">
                  <c:v>781.17375166229635</c:v>
                </c:pt>
                <c:pt idx="4">
                  <c:v>648.75196802267681</c:v>
                </c:pt>
                <c:pt idx="5">
                  <c:v>597.94081889917743</c:v>
                </c:pt>
                <c:pt idx="6">
                  <c:v>601.34400000000005</c:v>
                </c:pt>
                <c:pt idx="7">
                  <c:v>701.56799999999998</c:v>
                </c:pt>
                <c:pt idx="8">
                  <c:v>701.56799999999998</c:v>
                </c:pt>
                <c:pt idx="9">
                  <c:v>701.56799999999998</c:v>
                </c:pt>
                <c:pt idx="10">
                  <c:v>801.79200000000003</c:v>
                </c:pt>
                <c:pt idx="11">
                  <c:v>1002.24</c:v>
                </c:pt>
              </c:numCache>
            </c:numRef>
          </c:val>
          <c:extLst>
            <c:ext xmlns:c16="http://schemas.microsoft.com/office/drawing/2014/chart" uri="{C3380CC4-5D6E-409C-BE32-E72D297353CC}">
              <c16:uniqueId val="{00000003-BFBA-4195-BD87-06534C42CC57}"/>
            </c:ext>
          </c:extLst>
        </c:ser>
        <c:dLbls>
          <c:showLegendKey val="0"/>
          <c:showVal val="0"/>
          <c:showCatName val="0"/>
          <c:showSerName val="0"/>
          <c:showPercent val="0"/>
          <c:showBubbleSize val="0"/>
        </c:dLbls>
        <c:gapWidth val="183"/>
        <c:axId val="2036129247"/>
        <c:axId val="1861175423"/>
      </c:barChart>
      <c:catAx>
        <c:axId val="17065694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35973200"/>
        <c:crosses val="autoZero"/>
        <c:auto val="0"/>
        <c:lblAlgn val="ctr"/>
        <c:lblOffset val="100"/>
        <c:noMultiLvlLbl val="0"/>
      </c:catAx>
      <c:valAx>
        <c:axId val="435973200"/>
        <c:scaling>
          <c:orientation val="minMax"/>
        </c:scaling>
        <c:delete val="1"/>
        <c:axPos val="l"/>
        <c:numFmt formatCode="#,###\ &quot;kWh&quot;" sourceLinked="1"/>
        <c:majorTickMark val="none"/>
        <c:minorTickMark val="none"/>
        <c:tickLblPos val="nextTo"/>
        <c:crossAx val="170656944"/>
        <c:crosses val="autoZero"/>
        <c:crossBetween val="between"/>
      </c:valAx>
      <c:valAx>
        <c:axId val="1861175423"/>
        <c:scaling>
          <c:orientation val="minMax"/>
        </c:scaling>
        <c:delete val="1"/>
        <c:axPos val="r"/>
        <c:numFmt formatCode="#,###\ &quot;kWh&quot;" sourceLinked="1"/>
        <c:majorTickMark val="out"/>
        <c:minorTickMark val="none"/>
        <c:tickLblPos val="nextTo"/>
        <c:crossAx val="2036129247"/>
        <c:crosses val="max"/>
        <c:crossBetween val="between"/>
      </c:valAx>
      <c:catAx>
        <c:axId val="2036129247"/>
        <c:scaling>
          <c:orientation val="minMax"/>
        </c:scaling>
        <c:delete val="1"/>
        <c:axPos val="t"/>
        <c:numFmt formatCode="General" sourceLinked="1"/>
        <c:majorTickMark val="out"/>
        <c:minorTickMark val="none"/>
        <c:tickLblPos val="nextTo"/>
        <c:crossAx val="1861175423"/>
        <c:crosses val="max"/>
        <c:auto val="1"/>
        <c:lblAlgn val="ctr"/>
        <c:lblOffset val="100"/>
        <c:noMultiLvlLbl val="0"/>
      </c:catAx>
      <c:spPr>
        <a:noFill/>
        <a:ln>
          <a:noFill/>
        </a:ln>
        <a:effectLst/>
      </c:spPr>
    </c:plotArea>
    <c:legend>
      <c:legendPos val="r"/>
      <c:legendEntry>
        <c:idx val="0"/>
        <c:delete val="1"/>
      </c:legendEntry>
      <c:legendEntry>
        <c:idx val="1"/>
        <c:delete val="1"/>
      </c:legendEntry>
      <c:layout>
        <c:manualLayout>
          <c:xMode val="edge"/>
          <c:yMode val="edge"/>
          <c:x val="0.65636497508728175"/>
          <c:y val="1.9186785214838326E-2"/>
          <c:w val="0.12007999821674405"/>
          <c:h val="9.580446636330969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Lines="2" dropStyle="combo" dx="26" fmlaLink="$P$215" fmlaRange="$R$210:$R$211" noThreeD="1" sel="1" val="0"/>
</file>

<file path=xl/ctrlProps/ctrlProp2.xml><?xml version="1.0" encoding="utf-8"?>
<formControlPr xmlns="http://schemas.microsoft.com/office/spreadsheetml/2009/9/main" objectType="Drop" dropStyle="combo" dx="26" fmlaLink="$C$17" fmlaRange="Orçamento!$AW$8:$AW$13" noThreeD="1" sel="1" val="0"/>
</file>

<file path=xl/ctrlProps/ctrlProp3.xml><?xml version="1.0" encoding="utf-8"?>
<formControlPr xmlns="http://schemas.microsoft.com/office/spreadsheetml/2009/9/main" objectType="Scroll" dx="26" fmlaLink="#REF!" horiz="1" max="365" noThreeD="1" page="7" val="0"/>
</file>

<file path=xl/ctrlProps/ctrlProp4.xml><?xml version="1.0" encoding="utf-8"?>
<formControlPr xmlns="http://schemas.microsoft.com/office/spreadsheetml/2009/9/main" objectType="Scroll" dx="26" fmlaLink="#REF!" horiz="1" max="365" noThreeD="1" page="7" val="0"/>
</file>

<file path=xl/ctrlProps/ctrlProp5.xml><?xml version="1.0" encoding="utf-8"?>
<formControlPr xmlns="http://schemas.microsoft.com/office/spreadsheetml/2009/9/main" objectType="Spin" dx="26" fmlaLink="Financeiro!$Z$3" max="10" min="1" page="10" val="2"/>
</file>

<file path=xl/ctrlProps/ctrlProp6.xml><?xml version="1.0" encoding="utf-8"?>
<formControlPr xmlns="http://schemas.microsoft.com/office/spreadsheetml/2009/9/main" objectType="Drop" dropStyle="combo" dx="26" fmlaLink="Orçamento!$BQ$14" fmlaRange="Módulos!$B$2:$B$38" noThreeD="1" sel="5" val="4"/>
</file>

<file path=xl/ctrlProps/ctrlProp7.xml><?xml version="1.0" encoding="utf-8"?>
<formControlPr xmlns="http://schemas.microsoft.com/office/spreadsheetml/2009/9/main" objectType="Drop" dropStyle="combo" dx="26" fmlaLink="Orçamento!$BQ$15" fmlaRange="Inversores!$B$2:$B$69" noThreeD="1" sel="8" val="6"/>
</file>

<file path=xl/ctrlProps/ctrlProp8.xml><?xml version="1.0" encoding="utf-8"?>
<formControlPr xmlns="http://schemas.microsoft.com/office/spreadsheetml/2009/9/main" objectType="Drop" dropStyle="combo" dx="26" fmlaLink="Resumo!$E$103" fmlaRange="Orçamento!$AW$4:$AW$5" noThreeD="1" sel="1" val="0"/>
</file>

<file path=xl/ctrlProps/ctrlProp9.xml><?xml version="1.0" encoding="utf-8"?>
<formControlPr xmlns="http://schemas.microsoft.com/office/spreadsheetml/2009/9/main" objectType="Spin" dx="26" fmlaLink="$I$32" max="20" min="1" noThreeD="1" page="10"/>
</file>

<file path=xl/ctrlProps/ctrlProp10.xml><?xml version="1.0" encoding="utf-8"?>
<formControlPr xmlns="http://schemas.microsoft.com/office/spreadsheetml/2009/9/main" objectType="Spin" dx="26" fmlaLink="$AL$7" max="30000" page="10" val="2"/>
</file>

<file path=xl/ctrlProps/ctrlProp11.xml><?xml version="1.0" encoding="utf-8"?>
<formControlPr xmlns="http://schemas.microsoft.com/office/spreadsheetml/2009/9/main" objectType="Spin" dx="26" fmlaLink="Resumo!$E$163" max="20" min="1" page="10"/>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hyperlink" Target="#Pr&#233;Dim!A1"/><Relationship Id="rId1" Type="http://schemas.openxmlformats.org/officeDocument/2006/relationships/hyperlink" Target="#Prospectos!A1"/></Relationships>
</file>

<file path=xl/drawings/_rels/drawing4.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In&#237;cio!A1"/></Relationships>
</file>

<file path=xl/drawings/_rels/drawing5.xml.rels><?xml version="1.0" encoding="UTF-8" standalone="yes"?>
<Relationships xmlns="http://schemas.openxmlformats.org/package/2006/relationships"><Relationship Id="rId1" Type="http://schemas.openxmlformats.org/officeDocument/2006/relationships/hyperlink" Target="http://www.cresesb.cepel.br/index.php?section=sundata"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In&#237;cio!A1"/><Relationship Id="rId2" Type="http://schemas.openxmlformats.org/officeDocument/2006/relationships/chart" Target="../charts/chart6.xml"/><Relationship Id="rId1" Type="http://schemas.openxmlformats.org/officeDocument/2006/relationships/image" Target="../media/image6.jpeg"/><Relationship Id="rId4" Type="http://schemas.openxmlformats.org/officeDocument/2006/relationships/hyperlink" Target="#Kits!A1"/></Relationships>
</file>

<file path=xl/drawings/_rels/drawing7.xml.rels><?xml version="1.0" encoding="UTF-8" standalone="yes"?>
<Relationships xmlns="http://schemas.openxmlformats.org/package/2006/relationships"><Relationship Id="rId2" Type="http://schemas.openxmlformats.org/officeDocument/2006/relationships/hyperlink" Target="#Or&#231;._Vendedor!A1"/><Relationship Id="rId1" Type="http://schemas.openxmlformats.org/officeDocument/2006/relationships/hyperlink" Target="#Simula&#231;&#227;o!A1"/></Relationships>
</file>

<file path=xl/drawings/_rels/drawing8.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hyperlink" Target="#In&#237;cio!BB3"/><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2" Type="http://schemas.openxmlformats.org/officeDocument/2006/relationships/hyperlink" Target="#'Pr&#233;-Proposta'!A1"/><Relationship Id="rId1" Type="http://schemas.openxmlformats.org/officeDocument/2006/relationships/hyperlink" Target="#Kits!A1"/></Relationships>
</file>

<file path=xl/drawings/_rels/drawing10.xml.rels><?xml version="1.0" encoding="UTF-8" standalone="yes"?>
<Relationships xmlns="http://schemas.openxmlformats.org/package/2006/relationships"><Relationship Id="rId1" Type="http://schemas.openxmlformats.org/officeDocument/2006/relationships/image" Target="../media/image9.emf"/></Relationships>
</file>

<file path=xl/drawings/_rels/drawing11.xml.rels><?xml version="1.0" encoding="UTF-8" standalone="yes"?>
<Relationships xmlns="http://schemas.openxmlformats.org/package/2006/relationships"><Relationship Id="rId13" Type="http://schemas.openxmlformats.org/officeDocument/2006/relationships/image" Target="../media/image20.svg"/><Relationship Id="rId18" Type="http://schemas.openxmlformats.org/officeDocument/2006/relationships/image" Target="../media/image25.svg"/><Relationship Id="rId26" Type="http://schemas.openxmlformats.org/officeDocument/2006/relationships/image" Target="../media/image29.png"/><Relationship Id="rId39" Type="http://schemas.openxmlformats.org/officeDocument/2006/relationships/image" Target="../media/image42.png"/><Relationship Id="rId21" Type="http://schemas.openxmlformats.org/officeDocument/2006/relationships/image" Target="../media/image27.png"/><Relationship Id="rId34" Type="http://schemas.openxmlformats.org/officeDocument/2006/relationships/image" Target="../media/image37.png"/><Relationship Id="rId42" Type="http://schemas.openxmlformats.org/officeDocument/2006/relationships/image" Target="../media/image45.png"/><Relationship Id="rId7" Type="http://schemas.openxmlformats.org/officeDocument/2006/relationships/image" Target="../media/image15.png"/><Relationship Id="rId2" Type="http://schemas.openxmlformats.org/officeDocument/2006/relationships/image" Target="../media/image12.png"/><Relationship Id="rId16" Type="http://schemas.openxmlformats.org/officeDocument/2006/relationships/image" Target="../media/image23.svg"/><Relationship Id="rId20" Type="http://schemas.openxmlformats.org/officeDocument/2006/relationships/hyperlink" Target="https://www.cactossolucoesemenergia.com.br/" TargetMode="External"/><Relationship Id="rId29" Type="http://schemas.openxmlformats.org/officeDocument/2006/relationships/image" Target="../media/image32.png"/><Relationship Id="rId41" Type="http://schemas.openxmlformats.org/officeDocument/2006/relationships/image" Target="../media/image44.png"/><Relationship Id="rId1" Type="http://schemas.openxmlformats.org/officeDocument/2006/relationships/image" Target="../media/image11.png"/><Relationship Id="rId6" Type="http://schemas.openxmlformats.org/officeDocument/2006/relationships/image" Target="../media/image14.png"/><Relationship Id="rId11" Type="http://schemas.openxmlformats.org/officeDocument/2006/relationships/image" Target="../media/image18.svg"/><Relationship Id="rId24" Type="http://schemas.openxmlformats.org/officeDocument/2006/relationships/chart" Target="../charts/chart9.xml"/><Relationship Id="rId32" Type="http://schemas.openxmlformats.org/officeDocument/2006/relationships/image" Target="../media/image35.png"/><Relationship Id="rId37" Type="http://schemas.openxmlformats.org/officeDocument/2006/relationships/image" Target="../media/image40.png"/><Relationship Id="rId40" Type="http://schemas.openxmlformats.org/officeDocument/2006/relationships/image" Target="../media/image43.png"/><Relationship Id="rId5" Type="http://schemas.openxmlformats.org/officeDocument/2006/relationships/image" Target="../media/image13.png"/><Relationship Id="rId15" Type="http://schemas.openxmlformats.org/officeDocument/2006/relationships/image" Target="../media/image22.png"/><Relationship Id="rId23" Type="http://schemas.openxmlformats.org/officeDocument/2006/relationships/hyperlink" Target="#Prospectos!A1"/><Relationship Id="rId28" Type="http://schemas.openxmlformats.org/officeDocument/2006/relationships/image" Target="../media/image31.png"/><Relationship Id="rId36" Type="http://schemas.openxmlformats.org/officeDocument/2006/relationships/image" Target="../media/image39.png"/><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4.png"/><Relationship Id="rId44" Type="http://schemas.openxmlformats.org/officeDocument/2006/relationships/image" Target="../media/image47.png"/><Relationship Id="rId4" Type="http://schemas.openxmlformats.org/officeDocument/2006/relationships/chart" Target="../charts/chart8.xml"/><Relationship Id="rId9" Type="http://schemas.openxmlformats.org/officeDocument/2006/relationships/image" Target="../media/image16.png"/><Relationship Id="rId14" Type="http://schemas.openxmlformats.org/officeDocument/2006/relationships/image" Target="../media/image21.emf"/><Relationship Id="rId22" Type="http://schemas.openxmlformats.org/officeDocument/2006/relationships/hyperlink" Target="#Or&#231;._Vendedor!A1"/><Relationship Id="rId27" Type="http://schemas.openxmlformats.org/officeDocument/2006/relationships/image" Target="../media/image30.png"/><Relationship Id="rId30" Type="http://schemas.openxmlformats.org/officeDocument/2006/relationships/image" Target="../media/image33.png"/><Relationship Id="rId35" Type="http://schemas.openxmlformats.org/officeDocument/2006/relationships/image" Target="../media/image38.png"/><Relationship Id="rId43" Type="http://schemas.openxmlformats.org/officeDocument/2006/relationships/image" Target="../media/image46.png"/><Relationship Id="rId8" Type="http://schemas.microsoft.com/office/2007/relationships/hdphoto" Target="../media/hdphoto1.wdp"/><Relationship Id="rId3" Type="http://schemas.openxmlformats.org/officeDocument/2006/relationships/chart" Target="../charts/chart7.xml"/><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28.png"/><Relationship Id="rId33" Type="http://schemas.openxmlformats.org/officeDocument/2006/relationships/image" Target="../media/image36.png"/><Relationship Id="rId38" Type="http://schemas.openxmlformats.org/officeDocument/2006/relationships/image" Target="../media/image41.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23.svg"/><Relationship Id="rId18" Type="http://schemas.openxmlformats.org/officeDocument/2006/relationships/image" Target="../media/image28.png"/><Relationship Id="rId26" Type="http://schemas.openxmlformats.org/officeDocument/2006/relationships/image" Target="../media/image32.png"/><Relationship Id="rId21" Type="http://schemas.openxmlformats.org/officeDocument/2006/relationships/image" Target="../media/image43.png"/><Relationship Id="rId34" Type="http://schemas.openxmlformats.org/officeDocument/2006/relationships/image" Target="../media/image40.png"/><Relationship Id="rId7" Type="http://schemas.openxmlformats.org/officeDocument/2006/relationships/image" Target="../media/image20.svg"/><Relationship Id="rId12" Type="http://schemas.openxmlformats.org/officeDocument/2006/relationships/image" Target="../media/image22.png"/><Relationship Id="rId17" Type="http://schemas.openxmlformats.org/officeDocument/2006/relationships/image" Target="../media/image50.png"/><Relationship Id="rId25" Type="http://schemas.openxmlformats.org/officeDocument/2006/relationships/image" Target="../media/image31.png"/><Relationship Id="rId33" Type="http://schemas.openxmlformats.org/officeDocument/2006/relationships/image" Target="../media/image51.png"/><Relationship Id="rId2" Type="http://schemas.openxmlformats.org/officeDocument/2006/relationships/image" Target="../media/image14.png"/><Relationship Id="rId16" Type="http://schemas.openxmlformats.org/officeDocument/2006/relationships/image" Target="../media/image26.png"/><Relationship Id="rId20" Type="http://schemas.openxmlformats.org/officeDocument/2006/relationships/image" Target="../media/image42.png"/><Relationship Id="rId29" Type="http://schemas.openxmlformats.org/officeDocument/2006/relationships/image" Target="../media/image35.png"/><Relationship Id="rId1" Type="http://schemas.openxmlformats.org/officeDocument/2006/relationships/image" Target="../media/image13.png"/><Relationship Id="rId6" Type="http://schemas.openxmlformats.org/officeDocument/2006/relationships/image" Target="../media/image19.png"/><Relationship Id="rId11" Type="http://schemas.openxmlformats.org/officeDocument/2006/relationships/chart" Target="../charts/chart12.xml"/><Relationship Id="rId24" Type="http://schemas.openxmlformats.org/officeDocument/2006/relationships/image" Target="../media/image30.png"/><Relationship Id="rId32" Type="http://schemas.openxmlformats.org/officeDocument/2006/relationships/image" Target="../media/image38.png"/><Relationship Id="rId37" Type="http://schemas.openxmlformats.org/officeDocument/2006/relationships/image" Target="../media/image45.png"/><Relationship Id="rId5" Type="http://schemas.openxmlformats.org/officeDocument/2006/relationships/image" Target="../media/image18.svg"/><Relationship Id="rId15" Type="http://schemas.openxmlformats.org/officeDocument/2006/relationships/image" Target="../media/image25.svg"/><Relationship Id="rId23" Type="http://schemas.openxmlformats.org/officeDocument/2006/relationships/image" Target="../media/image29.png"/><Relationship Id="rId28" Type="http://schemas.openxmlformats.org/officeDocument/2006/relationships/image" Target="../media/image34.png"/><Relationship Id="rId36" Type="http://schemas.microsoft.com/office/2007/relationships/hdphoto" Target="../media/hdphoto1.wdp"/><Relationship Id="rId10" Type="http://schemas.openxmlformats.org/officeDocument/2006/relationships/chart" Target="../charts/chart11.xml"/><Relationship Id="rId19" Type="http://schemas.openxmlformats.org/officeDocument/2006/relationships/image" Target="../media/image41.png"/><Relationship Id="rId31" Type="http://schemas.openxmlformats.org/officeDocument/2006/relationships/image" Target="../media/image37.png"/><Relationship Id="rId4" Type="http://schemas.openxmlformats.org/officeDocument/2006/relationships/image" Target="../media/image17.png"/><Relationship Id="rId9" Type="http://schemas.openxmlformats.org/officeDocument/2006/relationships/image" Target="../media/image49.emf"/><Relationship Id="rId14" Type="http://schemas.openxmlformats.org/officeDocument/2006/relationships/image" Target="../media/image24.png"/><Relationship Id="rId22" Type="http://schemas.openxmlformats.org/officeDocument/2006/relationships/image" Target="../media/image44.png"/><Relationship Id="rId27" Type="http://schemas.openxmlformats.org/officeDocument/2006/relationships/image" Target="../media/image33.png"/><Relationship Id="rId30" Type="http://schemas.openxmlformats.org/officeDocument/2006/relationships/image" Target="../media/image36.png"/><Relationship Id="rId35" Type="http://schemas.openxmlformats.org/officeDocument/2006/relationships/image" Target="../media/image15.png"/><Relationship Id="rId8" Type="http://schemas.openxmlformats.org/officeDocument/2006/relationships/chart" Target="../charts/chart10.xml"/><Relationship Id="rId3"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5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0.png"/><Relationship Id="rId1" Type="http://schemas.openxmlformats.org/officeDocument/2006/relationships/image" Target="../media/image5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57.png"/><Relationship Id="rId1" Type="http://schemas.openxmlformats.org/officeDocument/2006/relationships/image" Target="../media/image56.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0.emf"/></Relationships>
</file>

<file path=xl/drawings/_rels/vmlDrawing9.vml.rels><?xml version="1.0" encoding="UTF-8" standalone="yes"?>
<Relationships xmlns="http://schemas.openxmlformats.org/package/2006/relationships"><Relationship Id="rId1" Type="http://schemas.openxmlformats.org/officeDocument/2006/relationships/image" Target="../media/image48.emf"/></Relationships>
</file>

<file path=xl/drawings/_rels/vmlDrawing10.vml.rels><?xml version="1.0" encoding="UTF-8" standalone="yes"?>
<Relationships xmlns="http://schemas.openxmlformats.org/package/2006/relationships"><Relationship Id="rId1" Type="http://schemas.openxmlformats.org/officeDocument/2006/relationships/image" Target="../media/image52.emf"/></Relationships>
</file>

<file path=xl/drawings/drawing1.xml><?xml version="1.0" encoding="utf-8"?>
<xdr:wsDr xmlns:xdr="http://schemas.openxmlformats.org/drawingml/2006/spreadsheetDrawing" xmlns:a="http://schemas.openxmlformats.org/drawingml/2006/main">
  <xdr:twoCellAnchor>
    <xdr:from>
      <xdr:col>2</xdr:col>
      <xdr:colOff>554915</xdr:colOff>
      <xdr:row>198</xdr:row>
      <xdr:rowOff>162766</xdr:rowOff>
    </xdr:from>
    <xdr:to>
      <xdr:col>13</xdr:col>
      <xdr:colOff>400050</xdr:colOff>
      <xdr:row>225</xdr:row>
      <xdr:rowOff>160692</xdr:rowOff>
    </xdr:to>
    <xdr:graphicFrame macro="">
      <xdr:nvGraphicFramePr>
        <xdr:cNvPr id="2" name="Gráfico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106680</xdr:colOff>
      <xdr:row>261</xdr:row>
      <xdr:rowOff>7620</xdr:rowOff>
    </xdr:from>
    <xdr:to>
      <xdr:col>11</xdr:col>
      <xdr:colOff>142875</xdr:colOff>
      <xdr:row>287</xdr:row>
      <xdr:rowOff>15240</xdr:rowOff>
    </xdr:to>
    <xdr:graphicFrame macro="">
      <xdr:nvGraphicFramePr>
        <xdr:cNvPr id="3" name="Gráfico 2">
          <a:extLst>
            <a:ext uri="{FF2B5EF4-FFF2-40B4-BE49-F238E27FC236}">
              <a16:creationId xmlns:a16="http://schemas.microsoft.com/office/drawing/2014/main" id="{00000000-0008-0000-0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285115</xdr:colOff>
      <xdr:row>181</xdr:row>
      <xdr:rowOff>37483</xdr:rowOff>
    </xdr:from>
    <xdr:to>
      <xdr:col>29</xdr:col>
      <xdr:colOff>114052</xdr:colOff>
      <xdr:row>184</xdr:row>
      <xdr:rowOff>144165</xdr:rowOff>
    </xdr:to>
    <xdr:sp macro="" textlink="">
      <xdr:nvSpPr>
        <xdr:cNvPr id="4" name="CaixaDeTexto 3">
          <a:extLst>
            <a:ext uri="{FF2B5EF4-FFF2-40B4-BE49-F238E27FC236}">
              <a16:creationId xmlns:a16="http://schemas.microsoft.com/office/drawing/2014/main" id="{00000000-0008-0000-0C00-000004000000}"/>
            </a:ext>
          </a:extLst>
        </xdr:cNvPr>
        <xdr:cNvSpPr txBox="1"/>
      </xdr:nvSpPr>
      <xdr:spPr>
        <a:xfrm rot="16200000">
          <a:off x="27303923" y="33590055"/>
          <a:ext cx="655322" cy="773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800" b="1"/>
            <a:t>.</a:t>
          </a:r>
          <a:r>
            <a:rPr lang="pt-BR" sz="1800" b="1" baseline="0"/>
            <a:t> . .</a:t>
          </a:r>
          <a:endParaRPr lang="pt-BR" sz="1800" b="1"/>
        </a:p>
      </xdr:txBody>
    </xdr:sp>
    <xdr:clientData/>
  </xdr:twoCellAnchor>
  <mc:AlternateContent xmlns:mc="http://schemas.openxmlformats.org/markup-compatibility/2006">
    <mc:Choice xmlns:a14="http://schemas.microsoft.com/office/drawing/2010/main" Requires="a14">
      <xdr:twoCellAnchor editAs="oneCell">
        <xdr:from>
          <xdr:col>15</xdr:col>
          <xdr:colOff>0</xdr:colOff>
          <xdr:row>213</xdr:row>
          <xdr:rowOff>171450</xdr:rowOff>
        </xdr:from>
        <xdr:to>
          <xdr:col>16</xdr:col>
          <xdr:colOff>9525</xdr:colOff>
          <xdr:row>215</xdr:row>
          <xdr:rowOff>28575</xdr:rowOff>
        </xdr:to>
        <xdr:sp macro="" textlink="">
          <xdr:nvSpPr>
            <xdr:cNvPr id="1812" name="Drop Down 788" hidden="1">
              <a:extLst>
                <a:ext uri="{63B3BB69-23CF-44E3-9099-C40C66FF867C}">
                  <a14:compatExt spid="_x0000_s1812"/>
                </a:ext>
                <a:ext uri="{FF2B5EF4-FFF2-40B4-BE49-F238E27FC236}">
                  <a16:creationId xmlns:a16="http://schemas.microsoft.com/office/drawing/2014/main" id="{00000000-0008-0000-0C00-00001407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15</xdr:row>
          <xdr:rowOff>171450</xdr:rowOff>
        </xdr:from>
        <xdr:to>
          <xdr:col>3</xdr:col>
          <xdr:colOff>0</xdr:colOff>
          <xdr:row>17</xdr:row>
          <xdr:rowOff>0</xdr:rowOff>
        </xdr:to>
        <xdr:sp macro="" textlink="">
          <xdr:nvSpPr>
            <xdr:cNvPr id="1819" name="Drop Down 795" hidden="1">
              <a:extLst>
                <a:ext uri="{63B3BB69-23CF-44E3-9099-C40C66FF867C}">
                  <a14:compatExt spid="_x0000_s1819"/>
                </a:ext>
                <a:ext uri="{FF2B5EF4-FFF2-40B4-BE49-F238E27FC236}">
                  <a16:creationId xmlns:a16="http://schemas.microsoft.com/office/drawing/2014/main" id="{00000000-0008-0000-0C00-00001B07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28</xdr:col>
      <xdr:colOff>285115</xdr:colOff>
      <xdr:row>181</xdr:row>
      <xdr:rowOff>37483</xdr:rowOff>
    </xdr:from>
    <xdr:to>
      <xdr:col>29</xdr:col>
      <xdr:colOff>114052</xdr:colOff>
      <xdr:row>184</xdr:row>
      <xdr:rowOff>144165</xdr:rowOff>
    </xdr:to>
    <xdr:sp macro="" textlink="">
      <xdr:nvSpPr>
        <xdr:cNvPr id="6" name="CaixaDeTexto 5">
          <a:extLst>
            <a:ext uri="{FF2B5EF4-FFF2-40B4-BE49-F238E27FC236}">
              <a16:creationId xmlns:a16="http://schemas.microsoft.com/office/drawing/2014/main" id="{00000000-0008-0000-0C00-000006000000}"/>
            </a:ext>
          </a:extLst>
        </xdr:cNvPr>
        <xdr:cNvSpPr txBox="1"/>
      </xdr:nvSpPr>
      <xdr:spPr>
        <a:xfrm rot="16200000">
          <a:off x="28618373" y="33601485"/>
          <a:ext cx="655322" cy="7661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800" b="1"/>
            <a:t>.</a:t>
          </a:r>
          <a:r>
            <a:rPr lang="pt-BR" sz="1800" b="1" baseline="0"/>
            <a:t> . .</a:t>
          </a:r>
          <a:endParaRPr lang="pt-BR" sz="1800" b="1"/>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151447</xdr:colOff>
      <xdr:row>6</xdr:row>
      <xdr:rowOff>97155</xdr:rowOff>
    </xdr:from>
    <xdr:to>
      <xdr:col>21</xdr:col>
      <xdr:colOff>494347</xdr:colOff>
      <xdr:row>21</xdr:row>
      <xdr:rowOff>133350</xdr:rowOff>
    </xdr:to>
    <xdr:graphicFrame macro="">
      <xdr:nvGraphicFramePr>
        <xdr:cNvPr id="3" name="Gráfico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66675</xdr:colOff>
      <xdr:row>3</xdr:row>
      <xdr:rowOff>131445</xdr:rowOff>
    </xdr:from>
    <xdr:to>
      <xdr:col>12</xdr:col>
      <xdr:colOff>419100</xdr:colOff>
      <xdr:row>20</xdr:row>
      <xdr:rowOff>95250</xdr:rowOff>
    </xdr:to>
    <xdr:graphicFrame macro="">
      <xdr:nvGraphicFramePr>
        <xdr:cNvPr id="4" name="Gráfico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540067</xdr:colOff>
      <xdr:row>19</xdr:row>
      <xdr:rowOff>102870</xdr:rowOff>
    </xdr:from>
    <xdr:to>
      <xdr:col>12</xdr:col>
      <xdr:colOff>240982</xdr:colOff>
      <xdr:row>34</xdr:row>
      <xdr:rowOff>131445</xdr:rowOff>
    </xdr:to>
    <xdr:graphicFrame macro="">
      <xdr:nvGraphicFramePr>
        <xdr:cNvPr id="5" name="Gráfico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476250</xdr:colOff>
      <xdr:row>0</xdr:row>
      <xdr:rowOff>152400</xdr:rowOff>
    </xdr:from>
    <xdr:to>
      <xdr:col>14</xdr:col>
      <xdr:colOff>340995</xdr:colOff>
      <xdr:row>5</xdr:row>
      <xdr:rowOff>55245</xdr:rowOff>
    </xdr:to>
    <xdr:grpSp>
      <xdr:nvGrpSpPr>
        <xdr:cNvPr id="8" name="Agrupar 7">
          <a:extLst>
            <a:ext uri="{FF2B5EF4-FFF2-40B4-BE49-F238E27FC236}">
              <a16:creationId xmlns:a16="http://schemas.microsoft.com/office/drawing/2014/main" id="{00000000-0008-0000-0200-000008000000}"/>
            </a:ext>
          </a:extLst>
        </xdr:cNvPr>
        <xdr:cNvGrpSpPr/>
      </xdr:nvGrpSpPr>
      <xdr:grpSpPr>
        <a:xfrm>
          <a:off x="8077200" y="152400"/>
          <a:ext cx="1083945" cy="855345"/>
          <a:chOff x="5524500" y="140970"/>
          <a:chExt cx="1083945" cy="828675"/>
        </a:xfrm>
      </xdr:grpSpPr>
      <xdr:sp macro="" textlink="Dash!$B$18">
        <xdr:nvSpPr>
          <xdr:cNvPr id="6" name="Seta: Divisa 5">
            <a:extLst>
              <a:ext uri="{FF2B5EF4-FFF2-40B4-BE49-F238E27FC236}">
                <a16:creationId xmlns:a16="http://schemas.microsoft.com/office/drawing/2014/main" id="{00000000-0008-0000-0200-000006000000}"/>
              </a:ext>
            </a:extLst>
          </xdr:cNvPr>
          <xdr:cNvSpPr/>
        </xdr:nvSpPr>
        <xdr:spPr>
          <a:xfrm>
            <a:off x="5524500" y="400050"/>
            <a:ext cx="1083945" cy="569595"/>
          </a:xfrm>
          <a:prstGeom prst="chevron">
            <a:avLst>
              <a:gd name="adj" fmla="val 35050"/>
            </a:avLst>
          </a:prstGeom>
          <a:solidFill>
            <a:schemeClr val="tx1">
              <a:lumMod val="95000"/>
              <a:lumOff val="5000"/>
            </a:schemeClr>
          </a:solidFill>
          <a:effectLst>
            <a:outerShdw blurRad="50800" dist="38100" dir="8100000" algn="tr" rotWithShape="0">
              <a:schemeClr val="accent6">
                <a:lumMod val="50000"/>
                <a:alpha val="40000"/>
              </a:schemeClr>
            </a:outerShdw>
            <a:softEdge rad="3175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3AA41AC-CF2F-4881-A829-0A4462A5F6FE}" type="TxLink">
              <a:rPr lang="en-US" sz="1800" b="1" i="0" u="none" strike="noStrike">
                <a:solidFill>
                  <a:schemeClr val="bg1">
                    <a:lumMod val="95000"/>
                  </a:schemeClr>
                </a:solidFill>
                <a:latin typeface="Calibri"/>
                <a:ea typeface="Calibri"/>
                <a:cs typeface="Calibri"/>
              </a:rPr>
              <a:pPr algn="ctr"/>
              <a:t>21</a:t>
            </a:fld>
            <a:endParaRPr lang="pt-BR" sz="1800" b="1">
              <a:solidFill>
                <a:schemeClr val="bg1">
                  <a:lumMod val="95000"/>
                </a:schemeClr>
              </a:solidFill>
            </a:endParaRPr>
          </a:p>
        </xdr:txBody>
      </xdr:sp>
      <xdr:sp macro="" textlink="Dash!$A$18">
        <xdr:nvSpPr>
          <xdr:cNvPr id="7" name="Retângulo: Cantos Arredondados 6">
            <a:extLst>
              <a:ext uri="{FF2B5EF4-FFF2-40B4-BE49-F238E27FC236}">
                <a16:creationId xmlns:a16="http://schemas.microsoft.com/office/drawing/2014/main" id="{00000000-0008-0000-0200-000007000000}"/>
              </a:ext>
            </a:extLst>
          </xdr:cNvPr>
          <xdr:cNvSpPr/>
        </xdr:nvSpPr>
        <xdr:spPr>
          <a:xfrm>
            <a:off x="5539740" y="140970"/>
            <a:ext cx="910590" cy="274320"/>
          </a:xfrm>
          <a:prstGeom prst="roundRect">
            <a:avLst/>
          </a:prstGeom>
          <a:solidFill>
            <a:schemeClr val="tx1">
              <a:lumMod val="95000"/>
              <a:lumOff val="5000"/>
            </a:schemeClr>
          </a:solidFill>
          <a:ln>
            <a:noFill/>
          </a:ln>
          <a:effectLst>
            <a:outerShdw blurRad="50800" dist="38100" dir="8100000" algn="tr" rotWithShape="0">
              <a:schemeClr val="accent6">
                <a:lumMod val="50000"/>
                <a:alpha val="40000"/>
              </a:schemeClr>
            </a:outerShdw>
            <a:softEdge rad="3175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7C9A88-0B21-4229-9DD3-E39788883270}" type="TxLink">
              <a:rPr lang="en-US" sz="1000" b="1" i="0" u="none" strike="noStrike">
                <a:solidFill>
                  <a:schemeClr val="bg1">
                    <a:lumMod val="95000"/>
                  </a:schemeClr>
                </a:solidFill>
                <a:latin typeface="Calibri"/>
                <a:ea typeface="Calibri"/>
                <a:cs typeface="Calibri"/>
              </a:rPr>
              <a:pPr algn="ctr"/>
              <a:t>Novo LEAD</a:t>
            </a:fld>
            <a:endParaRPr lang="pt-BR" sz="1000" b="1">
              <a:solidFill>
                <a:schemeClr val="bg1">
                  <a:lumMod val="95000"/>
                </a:schemeClr>
              </a:solidFill>
            </a:endParaRPr>
          </a:p>
        </xdr:txBody>
      </xdr:sp>
    </xdr:grpSp>
    <xdr:clientData/>
  </xdr:twoCellAnchor>
  <xdr:twoCellAnchor editAs="oneCell">
    <xdr:from>
      <xdr:col>14</xdr:col>
      <xdr:colOff>342900</xdr:colOff>
      <xdr:row>0</xdr:row>
      <xdr:rowOff>152400</xdr:rowOff>
    </xdr:from>
    <xdr:to>
      <xdr:col>16</xdr:col>
      <xdr:colOff>211455</xdr:colOff>
      <xdr:row>5</xdr:row>
      <xdr:rowOff>55245</xdr:rowOff>
    </xdr:to>
    <xdr:grpSp>
      <xdr:nvGrpSpPr>
        <xdr:cNvPr id="12" name="Agrupar 11">
          <a:extLst>
            <a:ext uri="{FF2B5EF4-FFF2-40B4-BE49-F238E27FC236}">
              <a16:creationId xmlns:a16="http://schemas.microsoft.com/office/drawing/2014/main" id="{00000000-0008-0000-0200-00000C000000}"/>
            </a:ext>
          </a:extLst>
        </xdr:cNvPr>
        <xdr:cNvGrpSpPr/>
      </xdr:nvGrpSpPr>
      <xdr:grpSpPr>
        <a:xfrm>
          <a:off x="9163050" y="152400"/>
          <a:ext cx="1087755" cy="855345"/>
          <a:chOff x="5524500" y="140970"/>
          <a:chExt cx="1083945" cy="828675"/>
        </a:xfrm>
        <a:solidFill>
          <a:schemeClr val="accent1">
            <a:lumMod val="50000"/>
          </a:schemeClr>
        </a:solidFill>
      </xdr:grpSpPr>
      <xdr:sp macro="" textlink="Dash!$B$19">
        <xdr:nvSpPr>
          <xdr:cNvPr id="13" name="Seta: Divisa 12">
            <a:extLst>
              <a:ext uri="{FF2B5EF4-FFF2-40B4-BE49-F238E27FC236}">
                <a16:creationId xmlns:a16="http://schemas.microsoft.com/office/drawing/2014/main" id="{00000000-0008-0000-0200-00000D000000}"/>
              </a:ext>
            </a:extLst>
          </xdr:cNvPr>
          <xdr:cNvSpPr/>
        </xdr:nvSpPr>
        <xdr:spPr>
          <a:xfrm>
            <a:off x="5524500" y="400050"/>
            <a:ext cx="1083945" cy="569595"/>
          </a:xfrm>
          <a:prstGeom prst="chevron">
            <a:avLst>
              <a:gd name="adj" fmla="val 35050"/>
            </a:avLst>
          </a:prstGeom>
          <a:grpFill/>
          <a:effectLst>
            <a:outerShdw blurRad="50800" dist="38100" dir="8100000" algn="tr" rotWithShape="0">
              <a:schemeClr val="accent6">
                <a:lumMod val="50000"/>
                <a:alpha val="40000"/>
              </a:schemeClr>
            </a:outerShdw>
            <a:softEdge rad="3175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A3459AC-AE5D-42CF-BAD6-EA2B4095879A}" type="TxLink">
              <a:rPr lang="en-US" sz="1800" b="1" i="0" u="none" strike="noStrike">
                <a:solidFill>
                  <a:schemeClr val="bg1">
                    <a:lumMod val="95000"/>
                  </a:schemeClr>
                </a:solidFill>
                <a:latin typeface="Calibri"/>
                <a:ea typeface="Calibri"/>
                <a:cs typeface="Calibri"/>
              </a:rPr>
              <a:pPr algn="ctr"/>
              <a:t>22</a:t>
            </a:fld>
            <a:endParaRPr lang="pt-BR" sz="1800" b="1">
              <a:solidFill>
                <a:schemeClr val="bg1">
                  <a:lumMod val="95000"/>
                </a:schemeClr>
              </a:solidFill>
            </a:endParaRPr>
          </a:p>
        </xdr:txBody>
      </xdr:sp>
      <xdr:sp macro="" textlink="Dash!$A$19">
        <xdr:nvSpPr>
          <xdr:cNvPr id="14" name="Retângulo: Cantos Arredondados 13">
            <a:extLst>
              <a:ext uri="{FF2B5EF4-FFF2-40B4-BE49-F238E27FC236}">
                <a16:creationId xmlns:a16="http://schemas.microsoft.com/office/drawing/2014/main" id="{00000000-0008-0000-0200-00000E000000}"/>
              </a:ext>
            </a:extLst>
          </xdr:cNvPr>
          <xdr:cNvSpPr/>
        </xdr:nvSpPr>
        <xdr:spPr>
          <a:xfrm>
            <a:off x="5539740" y="140970"/>
            <a:ext cx="910590" cy="274320"/>
          </a:xfrm>
          <a:prstGeom prst="roundRect">
            <a:avLst/>
          </a:prstGeom>
          <a:grpFill/>
          <a:ln>
            <a:noFill/>
          </a:ln>
          <a:effectLst>
            <a:outerShdw blurRad="50800" dist="38100" dir="8100000" algn="tr" rotWithShape="0">
              <a:schemeClr val="accent6">
                <a:lumMod val="50000"/>
                <a:alpha val="40000"/>
              </a:schemeClr>
            </a:outerShdw>
            <a:softEdge rad="3175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A9485EC-28EA-4026-B97B-BDCABBB24B6B}" type="TxLink">
              <a:rPr lang="en-US" sz="1000" b="1" i="0" u="none" strike="noStrike">
                <a:solidFill>
                  <a:schemeClr val="bg1">
                    <a:lumMod val="95000"/>
                  </a:schemeClr>
                </a:solidFill>
                <a:latin typeface="Calibri"/>
                <a:ea typeface="Calibri"/>
                <a:cs typeface="Calibri"/>
              </a:rPr>
              <a:pPr algn="ctr"/>
              <a:t>Pré-Proposta</a:t>
            </a:fld>
            <a:endParaRPr lang="pt-BR" sz="1000" b="1">
              <a:solidFill>
                <a:schemeClr val="bg1">
                  <a:lumMod val="95000"/>
                </a:schemeClr>
              </a:solidFill>
            </a:endParaRPr>
          </a:p>
        </xdr:txBody>
      </xdr:sp>
    </xdr:grpSp>
    <xdr:clientData/>
  </xdr:twoCellAnchor>
  <xdr:twoCellAnchor editAs="oneCell">
    <xdr:from>
      <xdr:col>16</xdr:col>
      <xdr:colOff>219075</xdr:colOff>
      <xdr:row>0</xdr:row>
      <xdr:rowOff>152400</xdr:rowOff>
    </xdr:from>
    <xdr:to>
      <xdr:col>18</xdr:col>
      <xdr:colOff>91440</xdr:colOff>
      <xdr:row>5</xdr:row>
      <xdr:rowOff>59055</xdr:rowOff>
    </xdr:to>
    <xdr:grpSp>
      <xdr:nvGrpSpPr>
        <xdr:cNvPr id="15" name="Agrupar 14">
          <a:extLst>
            <a:ext uri="{FF2B5EF4-FFF2-40B4-BE49-F238E27FC236}">
              <a16:creationId xmlns:a16="http://schemas.microsoft.com/office/drawing/2014/main" id="{00000000-0008-0000-0200-00000F000000}"/>
            </a:ext>
          </a:extLst>
        </xdr:cNvPr>
        <xdr:cNvGrpSpPr/>
      </xdr:nvGrpSpPr>
      <xdr:grpSpPr>
        <a:xfrm>
          <a:off x="10258425" y="152400"/>
          <a:ext cx="1053465" cy="859155"/>
          <a:chOff x="5524500" y="140970"/>
          <a:chExt cx="1083945" cy="828675"/>
        </a:xfrm>
        <a:solidFill>
          <a:schemeClr val="accent5">
            <a:lumMod val="75000"/>
          </a:schemeClr>
        </a:solidFill>
      </xdr:grpSpPr>
      <xdr:sp macro="" textlink="Dash!$B$20">
        <xdr:nvSpPr>
          <xdr:cNvPr id="16" name="Seta: Divisa 15">
            <a:extLst>
              <a:ext uri="{FF2B5EF4-FFF2-40B4-BE49-F238E27FC236}">
                <a16:creationId xmlns:a16="http://schemas.microsoft.com/office/drawing/2014/main" id="{00000000-0008-0000-0200-000010000000}"/>
              </a:ext>
            </a:extLst>
          </xdr:cNvPr>
          <xdr:cNvSpPr/>
        </xdr:nvSpPr>
        <xdr:spPr>
          <a:xfrm>
            <a:off x="5524500" y="400050"/>
            <a:ext cx="1083945" cy="569595"/>
          </a:xfrm>
          <a:prstGeom prst="chevron">
            <a:avLst>
              <a:gd name="adj" fmla="val 35050"/>
            </a:avLst>
          </a:prstGeom>
          <a:grpFill/>
          <a:effectLst>
            <a:outerShdw blurRad="50800" dist="38100" dir="8100000" algn="tr" rotWithShape="0">
              <a:schemeClr val="accent6">
                <a:lumMod val="50000"/>
                <a:alpha val="40000"/>
              </a:schemeClr>
            </a:outerShdw>
            <a:softEdge rad="3175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BE9B71A-CF3D-4F44-A18A-FA3866EA180B}" type="TxLink">
              <a:rPr lang="en-US" sz="1800" b="1" i="0" u="none" strike="noStrike">
                <a:solidFill>
                  <a:schemeClr val="bg1">
                    <a:lumMod val="95000"/>
                  </a:schemeClr>
                </a:solidFill>
                <a:latin typeface="Calibri"/>
                <a:ea typeface="Calibri"/>
                <a:cs typeface="Calibri"/>
              </a:rPr>
              <a:pPr algn="ctr"/>
              <a:t>4</a:t>
            </a:fld>
            <a:endParaRPr lang="pt-BR" sz="1800" b="1">
              <a:solidFill>
                <a:schemeClr val="bg1">
                  <a:lumMod val="95000"/>
                </a:schemeClr>
              </a:solidFill>
            </a:endParaRPr>
          </a:p>
        </xdr:txBody>
      </xdr:sp>
      <xdr:sp macro="" textlink="Dash!$A$20">
        <xdr:nvSpPr>
          <xdr:cNvPr id="17" name="Retângulo: Cantos Arredondados 16">
            <a:extLst>
              <a:ext uri="{FF2B5EF4-FFF2-40B4-BE49-F238E27FC236}">
                <a16:creationId xmlns:a16="http://schemas.microsoft.com/office/drawing/2014/main" id="{00000000-0008-0000-0200-000011000000}"/>
              </a:ext>
            </a:extLst>
          </xdr:cNvPr>
          <xdr:cNvSpPr/>
        </xdr:nvSpPr>
        <xdr:spPr>
          <a:xfrm>
            <a:off x="5539740" y="140970"/>
            <a:ext cx="910590" cy="274320"/>
          </a:xfrm>
          <a:prstGeom prst="roundRect">
            <a:avLst/>
          </a:prstGeom>
          <a:grpFill/>
          <a:ln>
            <a:noFill/>
          </a:ln>
          <a:effectLst>
            <a:outerShdw blurRad="50800" dist="38100" dir="8100000" algn="tr" rotWithShape="0">
              <a:schemeClr val="accent6">
                <a:lumMod val="50000"/>
                <a:alpha val="40000"/>
              </a:schemeClr>
            </a:outerShdw>
            <a:softEdge rad="3175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A1C719C-77A6-4006-B7DD-7BE66F209826}" type="TxLink">
              <a:rPr lang="en-US" sz="1000" b="1" i="0" u="none" strike="noStrike">
                <a:solidFill>
                  <a:schemeClr val="bg1">
                    <a:lumMod val="95000"/>
                  </a:schemeClr>
                </a:solidFill>
                <a:latin typeface="Calibri"/>
                <a:ea typeface="Calibri"/>
                <a:cs typeface="Calibri"/>
              </a:rPr>
              <a:pPr algn="ctr"/>
              <a:t>Visita Téc.</a:t>
            </a:fld>
            <a:endParaRPr lang="pt-BR" sz="1000" b="1">
              <a:solidFill>
                <a:schemeClr val="bg1">
                  <a:lumMod val="95000"/>
                </a:schemeClr>
              </a:solidFill>
            </a:endParaRPr>
          </a:p>
        </xdr:txBody>
      </xdr:sp>
    </xdr:grpSp>
    <xdr:clientData/>
  </xdr:twoCellAnchor>
  <xdr:twoCellAnchor editAs="oneCell">
    <xdr:from>
      <xdr:col>18</xdr:col>
      <xdr:colOff>93345</xdr:colOff>
      <xdr:row>0</xdr:row>
      <xdr:rowOff>152400</xdr:rowOff>
    </xdr:from>
    <xdr:to>
      <xdr:col>20</xdr:col>
      <xdr:colOff>0</xdr:colOff>
      <xdr:row>5</xdr:row>
      <xdr:rowOff>59055</xdr:rowOff>
    </xdr:to>
    <xdr:grpSp>
      <xdr:nvGrpSpPr>
        <xdr:cNvPr id="18" name="Agrupar 17">
          <a:extLst>
            <a:ext uri="{FF2B5EF4-FFF2-40B4-BE49-F238E27FC236}">
              <a16:creationId xmlns:a16="http://schemas.microsoft.com/office/drawing/2014/main" id="{00000000-0008-0000-0200-000012000000}"/>
            </a:ext>
          </a:extLst>
        </xdr:cNvPr>
        <xdr:cNvGrpSpPr/>
      </xdr:nvGrpSpPr>
      <xdr:grpSpPr>
        <a:xfrm>
          <a:off x="11313795" y="152400"/>
          <a:ext cx="1049655" cy="859155"/>
          <a:chOff x="5524500" y="140970"/>
          <a:chExt cx="1083945" cy="828675"/>
        </a:xfrm>
        <a:solidFill>
          <a:srgbClr val="338575"/>
        </a:solidFill>
      </xdr:grpSpPr>
      <xdr:sp macro="" textlink="Dash!$B$21">
        <xdr:nvSpPr>
          <xdr:cNvPr id="19" name="Seta: Divisa 18">
            <a:extLst>
              <a:ext uri="{FF2B5EF4-FFF2-40B4-BE49-F238E27FC236}">
                <a16:creationId xmlns:a16="http://schemas.microsoft.com/office/drawing/2014/main" id="{00000000-0008-0000-0200-000013000000}"/>
              </a:ext>
            </a:extLst>
          </xdr:cNvPr>
          <xdr:cNvSpPr/>
        </xdr:nvSpPr>
        <xdr:spPr>
          <a:xfrm>
            <a:off x="5524500" y="400050"/>
            <a:ext cx="1083945" cy="569595"/>
          </a:xfrm>
          <a:prstGeom prst="chevron">
            <a:avLst>
              <a:gd name="adj" fmla="val 35050"/>
            </a:avLst>
          </a:prstGeom>
          <a:grpFill/>
          <a:effectLst>
            <a:outerShdw blurRad="50800" dist="38100" dir="8100000" algn="tr" rotWithShape="0">
              <a:schemeClr val="accent6">
                <a:lumMod val="50000"/>
                <a:alpha val="40000"/>
              </a:schemeClr>
            </a:outerShdw>
            <a:softEdge rad="3175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7426B5-9D31-4827-B2D2-2241F98127D3}" type="TxLink">
              <a:rPr lang="en-US" sz="1800" b="1" i="0" u="none" strike="noStrike">
                <a:solidFill>
                  <a:schemeClr val="bg1">
                    <a:lumMod val="95000"/>
                  </a:schemeClr>
                </a:solidFill>
                <a:latin typeface="Calibri"/>
                <a:ea typeface="Calibri"/>
                <a:cs typeface="Calibri"/>
              </a:rPr>
              <a:pPr algn="ctr"/>
              <a:t>3</a:t>
            </a:fld>
            <a:endParaRPr lang="pt-BR" sz="1800" b="1">
              <a:solidFill>
                <a:schemeClr val="bg1">
                  <a:lumMod val="95000"/>
                </a:schemeClr>
              </a:solidFill>
            </a:endParaRPr>
          </a:p>
        </xdr:txBody>
      </xdr:sp>
      <xdr:sp macro="" textlink="Dash!$A$21">
        <xdr:nvSpPr>
          <xdr:cNvPr id="20" name="Retângulo: Cantos Arredondados 19">
            <a:extLst>
              <a:ext uri="{FF2B5EF4-FFF2-40B4-BE49-F238E27FC236}">
                <a16:creationId xmlns:a16="http://schemas.microsoft.com/office/drawing/2014/main" id="{00000000-0008-0000-0200-000014000000}"/>
              </a:ext>
            </a:extLst>
          </xdr:cNvPr>
          <xdr:cNvSpPr/>
        </xdr:nvSpPr>
        <xdr:spPr>
          <a:xfrm>
            <a:off x="5539740" y="140970"/>
            <a:ext cx="910590" cy="274320"/>
          </a:xfrm>
          <a:prstGeom prst="roundRect">
            <a:avLst/>
          </a:prstGeom>
          <a:grpFill/>
          <a:ln>
            <a:noFill/>
          </a:ln>
          <a:effectLst>
            <a:outerShdw blurRad="50800" dist="38100" dir="8100000" algn="tr" rotWithShape="0">
              <a:schemeClr val="accent6">
                <a:lumMod val="50000"/>
                <a:alpha val="40000"/>
              </a:schemeClr>
            </a:outerShdw>
            <a:softEdge rad="3175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E0159E6-AE21-40B3-81D6-57E7431BCA93}" type="TxLink">
              <a:rPr lang="en-US" sz="1000" b="1" i="0" u="none" strike="noStrike">
                <a:solidFill>
                  <a:schemeClr val="bg1">
                    <a:lumMod val="95000"/>
                  </a:schemeClr>
                </a:solidFill>
                <a:latin typeface="Calibri"/>
                <a:ea typeface="Calibri"/>
                <a:cs typeface="Calibri"/>
              </a:rPr>
              <a:pPr algn="ctr"/>
              <a:t>Projeto</a:t>
            </a:fld>
            <a:endParaRPr lang="pt-BR" sz="1000" b="1">
              <a:solidFill>
                <a:schemeClr val="bg1">
                  <a:lumMod val="95000"/>
                </a:schemeClr>
              </a:solidFill>
            </a:endParaRPr>
          </a:p>
        </xdr:txBody>
      </xdr:sp>
    </xdr:grpSp>
    <xdr:clientData/>
  </xdr:twoCellAnchor>
  <xdr:twoCellAnchor editAs="oneCell">
    <xdr:from>
      <xdr:col>19</xdr:col>
      <xdr:colOff>577215</xdr:colOff>
      <xdr:row>0</xdr:row>
      <xdr:rowOff>152400</xdr:rowOff>
    </xdr:from>
    <xdr:to>
      <xdr:col>21</xdr:col>
      <xdr:colOff>476250</xdr:colOff>
      <xdr:row>5</xdr:row>
      <xdr:rowOff>59055</xdr:rowOff>
    </xdr:to>
    <xdr:grpSp>
      <xdr:nvGrpSpPr>
        <xdr:cNvPr id="21" name="Agrupar 20">
          <a:extLst>
            <a:ext uri="{FF2B5EF4-FFF2-40B4-BE49-F238E27FC236}">
              <a16:creationId xmlns:a16="http://schemas.microsoft.com/office/drawing/2014/main" id="{00000000-0008-0000-0200-000015000000}"/>
            </a:ext>
          </a:extLst>
        </xdr:cNvPr>
        <xdr:cNvGrpSpPr/>
      </xdr:nvGrpSpPr>
      <xdr:grpSpPr>
        <a:xfrm>
          <a:off x="12359640" y="152400"/>
          <a:ext cx="1051560" cy="859155"/>
          <a:chOff x="5524500" y="140970"/>
          <a:chExt cx="1083945" cy="828675"/>
        </a:xfrm>
        <a:solidFill>
          <a:schemeClr val="accent6">
            <a:lumMod val="75000"/>
          </a:schemeClr>
        </a:solidFill>
      </xdr:grpSpPr>
      <xdr:sp macro="" textlink="Dash!$B$22">
        <xdr:nvSpPr>
          <xdr:cNvPr id="22" name="Seta: Divisa 21">
            <a:extLst>
              <a:ext uri="{FF2B5EF4-FFF2-40B4-BE49-F238E27FC236}">
                <a16:creationId xmlns:a16="http://schemas.microsoft.com/office/drawing/2014/main" id="{00000000-0008-0000-0200-000016000000}"/>
              </a:ext>
            </a:extLst>
          </xdr:cNvPr>
          <xdr:cNvSpPr/>
        </xdr:nvSpPr>
        <xdr:spPr>
          <a:xfrm>
            <a:off x="5524500" y="400050"/>
            <a:ext cx="1083945" cy="569595"/>
          </a:xfrm>
          <a:prstGeom prst="chevron">
            <a:avLst>
              <a:gd name="adj" fmla="val 35050"/>
            </a:avLst>
          </a:prstGeom>
          <a:grpFill/>
          <a:effectLst>
            <a:outerShdw blurRad="50800" dist="38100" dir="8100000" algn="tr" rotWithShape="0">
              <a:schemeClr val="accent6">
                <a:lumMod val="50000"/>
                <a:alpha val="40000"/>
              </a:schemeClr>
            </a:outerShdw>
            <a:softEdge rad="3175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40028CD-E5D1-46A1-B3A1-61686049C675}" type="TxLink">
              <a:rPr lang="en-US" sz="1800" b="1" i="0" u="none" strike="noStrike">
                <a:solidFill>
                  <a:schemeClr val="bg1">
                    <a:lumMod val="95000"/>
                  </a:schemeClr>
                </a:solidFill>
                <a:latin typeface="Calibri"/>
                <a:ea typeface="Calibri"/>
                <a:cs typeface="Calibri"/>
              </a:rPr>
              <a:pPr algn="ctr"/>
              <a:t>0</a:t>
            </a:fld>
            <a:endParaRPr lang="pt-BR" sz="1800" b="1">
              <a:solidFill>
                <a:schemeClr val="bg1">
                  <a:lumMod val="95000"/>
                </a:schemeClr>
              </a:solidFill>
            </a:endParaRPr>
          </a:p>
        </xdr:txBody>
      </xdr:sp>
      <xdr:sp macro="" textlink="Dash!$A$22">
        <xdr:nvSpPr>
          <xdr:cNvPr id="23" name="Retângulo: Cantos Arredondados 22">
            <a:extLst>
              <a:ext uri="{FF2B5EF4-FFF2-40B4-BE49-F238E27FC236}">
                <a16:creationId xmlns:a16="http://schemas.microsoft.com/office/drawing/2014/main" id="{00000000-0008-0000-0200-000017000000}"/>
              </a:ext>
            </a:extLst>
          </xdr:cNvPr>
          <xdr:cNvSpPr/>
        </xdr:nvSpPr>
        <xdr:spPr>
          <a:xfrm>
            <a:off x="5539740" y="140970"/>
            <a:ext cx="910590" cy="274320"/>
          </a:xfrm>
          <a:prstGeom prst="roundRect">
            <a:avLst/>
          </a:prstGeom>
          <a:grpFill/>
          <a:ln>
            <a:noFill/>
          </a:ln>
          <a:effectLst>
            <a:outerShdw blurRad="50800" dist="38100" dir="8100000" algn="tr" rotWithShape="0">
              <a:schemeClr val="accent6">
                <a:lumMod val="50000"/>
                <a:alpha val="40000"/>
              </a:schemeClr>
            </a:outerShdw>
            <a:softEdge rad="3175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7B7D859-2B69-47BA-BABA-29E521E523DF}" type="TxLink">
              <a:rPr lang="en-US" sz="1000" b="1" i="0" u="none" strike="noStrike">
                <a:solidFill>
                  <a:schemeClr val="bg1">
                    <a:lumMod val="95000"/>
                  </a:schemeClr>
                </a:solidFill>
                <a:latin typeface="Calibri"/>
                <a:ea typeface="Calibri"/>
                <a:cs typeface="Calibri"/>
              </a:rPr>
              <a:pPr algn="ctr"/>
              <a:t>Fechamento</a:t>
            </a:fld>
            <a:endParaRPr lang="pt-BR" sz="1000" b="1">
              <a:solidFill>
                <a:schemeClr val="bg1">
                  <a:lumMod val="95000"/>
                </a:schemeClr>
              </a:solidFill>
            </a:endParaRPr>
          </a:p>
        </xdr:txBody>
      </xdr:sp>
    </xdr:grpSp>
    <xdr:clientData/>
  </xdr:twoCellAnchor>
  <xdr:twoCellAnchor editAs="oneCell">
    <xdr:from>
      <xdr:col>14</xdr:col>
      <xdr:colOff>514350</xdr:colOff>
      <xdr:row>22</xdr:row>
      <xdr:rowOff>142875</xdr:rowOff>
    </xdr:from>
    <xdr:to>
      <xdr:col>20</xdr:col>
      <xdr:colOff>243840</xdr:colOff>
      <xdr:row>30</xdr:row>
      <xdr:rowOff>55245</xdr:rowOff>
    </xdr:to>
    <mc:AlternateContent xmlns:mc="http://schemas.openxmlformats.org/markup-compatibility/2006" xmlns:tsle="http://schemas.microsoft.com/office/drawing/2012/timeslicer">
      <mc:Choice Requires="tsle">
        <xdr:graphicFrame macro="">
          <xdr:nvGraphicFramePr>
            <xdr:cNvPr id="24" name="Data Fechamento 1">
              <a:extLst>
                <a:ext uri="{FF2B5EF4-FFF2-40B4-BE49-F238E27FC236}">
                  <a16:creationId xmlns:a16="http://schemas.microsoft.com/office/drawing/2014/main" id="{00000000-0008-0000-0200-000018000000}"/>
                </a:ext>
              </a:extLst>
            </xdr:cNvPr>
            <xdr:cNvGraphicFramePr/>
          </xdr:nvGraphicFramePr>
          <xdr:xfrm>
            <a:off x="0" y="0"/>
            <a:ext cx="0" cy="0"/>
          </xdr:xfrm>
          <a:graphic>
            <a:graphicData uri="http://schemas.microsoft.com/office/drawing/2012/timeslicer">
              <tsle:timeslicer name="Data Fechamento 1"/>
            </a:graphicData>
          </a:graphic>
        </xdr:graphicFrame>
      </mc:Choice>
      <mc:Fallback xmlns="">
        <xdr:sp macro="" textlink="">
          <xdr:nvSpPr>
            <xdr:cNvPr id="0" name=""/>
            <xdr:cNvSpPr>
              <a:spLocks noTextEdit="1"/>
            </xdr:cNvSpPr>
          </xdr:nvSpPr>
          <xdr:spPr>
            <a:xfrm>
              <a:off x="9359265" y="4122420"/>
              <a:ext cx="3362325" cy="1362075"/>
            </a:xfrm>
            <a:prstGeom prst="rect">
              <a:avLst/>
            </a:prstGeom>
            <a:solidFill>
              <a:prstClr val="white"/>
            </a:solidFill>
            <a:ln w="1">
              <a:solidFill>
                <a:prstClr val="green"/>
              </a:solidFill>
            </a:ln>
          </xdr:spPr>
          <xdr:txBody>
            <a:bodyPr vertOverflow="clip" horzOverflow="clip"/>
            <a:lstStyle/>
            <a:p>
              <a:r>
                <a:rPr lang="pt-BR" sz="1100"/>
                <a:t>Linha do tempo: Funciona em Excel 2013 ou superior. Não mover ou redimensionar.</a:t>
              </a:r>
            </a:p>
          </xdr:txBody>
        </xdr:sp>
      </mc:Fallback>
    </mc:AlternateContent>
    <xdr:clientData/>
  </xdr:twoCellAnchor>
  <xdr:twoCellAnchor editAs="oneCell">
    <xdr:from>
      <xdr:col>3</xdr:col>
      <xdr:colOff>371477</xdr:colOff>
      <xdr:row>0</xdr:row>
      <xdr:rowOff>91448</xdr:rowOff>
    </xdr:from>
    <xdr:to>
      <xdr:col>7</xdr:col>
      <xdr:colOff>369134</xdr:colOff>
      <xdr:row>5</xdr:row>
      <xdr:rowOff>162223</xdr:rowOff>
    </xdr:to>
    <mc:AlternateContent xmlns:mc="http://schemas.openxmlformats.org/markup-compatibility/2006" xmlns:tsle="http://schemas.microsoft.com/office/drawing/2012/timeslicer">
      <mc:Choice Requires="tsle">
        <xdr:graphicFrame macro="">
          <xdr:nvGraphicFramePr>
            <xdr:cNvPr id="2" name="Data Fechamento 2">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2/timeslicer">
              <tsle:timeslicer name="Data Fechamento 2"/>
            </a:graphicData>
          </a:graphic>
        </xdr:graphicFrame>
      </mc:Choice>
      <mc:Fallback xmlns="">
        <xdr:sp macro="" textlink="">
          <xdr:nvSpPr>
            <xdr:cNvPr id="0" name=""/>
            <xdr:cNvSpPr>
              <a:spLocks noTextEdit="1"/>
            </xdr:cNvSpPr>
          </xdr:nvSpPr>
          <xdr:spPr>
            <a:xfrm>
              <a:off x="2512697" y="95258"/>
              <a:ext cx="2434152" cy="973745"/>
            </a:xfrm>
            <a:prstGeom prst="rect">
              <a:avLst/>
            </a:prstGeom>
            <a:solidFill>
              <a:prstClr val="white"/>
            </a:solidFill>
            <a:ln w="1">
              <a:solidFill>
                <a:prstClr val="green"/>
              </a:solidFill>
            </a:ln>
          </xdr:spPr>
          <xdr:txBody>
            <a:bodyPr vertOverflow="clip" horzOverflow="clip"/>
            <a:lstStyle/>
            <a:p>
              <a:r>
                <a:rPr lang="pt-BR" sz="1100"/>
                <a:t>Linha do tempo: Funciona em Excel 2013 ou superior. Não mover ou redimensionar.</a:t>
              </a:r>
            </a:p>
          </xdr:txBody>
        </xdr:sp>
      </mc:Fallback>
    </mc:AlternateContent>
    <xdr:clientData/>
  </xdr:twoCellAnchor>
  <xdr:twoCellAnchor>
    <xdr:from>
      <xdr:col>0</xdr:col>
      <xdr:colOff>97155</xdr:colOff>
      <xdr:row>3</xdr:row>
      <xdr:rowOff>163830</xdr:rowOff>
    </xdr:from>
    <xdr:to>
      <xdr:col>2</xdr:col>
      <xdr:colOff>381000</xdr:colOff>
      <xdr:row>32</xdr:row>
      <xdr:rowOff>76200</xdr:rowOff>
    </xdr:to>
    <xdr:sp macro="" textlink="">
      <xdr:nvSpPr>
        <xdr:cNvPr id="10" name="Retângulo: Cantos Arredondados 9">
          <a:extLst>
            <a:ext uri="{FF2B5EF4-FFF2-40B4-BE49-F238E27FC236}">
              <a16:creationId xmlns:a16="http://schemas.microsoft.com/office/drawing/2014/main" id="{00000000-0008-0000-0200-00000A000000}"/>
            </a:ext>
          </a:extLst>
        </xdr:cNvPr>
        <xdr:cNvSpPr/>
      </xdr:nvSpPr>
      <xdr:spPr>
        <a:xfrm>
          <a:off x="97155" y="706755"/>
          <a:ext cx="1817370" cy="5160645"/>
        </a:xfrm>
        <a:prstGeom prst="roundRect">
          <a:avLst/>
        </a:prstGeom>
        <a:solidFill>
          <a:schemeClr val="bg1">
            <a:lumMod val="95000"/>
            <a:alpha val="36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0</xdr:col>
      <xdr:colOff>100965</xdr:colOff>
      <xdr:row>5</xdr:row>
      <xdr:rowOff>106680</xdr:rowOff>
    </xdr:from>
    <xdr:to>
      <xdr:col>2</xdr:col>
      <xdr:colOff>365759</xdr:colOff>
      <xdr:row>7</xdr:row>
      <xdr:rowOff>30480</xdr:rowOff>
    </xdr:to>
    <xdr:sp macro="" textlink="">
      <xdr:nvSpPr>
        <xdr:cNvPr id="9" name="CaixaDeTexto 8">
          <a:extLst>
            <a:ext uri="{FF2B5EF4-FFF2-40B4-BE49-F238E27FC236}">
              <a16:creationId xmlns:a16="http://schemas.microsoft.com/office/drawing/2014/main" id="{00000000-0008-0000-0200-000009000000}"/>
            </a:ext>
          </a:extLst>
        </xdr:cNvPr>
        <xdr:cNvSpPr txBox="1"/>
      </xdr:nvSpPr>
      <xdr:spPr>
        <a:xfrm>
          <a:off x="100965" y="1011555"/>
          <a:ext cx="179831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400" b="1">
              <a:solidFill>
                <a:schemeClr val="bg1">
                  <a:lumMod val="95000"/>
                </a:schemeClr>
              </a:solidFill>
            </a:rPr>
            <a:t>Faturamento</a:t>
          </a:r>
          <a:r>
            <a:rPr lang="pt-BR" sz="1400" b="1" baseline="0">
              <a:solidFill>
                <a:schemeClr val="bg1">
                  <a:lumMod val="95000"/>
                </a:schemeClr>
              </a:solidFill>
            </a:rPr>
            <a:t> Total</a:t>
          </a:r>
          <a:endParaRPr lang="pt-BR" sz="1400" b="1">
            <a:solidFill>
              <a:schemeClr val="bg1">
                <a:lumMod val="95000"/>
              </a:schemeClr>
            </a:solidFill>
          </a:endParaRPr>
        </a:p>
      </xdr:txBody>
    </xdr:sp>
    <xdr:clientData/>
  </xdr:twoCellAnchor>
  <xdr:twoCellAnchor>
    <xdr:from>
      <xdr:col>0</xdr:col>
      <xdr:colOff>426720</xdr:colOff>
      <xdr:row>7</xdr:row>
      <xdr:rowOff>68580</xdr:rowOff>
    </xdr:from>
    <xdr:to>
      <xdr:col>1</xdr:col>
      <xdr:colOff>588645</xdr:colOff>
      <xdr:row>10</xdr:row>
      <xdr:rowOff>0</xdr:rowOff>
    </xdr:to>
    <xdr:sp macro="" textlink="Dash!N23">
      <xdr:nvSpPr>
        <xdr:cNvPr id="11" name="Retângulo: Cantos Arredondados 10">
          <a:extLst>
            <a:ext uri="{FF2B5EF4-FFF2-40B4-BE49-F238E27FC236}">
              <a16:creationId xmlns:a16="http://schemas.microsoft.com/office/drawing/2014/main" id="{00000000-0008-0000-0200-00000B000000}"/>
            </a:ext>
          </a:extLst>
        </xdr:cNvPr>
        <xdr:cNvSpPr/>
      </xdr:nvSpPr>
      <xdr:spPr>
        <a:xfrm>
          <a:off x="426720" y="1335405"/>
          <a:ext cx="1085850" cy="474345"/>
        </a:xfrm>
        <a:prstGeom prst="roundRect">
          <a:avLst/>
        </a:prstGeom>
        <a:solidFill>
          <a:srgbClr val="0033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385E85-73FB-499A-965A-379564082988}" type="TxLink">
            <a:rPr lang="en-US" sz="1800" b="0" i="0" u="none" strike="noStrike">
              <a:solidFill>
                <a:schemeClr val="bg1">
                  <a:lumMod val="95000"/>
                </a:schemeClr>
              </a:solidFill>
              <a:latin typeface="Calibri"/>
              <a:ea typeface="Calibri"/>
              <a:cs typeface="Calibri"/>
            </a:rPr>
            <a:pPr algn="ctr"/>
            <a:t>R$864k</a:t>
          </a:fld>
          <a:endParaRPr lang="pt-BR" sz="1800">
            <a:solidFill>
              <a:schemeClr val="bg1">
                <a:lumMod val="95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130662</xdr:colOff>
      <xdr:row>0</xdr:row>
      <xdr:rowOff>0</xdr:rowOff>
    </xdr:from>
    <xdr:to>
      <xdr:col>3</xdr:col>
      <xdr:colOff>397474</xdr:colOff>
      <xdr:row>1</xdr:row>
      <xdr:rowOff>130145</xdr:rowOff>
    </xdr:to>
    <xdr:sp macro="" textlink="">
      <xdr:nvSpPr>
        <xdr:cNvPr id="30" name="Seta: para a Direita 29">
          <a:hlinkClick xmlns:r="http://schemas.openxmlformats.org/officeDocument/2006/relationships" r:id="rId1"/>
          <a:extLst>
            <a:ext uri="{FF2B5EF4-FFF2-40B4-BE49-F238E27FC236}">
              <a16:creationId xmlns:a16="http://schemas.microsoft.com/office/drawing/2014/main" id="{00000000-0008-0000-0400-00001E000000}"/>
            </a:ext>
          </a:extLst>
        </xdr:cNvPr>
        <xdr:cNvSpPr/>
      </xdr:nvSpPr>
      <xdr:spPr>
        <a:xfrm>
          <a:off x="2889102" y="0"/>
          <a:ext cx="1026907" cy="314930"/>
        </a:xfrm>
        <a:prstGeom prst="rightArrow">
          <a:avLst>
            <a:gd name="adj1" fmla="val 63784"/>
            <a:gd name="adj2" fmla="val 50000"/>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200" b="1">
              <a:solidFill>
                <a:sysClr val="windowText" lastClr="000000"/>
              </a:solidFill>
            </a:rPr>
            <a:t>Prospectos</a:t>
          </a:r>
        </a:p>
      </xdr:txBody>
    </xdr:sp>
    <xdr:clientData/>
  </xdr:twoCellAnchor>
  <xdr:twoCellAnchor>
    <xdr:from>
      <xdr:col>9</xdr:col>
      <xdr:colOff>862965</xdr:colOff>
      <xdr:row>0</xdr:row>
      <xdr:rowOff>30481</xdr:rowOff>
    </xdr:from>
    <xdr:to>
      <xdr:col>11</xdr:col>
      <xdr:colOff>939165</xdr:colOff>
      <xdr:row>2</xdr:row>
      <xdr:rowOff>34291</xdr:rowOff>
    </xdr:to>
    <xdr:sp macro="[0]!botao_protecao" textlink="" fLocksText="0">
      <xdr:nvSpPr>
        <xdr:cNvPr id="33" name="BTBLOQDESBLOC">
          <a:extLst>
            <a:ext uri="{FF2B5EF4-FFF2-40B4-BE49-F238E27FC236}">
              <a16:creationId xmlns:a16="http://schemas.microsoft.com/office/drawing/2014/main" id="{00000000-0008-0000-0400-000021000000}"/>
            </a:ext>
          </a:extLst>
        </xdr:cNvPr>
        <xdr:cNvSpPr/>
      </xdr:nvSpPr>
      <xdr:spPr>
        <a:xfrm>
          <a:off x="9606915" y="30481"/>
          <a:ext cx="2019300" cy="365760"/>
        </a:xfrm>
        <a:prstGeom prst="flowChartAlternateProcess">
          <a:avLst/>
        </a:prstGeom>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200" b="1"/>
            <a:t>BLOQUEAR PLANILHA</a:t>
          </a:r>
        </a:p>
      </xdr:txBody>
    </xdr:sp>
    <xdr:clientData/>
  </xdr:twoCellAnchor>
  <xdr:twoCellAnchor editAs="absolute">
    <xdr:from>
      <xdr:col>88</xdr:col>
      <xdr:colOff>300174</xdr:colOff>
      <xdr:row>0</xdr:row>
      <xdr:rowOff>17145</xdr:rowOff>
    </xdr:from>
    <xdr:to>
      <xdr:col>90</xdr:col>
      <xdr:colOff>526053</xdr:colOff>
      <xdr:row>1</xdr:row>
      <xdr:rowOff>168245</xdr:rowOff>
    </xdr:to>
    <xdr:sp macro="" textlink="">
      <xdr:nvSpPr>
        <xdr:cNvPr id="32" name="Seta: para a Direita 31">
          <a:hlinkClick xmlns:r="http://schemas.openxmlformats.org/officeDocument/2006/relationships" r:id="rId2"/>
          <a:extLst>
            <a:ext uri="{FF2B5EF4-FFF2-40B4-BE49-F238E27FC236}">
              <a16:creationId xmlns:a16="http://schemas.microsoft.com/office/drawing/2014/main" id="{00000000-0008-0000-0400-000020000000}"/>
            </a:ext>
          </a:extLst>
        </xdr:cNvPr>
        <xdr:cNvSpPr/>
      </xdr:nvSpPr>
      <xdr:spPr>
        <a:xfrm flipH="1">
          <a:off x="48606076" y="28575"/>
          <a:ext cx="933450" cy="314930"/>
        </a:xfrm>
        <a:prstGeom prst="rightArrow">
          <a:avLst>
            <a:gd name="adj1" fmla="val 63784"/>
            <a:gd name="adj2" fmla="val 50000"/>
          </a:avLst>
        </a:prstGeom>
        <a:solidFill>
          <a:schemeClr val="accent5">
            <a:lumMod val="20000"/>
            <a:lumOff val="80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200" b="1">
              <a:solidFill>
                <a:sysClr val="windowText" lastClr="000000"/>
              </a:solidFill>
            </a:rPr>
            <a:t>Pré-Dim</a:t>
          </a:r>
        </a:p>
      </xdr:txBody>
    </xdr:sp>
    <xdr:clientData/>
  </xdr:twoCellAnchor>
  <mc:AlternateContent xmlns:mc="http://schemas.openxmlformats.org/markup-compatibility/2006">
    <mc:Choice xmlns:a14="http://schemas.microsoft.com/office/drawing/2010/main" Requires="a14">
      <xdr:twoCellAnchor editAs="oneCell">
        <xdr:from>
          <xdr:col>40</xdr:col>
          <xdr:colOff>1971675</xdr:colOff>
          <xdr:row>3</xdr:row>
          <xdr:rowOff>123825</xdr:rowOff>
        </xdr:from>
        <xdr:to>
          <xdr:col>70</xdr:col>
          <xdr:colOff>57150</xdr:colOff>
          <xdr:row>5</xdr:row>
          <xdr:rowOff>0</xdr:rowOff>
        </xdr:to>
        <xdr:sp macro="" textlink="">
          <xdr:nvSpPr>
            <xdr:cNvPr id="233474" name="Scroll Bar 1" hidden="1">
              <a:extLst>
                <a:ext uri="{63B3BB69-23CF-44E3-9099-C40C66FF867C}">
                  <a14:compatExt spid="_x0000_s233474"/>
                </a:ext>
                <a:ext uri="{FF2B5EF4-FFF2-40B4-BE49-F238E27FC236}">
                  <a16:creationId xmlns:a16="http://schemas.microsoft.com/office/drawing/2014/main" id="{00000000-0008-0000-0400-0000029003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52</xdr:col>
      <xdr:colOff>331695</xdr:colOff>
      <xdr:row>1</xdr:row>
      <xdr:rowOff>44823</xdr:rowOff>
    </xdr:from>
    <xdr:to>
      <xdr:col>60</xdr:col>
      <xdr:colOff>143436</xdr:colOff>
      <xdr:row>3</xdr:row>
      <xdr:rowOff>98610</xdr:rowOff>
    </xdr:to>
    <xdr:sp macro="" textlink="">
      <xdr:nvSpPr>
        <xdr:cNvPr id="29" name="CaixaDeTexto 28">
          <a:extLst>
            <a:ext uri="{FF2B5EF4-FFF2-40B4-BE49-F238E27FC236}">
              <a16:creationId xmlns:a16="http://schemas.microsoft.com/office/drawing/2014/main" id="{00000000-0008-0000-0400-00001D000000}"/>
            </a:ext>
          </a:extLst>
        </xdr:cNvPr>
        <xdr:cNvSpPr txBox="1"/>
      </xdr:nvSpPr>
      <xdr:spPr>
        <a:xfrm>
          <a:off x="35219865" y="227703"/>
          <a:ext cx="2554941" cy="410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2400" b="1"/>
            <a:t>CRONOGRAMA</a:t>
          </a:r>
        </a:p>
      </xdr:txBody>
    </xdr:sp>
    <xdr:clientData/>
  </xdr:twoCellAnchor>
  <mc:AlternateContent xmlns:mc="http://schemas.openxmlformats.org/markup-compatibility/2006">
    <mc:Choice xmlns:a14="http://schemas.microsoft.com/office/drawing/2010/main" Requires="a14">
      <xdr:twoCellAnchor editAs="oneCell">
        <xdr:from>
          <xdr:col>40</xdr:col>
          <xdr:colOff>1971675</xdr:colOff>
          <xdr:row>3</xdr:row>
          <xdr:rowOff>123825</xdr:rowOff>
        </xdr:from>
        <xdr:to>
          <xdr:col>70</xdr:col>
          <xdr:colOff>57150</xdr:colOff>
          <xdr:row>5</xdr:row>
          <xdr:rowOff>0</xdr:rowOff>
        </xdr:to>
        <xdr:sp macro="" textlink="">
          <xdr:nvSpPr>
            <xdr:cNvPr id="233475" name="Scroll Bar 1" hidden="1">
              <a:extLst>
                <a:ext uri="{63B3BB69-23CF-44E3-9099-C40C66FF867C}">
                  <a14:compatExt spid="_x0000_s233475"/>
                </a:ext>
                <a:ext uri="{FF2B5EF4-FFF2-40B4-BE49-F238E27FC236}">
                  <a16:creationId xmlns:a16="http://schemas.microsoft.com/office/drawing/2014/main" id="{00000000-0008-0000-0400-0000039003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52</xdr:col>
      <xdr:colOff>331695</xdr:colOff>
      <xdr:row>1</xdr:row>
      <xdr:rowOff>44823</xdr:rowOff>
    </xdr:from>
    <xdr:to>
      <xdr:col>60</xdr:col>
      <xdr:colOff>143436</xdr:colOff>
      <xdr:row>3</xdr:row>
      <xdr:rowOff>98610</xdr:rowOff>
    </xdr:to>
    <xdr:sp macro="" textlink="">
      <xdr:nvSpPr>
        <xdr:cNvPr id="2" name="CaixaDeTexto 1">
          <a:extLst>
            <a:ext uri="{FF2B5EF4-FFF2-40B4-BE49-F238E27FC236}">
              <a16:creationId xmlns:a16="http://schemas.microsoft.com/office/drawing/2014/main" id="{00000000-0008-0000-0400-000002000000}"/>
            </a:ext>
          </a:extLst>
        </xdr:cNvPr>
        <xdr:cNvSpPr txBox="1"/>
      </xdr:nvSpPr>
      <xdr:spPr>
        <a:xfrm>
          <a:off x="36199035" y="227703"/>
          <a:ext cx="2554941" cy="419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2400" b="1"/>
            <a:t>CRONOGRAMA</a:t>
          </a:r>
        </a:p>
      </xdr:txBody>
    </xdr:sp>
    <xdr:clientData/>
  </xdr:twoCellAnchor>
  <xdr:twoCellAnchor>
    <xdr:from>
      <xdr:col>45</xdr:col>
      <xdr:colOff>152400</xdr:colOff>
      <xdr:row>23</xdr:row>
      <xdr:rowOff>116542</xdr:rowOff>
    </xdr:from>
    <xdr:to>
      <xdr:col>60</xdr:col>
      <xdr:colOff>188260</xdr:colOff>
      <xdr:row>25</xdr:row>
      <xdr:rowOff>16585</xdr:rowOff>
    </xdr:to>
    <xdr:grpSp>
      <xdr:nvGrpSpPr>
        <xdr:cNvPr id="3" name="Agrupar 2">
          <a:extLst>
            <a:ext uri="{FF2B5EF4-FFF2-40B4-BE49-F238E27FC236}">
              <a16:creationId xmlns:a16="http://schemas.microsoft.com/office/drawing/2014/main" id="{00000000-0008-0000-0400-000003000000}"/>
            </a:ext>
          </a:extLst>
        </xdr:cNvPr>
        <xdr:cNvGrpSpPr/>
      </xdr:nvGrpSpPr>
      <xdr:grpSpPr>
        <a:xfrm>
          <a:off x="32929606" y="4542866"/>
          <a:ext cx="5078507" cy="281043"/>
          <a:chOff x="33447318" y="4150659"/>
          <a:chExt cx="5145742" cy="286870"/>
        </a:xfrm>
      </xdr:grpSpPr>
      <xdr:grpSp>
        <xdr:nvGrpSpPr>
          <xdr:cNvPr id="4" name="Agrupar 3">
            <a:extLst>
              <a:ext uri="{FF2B5EF4-FFF2-40B4-BE49-F238E27FC236}">
                <a16:creationId xmlns:a16="http://schemas.microsoft.com/office/drawing/2014/main" id="{00000000-0008-0000-0400-000004000000}"/>
              </a:ext>
            </a:extLst>
          </xdr:cNvPr>
          <xdr:cNvGrpSpPr/>
        </xdr:nvGrpSpPr>
        <xdr:grpSpPr>
          <a:xfrm>
            <a:off x="33447318" y="4150659"/>
            <a:ext cx="995083" cy="277906"/>
            <a:chOff x="33447318" y="4150659"/>
            <a:chExt cx="995083" cy="277906"/>
          </a:xfrm>
        </xdr:grpSpPr>
        <xdr:sp macro="" textlink="">
          <xdr:nvSpPr>
            <xdr:cNvPr id="17" name="Retângulo 16">
              <a:extLst>
                <a:ext uri="{FF2B5EF4-FFF2-40B4-BE49-F238E27FC236}">
                  <a16:creationId xmlns:a16="http://schemas.microsoft.com/office/drawing/2014/main" id="{00000000-0008-0000-0400-000011000000}"/>
                </a:ext>
              </a:extLst>
            </xdr:cNvPr>
            <xdr:cNvSpPr/>
          </xdr:nvSpPr>
          <xdr:spPr>
            <a:xfrm>
              <a:off x="33447318" y="4195483"/>
              <a:ext cx="295835" cy="188259"/>
            </a:xfrm>
            <a:prstGeom prst="rect">
              <a:avLst/>
            </a:prstGeom>
            <a:pattFill prst="ltUpDiag">
              <a:fgClr>
                <a:schemeClr val="bg1">
                  <a:lumMod val="50000"/>
                </a:schemeClr>
              </a:fgClr>
              <a:bgClr>
                <a:schemeClr val="bg1"/>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18" name="CaixaDeTexto 17">
              <a:extLst>
                <a:ext uri="{FF2B5EF4-FFF2-40B4-BE49-F238E27FC236}">
                  <a16:creationId xmlns:a16="http://schemas.microsoft.com/office/drawing/2014/main" id="{00000000-0008-0000-0400-000012000000}"/>
                </a:ext>
              </a:extLst>
            </xdr:cNvPr>
            <xdr:cNvSpPr txBox="1"/>
          </xdr:nvSpPr>
          <xdr:spPr>
            <a:xfrm>
              <a:off x="33734189" y="4150659"/>
              <a:ext cx="708212" cy="277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Previsto</a:t>
              </a:r>
            </a:p>
          </xdr:txBody>
        </xdr:sp>
      </xdr:grpSp>
      <xdr:grpSp>
        <xdr:nvGrpSpPr>
          <xdr:cNvPr id="5" name="Agrupar 4">
            <a:extLst>
              <a:ext uri="{FF2B5EF4-FFF2-40B4-BE49-F238E27FC236}">
                <a16:creationId xmlns:a16="http://schemas.microsoft.com/office/drawing/2014/main" id="{00000000-0008-0000-0400-000005000000}"/>
              </a:ext>
            </a:extLst>
          </xdr:cNvPr>
          <xdr:cNvGrpSpPr/>
        </xdr:nvGrpSpPr>
        <xdr:grpSpPr>
          <a:xfrm>
            <a:off x="34397578" y="4150659"/>
            <a:ext cx="1048869" cy="277906"/>
            <a:chOff x="33447318" y="4150659"/>
            <a:chExt cx="1048869" cy="277906"/>
          </a:xfrm>
        </xdr:grpSpPr>
        <xdr:sp macro="" textlink="">
          <xdr:nvSpPr>
            <xdr:cNvPr id="15" name="Retângulo 14">
              <a:extLst>
                <a:ext uri="{FF2B5EF4-FFF2-40B4-BE49-F238E27FC236}">
                  <a16:creationId xmlns:a16="http://schemas.microsoft.com/office/drawing/2014/main" id="{00000000-0008-0000-0400-00000F000000}"/>
                </a:ext>
              </a:extLst>
            </xdr:cNvPr>
            <xdr:cNvSpPr/>
          </xdr:nvSpPr>
          <xdr:spPr>
            <a:xfrm>
              <a:off x="33447318" y="4195483"/>
              <a:ext cx="295835" cy="188259"/>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16" name="CaixaDeTexto 15">
              <a:extLst>
                <a:ext uri="{FF2B5EF4-FFF2-40B4-BE49-F238E27FC236}">
                  <a16:creationId xmlns:a16="http://schemas.microsoft.com/office/drawing/2014/main" id="{00000000-0008-0000-0400-000010000000}"/>
                </a:ext>
              </a:extLst>
            </xdr:cNvPr>
            <xdr:cNvSpPr txBox="1"/>
          </xdr:nvSpPr>
          <xdr:spPr>
            <a:xfrm>
              <a:off x="33734188" y="4150659"/>
              <a:ext cx="761999" cy="277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Realizado</a:t>
              </a:r>
            </a:p>
          </xdr:txBody>
        </xdr:sp>
      </xdr:grpSp>
      <xdr:grpSp>
        <xdr:nvGrpSpPr>
          <xdr:cNvPr id="6" name="Agrupar 5">
            <a:extLst>
              <a:ext uri="{FF2B5EF4-FFF2-40B4-BE49-F238E27FC236}">
                <a16:creationId xmlns:a16="http://schemas.microsoft.com/office/drawing/2014/main" id="{00000000-0008-0000-0400-000006000000}"/>
              </a:ext>
            </a:extLst>
          </xdr:cNvPr>
          <xdr:cNvGrpSpPr/>
        </xdr:nvGrpSpPr>
        <xdr:grpSpPr>
          <a:xfrm>
            <a:off x="35401624" y="4150659"/>
            <a:ext cx="1398494" cy="286870"/>
            <a:chOff x="33447318" y="4150659"/>
            <a:chExt cx="1398494" cy="286870"/>
          </a:xfrm>
        </xdr:grpSpPr>
        <xdr:sp macro="" textlink="">
          <xdr:nvSpPr>
            <xdr:cNvPr id="13" name="Retângulo 12">
              <a:extLst>
                <a:ext uri="{FF2B5EF4-FFF2-40B4-BE49-F238E27FC236}">
                  <a16:creationId xmlns:a16="http://schemas.microsoft.com/office/drawing/2014/main" id="{00000000-0008-0000-0400-00000D000000}"/>
                </a:ext>
              </a:extLst>
            </xdr:cNvPr>
            <xdr:cNvSpPr/>
          </xdr:nvSpPr>
          <xdr:spPr>
            <a:xfrm>
              <a:off x="33447318" y="4195483"/>
              <a:ext cx="295835" cy="18825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14" name="CaixaDeTexto 13">
              <a:extLst>
                <a:ext uri="{FF2B5EF4-FFF2-40B4-BE49-F238E27FC236}">
                  <a16:creationId xmlns:a16="http://schemas.microsoft.com/office/drawing/2014/main" id="{00000000-0008-0000-0400-00000E000000}"/>
                </a:ext>
              </a:extLst>
            </xdr:cNvPr>
            <xdr:cNvSpPr txBox="1"/>
          </xdr:nvSpPr>
          <xdr:spPr>
            <a:xfrm>
              <a:off x="33734188" y="4150659"/>
              <a:ext cx="1111624" cy="286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Final de semana</a:t>
              </a:r>
            </a:p>
          </xdr:txBody>
        </xdr:sp>
      </xdr:grpSp>
      <xdr:grpSp>
        <xdr:nvGrpSpPr>
          <xdr:cNvPr id="7" name="Agrupar 6">
            <a:extLst>
              <a:ext uri="{FF2B5EF4-FFF2-40B4-BE49-F238E27FC236}">
                <a16:creationId xmlns:a16="http://schemas.microsoft.com/office/drawing/2014/main" id="{00000000-0008-0000-0400-000007000000}"/>
              </a:ext>
            </a:extLst>
          </xdr:cNvPr>
          <xdr:cNvGrpSpPr/>
        </xdr:nvGrpSpPr>
        <xdr:grpSpPr>
          <a:xfrm>
            <a:off x="36755295" y="4150659"/>
            <a:ext cx="1048869" cy="277906"/>
            <a:chOff x="33447318" y="4150659"/>
            <a:chExt cx="1048869" cy="277906"/>
          </a:xfrm>
        </xdr:grpSpPr>
        <xdr:sp macro="" textlink="">
          <xdr:nvSpPr>
            <xdr:cNvPr id="11" name="Retângulo 10">
              <a:extLst>
                <a:ext uri="{FF2B5EF4-FFF2-40B4-BE49-F238E27FC236}">
                  <a16:creationId xmlns:a16="http://schemas.microsoft.com/office/drawing/2014/main" id="{00000000-0008-0000-0400-00000B000000}"/>
                </a:ext>
              </a:extLst>
            </xdr:cNvPr>
            <xdr:cNvSpPr/>
          </xdr:nvSpPr>
          <xdr:spPr>
            <a:xfrm>
              <a:off x="33447318" y="4195483"/>
              <a:ext cx="295835" cy="188259"/>
            </a:xfrm>
            <a:prstGeom prst="rect">
              <a:avLst/>
            </a:prstGeom>
            <a:solidFill>
              <a:srgbClr val="FCE7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12" name="CaixaDeTexto 11">
              <a:extLst>
                <a:ext uri="{FF2B5EF4-FFF2-40B4-BE49-F238E27FC236}">
                  <a16:creationId xmlns:a16="http://schemas.microsoft.com/office/drawing/2014/main" id="{00000000-0008-0000-0400-00000C000000}"/>
                </a:ext>
              </a:extLst>
            </xdr:cNvPr>
            <xdr:cNvSpPr txBox="1"/>
          </xdr:nvSpPr>
          <xdr:spPr>
            <a:xfrm>
              <a:off x="33734188" y="4150659"/>
              <a:ext cx="761999" cy="277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Feriado</a:t>
              </a:r>
            </a:p>
          </xdr:txBody>
        </xdr:sp>
      </xdr:grpSp>
      <xdr:grpSp>
        <xdr:nvGrpSpPr>
          <xdr:cNvPr id="8" name="Agrupar 7">
            <a:extLst>
              <a:ext uri="{FF2B5EF4-FFF2-40B4-BE49-F238E27FC236}">
                <a16:creationId xmlns:a16="http://schemas.microsoft.com/office/drawing/2014/main" id="{00000000-0008-0000-0400-000008000000}"/>
              </a:ext>
            </a:extLst>
          </xdr:cNvPr>
          <xdr:cNvGrpSpPr/>
        </xdr:nvGrpSpPr>
        <xdr:grpSpPr>
          <a:xfrm>
            <a:off x="37759341" y="4150659"/>
            <a:ext cx="833719" cy="268941"/>
            <a:chOff x="33447318" y="4150659"/>
            <a:chExt cx="833719" cy="268941"/>
          </a:xfrm>
        </xdr:grpSpPr>
        <xdr:sp macro="" textlink="">
          <xdr:nvSpPr>
            <xdr:cNvPr id="9" name="Retângulo 8">
              <a:extLst>
                <a:ext uri="{FF2B5EF4-FFF2-40B4-BE49-F238E27FC236}">
                  <a16:creationId xmlns:a16="http://schemas.microsoft.com/office/drawing/2014/main" id="{00000000-0008-0000-0400-000009000000}"/>
                </a:ext>
              </a:extLst>
            </xdr:cNvPr>
            <xdr:cNvSpPr/>
          </xdr:nvSpPr>
          <xdr:spPr>
            <a:xfrm>
              <a:off x="33447318" y="4195483"/>
              <a:ext cx="295835" cy="188259"/>
            </a:xfrm>
            <a:prstGeom prst="rect">
              <a:avLst/>
            </a:prstGeom>
            <a:noFill/>
            <a:ln w="15875">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10" name="CaixaDeTexto 9">
              <a:extLst>
                <a:ext uri="{FF2B5EF4-FFF2-40B4-BE49-F238E27FC236}">
                  <a16:creationId xmlns:a16="http://schemas.microsoft.com/office/drawing/2014/main" id="{00000000-0008-0000-0400-00000A000000}"/>
                </a:ext>
              </a:extLst>
            </xdr:cNvPr>
            <xdr:cNvSpPr txBox="1"/>
          </xdr:nvSpPr>
          <xdr:spPr>
            <a:xfrm>
              <a:off x="33734189" y="4150659"/>
              <a:ext cx="546848" cy="268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Hoje</a:t>
              </a:r>
            </a:p>
          </xdr:txBody>
        </xdr:sp>
      </xdr:grpSp>
    </xdr:grpSp>
    <xdr:clientData/>
  </xdr:twoCellAnchor>
  <xdr:twoCellAnchor>
    <xdr:from>
      <xdr:col>39</xdr:col>
      <xdr:colOff>704402</xdr:colOff>
      <xdr:row>23</xdr:row>
      <xdr:rowOff>135030</xdr:rowOff>
    </xdr:from>
    <xdr:to>
      <xdr:col>44</xdr:col>
      <xdr:colOff>16584</xdr:colOff>
      <xdr:row>24</xdr:row>
      <xdr:rowOff>174138</xdr:rowOff>
    </xdr:to>
    <xdr:grpSp>
      <xdr:nvGrpSpPr>
        <xdr:cNvPr id="19" name="Agrupar 18">
          <a:extLst>
            <a:ext uri="{FF2B5EF4-FFF2-40B4-BE49-F238E27FC236}">
              <a16:creationId xmlns:a16="http://schemas.microsoft.com/office/drawing/2014/main" id="{00000000-0008-0000-0400-000013000000}"/>
            </a:ext>
          </a:extLst>
        </xdr:cNvPr>
        <xdr:cNvGrpSpPr/>
      </xdr:nvGrpSpPr>
      <xdr:grpSpPr>
        <a:xfrm>
          <a:off x="29492314" y="4561354"/>
          <a:ext cx="2965299" cy="229608"/>
          <a:chOff x="31510941" y="3998258"/>
          <a:chExt cx="3039035" cy="242047"/>
        </a:xfrm>
      </xdr:grpSpPr>
      <xdr:grpSp>
        <xdr:nvGrpSpPr>
          <xdr:cNvPr id="20" name="Agrupar 19">
            <a:extLst>
              <a:ext uri="{FF2B5EF4-FFF2-40B4-BE49-F238E27FC236}">
                <a16:creationId xmlns:a16="http://schemas.microsoft.com/office/drawing/2014/main" id="{00000000-0008-0000-0400-000014000000}"/>
              </a:ext>
            </a:extLst>
          </xdr:cNvPr>
          <xdr:cNvGrpSpPr/>
        </xdr:nvGrpSpPr>
        <xdr:grpSpPr>
          <a:xfrm>
            <a:off x="31510941" y="3998258"/>
            <a:ext cx="887506" cy="242047"/>
            <a:chOff x="31510941" y="3998258"/>
            <a:chExt cx="887506" cy="242047"/>
          </a:xfrm>
        </xdr:grpSpPr>
        <xdr:sp macro="" textlink="">
          <xdr:nvSpPr>
            <xdr:cNvPr id="27" name="Retângulo 26">
              <a:extLst>
                <a:ext uri="{FF2B5EF4-FFF2-40B4-BE49-F238E27FC236}">
                  <a16:creationId xmlns:a16="http://schemas.microsoft.com/office/drawing/2014/main" id="{00000000-0008-0000-0400-00001B000000}"/>
                </a:ext>
              </a:extLst>
            </xdr:cNvPr>
            <xdr:cNvSpPr/>
          </xdr:nvSpPr>
          <xdr:spPr>
            <a:xfrm>
              <a:off x="31510941" y="4025152"/>
              <a:ext cx="295835" cy="188259"/>
            </a:xfrm>
            <a:prstGeom prst="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28" name="CaixaDeTexto 27">
              <a:extLst>
                <a:ext uri="{FF2B5EF4-FFF2-40B4-BE49-F238E27FC236}">
                  <a16:creationId xmlns:a16="http://schemas.microsoft.com/office/drawing/2014/main" id="{00000000-0008-0000-0400-00001C000000}"/>
                </a:ext>
              </a:extLst>
            </xdr:cNvPr>
            <xdr:cNvSpPr txBox="1"/>
          </xdr:nvSpPr>
          <xdr:spPr>
            <a:xfrm>
              <a:off x="31797812" y="3998258"/>
              <a:ext cx="600635" cy="242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Cliente</a:t>
              </a:r>
            </a:p>
          </xdr:txBody>
        </xdr:sp>
      </xdr:grpSp>
      <xdr:grpSp>
        <xdr:nvGrpSpPr>
          <xdr:cNvPr id="21" name="Agrupar 20">
            <a:extLst>
              <a:ext uri="{FF2B5EF4-FFF2-40B4-BE49-F238E27FC236}">
                <a16:creationId xmlns:a16="http://schemas.microsoft.com/office/drawing/2014/main" id="{00000000-0008-0000-0400-000015000000}"/>
              </a:ext>
            </a:extLst>
          </xdr:cNvPr>
          <xdr:cNvGrpSpPr/>
        </xdr:nvGrpSpPr>
        <xdr:grpSpPr>
          <a:xfrm>
            <a:off x="32344658" y="3998258"/>
            <a:ext cx="887506" cy="242047"/>
            <a:chOff x="31510941" y="3998258"/>
            <a:chExt cx="887506" cy="242047"/>
          </a:xfrm>
        </xdr:grpSpPr>
        <xdr:sp macro="" textlink="">
          <xdr:nvSpPr>
            <xdr:cNvPr id="25" name="Retângulo 24">
              <a:extLst>
                <a:ext uri="{FF2B5EF4-FFF2-40B4-BE49-F238E27FC236}">
                  <a16:creationId xmlns:a16="http://schemas.microsoft.com/office/drawing/2014/main" id="{00000000-0008-0000-0400-000019000000}"/>
                </a:ext>
              </a:extLst>
            </xdr:cNvPr>
            <xdr:cNvSpPr/>
          </xdr:nvSpPr>
          <xdr:spPr>
            <a:xfrm>
              <a:off x="31510941" y="4025152"/>
              <a:ext cx="295835" cy="188259"/>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26" name="CaixaDeTexto 25">
              <a:extLst>
                <a:ext uri="{FF2B5EF4-FFF2-40B4-BE49-F238E27FC236}">
                  <a16:creationId xmlns:a16="http://schemas.microsoft.com/office/drawing/2014/main" id="{00000000-0008-0000-0400-00001A000000}"/>
                </a:ext>
              </a:extLst>
            </xdr:cNvPr>
            <xdr:cNvSpPr txBox="1"/>
          </xdr:nvSpPr>
          <xdr:spPr>
            <a:xfrm>
              <a:off x="31797812" y="3998258"/>
              <a:ext cx="600635" cy="242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Cactos</a:t>
              </a:r>
            </a:p>
          </xdr:txBody>
        </xdr:sp>
      </xdr:grpSp>
      <xdr:grpSp>
        <xdr:nvGrpSpPr>
          <xdr:cNvPr id="22" name="Agrupar 21">
            <a:extLst>
              <a:ext uri="{FF2B5EF4-FFF2-40B4-BE49-F238E27FC236}">
                <a16:creationId xmlns:a16="http://schemas.microsoft.com/office/drawing/2014/main" id="{00000000-0008-0000-0400-000016000000}"/>
              </a:ext>
            </a:extLst>
          </xdr:cNvPr>
          <xdr:cNvGrpSpPr/>
        </xdr:nvGrpSpPr>
        <xdr:grpSpPr>
          <a:xfrm>
            <a:off x="33178376" y="3998259"/>
            <a:ext cx="1371600" cy="224118"/>
            <a:chOff x="31510941" y="3998259"/>
            <a:chExt cx="1371600" cy="224118"/>
          </a:xfrm>
        </xdr:grpSpPr>
        <xdr:sp macro="" textlink="">
          <xdr:nvSpPr>
            <xdr:cNvPr id="23" name="Retângulo 22">
              <a:extLst>
                <a:ext uri="{FF2B5EF4-FFF2-40B4-BE49-F238E27FC236}">
                  <a16:creationId xmlns:a16="http://schemas.microsoft.com/office/drawing/2014/main" id="{00000000-0008-0000-0400-000017000000}"/>
                </a:ext>
              </a:extLst>
            </xdr:cNvPr>
            <xdr:cNvSpPr/>
          </xdr:nvSpPr>
          <xdr:spPr>
            <a:xfrm>
              <a:off x="31510941" y="4025152"/>
              <a:ext cx="295835" cy="188259"/>
            </a:xfrm>
            <a:prstGeom prst="rect">
              <a:avLst/>
            </a:prstGeom>
            <a:solidFill>
              <a:schemeClr val="accent4">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24" name="CaixaDeTexto 23">
              <a:extLst>
                <a:ext uri="{FF2B5EF4-FFF2-40B4-BE49-F238E27FC236}">
                  <a16:creationId xmlns:a16="http://schemas.microsoft.com/office/drawing/2014/main" id="{00000000-0008-0000-0400-000018000000}"/>
                </a:ext>
              </a:extLst>
            </xdr:cNvPr>
            <xdr:cNvSpPr txBox="1"/>
          </xdr:nvSpPr>
          <xdr:spPr>
            <a:xfrm>
              <a:off x="31797812" y="3998259"/>
              <a:ext cx="1084729" cy="224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Concessionária</a:t>
              </a:r>
            </a:p>
          </xdr:txBody>
        </xdr:sp>
      </xdr:grpSp>
    </xdr:grpSp>
    <xdr:clientData/>
  </xdr:twoCellAnchor>
  <xdr:twoCellAnchor>
    <xdr:from>
      <xdr:col>13</xdr:col>
      <xdr:colOff>1</xdr:colOff>
      <xdr:row>0</xdr:row>
      <xdr:rowOff>1906</xdr:rowOff>
    </xdr:from>
    <xdr:to>
      <xdr:col>15</xdr:col>
      <xdr:colOff>7620</xdr:colOff>
      <xdr:row>3</xdr:row>
      <xdr:rowOff>66675</xdr:rowOff>
    </xdr:to>
    <xdr:sp macro="[0]!converter_prospecto" textlink="" fLocksText="0">
      <xdr:nvSpPr>
        <xdr:cNvPr id="31" name="BTBLOQDESBLOC">
          <a:extLst>
            <a:ext uri="{FF2B5EF4-FFF2-40B4-BE49-F238E27FC236}">
              <a16:creationId xmlns:a16="http://schemas.microsoft.com/office/drawing/2014/main" id="{00000000-0008-0000-0400-00001F000000}"/>
            </a:ext>
          </a:extLst>
        </xdr:cNvPr>
        <xdr:cNvSpPr/>
      </xdr:nvSpPr>
      <xdr:spPr>
        <a:xfrm>
          <a:off x="13354051" y="1906"/>
          <a:ext cx="931544" cy="607694"/>
        </a:xfrm>
        <a:prstGeom prst="flowChartAlternateProcess">
          <a:avLst/>
        </a:prstGeom>
        <a:solidFill>
          <a:schemeClr val="accent6">
            <a:lumMod val="20000"/>
            <a:lumOff val="80000"/>
          </a:schemeClr>
        </a:solidFill>
        <a:ln>
          <a:solidFill>
            <a:schemeClr val="accent6"/>
          </a:solid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200" b="1">
              <a:solidFill>
                <a:schemeClr val="accent6">
                  <a:lumMod val="50000"/>
                </a:schemeClr>
              </a:solidFill>
            </a:rPr>
            <a:t>Converter Cliente</a:t>
          </a:r>
        </a:p>
      </xdr:txBody>
    </xdr:sp>
    <xdr:clientData/>
  </xdr:twoCellAnchor>
  <xdr:twoCellAnchor>
    <xdr:from>
      <xdr:col>8</xdr:col>
      <xdr:colOff>640337</xdr:colOff>
      <xdr:row>119</xdr:row>
      <xdr:rowOff>68035</xdr:rowOff>
    </xdr:from>
    <xdr:to>
      <xdr:col>8</xdr:col>
      <xdr:colOff>640337</xdr:colOff>
      <xdr:row>154</xdr:row>
      <xdr:rowOff>152400</xdr:rowOff>
    </xdr:to>
    <xdr:cxnSp macro="">
      <xdr:nvCxnSpPr>
        <xdr:cNvPr id="35" name="Conector reto 34">
          <a:extLst>
            <a:ext uri="{FF2B5EF4-FFF2-40B4-BE49-F238E27FC236}">
              <a16:creationId xmlns:a16="http://schemas.microsoft.com/office/drawing/2014/main" id="{34A0195A-851D-B5C0-BADB-B99EC0568B46}"/>
            </a:ext>
          </a:extLst>
        </xdr:cNvPr>
        <xdr:cNvCxnSpPr/>
      </xdr:nvCxnSpPr>
      <xdr:spPr>
        <a:xfrm>
          <a:off x="9268866" y="22782359"/>
          <a:ext cx="0" cy="6751865"/>
        </a:xfrm>
        <a:prstGeom prst="line">
          <a:avLst/>
        </a:prstGeom>
        <a:ln w="38100"/>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52828</xdr:colOff>
      <xdr:row>119</xdr:row>
      <xdr:rowOff>68035</xdr:rowOff>
    </xdr:from>
    <xdr:to>
      <xdr:col>9</xdr:col>
      <xdr:colOff>52828</xdr:colOff>
      <xdr:row>154</xdr:row>
      <xdr:rowOff>149678</xdr:rowOff>
    </xdr:to>
    <xdr:cxnSp macro="">
      <xdr:nvCxnSpPr>
        <xdr:cNvPr id="36" name="Conector reto 35">
          <a:extLst>
            <a:ext uri="{FF2B5EF4-FFF2-40B4-BE49-F238E27FC236}">
              <a16:creationId xmlns:a16="http://schemas.microsoft.com/office/drawing/2014/main" id="{5D49952C-6603-9954-946A-FEB6BD175CD6}"/>
            </a:ext>
          </a:extLst>
        </xdr:cNvPr>
        <xdr:cNvCxnSpPr/>
      </xdr:nvCxnSpPr>
      <xdr:spPr>
        <a:xfrm>
          <a:off x="9846769" y="22782359"/>
          <a:ext cx="0" cy="6749143"/>
        </a:xfrm>
        <a:prstGeom prst="line">
          <a:avLst/>
        </a:prstGeom>
        <a:ln w="38100">
          <a:solidFill>
            <a:srgbClr val="FF000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665150</xdr:colOff>
      <xdr:row>119</xdr:row>
      <xdr:rowOff>68035</xdr:rowOff>
    </xdr:from>
    <xdr:to>
      <xdr:col>9</xdr:col>
      <xdr:colOff>665150</xdr:colOff>
      <xdr:row>154</xdr:row>
      <xdr:rowOff>136071</xdr:rowOff>
    </xdr:to>
    <xdr:cxnSp macro="">
      <xdr:nvCxnSpPr>
        <xdr:cNvPr id="37" name="Conector reto 36">
          <a:extLst>
            <a:ext uri="{FF2B5EF4-FFF2-40B4-BE49-F238E27FC236}">
              <a16:creationId xmlns:a16="http://schemas.microsoft.com/office/drawing/2014/main" id="{3D1E5EC0-B179-053B-F9FB-0F9C2F8ED7A3}"/>
            </a:ext>
          </a:extLst>
        </xdr:cNvPr>
        <xdr:cNvCxnSpPr/>
      </xdr:nvCxnSpPr>
      <xdr:spPr>
        <a:xfrm>
          <a:off x="10459091" y="22782359"/>
          <a:ext cx="0" cy="6735536"/>
        </a:xfrm>
        <a:prstGeom prst="line">
          <a:avLst/>
        </a:prstGeom>
        <a:ln w="38100">
          <a:solidFill>
            <a:schemeClr val="accent4">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490658</xdr:colOff>
      <xdr:row>116</xdr:row>
      <xdr:rowOff>163285</xdr:rowOff>
    </xdr:from>
    <xdr:to>
      <xdr:col>8</xdr:col>
      <xdr:colOff>858052</xdr:colOff>
      <xdr:row>118</xdr:row>
      <xdr:rowOff>108857</xdr:rowOff>
    </xdr:to>
    <xdr:sp macro="" textlink="">
      <xdr:nvSpPr>
        <xdr:cNvPr id="38" name="CaixaDeTexto 37">
          <a:extLst>
            <a:ext uri="{FF2B5EF4-FFF2-40B4-BE49-F238E27FC236}">
              <a16:creationId xmlns:a16="http://schemas.microsoft.com/office/drawing/2014/main" id="{809B32BC-15EC-071F-E08F-F2A74AC38D2E}"/>
            </a:ext>
          </a:extLst>
        </xdr:cNvPr>
        <xdr:cNvSpPr txBox="1"/>
      </xdr:nvSpPr>
      <xdr:spPr>
        <a:xfrm>
          <a:off x="9119187" y="22306109"/>
          <a:ext cx="367394" cy="326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2400" b="1">
              <a:solidFill>
                <a:sysClr val="windowText" lastClr="000000"/>
              </a:solidFill>
            </a:rPr>
            <a:t>R</a:t>
          </a:r>
        </a:p>
      </xdr:txBody>
    </xdr:sp>
    <xdr:clientData/>
  </xdr:twoCellAnchor>
  <xdr:twoCellAnchor>
    <xdr:from>
      <xdr:col>8</xdr:col>
      <xdr:colOff>1034944</xdr:colOff>
      <xdr:row>116</xdr:row>
      <xdr:rowOff>163285</xdr:rowOff>
    </xdr:from>
    <xdr:to>
      <xdr:col>9</xdr:col>
      <xdr:colOff>229722</xdr:colOff>
      <xdr:row>118</xdr:row>
      <xdr:rowOff>108857</xdr:rowOff>
    </xdr:to>
    <xdr:sp macro="" textlink="">
      <xdr:nvSpPr>
        <xdr:cNvPr id="39" name="CaixaDeTexto 38">
          <a:extLst>
            <a:ext uri="{FF2B5EF4-FFF2-40B4-BE49-F238E27FC236}">
              <a16:creationId xmlns:a16="http://schemas.microsoft.com/office/drawing/2014/main" id="{F9C921B4-B7B7-7AEF-C005-087919CF4236}"/>
            </a:ext>
          </a:extLst>
        </xdr:cNvPr>
        <xdr:cNvSpPr txBox="1"/>
      </xdr:nvSpPr>
      <xdr:spPr>
        <a:xfrm>
          <a:off x="9663473" y="22306109"/>
          <a:ext cx="360190" cy="326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2400" b="1">
              <a:solidFill>
                <a:srgbClr val="FF0000"/>
              </a:solidFill>
            </a:rPr>
            <a:t>S</a:t>
          </a:r>
        </a:p>
      </xdr:txBody>
    </xdr:sp>
    <xdr:clientData/>
  </xdr:twoCellAnchor>
  <xdr:twoCellAnchor>
    <xdr:from>
      <xdr:col>9</xdr:col>
      <xdr:colOff>488256</xdr:colOff>
      <xdr:row>116</xdr:row>
      <xdr:rowOff>163285</xdr:rowOff>
    </xdr:from>
    <xdr:to>
      <xdr:col>9</xdr:col>
      <xdr:colOff>855650</xdr:colOff>
      <xdr:row>118</xdr:row>
      <xdr:rowOff>108857</xdr:rowOff>
    </xdr:to>
    <xdr:sp macro="" textlink="">
      <xdr:nvSpPr>
        <xdr:cNvPr id="40" name="CaixaDeTexto 39">
          <a:extLst>
            <a:ext uri="{FF2B5EF4-FFF2-40B4-BE49-F238E27FC236}">
              <a16:creationId xmlns:a16="http://schemas.microsoft.com/office/drawing/2014/main" id="{26C44AB0-4E85-9738-5A78-E4615F66C9A4}"/>
            </a:ext>
          </a:extLst>
        </xdr:cNvPr>
        <xdr:cNvSpPr txBox="1"/>
      </xdr:nvSpPr>
      <xdr:spPr>
        <a:xfrm>
          <a:off x="10282197" y="22306109"/>
          <a:ext cx="367394" cy="326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2400" b="1">
              <a:solidFill>
                <a:schemeClr val="accent4">
                  <a:lumMod val="75000"/>
                </a:schemeClr>
              </a:solidFill>
            </a:rPr>
            <a:t>T</a:t>
          </a:r>
        </a:p>
      </xdr:txBody>
    </xdr:sp>
    <xdr:clientData/>
  </xdr:twoCellAnchor>
  <xdr:twoCellAnchor>
    <xdr:from>
      <xdr:col>7</xdr:col>
      <xdr:colOff>867895</xdr:colOff>
      <xdr:row>121</xdr:row>
      <xdr:rowOff>151039</xdr:rowOff>
    </xdr:from>
    <xdr:to>
      <xdr:col>8</xdr:col>
      <xdr:colOff>640337</xdr:colOff>
      <xdr:row>121</xdr:row>
      <xdr:rowOff>151039</xdr:rowOff>
    </xdr:to>
    <xdr:cxnSp macro="">
      <xdr:nvCxnSpPr>
        <xdr:cNvPr id="44" name="Conector reto 43">
          <a:extLst>
            <a:ext uri="{FF2B5EF4-FFF2-40B4-BE49-F238E27FC236}">
              <a16:creationId xmlns:a16="http://schemas.microsoft.com/office/drawing/2014/main" id="{05944310-6028-F8F9-8A89-231A75D83033}"/>
            </a:ext>
          </a:extLst>
        </xdr:cNvPr>
        <xdr:cNvCxnSpPr/>
      </xdr:nvCxnSpPr>
      <xdr:spPr>
        <a:xfrm>
          <a:off x="8532719" y="23246363"/>
          <a:ext cx="736147" cy="0"/>
        </a:xfrm>
        <a:prstGeom prst="line">
          <a:avLst/>
        </a:prstGeom>
        <a:ln>
          <a:tailEnd type="ova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361389</xdr:colOff>
      <xdr:row>121</xdr:row>
      <xdr:rowOff>38101</xdr:rowOff>
    </xdr:from>
    <xdr:to>
      <xdr:col>7</xdr:col>
      <xdr:colOff>877420</xdr:colOff>
      <xdr:row>123</xdr:row>
      <xdr:rowOff>85725</xdr:rowOff>
    </xdr:to>
    <xdr:sp macro="" textlink="">
      <xdr:nvSpPr>
        <xdr:cNvPr id="46" name="Retângulo 45">
          <a:extLst>
            <a:ext uri="{FF2B5EF4-FFF2-40B4-BE49-F238E27FC236}">
              <a16:creationId xmlns:a16="http://schemas.microsoft.com/office/drawing/2014/main" id="{9AE1677A-8631-834D-F13A-8A1FC3F548D9}"/>
            </a:ext>
          </a:extLst>
        </xdr:cNvPr>
        <xdr:cNvSpPr/>
      </xdr:nvSpPr>
      <xdr:spPr>
        <a:xfrm>
          <a:off x="8026213" y="23133425"/>
          <a:ext cx="516031" cy="42862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7</xdr:col>
      <xdr:colOff>877420</xdr:colOff>
      <xdr:row>122</xdr:row>
      <xdr:rowOff>151039</xdr:rowOff>
    </xdr:from>
    <xdr:to>
      <xdr:col>9</xdr:col>
      <xdr:colOff>58271</xdr:colOff>
      <xdr:row>122</xdr:row>
      <xdr:rowOff>151039</xdr:rowOff>
    </xdr:to>
    <xdr:cxnSp macro="">
      <xdr:nvCxnSpPr>
        <xdr:cNvPr id="47" name="Conector reto 46">
          <a:extLst>
            <a:ext uri="{FF2B5EF4-FFF2-40B4-BE49-F238E27FC236}">
              <a16:creationId xmlns:a16="http://schemas.microsoft.com/office/drawing/2014/main" id="{CE11435A-DF98-3EC8-4123-D03C6A824DB9}"/>
            </a:ext>
          </a:extLst>
        </xdr:cNvPr>
        <xdr:cNvCxnSpPr/>
      </xdr:nvCxnSpPr>
      <xdr:spPr>
        <a:xfrm>
          <a:off x="8542244" y="23436863"/>
          <a:ext cx="1309968" cy="0"/>
        </a:xfrm>
        <a:prstGeom prst="line">
          <a:avLst/>
        </a:prstGeom>
        <a:ln>
          <a:solidFill>
            <a:srgbClr val="FF0000"/>
          </a:solidFill>
          <a:tailEnd type="ova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867895</xdr:colOff>
      <xdr:row>124</xdr:row>
      <xdr:rowOff>36739</xdr:rowOff>
    </xdr:from>
    <xdr:to>
      <xdr:col>9</xdr:col>
      <xdr:colOff>672353</xdr:colOff>
      <xdr:row>124</xdr:row>
      <xdr:rowOff>36739</xdr:rowOff>
    </xdr:to>
    <xdr:cxnSp macro="">
      <xdr:nvCxnSpPr>
        <xdr:cNvPr id="49" name="Conector reto 48">
          <a:extLst>
            <a:ext uri="{FF2B5EF4-FFF2-40B4-BE49-F238E27FC236}">
              <a16:creationId xmlns:a16="http://schemas.microsoft.com/office/drawing/2014/main" id="{6FA0499E-0322-92EE-8803-2FA9F84CF645}"/>
            </a:ext>
          </a:extLst>
        </xdr:cNvPr>
        <xdr:cNvCxnSpPr/>
      </xdr:nvCxnSpPr>
      <xdr:spPr>
        <a:xfrm>
          <a:off x="8532719" y="23703563"/>
          <a:ext cx="1933575" cy="0"/>
        </a:xfrm>
        <a:prstGeom prst="line">
          <a:avLst/>
        </a:prstGeom>
        <a:ln>
          <a:solidFill>
            <a:schemeClr val="accent4">
              <a:lumMod val="75000"/>
            </a:schemeClr>
          </a:solidFill>
          <a:tailEnd type="ova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361389</xdr:colOff>
      <xdr:row>123</xdr:row>
      <xdr:rowOff>114301</xdr:rowOff>
    </xdr:from>
    <xdr:to>
      <xdr:col>7</xdr:col>
      <xdr:colOff>877420</xdr:colOff>
      <xdr:row>125</xdr:row>
      <xdr:rowOff>161925</xdr:rowOff>
    </xdr:to>
    <xdr:sp macro="" textlink="">
      <xdr:nvSpPr>
        <xdr:cNvPr id="50" name="Retângulo 49">
          <a:extLst>
            <a:ext uri="{FF2B5EF4-FFF2-40B4-BE49-F238E27FC236}">
              <a16:creationId xmlns:a16="http://schemas.microsoft.com/office/drawing/2014/main" id="{0EC44C79-0550-1B11-5992-9556FCBFBB66}"/>
            </a:ext>
          </a:extLst>
        </xdr:cNvPr>
        <xdr:cNvSpPr/>
      </xdr:nvSpPr>
      <xdr:spPr>
        <a:xfrm>
          <a:off x="8026213" y="23590625"/>
          <a:ext cx="516031" cy="42862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7</xdr:col>
      <xdr:colOff>867895</xdr:colOff>
      <xdr:row>125</xdr:row>
      <xdr:rowOff>36739</xdr:rowOff>
    </xdr:from>
    <xdr:to>
      <xdr:col>8</xdr:col>
      <xdr:colOff>649941</xdr:colOff>
      <xdr:row>125</xdr:row>
      <xdr:rowOff>36739</xdr:rowOff>
    </xdr:to>
    <xdr:cxnSp macro="">
      <xdr:nvCxnSpPr>
        <xdr:cNvPr id="51" name="Conector reto 50">
          <a:extLst>
            <a:ext uri="{FF2B5EF4-FFF2-40B4-BE49-F238E27FC236}">
              <a16:creationId xmlns:a16="http://schemas.microsoft.com/office/drawing/2014/main" id="{579087B2-172B-7729-8C72-2F4D8BEC8619}"/>
            </a:ext>
          </a:extLst>
        </xdr:cNvPr>
        <xdr:cNvCxnSpPr/>
      </xdr:nvCxnSpPr>
      <xdr:spPr>
        <a:xfrm>
          <a:off x="8532719" y="23894063"/>
          <a:ext cx="745751" cy="0"/>
        </a:xfrm>
        <a:prstGeom prst="line">
          <a:avLst/>
        </a:prstGeom>
        <a:ln>
          <a:tailEnd type="ova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867895</xdr:colOff>
      <xdr:row>126</xdr:row>
      <xdr:rowOff>112939</xdr:rowOff>
    </xdr:from>
    <xdr:to>
      <xdr:col>9</xdr:col>
      <xdr:colOff>67235</xdr:colOff>
      <xdr:row>126</xdr:row>
      <xdr:rowOff>112939</xdr:rowOff>
    </xdr:to>
    <xdr:cxnSp macro="">
      <xdr:nvCxnSpPr>
        <xdr:cNvPr id="52" name="Conector reto 51">
          <a:extLst>
            <a:ext uri="{FF2B5EF4-FFF2-40B4-BE49-F238E27FC236}">
              <a16:creationId xmlns:a16="http://schemas.microsoft.com/office/drawing/2014/main" id="{4A1DFF12-8585-18EB-F136-0BAD1B305761}"/>
            </a:ext>
          </a:extLst>
        </xdr:cNvPr>
        <xdr:cNvCxnSpPr/>
      </xdr:nvCxnSpPr>
      <xdr:spPr>
        <a:xfrm>
          <a:off x="8532719" y="24160763"/>
          <a:ext cx="1328457" cy="0"/>
        </a:xfrm>
        <a:prstGeom prst="line">
          <a:avLst/>
        </a:prstGeom>
        <a:ln>
          <a:solidFill>
            <a:srgbClr val="FF0000"/>
          </a:solidFill>
          <a:tailEnd type="ova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361389</xdr:colOff>
      <xdr:row>126</xdr:row>
      <xdr:rowOff>1</xdr:rowOff>
    </xdr:from>
    <xdr:to>
      <xdr:col>7</xdr:col>
      <xdr:colOff>877420</xdr:colOff>
      <xdr:row>128</xdr:row>
      <xdr:rowOff>47625</xdr:rowOff>
    </xdr:to>
    <xdr:sp macro="" textlink="">
      <xdr:nvSpPr>
        <xdr:cNvPr id="53" name="Retângulo 52">
          <a:extLst>
            <a:ext uri="{FF2B5EF4-FFF2-40B4-BE49-F238E27FC236}">
              <a16:creationId xmlns:a16="http://schemas.microsoft.com/office/drawing/2014/main" id="{4A908843-2856-C90F-1250-CEE7235A98E2}"/>
            </a:ext>
          </a:extLst>
        </xdr:cNvPr>
        <xdr:cNvSpPr/>
      </xdr:nvSpPr>
      <xdr:spPr>
        <a:xfrm>
          <a:off x="8026213" y="24047825"/>
          <a:ext cx="516031" cy="42862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7</xdr:col>
      <xdr:colOff>867895</xdr:colOff>
      <xdr:row>127</xdr:row>
      <xdr:rowOff>112939</xdr:rowOff>
    </xdr:from>
    <xdr:to>
      <xdr:col>9</xdr:col>
      <xdr:colOff>672353</xdr:colOff>
      <xdr:row>127</xdr:row>
      <xdr:rowOff>112939</xdr:rowOff>
    </xdr:to>
    <xdr:cxnSp macro="">
      <xdr:nvCxnSpPr>
        <xdr:cNvPr id="54" name="Conector reto 53">
          <a:extLst>
            <a:ext uri="{FF2B5EF4-FFF2-40B4-BE49-F238E27FC236}">
              <a16:creationId xmlns:a16="http://schemas.microsoft.com/office/drawing/2014/main" id="{D1875E5B-2434-D39D-5553-22D8AB7FCF08}"/>
            </a:ext>
          </a:extLst>
        </xdr:cNvPr>
        <xdr:cNvCxnSpPr/>
      </xdr:nvCxnSpPr>
      <xdr:spPr>
        <a:xfrm>
          <a:off x="8532719" y="24351263"/>
          <a:ext cx="1933575" cy="0"/>
        </a:xfrm>
        <a:prstGeom prst="line">
          <a:avLst/>
        </a:prstGeom>
        <a:ln>
          <a:solidFill>
            <a:schemeClr val="accent4">
              <a:lumMod val="75000"/>
            </a:schemeClr>
          </a:solidFill>
          <a:tailEnd type="ova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867895</xdr:colOff>
      <xdr:row>129</xdr:row>
      <xdr:rowOff>8164</xdr:rowOff>
    </xdr:from>
    <xdr:to>
      <xdr:col>8</xdr:col>
      <xdr:colOff>640337</xdr:colOff>
      <xdr:row>129</xdr:row>
      <xdr:rowOff>8164</xdr:rowOff>
    </xdr:to>
    <xdr:cxnSp macro="">
      <xdr:nvCxnSpPr>
        <xdr:cNvPr id="233503" name="Conector reto 233502">
          <a:extLst>
            <a:ext uri="{FF2B5EF4-FFF2-40B4-BE49-F238E27FC236}">
              <a16:creationId xmlns:a16="http://schemas.microsoft.com/office/drawing/2014/main" id="{588FB513-4EEF-AF7F-9710-EFE742079520}"/>
            </a:ext>
          </a:extLst>
        </xdr:cNvPr>
        <xdr:cNvCxnSpPr/>
      </xdr:nvCxnSpPr>
      <xdr:spPr>
        <a:xfrm>
          <a:off x="8532719" y="24627488"/>
          <a:ext cx="736147" cy="0"/>
        </a:xfrm>
        <a:prstGeom prst="line">
          <a:avLst/>
        </a:prstGeom>
        <a:ln>
          <a:tailEnd type="ova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361389</xdr:colOff>
      <xdr:row>128</xdr:row>
      <xdr:rowOff>85726</xdr:rowOff>
    </xdr:from>
    <xdr:to>
      <xdr:col>7</xdr:col>
      <xdr:colOff>877420</xdr:colOff>
      <xdr:row>130</xdr:row>
      <xdr:rowOff>133350</xdr:rowOff>
    </xdr:to>
    <xdr:sp macro="" textlink="">
      <xdr:nvSpPr>
        <xdr:cNvPr id="233504" name="Retângulo 233503">
          <a:extLst>
            <a:ext uri="{FF2B5EF4-FFF2-40B4-BE49-F238E27FC236}">
              <a16:creationId xmlns:a16="http://schemas.microsoft.com/office/drawing/2014/main" id="{170D27A0-289A-3DED-D372-29D8C36CB2B0}"/>
            </a:ext>
          </a:extLst>
        </xdr:cNvPr>
        <xdr:cNvSpPr/>
      </xdr:nvSpPr>
      <xdr:spPr>
        <a:xfrm>
          <a:off x="8026213" y="24514550"/>
          <a:ext cx="516031" cy="42862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7</xdr:col>
      <xdr:colOff>877420</xdr:colOff>
      <xdr:row>130</xdr:row>
      <xdr:rowOff>8164</xdr:rowOff>
    </xdr:from>
    <xdr:to>
      <xdr:col>9</xdr:col>
      <xdr:colOff>58271</xdr:colOff>
      <xdr:row>130</xdr:row>
      <xdr:rowOff>8164</xdr:rowOff>
    </xdr:to>
    <xdr:cxnSp macro="">
      <xdr:nvCxnSpPr>
        <xdr:cNvPr id="233505" name="Conector reto 233504">
          <a:extLst>
            <a:ext uri="{FF2B5EF4-FFF2-40B4-BE49-F238E27FC236}">
              <a16:creationId xmlns:a16="http://schemas.microsoft.com/office/drawing/2014/main" id="{34C4DD49-021C-C12C-6D82-EBA6F2402954}"/>
            </a:ext>
          </a:extLst>
        </xdr:cNvPr>
        <xdr:cNvCxnSpPr/>
      </xdr:nvCxnSpPr>
      <xdr:spPr>
        <a:xfrm>
          <a:off x="8542244" y="24817988"/>
          <a:ext cx="1309968" cy="0"/>
        </a:xfrm>
        <a:prstGeom prst="line">
          <a:avLst/>
        </a:prstGeom>
        <a:ln>
          <a:solidFill>
            <a:srgbClr val="FF0000"/>
          </a:solidFill>
          <a:tailEnd type="ova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867895</xdr:colOff>
      <xdr:row>131</xdr:row>
      <xdr:rowOff>84364</xdr:rowOff>
    </xdr:from>
    <xdr:to>
      <xdr:col>9</xdr:col>
      <xdr:colOff>672353</xdr:colOff>
      <xdr:row>131</xdr:row>
      <xdr:rowOff>84364</xdr:rowOff>
    </xdr:to>
    <xdr:cxnSp macro="">
      <xdr:nvCxnSpPr>
        <xdr:cNvPr id="233506" name="Conector reto 233505">
          <a:extLst>
            <a:ext uri="{FF2B5EF4-FFF2-40B4-BE49-F238E27FC236}">
              <a16:creationId xmlns:a16="http://schemas.microsoft.com/office/drawing/2014/main" id="{470F7106-90F1-CD1D-6A6B-80AA4D382F2F}"/>
            </a:ext>
          </a:extLst>
        </xdr:cNvPr>
        <xdr:cNvCxnSpPr/>
      </xdr:nvCxnSpPr>
      <xdr:spPr>
        <a:xfrm>
          <a:off x="8532719" y="25084688"/>
          <a:ext cx="1933575" cy="0"/>
        </a:xfrm>
        <a:prstGeom prst="line">
          <a:avLst/>
        </a:prstGeom>
        <a:ln>
          <a:solidFill>
            <a:schemeClr val="accent4">
              <a:lumMod val="75000"/>
            </a:schemeClr>
          </a:solidFill>
          <a:tailEnd type="ova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361389</xdr:colOff>
      <xdr:row>130</xdr:row>
      <xdr:rowOff>161926</xdr:rowOff>
    </xdr:from>
    <xdr:to>
      <xdr:col>7</xdr:col>
      <xdr:colOff>877420</xdr:colOff>
      <xdr:row>133</xdr:row>
      <xdr:rowOff>19050</xdr:rowOff>
    </xdr:to>
    <xdr:sp macro="" textlink="">
      <xdr:nvSpPr>
        <xdr:cNvPr id="233507" name="Retângulo 233506">
          <a:extLst>
            <a:ext uri="{FF2B5EF4-FFF2-40B4-BE49-F238E27FC236}">
              <a16:creationId xmlns:a16="http://schemas.microsoft.com/office/drawing/2014/main" id="{AD4D6C4E-E3CB-1CCD-6FA9-DE19A5E0E994}"/>
            </a:ext>
          </a:extLst>
        </xdr:cNvPr>
        <xdr:cNvSpPr/>
      </xdr:nvSpPr>
      <xdr:spPr>
        <a:xfrm>
          <a:off x="8026213" y="24971750"/>
          <a:ext cx="516031" cy="42862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7</xdr:col>
      <xdr:colOff>867895</xdr:colOff>
      <xdr:row>132</xdr:row>
      <xdr:rowOff>84364</xdr:rowOff>
    </xdr:from>
    <xdr:to>
      <xdr:col>8</xdr:col>
      <xdr:colOff>649941</xdr:colOff>
      <xdr:row>132</xdr:row>
      <xdr:rowOff>84364</xdr:rowOff>
    </xdr:to>
    <xdr:cxnSp macro="">
      <xdr:nvCxnSpPr>
        <xdr:cNvPr id="233508" name="Conector reto 233507">
          <a:extLst>
            <a:ext uri="{FF2B5EF4-FFF2-40B4-BE49-F238E27FC236}">
              <a16:creationId xmlns:a16="http://schemas.microsoft.com/office/drawing/2014/main" id="{66A41BEB-E764-16FB-F03A-06845B9ACC24}"/>
            </a:ext>
          </a:extLst>
        </xdr:cNvPr>
        <xdr:cNvCxnSpPr/>
      </xdr:nvCxnSpPr>
      <xdr:spPr>
        <a:xfrm>
          <a:off x="8532719" y="25275188"/>
          <a:ext cx="745751" cy="0"/>
        </a:xfrm>
        <a:prstGeom prst="line">
          <a:avLst/>
        </a:prstGeom>
        <a:ln>
          <a:tailEnd type="ova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867895</xdr:colOff>
      <xdr:row>133</xdr:row>
      <xdr:rowOff>160564</xdr:rowOff>
    </xdr:from>
    <xdr:to>
      <xdr:col>9</xdr:col>
      <xdr:colOff>67235</xdr:colOff>
      <xdr:row>133</xdr:row>
      <xdr:rowOff>160564</xdr:rowOff>
    </xdr:to>
    <xdr:cxnSp macro="">
      <xdr:nvCxnSpPr>
        <xdr:cNvPr id="233509" name="Conector reto 233508">
          <a:extLst>
            <a:ext uri="{FF2B5EF4-FFF2-40B4-BE49-F238E27FC236}">
              <a16:creationId xmlns:a16="http://schemas.microsoft.com/office/drawing/2014/main" id="{AC8109B3-C122-B909-E3FD-9600C0C83940}"/>
            </a:ext>
          </a:extLst>
        </xdr:cNvPr>
        <xdr:cNvCxnSpPr/>
      </xdr:nvCxnSpPr>
      <xdr:spPr>
        <a:xfrm>
          <a:off x="8532719" y="25541888"/>
          <a:ext cx="1328457" cy="0"/>
        </a:xfrm>
        <a:prstGeom prst="line">
          <a:avLst/>
        </a:prstGeom>
        <a:ln>
          <a:solidFill>
            <a:srgbClr val="FF0000"/>
          </a:solidFill>
          <a:tailEnd type="ova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361389</xdr:colOff>
      <xdr:row>133</xdr:row>
      <xdr:rowOff>47626</xdr:rowOff>
    </xdr:from>
    <xdr:to>
      <xdr:col>7</xdr:col>
      <xdr:colOff>877420</xdr:colOff>
      <xdr:row>135</xdr:row>
      <xdr:rowOff>95250</xdr:rowOff>
    </xdr:to>
    <xdr:sp macro="" textlink="">
      <xdr:nvSpPr>
        <xdr:cNvPr id="233510" name="Retângulo 233509">
          <a:extLst>
            <a:ext uri="{FF2B5EF4-FFF2-40B4-BE49-F238E27FC236}">
              <a16:creationId xmlns:a16="http://schemas.microsoft.com/office/drawing/2014/main" id="{38B2FDFA-B17B-73D6-A242-F478C5C6944A}"/>
            </a:ext>
          </a:extLst>
        </xdr:cNvPr>
        <xdr:cNvSpPr/>
      </xdr:nvSpPr>
      <xdr:spPr>
        <a:xfrm>
          <a:off x="8026213" y="25428950"/>
          <a:ext cx="516031" cy="42862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7</xdr:col>
      <xdr:colOff>867895</xdr:colOff>
      <xdr:row>134</xdr:row>
      <xdr:rowOff>160564</xdr:rowOff>
    </xdr:from>
    <xdr:to>
      <xdr:col>9</xdr:col>
      <xdr:colOff>672353</xdr:colOff>
      <xdr:row>134</xdr:row>
      <xdr:rowOff>160564</xdr:rowOff>
    </xdr:to>
    <xdr:cxnSp macro="">
      <xdr:nvCxnSpPr>
        <xdr:cNvPr id="233511" name="Conector reto 233510">
          <a:extLst>
            <a:ext uri="{FF2B5EF4-FFF2-40B4-BE49-F238E27FC236}">
              <a16:creationId xmlns:a16="http://schemas.microsoft.com/office/drawing/2014/main" id="{7FC52330-B7F0-4AE8-BB94-80C5AB4F3ACD}"/>
            </a:ext>
          </a:extLst>
        </xdr:cNvPr>
        <xdr:cNvCxnSpPr/>
      </xdr:nvCxnSpPr>
      <xdr:spPr>
        <a:xfrm>
          <a:off x="8532719" y="25732388"/>
          <a:ext cx="1933575" cy="0"/>
        </a:xfrm>
        <a:prstGeom prst="line">
          <a:avLst/>
        </a:prstGeom>
        <a:ln>
          <a:solidFill>
            <a:schemeClr val="accent4">
              <a:lumMod val="75000"/>
            </a:schemeClr>
          </a:solidFill>
          <a:tailEnd type="ova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867895</xdr:colOff>
      <xdr:row>136</xdr:row>
      <xdr:rowOff>55789</xdr:rowOff>
    </xdr:from>
    <xdr:to>
      <xdr:col>8</xdr:col>
      <xdr:colOff>640337</xdr:colOff>
      <xdr:row>136</xdr:row>
      <xdr:rowOff>55789</xdr:rowOff>
    </xdr:to>
    <xdr:cxnSp macro="">
      <xdr:nvCxnSpPr>
        <xdr:cNvPr id="233512" name="Conector reto 233511">
          <a:extLst>
            <a:ext uri="{FF2B5EF4-FFF2-40B4-BE49-F238E27FC236}">
              <a16:creationId xmlns:a16="http://schemas.microsoft.com/office/drawing/2014/main" id="{D1DC942F-9642-C1BA-18FE-7EB362D32E19}"/>
            </a:ext>
          </a:extLst>
        </xdr:cNvPr>
        <xdr:cNvCxnSpPr/>
      </xdr:nvCxnSpPr>
      <xdr:spPr>
        <a:xfrm>
          <a:off x="8532719" y="26008613"/>
          <a:ext cx="736147" cy="0"/>
        </a:xfrm>
        <a:prstGeom prst="line">
          <a:avLst/>
        </a:prstGeom>
        <a:ln>
          <a:tailEnd type="ova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361389</xdr:colOff>
      <xdr:row>135</xdr:row>
      <xdr:rowOff>133351</xdr:rowOff>
    </xdr:from>
    <xdr:to>
      <xdr:col>7</xdr:col>
      <xdr:colOff>877420</xdr:colOff>
      <xdr:row>137</xdr:row>
      <xdr:rowOff>180975</xdr:rowOff>
    </xdr:to>
    <xdr:sp macro="" textlink="">
      <xdr:nvSpPr>
        <xdr:cNvPr id="233513" name="Retângulo 233512">
          <a:extLst>
            <a:ext uri="{FF2B5EF4-FFF2-40B4-BE49-F238E27FC236}">
              <a16:creationId xmlns:a16="http://schemas.microsoft.com/office/drawing/2014/main" id="{E13D0211-66A1-0F39-10B0-2179154401B7}"/>
            </a:ext>
          </a:extLst>
        </xdr:cNvPr>
        <xdr:cNvSpPr/>
      </xdr:nvSpPr>
      <xdr:spPr>
        <a:xfrm>
          <a:off x="8026213" y="25895675"/>
          <a:ext cx="516031" cy="42862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7</xdr:col>
      <xdr:colOff>877420</xdr:colOff>
      <xdr:row>137</xdr:row>
      <xdr:rowOff>55789</xdr:rowOff>
    </xdr:from>
    <xdr:to>
      <xdr:col>9</xdr:col>
      <xdr:colOff>58271</xdr:colOff>
      <xdr:row>137</xdr:row>
      <xdr:rowOff>55789</xdr:rowOff>
    </xdr:to>
    <xdr:cxnSp macro="">
      <xdr:nvCxnSpPr>
        <xdr:cNvPr id="233514" name="Conector reto 233513">
          <a:extLst>
            <a:ext uri="{FF2B5EF4-FFF2-40B4-BE49-F238E27FC236}">
              <a16:creationId xmlns:a16="http://schemas.microsoft.com/office/drawing/2014/main" id="{9CC53893-9061-5AF5-6ADB-54D020F46CCE}"/>
            </a:ext>
          </a:extLst>
        </xdr:cNvPr>
        <xdr:cNvCxnSpPr/>
      </xdr:nvCxnSpPr>
      <xdr:spPr>
        <a:xfrm>
          <a:off x="8542244" y="26199113"/>
          <a:ext cx="1309968" cy="0"/>
        </a:xfrm>
        <a:prstGeom prst="line">
          <a:avLst/>
        </a:prstGeom>
        <a:ln>
          <a:solidFill>
            <a:srgbClr val="FF0000"/>
          </a:solidFill>
          <a:tailEnd type="ova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867895</xdr:colOff>
      <xdr:row>138</xdr:row>
      <xdr:rowOff>131989</xdr:rowOff>
    </xdr:from>
    <xdr:to>
      <xdr:col>9</xdr:col>
      <xdr:colOff>672353</xdr:colOff>
      <xdr:row>138</xdr:row>
      <xdr:rowOff>131989</xdr:rowOff>
    </xdr:to>
    <xdr:cxnSp macro="">
      <xdr:nvCxnSpPr>
        <xdr:cNvPr id="233515" name="Conector reto 233514">
          <a:extLst>
            <a:ext uri="{FF2B5EF4-FFF2-40B4-BE49-F238E27FC236}">
              <a16:creationId xmlns:a16="http://schemas.microsoft.com/office/drawing/2014/main" id="{0FE54DE9-64A0-B460-0A39-FA2CDA6ED749}"/>
            </a:ext>
          </a:extLst>
        </xdr:cNvPr>
        <xdr:cNvCxnSpPr/>
      </xdr:nvCxnSpPr>
      <xdr:spPr>
        <a:xfrm>
          <a:off x="8532719" y="26465813"/>
          <a:ext cx="1933575" cy="0"/>
        </a:xfrm>
        <a:prstGeom prst="line">
          <a:avLst/>
        </a:prstGeom>
        <a:ln>
          <a:solidFill>
            <a:schemeClr val="accent4">
              <a:lumMod val="75000"/>
            </a:schemeClr>
          </a:solidFill>
          <a:tailEnd type="ova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361389</xdr:colOff>
      <xdr:row>138</xdr:row>
      <xdr:rowOff>19051</xdr:rowOff>
    </xdr:from>
    <xdr:to>
      <xdr:col>7</xdr:col>
      <xdr:colOff>877420</xdr:colOff>
      <xdr:row>140</xdr:row>
      <xdr:rowOff>66675</xdr:rowOff>
    </xdr:to>
    <xdr:sp macro="" textlink="">
      <xdr:nvSpPr>
        <xdr:cNvPr id="233516" name="Retângulo 233515">
          <a:extLst>
            <a:ext uri="{FF2B5EF4-FFF2-40B4-BE49-F238E27FC236}">
              <a16:creationId xmlns:a16="http://schemas.microsoft.com/office/drawing/2014/main" id="{3B8E5230-3127-5CBD-C910-07CE28E6578F}"/>
            </a:ext>
          </a:extLst>
        </xdr:cNvPr>
        <xdr:cNvSpPr/>
      </xdr:nvSpPr>
      <xdr:spPr>
        <a:xfrm>
          <a:off x="8026213" y="26352875"/>
          <a:ext cx="516031" cy="42862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7</xdr:col>
      <xdr:colOff>867895</xdr:colOff>
      <xdr:row>139</xdr:row>
      <xdr:rowOff>131989</xdr:rowOff>
    </xdr:from>
    <xdr:to>
      <xdr:col>8</xdr:col>
      <xdr:colOff>649941</xdr:colOff>
      <xdr:row>139</xdr:row>
      <xdr:rowOff>131989</xdr:rowOff>
    </xdr:to>
    <xdr:cxnSp macro="">
      <xdr:nvCxnSpPr>
        <xdr:cNvPr id="233517" name="Conector reto 233516">
          <a:extLst>
            <a:ext uri="{FF2B5EF4-FFF2-40B4-BE49-F238E27FC236}">
              <a16:creationId xmlns:a16="http://schemas.microsoft.com/office/drawing/2014/main" id="{F84CDCCE-5E37-A0F3-4AB7-A80D7F5591B4}"/>
            </a:ext>
          </a:extLst>
        </xdr:cNvPr>
        <xdr:cNvCxnSpPr/>
      </xdr:nvCxnSpPr>
      <xdr:spPr>
        <a:xfrm>
          <a:off x="8532719" y="26656313"/>
          <a:ext cx="745751" cy="0"/>
        </a:xfrm>
        <a:prstGeom prst="line">
          <a:avLst/>
        </a:prstGeom>
        <a:ln>
          <a:tailEnd type="ova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867895</xdr:colOff>
      <xdr:row>141</xdr:row>
      <xdr:rowOff>17689</xdr:rowOff>
    </xdr:from>
    <xdr:to>
      <xdr:col>9</xdr:col>
      <xdr:colOff>67235</xdr:colOff>
      <xdr:row>141</xdr:row>
      <xdr:rowOff>17689</xdr:rowOff>
    </xdr:to>
    <xdr:cxnSp macro="">
      <xdr:nvCxnSpPr>
        <xdr:cNvPr id="233518" name="Conector reto 233517">
          <a:extLst>
            <a:ext uri="{FF2B5EF4-FFF2-40B4-BE49-F238E27FC236}">
              <a16:creationId xmlns:a16="http://schemas.microsoft.com/office/drawing/2014/main" id="{5403EDE5-FD4F-4D7B-823B-CE118D85B10B}"/>
            </a:ext>
          </a:extLst>
        </xdr:cNvPr>
        <xdr:cNvCxnSpPr/>
      </xdr:nvCxnSpPr>
      <xdr:spPr>
        <a:xfrm>
          <a:off x="8532719" y="26923013"/>
          <a:ext cx="1328457" cy="0"/>
        </a:xfrm>
        <a:prstGeom prst="line">
          <a:avLst/>
        </a:prstGeom>
        <a:ln>
          <a:solidFill>
            <a:srgbClr val="FF0000"/>
          </a:solidFill>
          <a:tailEnd type="ova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361389</xdr:colOff>
      <xdr:row>140</xdr:row>
      <xdr:rowOff>95251</xdr:rowOff>
    </xdr:from>
    <xdr:to>
      <xdr:col>7</xdr:col>
      <xdr:colOff>877420</xdr:colOff>
      <xdr:row>142</xdr:row>
      <xdr:rowOff>142875</xdr:rowOff>
    </xdr:to>
    <xdr:sp macro="" textlink="">
      <xdr:nvSpPr>
        <xdr:cNvPr id="233519" name="Retângulo 233518">
          <a:extLst>
            <a:ext uri="{FF2B5EF4-FFF2-40B4-BE49-F238E27FC236}">
              <a16:creationId xmlns:a16="http://schemas.microsoft.com/office/drawing/2014/main" id="{9635262C-5AD6-4AD8-61D6-E2907C11BB7B}"/>
            </a:ext>
          </a:extLst>
        </xdr:cNvPr>
        <xdr:cNvSpPr/>
      </xdr:nvSpPr>
      <xdr:spPr>
        <a:xfrm>
          <a:off x="8026213" y="26810075"/>
          <a:ext cx="516031" cy="42862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7</xdr:col>
      <xdr:colOff>867895</xdr:colOff>
      <xdr:row>142</xdr:row>
      <xdr:rowOff>17689</xdr:rowOff>
    </xdr:from>
    <xdr:to>
      <xdr:col>9</xdr:col>
      <xdr:colOff>672353</xdr:colOff>
      <xdr:row>142</xdr:row>
      <xdr:rowOff>17689</xdr:rowOff>
    </xdr:to>
    <xdr:cxnSp macro="">
      <xdr:nvCxnSpPr>
        <xdr:cNvPr id="233520" name="Conector reto 233519">
          <a:extLst>
            <a:ext uri="{FF2B5EF4-FFF2-40B4-BE49-F238E27FC236}">
              <a16:creationId xmlns:a16="http://schemas.microsoft.com/office/drawing/2014/main" id="{6BA166AA-7B60-A7D5-389B-DE58C3556AB0}"/>
            </a:ext>
          </a:extLst>
        </xdr:cNvPr>
        <xdr:cNvCxnSpPr/>
      </xdr:nvCxnSpPr>
      <xdr:spPr>
        <a:xfrm>
          <a:off x="8532719" y="27113513"/>
          <a:ext cx="1933575" cy="0"/>
        </a:xfrm>
        <a:prstGeom prst="line">
          <a:avLst/>
        </a:prstGeom>
        <a:ln>
          <a:solidFill>
            <a:schemeClr val="accent4">
              <a:lumMod val="75000"/>
            </a:schemeClr>
          </a:solidFill>
          <a:tailEnd type="ova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867895</xdr:colOff>
      <xdr:row>143</xdr:row>
      <xdr:rowOff>103414</xdr:rowOff>
    </xdr:from>
    <xdr:to>
      <xdr:col>8</xdr:col>
      <xdr:colOff>640337</xdr:colOff>
      <xdr:row>143</xdr:row>
      <xdr:rowOff>103414</xdr:rowOff>
    </xdr:to>
    <xdr:cxnSp macro="">
      <xdr:nvCxnSpPr>
        <xdr:cNvPr id="233521" name="Conector reto 233520">
          <a:extLst>
            <a:ext uri="{FF2B5EF4-FFF2-40B4-BE49-F238E27FC236}">
              <a16:creationId xmlns:a16="http://schemas.microsoft.com/office/drawing/2014/main" id="{A541E45F-C801-D4E1-D4A3-758A90AEDA2C}"/>
            </a:ext>
          </a:extLst>
        </xdr:cNvPr>
        <xdr:cNvCxnSpPr/>
      </xdr:nvCxnSpPr>
      <xdr:spPr>
        <a:xfrm>
          <a:off x="8532719" y="27389738"/>
          <a:ext cx="736147" cy="0"/>
        </a:xfrm>
        <a:prstGeom prst="line">
          <a:avLst/>
        </a:prstGeom>
        <a:ln>
          <a:tailEnd type="ova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361389</xdr:colOff>
      <xdr:row>142</xdr:row>
      <xdr:rowOff>180976</xdr:rowOff>
    </xdr:from>
    <xdr:to>
      <xdr:col>7</xdr:col>
      <xdr:colOff>877420</xdr:colOff>
      <xdr:row>145</xdr:row>
      <xdr:rowOff>38100</xdr:rowOff>
    </xdr:to>
    <xdr:sp macro="" textlink="">
      <xdr:nvSpPr>
        <xdr:cNvPr id="233522" name="Retângulo 233521">
          <a:extLst>
            <a:ext uri="{FF2B5EF4-FFF2-40B4-BE49-F238E27FC236}">
              <a16:creationId xmlns:a16="http://schemas.microsoft.com/office/drawing/2014/main" id="{2CDEFBC6-D32D-D505-5D51-4713B6A31AAB}"/>
            </a:ext>
          </a:extLst>
        </xdr:cNvPr>
        <xdr:cNvSpPr/>
      </xdr:nvSpPr>
      <xdr:spPr>
        <a:xfrm>
          <a:off x="8026213" y="27276800"/>
          <a:ext cx="516031" cy="42862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7</xdr:col>
      <xdr:colOff>877420</xdr:colOff>
      <xdr:row>144</xdr:row>
      <xdr:rowOff>103414</xdr:rowOff>
    </xdr:from>
    <xdr:to>
      <xdr:col>9</xdr:col>
      <xdr:colOff>58271</xdr:colOff>
      <xdr:row>144</xdr:row>
      <xdr:rowOff>103414</xdr:rowOff>
    </xdr:to>
    <xdr:cxnSp macro="">
      <xdr:nvCxnSpPr>
        <xdr:cNvPr id="233523" name="Conector reto 233522">
          <a:extLst>
            <a:ext uri="{FF2B5EF4-FFF2-40B4-BE49-F238E27FC236}">
              <a16:creationId xmlns:a16="http://schemas.microsoft.com/office/drawing/2014/main" id="{CBD9C5E5-D28F-20AD-D531-8F68AE83B074}"/>
            </a:ext>
          </a:extLst>
        </xdr:cNvPr>
        <xdr:cNvCxnSpPr/>
      </xdr:nvCxnSpPr>
      <xdr:spPr>
        <a:xfrm>
          <a:off x="8542244" y="27580238"/>
          <a:ext cx="1309968" cy="0"/>
        </a:xfrm>
        <a:prstGeom prst="line">
          <a:avLst/>
        </a:prstGeom>
        <a:ln>
          <a:solidFill>
            <a:srgbClr val="FF0000"/>
          </a:solidFill>
          <a:tailEnd type="ova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867895</xdr:colOff>
      <xdr:row>145</xdr:row>
      <xdr:rowOff>179614</xdr:rowOff>
    </xdr:from>
    <xdr:to>
      <xdr:col>9</xdr:col>
      <xdr:colOff>672353</xdr:colOff>
      <xdr:row>145</xdr:row>
      <xdr:rowOff>179614</xdr:rowOff>
    </xdr:to>
    <xdr:cxnSp macro="">
      <xdr:nvCxnSpPr>
        <xdr:cNvPr id="233524" name="Conector reto 233523">
          <a:extLst>
            <a:ext uri="{FF2B5EF4-FFF2-40B4-BE49-F238E27FC236}">
              <a16:creationId xmlns:a16="http://schemas.microsoft.com/office/drawing/2014/main" id="{76D8A4FE-22F7-06BB-7B6E-C06BA8DDB266}"/>
            </a:ext>
          </a:extLst>
        </xdr:cNvPr>
        <xdr:cNvCxnSpPr/>
      </xdr:nvCxnSpPr>
      <xdr:spPr>
        <a:xfrm>
          <a:off x="8532719" y="27846938"/>
          <a:ext cx="1933575" cy="0"/>
        </a:xfrm>
        <a:prstGeom prst="line">
          <a:avLst/>
        </a:prstGeom>
        <a:ln>
          <a:solidFill>
            <a:schemeClr val="accent4">
              <a:lumMod val="75000"/>
            </a:schemeClr>
          </a:solidFill>
          <a:tailEnd type="ova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361389</xdr:colOff>
      <xdr:row>145</xdr:row>
      <xdr:rowOff>66676</xdr:rowOff>
    </xdr:from>
    <xdr:to>
      <xdr:col>7</xdr:col>
      <xdr:colOff>877420</xdr:colOff>
      <xdr:row>147</xdr:row>
      <xdr:rowOff>114300</xdr:rowOff>
    </xdr:to>
    <xdr:sp macro="" textlink="">
      <xdr:nvSpPr>
        <xdr:cNvPr id="233525" name="Retângulo 233524">
          <a:extLst>
            <a:ext uri="{FF2B5EF4-FFF2-40B4-BE49-F238E27FC236}">
              <a16:creationId xmlns:a16="http://schemas.microsoft.com/office/drawing/2014/main" id="{22ACF7A7-D085-6702-5F6C-F8F776C62B80}"/>
            </a:ext>
          </a:extLst>
        </xdr:cNvPr>
        <xdr:cNvSpPr/>
      </xdr:nvSpPr>
      <xdr:spPr>
        <a:xfrm>
          <a:off x="8026213" y="27734000"/>
          <a:ext cx="516031" cy="42862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7</xdr:col>
      <xdr:colOff>867895</xdr:colOff>
      <xdr:row>146</xdr:row>
      <xdr:rowOff>179614</xdr:rowOff>
    </xdr:from>
    <xdr:to>
      <xdr:col>8</xdr:col>
      <xdr:colOff>649941</xdr:colOff>
      <xdr:row>146</xdr:row>
      <xdr:rowOff>179614</xdr:rowOff>
    </xdr:to>
    <xdr:cxnSp macro="">
      <xdr:nvCxnSpPr>
        <xdr:cNvPr id="233526" name="Conector reto 233525">
          <a:extLst>
            <a:ext uri="{FF2B5EF4-FFF2-40B4-BE49-F238E27FC236}">
              <a16:creationId xmlns:a16="http://schemas.microsoft.com/office/drawing/2014/main" id="{858F29E1-EAD0-AE5A-3F16-2BD893DACC81}"/>
            </a:ext>
          </a:extLst>
        </xdr:cNvPr>
        <xdr:cNvCxnSpPr/>
      </xdr:nvCxnSpPr>
      <xdr:spPr>
        <a:xfrm>
          <a:off x="8532719" y="28037438"/>
          <a:ext cx="745751" cy="0"/>
        </a:xfrm>
        <a:prstGeom prst="line">
          <a:avLst/>
        </a:prstGeom>
        <a:ln>
          <a:tailEnd type="ova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867895</xdr:colOff>
      <xdr:row>148</xdr:row>
      <xdr:rowOff>65314</xdr:rowOff>
    </xdr:from>
    <xdr:to>
      <xdr:col>9</xdr:col>
      <xdr:colOff>67235</xdr:colOff>
      <xdr:row>148</xdr:row>
      <xdr:rowOff>65314</xdr:rowOff>
    </xdr:to>
    <xdr:cxnSp macro="">
      <xdr:nvCxnSpPr>
        <xdr:cNvPr id="233527" name="Conector reto 233526">
          <a:extLst>
            <a:ext uri="{FF2B5EF4-FFF2-40B4-BE49-F238E27FC236}">
              <a16:creationId xmlns:a16="http://schemas.microsoft.com/office/drawing/2014/main" id="{AA067B74-0AC3-BE59-FA3B-5DCACCEEE8F2}"/>
            </a:ext>
          </a:extLst>
        </xdr:cNvPr>
        <xdr:cNvCxnSpPr/>
      </xdr:nvCxnSpPr>
      <xdr:spPr>
        <a:xfrm>
          <a:off x="8532719" y="28304138"/>
          <a:ext cx="1328457" cy="0"/>
        </a:xfrm>
        <a:prstGeom prst="line">
          <a:avLst/>
        </a:prstGeom>
        <a:ln>
          <a:solidFill>
            <a:srgbClr val="FF0000"/>
          </a:solidFill>
          <a:tailEnd type="ova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361389</xdr:colOff>
      <xdr:row>147</xdr:row>
      <xdr:rowOff>142876</xdr:rowOff>
    </xdr:from>
    <xdr:to>
      <xdr:col>7</xdr:col>
      <xdr:colOff>877420</xdr:colOff>
      <xdr:row>150</xdr:row>
      <xdr:rowOff>0</xdr:rowOff>
    </xdr:to>
    <xdr:sp macro="" textlink="">
      <xdr:nvSpPr>
        <xdr:cNvPr id="233528" name="Retângulo 233527">
          <a:extLst>
            <a:ext uri="{FF2B5EF4-FFF2-40B4-BE49-F238E27FC236}">
              <a16:creationId xmlns:a16="http://schemas.microsoft.com/office/drawing/2014/main" id="{C5364ED6-75F5-80AB-988B-B35C73F490F2}"/>
            </a:ext>
          </a:extLst>
        </xdr:cNvPr>
        <xdr:cNvSpPr/>
      </xdr:nvSpPr>
      <xdr:spPr>
        <a:xfrm>
          <a:off x="8026213" y="28191200"/>
          <a:ext cx="516031" cy="42862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7</xdr:col>
      <xdr:colOff>867895</xdr:colOff>
      <xdr:row>149</xdr:row>
      <xdr:rowOff>65314</xdr:rowOff>
    </xdr:from>
    <xdr:to>
      <xdr:col>9</xdr:col>
      <xdr:colOff>672353</xdr:colOff>
      <xdr:row>149</xdr:row>
      <xdr:rowOff>65314</xdr:rowOff>
    </xdr:to>
    <xdr:cxnSp macro="">
      <xdr:nvCxnSpPr>
        <xdr:cNvPr id="233529" name="Conector reto 233528">
          <a:extLst>
            <a:ext uri="{FF2B5EF4-FFF2-40B4-BE49-F238E27FC236}">
              <a16:creationId xmlns:a16="http://schemas.microsoft.com/office/drawing/2014/main" id="{8B895113-296D-9968-5801-239B9DB0958A}"/>
            </a:ext>
          </a:extLst>
        </xdr:cNvPr>
        <xdr:cNvCxnSpPr/>
      </xdr:nvCxnSpPr>
      <xdr:spPr>
        <a:xfrm>
          <a:off x="8532719" y="28494638"/>
          <a:ext cx="1933575" cy="0"/>
        </a:xfrm>
        <a:prstGeom prst="line">
          <a:avLst/>
        </a:prstGeom>
        <a:ln>
          <a:solidFill>
            <a:schemeClr val="accent4">
              <a:lumMod val="75000"/>
            </a:schemeClr>
          </a:solidFill>
          <a:tailEnd type="oval"/>
        </a:ln>
      </xdr:spPr>
      <xdr:style>
        <a:lnRef idx="1">
          <a:schemeClr val="dk1"/>
        </a:lnRef>
        <a:fillRef idx="0">
          <a:schemeClr val="dk1"/>
        </a:fillRef>
        <a:effectRef idx="0">
          <a:schemeClr val="dk1"/>
        </a:effectRef>
        <a:fontRef idx="minor">
          <a:schemeClr val="tx1"/>
        </a:fontRef>
      </xdr:style>
    </xdr:cxnSp>
    <xdr:clientData/>
  </xdr:twoCellAnchor>
  <xdr:oneCellAnchor>
    <xdr:from>
      <xdr:col>8</xdr:col>
      <xdr:colOff>896471</xdr:colOff>
      <xdr:row>23</xdr:row>
      <xdr:rowOff>168088</xdr:rowOff>
    </xdr:from>
    <xdr:ext cx="4325471" cy="1125693"/>
    <xdr:sp macro="" textlink="Início!Q3">
      <xdr:nvSpPr>
        <xdr:cNvPr id="34" name="Retângulo 33">
          <a:extLst>
            <a:ext uri="{FF2B5EF4-FFF2-40B4-BE49-F238E27FC236}">
              <a16:creationId xmlns:a16="http://schemas.microsoft.com/office/drawing/2014/main" id="{CD6283D2-B1F8-BE48-3FD2-0F8BF4664284}"/>
            </a:ext>
          </a:extLst>
        </xdr:cNvPr>
        <xdr:cNvSpPr/>
      </xdr:nvSpPr>
      <xdr:spPr>
        <a:xfrm>
          <a:off x="9525000" y="4594412"/>
          <a:ext cx="4325471" cy="112569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spAutoFit/>
        </a:bodyPr>
        <a:lstStyle/>
        <a:p>
          <a:pPr algn="l"/>
          <a:fld id="{8A6FE88E-43FD-4611-A328-967D9EEC8447}" type="TxLink">
            <a:rPr lang="en-US" sz="1100" b="0" i="0" u="none" strike="noStrike">
              <a:solidFill>
                <a:srgbClr val="000000"/>
              </a:solidFill>
              <a:latin typeface="Calibri"/>
              <a:ea typeface="Calibri"/>
              <a:cs typeface="Calibri"/>
            </a:rPr>
            <a:pPr algn="l"/>
            <a:t>INFORMAÇÕES IMPORTANTES 
Ligação estava muito ruim
Disse que são dois relógios embaixo e em cima 
Esse valor de 1k está com um pouco se sobra, disse que tem um terreno enorme atrás e caso futuramente algum filho construa 
Disse para Bia que se chama </a:t>
          </a:fld>
          <a:endParaRPr lang="pt-BR" sz="1100"/>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19144</xdr:colOff>
      <xdr:row>4</xdr:row>
      <xdr:rowOff>18536</xdr:rowOff>
    </xdr:to>
    <xdr:pic>
      <xdr:nvPicPr>
        <xdr:cNvPr id="2" name="Imagem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0" y="0"/>
          <a:ext cx="682580" cy="735488"/>
        </a:xfrm>
        <a:prstGeom prst="rect">
          <a:avLst/>
        </a:prstGeom>
      </xdr:spPr>
    </xdr:pic>
    <xdr:clientData/>
  </xdr:twoCellAnchor>
  <xdr:twoCellAnchor>
    <xdr:from>
      <xdr:col>15</xdr:col>
      <xdr:colOff>134355</xdr:colOff>
      <xdr:row>33</xdr:row>
      <xdr:rowOff>177611</xdr:rowOff>
    </xdr:from>
    <xdr:to>
      <xdr:col>15</xdr:col>
      <xdr:colOff>372784</xdr:colOff>
      <xdr:row>35</xdr:row>
      <xdr:rowOff>15015</xdr:rowOff>
    </xdr:to>
    <xdr:sp macro="" textlink="">
      <xdr:nvSpPr>
        <xdr:cNvPr id="3" name="Elipse 2">
          <a:extLst>
            <a:ext uri="{FF2B5EF4-FFF2-40B4-BE49-F238E27FC236}">
              <a16:creationId xmlns:a16="http://schemas.microsoft.com/office/drawing/2014/main" id="{00000000-0008-0000-0500-000003000000}"/>
            </a:ext>
          </a:extLst>
        </xdr:cNvPr>
        <xdr:cNvSpPr/>
      </xdr:nvSpPr>
      <xdr:spPr>
        <a:xfrm>
          <a:off x="9592120" y="6789082"/>
          <a:ext cx="238429" cy="240815"/>
        </a:xfrm>
        <a:prstGeom prst="ellipse">
          <a:avLst/>
        </a:prstGeom>
        <a:solidFill>
          <a:schemeClr val="accent6">
            <a:lumMod val="75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b="1">
              <a:solidFill>
                <a:schemeClr val="accent4">
                  <a:lumMod val="60000"/>
                  <a:lumOff val="40000"/>
                </a:schemeClr>
              </a:solidFill>
            </a:rPr>
            <a:t>1</a:t>
          </a:r>
        </a:p>
      </xdr:txBody>
    </xdr:sp>
    <xdr:clientData/>
  </xdr:twoCellAnchor>
  <xdr:twoCellAnchor>
    <xdr:from>
      <xdr:col>15</xdr:col>
      <xdr:colOff>199241</xdr:colOff>
      <xdr:row>30</xdr:row>
      <xdr:rowOff>66337</xdr:rowOff>
    </xdr:from>
    <xdr:to>
      <xdr:col>16</xdr:col>
      <xdr:colOff>1105797</xdr:colOff>
      <xdr:row>33</xdr:row>
      <xdr:rowOff>125168</xdr:rowOff>
    </xdr:to>
    <xdr:sp macro="" textlink="">
      <xdr:nvSpPr>
        <xdr:cNvPr id="5" name="Balão de Fala: Retângulo com Cantos Arredondados 4">
          <a:extLst>
            <a:ext uri="{FF2B5EF4-FFF2-40B4-BE49-F238E27FC236}">
              <a16:creationId xmlns:a16="http://schemas.microsoft.com/office/drawing/2014/main" id="{00000000-0008-0000-0500-000005000000}"/>
            </a:ext>
          </a:extLst>
        </xdr:cNvPr>
        <xdr:cNvSpPr/>
      </xdr:nvSpPr>
      <xdr:spPr>
        <a:xfrm>
          <a:off x="9657006" y="6072690"/>
          <a:ext cx="1511673" cy="663949"/>
        </a:xfrm>
        <a:prstGeom prst="wedgeRoundRectCallout">
          <a:avLst>
            <a:gd name="adj1" fmla="val -37841"/>
            <a:gd name="adj2" fmla="val 66047"/>
            <a:gd name="adj3" fmla="val 16667"/>
          </a:avLst>
        </a:prstGeom>
        <a:solidFill>
          <a:schemeClr val="accent6">
            <a:lumMod val="75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pt-BR" sz="900">
              <a:solidFill>
                <a:schemeClr val="accent4">
                  <a:lumMod val="60000"/>
                  <a:lumOff val="40000"/>
                </a:schemeClr>
              </a:solidFill>
              <a:effectLst/>
              <a:latin typeface="+mn-lt"/>
              <a:ea typeface="+mn-ea"/>
              <a:cs typeface="+mn-cs"/>
            </a:rPr>
            <a:t>Caso pretenda aumentar o consumo, colocar aqui o valor mensal ou %</a:t>
          </a:r>
          <a:endParaRPr lang="pt-BR" sz="900">
            <a:solidFill>
              <a:schemeClr val="accent4">
                <a:lumMod val="60000"/>
                <a:lumOff val="40000"/>
              </a:schemeClr>
            </a:solidFill>
            <a:effectLst/>
          </a:endParaRPr>
        </a:p>
        <a:p>
          <a:pPr algn="l"/>
          <a:endParaRPr lang="pt-BR" sz="900">
            <a:solidFill>
              <a:schemeClr val="accent4">
                <a:lumMod val="60000"/>
                <a:lumOff val="40000"/>
              </a:schemeClr>
            </a:solidFill>
          </a:endParaRPr>
        </a:p>
      </xdr:txBody>
    </xdr:sp>
    <xdr:clientData/>
  </xdr:twoCellAnchor>
  <xdr:twoCellAnchor editAs="oneCell">
    <xdr:from>
      <xdr:col>21</xdr:col>
      <xdr:colOff>22569</xdr:colOff>
      <xdr:row>0</xdr:row>
      <xdr:rowOff>0</xdr:rowOff>
    </xdr:from>
    <xdr:to>
      <xdr:col>22</xdr:col>
      <xdr:colOff>98724</xdr:colOff>
      <xdr:row>1</xdr:row>
      <xdr:rowOff>2241</xdr:rowOff>
    </xdr:to>
    <xdr:pic macro="[0]!botao_protecao">
      <xdr:nvPicPr>
        <xdr:cNvPr id="7" name="Gráfico 6" descr="Pasta estrutura de tópicos">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847951" y="0"/>
          <a:ext cx="216341" cy="190500"/>
        </a:xfrm>
        <a:prstGeom prst="rect">
          <a:avLst/>
        </a:prstGeom>
      </xdr:spPr>
    </xdr:pic>
    <xdr:clientData/>
  </xdr:twoCellAnchor>
  <xdr:twoCellAnchor editAs="absolute">
    <xdr:from>
      <xdr:col>20</xdr:col>
      <xdr:colOff>627529</xdr:colOff>
      <xdr:row>39</xdr:row>
      <xdr:rowOff>167864</xdr:rowOff>
    </xdr:from>
    <xdr:to>
      <xdr:col>23</xdr:col>
      <xdr:colOff>0</xdr:colOff>
      <xdr:row>40</xdr:row>
      <xdr:rowOff>173579</xdr:rowOff>
    </xdr:to>
    <xdr:sp macro="[0]!converter_prospecto" textlink="">
      <xdr:nvSpPr>
        <xdr:cNvPr id="6" name="Retângulo: Cantos Arredondados 5">
          <a:extLst>
            <a:ext uri="{FF2B5EF4-FFF2-40B4-BE49-F238E27FC236}">
              <a16:creationId xmlns:a16="http://schemas.microsoft.com/office/drawing/2014/main" id="{00000000-0008-0000-0500-000006000000}"/>
            </a:ext>
          </a:extLst>
        </xdr:cNvPr>
        <xdr:cNvSpPr/>
      </xdr:nvSpPr>
      <xdr:spPr>
        <a:xfrm>
          <a:off x="14083553" y="7835153"/>
          <a:ext cx="1021976" cy="179294"/>
        </a:xfrm>
        <a:prstGeom prst="roundRect">
          <a:avLst/>
        </a:prstGeom>
        <a:gradFill flip="none" rotWithShape="1">
          <a:gsLst>
            <a:gs pos="0">
              <a:schemeClr val="accent4">
                <a:lumMod val="20000"/>
                <a:lumOff val="80000"/>
              </a:schemeClr>
            </a:gs>
            <a:gs pos="85000">
              <a:schemeClr val="accent6">
                <a:lumMod val="75000"/>
              </a:schemeClr>
            </a:gs>
          </a:gsLst>
          <a:lin ang="0" scaled="1"/>
          <a:tileRect/>
        </a:gra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000" b="1" baseline="0">
              <a:solidFill>
                <a:sysClr val="windowText" lastClr="000000"/>
              </a:solidFill>
            </a:rPr>
            <a:t>Converter Lead</a:t>
          </a:r>
        </a:p>
      </xdr:txBody>
    </xdr:sp>
    <xdr:clientData/>
  </xdr:twoCellAnchor>
  <xdr:twoCellAnchor editAs="absolute">
    <xdr:from>
      <xdr:col>1</xdr:col>
      <xdr:colOff>83708</xdr:colOff>
      <xdr:row>5</xdr:row>
      <xdr:rowOff>58718</xdr:rowOff>
    </xdr:from>
    <xdr:to>
      <xdr:col>2</xdr:col>
      <xdr:colOff>594136</xdr:colOff>
      <xdr:row>7</xdr:row>
      <xdr:rowOff>9189</xdr:rowOff>
    </xdr:to>
    <xdr:sp macro="[0]!atualizar_prospectos" textlink="">
      <xdr:nvSpPr>
        <xdr:cNvPr id="11" name="Retângulo: Cantos Arredondados 10">
          <a:extLst>
            <a:ext uri="{FF2B5EF4-FFF2-40B4-BE49-F238E27FC236}">
              <a16:creationId xmlns:a16="http://schemas.microsoft.com/office/drawing/2014/main" id="{00000000-0008-0000-0500-00000B000000}"/>
            </a:ext>
          </a:extLst>
        </xdr:cNvPr>
        <xdr:cNvSpPr/>
      </xdr:nvSpPr>
      <xdr:spPr>
        <a:xfrm>
          <a:off x="193862" y="1041026"/>
          <a:ext cx="1113640" cy="355787"/>
        </a:xfrm>
        <a:prstGeom prst="roundRect">
          <a:avLst/>
        </a:prstGeom>
        <a:gradFill flip="none" rotWithShape="1">
          <a:gsLst>
            <a:gs pos="0">
              <a:schemeClr val="accent4">
                <a:lumMod val="20000"/>
                <a:lumOff val="80000"/>
              </a:schemeClr>
            </a:gs>
            <a:gs pos="49000">
              <a:schemeClr val="accent6">
                <a:lumMod val="71000"/>
                <a:lumOff val="29000"/>
              </a:schemeClr>
            </a:gs>
          </a:gsLst>
          <a:lin ang="0" scaled="1"/>
          <a:tileRect/>
        </a:gradFill>
        <a:ln>
          <a:solidFill>
            <a:schemeClr val="accent6">
              <a:lumMod val="50000"/>
            </a:schemeClr>
          </a:solidFill>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000" b="1" baseline="0">
              <a:solidFill>
                <a:srgbClr val="1D2C12"/>
              </a:solidFill>
            </a:rPr>
            <a:t>Atualizar Lead</a:t>
          </a:r>
          <a:endParaRPr lang="pt-BR" sz="1000" b="1">
            <a:solidFill>
              <a:srgbClr val="1D2C12"/>
            </a:solidFill>
          </a:endParaRPr>
        </a:p>
      </xdr:txBody>
    </xdr:sp>
    <xdr:clientData/>
  </xdr:twoCellAnchor>
  <xdr:twoCellAnchor editAs="oneCell">
    <xdr:from>
      <xdr:col>2</xdr:col>
      <xdr:colOff>653528</xdr:colOff>
      <xdr:row>5</xdr:row>
      <xdr:rowOff>140185</xdr:rowOff>
    </xdr:from>
    <xdr:to>
      <xdr:col>2</xdr:col>
      <xdr:colOff>883143</xdr:colOff>
      <xdr:row>6</xdr:row>
      <xdr:rowOff>142874</xdr:rowOff>
    </xdr:to>
    <xdr:pic>
      <xdr:nvPicPr>
        <xdr:cNvPr id="12" name="Gráfico 11" descr="Informações estrutura de tópicos">
          <a:hlinkClick xmlns:r="http://schemas.openxmlformats.org/officeDocument/2006/relationships" r:id="rId4" tooltip="Atualiza as informações do ClickUp"/>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370704" y="1126303"/>
          <a:ext cx="227710" cy="206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558165</xdr:colOff>
      <xdr:row>0</xdr:row>
      <xdr:rowOff>0</xdr:rowOff>
    </xdr:from>
    <xdr:to>
      <xdr:col>4</xdr:col>
      <xdr:colOff>43815</xdr:colOff>
      <xdr:row>1</xdr:row>
      <xdr:rowOff>1905</xdr:rowOff>
    </xdr:to>
    <xdr:sp macro="" textlink="">
      <xdr:nvSpPr>
        <xdr:cNvPr id="4" name="Retângulo: Cantos Arredondados 3">
          <a:hlinkClick xmlns:r="http://schemas.openxmlformats.org/officeDocument/2006/relationships" r:id="rId1"/>
          <a:extLst>
            <a:ext uri="{FF2B5EF4-FFF2-40B4-BE49-F238E27FC236}">
              <a16:creationId xmlns:a16="http://schemas.microsoft.com/office/drawing/2014/main" id="{00000000-0008-0000-0600-000004000000}"/>
            </a:ext>
          </a:extLst>
        </xdr:cNvPr>
        <xdr:cNvSpPr/>
      </xdr:nvSpPr>
      <xdr:spPr>
        <a:xfrm>
          <a:off x="11530965" y="0"/>
          <a:ext cx="704850" cy="182880"/>
        </a:xfrm>
        <a:prstGeom prst="roundRect">
          <a:avLst/>
        </a:prstGeom>
        <a:solidFill>
          <a:schemeClr val="accent6">
            <a:lumMod val="40000"/>
            <a:lumOff val="6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u="sng">
              <a:solidFill>
                <a:schemeClr val="accent1">
                  <a:lumMod val="75000"/>
                </a:schemeClr>
              </a:solidFill>
            </a:rPr>
            <a:t>CRESESB</a:t>
          </a:r>
        </a:p>
      </xdr:txBody>
    </xdr:sp>
    <xdr:clientData/>
  </xdr:twoCellAnchor>
  <xdr:twoCellAnchor>
    <xdr:from>
      <xdr:col>0</xdr:col>
      <xdr:colOff>212912</xdr:colOff>
      <xdr:row>0</xdr:row>
      <xdr:rowOff>56029</xdr:rowOff>
    </xdr:from>
    <xdr:to>
      <xdr:col>0</xdr:col>
      <xdr:colOff>472296</xdr:colOff>
      <xdr:row>1</xdr:row>
      <xdr:rowOff>113741</xdr:rowOff>
    </xdr:to>
    <xdr:sp macro="" textlink="">
      <xdr:nvSpPr>
        <xdr:cNvPr id="2" name="Elipse 1">
          <a:extLst>
            <a:ext uri="{FF2B5EF4-FFF2-40B4-BE49-F238E27FC236}">
              <a16:creationId xmlns:a16="http://schemas.microsoft.com/office/drawing/2014/main" id="{00000000-0008-0000-0600-000002000000}"/>
            </a:ext>
          </a:extLst>
        </xdr:cNvPr>
        <xdr:cNvSpPr/>
      </xdr:nvSpPr>
      <xdr:spPr>
        <a:xfrm>
          <a:off x="212912" y="56029"/>
          <a:ext cx="259384" cy="237006"/>
        </a:xfrm>
        <a:prstGeom prst="ellipse">
          <a:avLst/>
        </a:prstGeom>
        <a:solidFill>
          <a:schemeClr val="accent6">
            <a:lumMod val="75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b="1">
              <a:solidFill>
                <a:schemeClr val="accent4">
                  <a:lumMod val="60000"/>
                  <a:lumOff val="40000"/>
                </a:schemeClr>
              </a:solidFill>
            </a:rPr>
            <a:t>2</a:t>
          </a:r>
        </a:p>
      </xdr:txBody>
    </xdr:sp>
    <xdr:clientData/>
  </xdr:twoCellAnchor>
  <xdr:twoCellAnchor>
    <xdr:from>
      <xdr:col>11</xdr:col>
      <xdr:colOff>39781</xdr:colOff>
      <xdr:row>20</xdr:row>
      <xdr:rowOff>146348</xdr:rowOff>
    </xdr:from>
    <xdr:to>
      <xdr:col>11</xdr:col>
      <xdr:colOff>271486</xdr:colOff>
      <xdr:row>21</xdr:row>
      <xdr:rowOff>172123</xdr:rowOff>
    </xdr:to>
    <xdr:sp macro="" textlink="">
      <xdr:nvSpPr>
        <xdr:cNvPr id="3" name="Elipse 2">
          <a:extLst>
            <a:ext uri="{FF2B5EF4-FFF2-40B4-BE49-F238E27FC236}">
              <a16:creationId xmlns:a16="http://schemas.microsoft.com/office/drawing/2014/main" id="{00000000-0008-0000-0600-000003000000}"/>
            </a:ext>
          </a:extLst>
        </xdr:cNvPr>
        <xdr:cNvSpPr/>
      </xdr:nvSpPr>
      <xdr:spPr>
        <a:xfrm>
          <a:off x="7164481" y="4108748"/>
          <a:ext cx="231705" cy="235325"/>
        </a:xfrm>
        <a:prstGeom prst="ellipse">
          <a:avLst/>
        </a:prstGeom>
        <a:solidFill>
          <a:schemeClr val="accent6">
            <a:lumMod val="75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b="1">
              <a:solidFill>
                <a:schemeClr val="accent4">
                  <a:lumMod val="60000"/>
                  <a:lumOff val="40000"/>
                </a:schemeClr>
              </a:solidFill>
            </a:rPr>
            <a:t>1</a:t>
          </a:r>
        </a:p>
      </xdr:txBody>
    </xdr:sp>
    <xdr:clientData/>
  </xdr:twoCellAnchor>
  <xdr:twoCellAnchor>
    <xdr:from>
      <xdr:col>11</xdr:col>
      <xdr:colOff>145677</xdr:colOff>
      <xdr:row>6</xdr:row>
      <xdr:rowOff>52443</xdr:rowOff>
    </xdr:from>
    <xdr:to>
      <xdr:col>11</xdr:col>
      <xdr:colOff>412681</xdr:colOff>
      <xdr:row>7</xdr:row>
      <xdr:rowOff>78218</xdr:rowOff>
    </xdr:to>
    <xdr:sp macro="" textlink="">
      <xdr:nvSpPr>
        <xdr:cNvPr id="5" name="Elipse 4">
          <a:extLst>
            <a:ext uri="{FF2B5EF4-FFF2-40B4-BE49-F238E27FC236}">
              <a16:creationId xmlns:a16="http://schemas.microsoft.com/office/drawing/2014/main" id="{00000000-0008-0000-0600-000005000000}"/>
            </a:ext>
          </a:extLst>
        </xdr:cNvPr>
        <xdr:cNvSpPr/>
      </xdr:nvSpPr>
      <xdr:spPr>
        <a:xfrm>
          <a:off x="7507942" y="1128208"/>
          <a:ext cx="267004" cy="227481"/>
        </a:xfrm>
        <a:prstGeom prst="ellipse">
          <a:avLst/>
        </a:prstGeom>
        <a:solidFill>
          <a:schemeClr val="accent6">
            <a:lumMod val="75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b="1">
              <a:solidFill>
                <a:schemeClr val="accent4">
                  <a:lumMod val="60000"/>
                  <a:lumOff val="40000"/>
                </a:schemeClr>
              </a:solidFill>
            </a:rPr>
            <a:t>3</a:t>
          </a:r>
        </a:p>
      </xdr:txBody>
    </xdr:sp>
    <xdr:clientData/>
  </xdr:twoCellAnchor>
  <xdr:twoCellAnchor>
    <xdr:from>
      <xdr:col>11</xdr:col>
      <xdr:colOff>121361</xdr:colOff>
      <xdr:row>11</xdr:row>
      <xdr:rowOff>157106</xdr:rowOff>
    </xdr:from>
    <xdr:to>
      <xdr:col>11</xdr:col>
      <xdr:colOff>388365</xdr:colOff>
      <xdr:row>12</xdr:row>
      <xdr:rowOff>179071</xdr:rowOff>
    </xdr:to>
    <xdr:sp macro="" textlink="">
      <xdr:nvSpPr>
        <xdr:cNvPr id="6" name="Elipse 5">
          <a:extLst>
            <a:ext uri="{FF2B5EF4-FFF2-40B4-BE49-F238E27FC236}">
              <a16:creationId xmlns:a16="http://schemas.microsoft.com/office/drawing/2014/main" id="{00000000-0008-0000-0600-000006000000}"/>
            </a:ext>
          </a:extLst>
        </xdr:cNvPr>
        <xdr:cNvSpPr/>
      </xdr:nvSpPr>
      <xdr:spPr>
        <a:xfrm>
          <a:off x="7483626" y="2218988"/>
          <a:ext cx="267004" cy="223671"/>
        </a:xfrm>
        <a:prstGeom prst="ellipse">
          <a:avLst/>
        </a:prstGeom>
        <a:solidFill>
          <a:schemeClr val="accent6">
            <a:lumMod val="75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b="1">
              <a:solidFill>
                <a:schemeClr val="accent4">
                  <a:lumMod val="60000"/>
                  <a:lumOff val="40000"/>
                </a:schemeClr>
              </a:solidFill>
            </a:rPr>
            <a:t>4</a:t>
          </a:r>
        </a:p>
      </xdr:txBody>
    </xdr:sp>
    <xdr:clientData/>
  </xdr:twoCellAnchor>
  <xdr:twoCellAnchor>
    <xdr:from>
      <xdr:col>1</xdr:col>
      <xdr:colOff>168089</xdr:colOff>
      <xdr:row>29</xdr:row>
      <xdr:rowOff>159012</xdr:rowOff>
    </xdr:from>
    <xdr:to>
      <xdr:col>1</xdr:col>
      <xdr:colOff>435093</xdr:colOff>
      <xdr:row>31</xdr:row>
      <xdr:rowOff>20284</xdr:rowOff>
    </xdr:to>
    <xdr:sp macro="" textlink="">
      <xdr:nvSpPr>
        <xdr:cNvPr id="7" name="Elipse 6">
          <a:extLst>
            <a:ext uri="{FF2B5EF4-FFF2-40B4-BE49-F238E27FC236}">
              <a16:creationId xmlns:a16="http://schemas.microsoft.com/office/drawing/2014/main" id="{00000000-0008-0000-0600-000007000000}"/>
            </a:ext>
          </a:extLst>
        </xdr:cNvPr>
        <xdr:cNvSpPr/>
      </xdr:nvSpPr>
      <xdr:spPr>
        <a:xfrm>
          <a:off x="773207" y="5829188"/>
          <a:ext cx="267004" cy="219861"/>
        </a:xfrm>
        <a:prstGeom prst="ellipse">
          <a:avLst/>
        </a:prstGeom>
        <a:solidFill>
          <a:schemeClr val="accent6">
            <a:lumMod val="75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b="1">
              <a:solidFill>
                <a:schemeClr val="accent4">
                  <a:lumMod val="60000"/>
                  <a:lumOff val="40000"/>
                </a:schemeClr>
              </a:solidFill>
            </a:rPr>
            <a:t>5</a:t>
          </a:r>
        </a:p>
      </xdr:txBody>
    </xdr:sp>
    <xdr:clientData/>
  </xdr:twoCellAnchor>
  <xdr:twoCellAnchor>
    <xdr:from>
      <xdr:col>15</xdr:col>
      <xdr:colOff>130661</xdr:colOff>
      <xdr:row>0</xdr:row>
      <xdr:rowOff>87965</xdr:rowOff>
    </xdr:from>
    <xdr:to>
      <xdr:col>15</xdr:col>
      <xdr:colOff>397665</xdr:colOff>
      <xdr:row>1</xdr:row>
      <xdr:rowOff>124946</xdr:rowOff>
    </xdr:to>
    <xdr:sp macro="" textlink="">
      <xdr:nvSpPr>
        <xdr:cNvPr id="8" name="Elipse 7">
          <a:extLst>
            <a:ext uri="{FF2B5EF4-FFF2-40B4-BE49-F238E27FC236}">
              <a16:creationId xmlns:a16="http://schemas.microsoft.com/office/drawing/2014/main" id="{00000000-0008-0000-0600-000008000000}"/>
            </a:ext>
          </a:extLst>
        </xdr:cNvPr>
        <xdr:cNvSpPr/>
      </xdr:nvSpPr>
      <xdr:spPr>
        <a:xfrm>
          <a:off x="9756514" y="87965"/>
          <a:ext cx="267004" cy="227481"/>
        </a:xfrm>
        <a:prstGeom prst="ellipse">
          <a:avLst/>
        </a:prstGeom>
        <a:solidFill>
          <a:schemeClr val="accent6">
            <a:lumMod val="75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b="1">
              <a:solidFill>
                <a:schemeClr val="accent4">
                  <a:lumMod val="60000"/>
                  <a:lumOff val="40000"/>
                </a:schemeClr>
              </a:solidFill>
            </a:rPr>
            <a:t>6</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9</xdr:col>
      <xdr:colOff>472441</xdr:colOff>
      <xdr:row>1</xdr:row>
      <xdr:rowOff>171450</xdr:rowOff>
    </xdr:from>
    <xdr:to>
      <xdr:col>10</xdr:col>
      <xdr:colOff>58160</xdr:colOff>
      <xdr:row>7</xdr:row>
      <xdr:rowOff>136549</xdr:rowOff>
    </xdr:to>
    <xdr:pic>
      <xdr:nvPicPr>
        <xdr:cNvPr id="13" name="Imagem 12" descr="Imagem relacionada">
          <a:extLst>
            <a:ext uri="{FF2B5EF4-FFF2-40B4-BE49-F238E27FC236}">
              <a16:creationId xmlns:a16="http://schemas.microsoft.com/office/drawing/2014/main" id="{00000000-0008-0000-0700-00000D000000}"/>
            </a:ext>
          </a:extLst>
        </xdr:cNvPr>
        <xdr:cNvPicPr>
          <a:picLocks noChangeAspect="1" noChangeArrowheads="1"/>
        </xdr:cNvPicPr>
      </xdr:nvPicPr>
      <xdr:blipFill rotWithShape="1">
        <a:blip xmlns:r="http://schemas.openxmlformats.org/officeDocument/2006/relationships" r:embed="rId1" cstate="screen">
          <a:clrChange>
            <a:clrFrom>
              <a:srgbClr val="FFFFFF"/>
            </a:clrFrom>
            <a:clrTo>
              <a:srgbClr val="FFFFFF">
                <a:alpha val="0"/>
              </a:srgbClr>
            </a:clrTo>
          </a:clrChange>
          <a:extLst>
            <a:ext uri="{28A0092B-C50C-407E-A947-70E740481C1C}">
              <a14:useLocalDpi xmlns:a14="http://schemas.microsoft.com/office/drawing/2010/main"/>
            </a:ext>
          </a:extLst>
        </a:blip>
        <a:srcRect/>
        <a:stretch/>
      </xdr:blipFill>
      <xdr:spPr bwMode="auto">
        <a:xfrm>
          <a:off x="7500434" y="261097"/>
          <a:ext cx="1565126" cy="12201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16</xdr:col>
          <xdr:colOff>819150</xdr:colOff>
          <xdr:row>1</xdr:row>
          <xdr:rowOff>171450</xdr:rowOff>
        </xdr:from>
        <xdr:to>
          <xdr:col>16</xdr:col>
          <xdr:colOff>962025</xdr:colOff>
          <xdr:row>3</xdr:row>
          <xdr:rowOff>19050</xdr:rowOff>
        </xdr:to>
        <xdr:sp macro="" textlink="">
          <xdr:nvSpPr>
            <xdr:cNvPr id="15395" name="Spinner 35" hidden="1">
              <a:extLst>
                <a:ext uri="{63B3BB69-23CF-44E3-9099-C40C66FF867C}">
                  <a14:compatExt spid="_x0000_s15395"/>
                </a:ext>
                <a:ext uri="{FF2B5EF4-FFF2-40B4-BE49-F238E27FC236}">
                  <a16:creationId xmlns:a16="http://schemas.microsoft.com/office/drawing/2014/main" id="{00000000-0008-0000-0700-0000233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xdr:row>
          <xdr:rowOff>0</xdr:rowOff>
        </xdr:from>
        <xdr:to>
          <xdr:col>7</xdr:col>
          <xdr:colOff>1000125</xdr:colOff>
          <xdr:row>12</xdr:row>
          <xdr:rowOff>0</xdr:rowOff>
        </xdr:to>
        <xdr:sp macro="" textlink="">
          <xdr:nvSpPr>
            <xdr:cNvPr id="15406" name="Drop Down 46" descr="teste" hidden="1">
              <a:extLst>
                <a:ext uri="{63B3BB69-23CF-44E3-9099-C40C66FF867C}">
                  <a14:compatExt spid="_x0000_s15406"/>
                </a:ext>
                <a:ext uri="{FF2B5EF4-FFF2-40B4-BE49-F238E27FC236}">
                  <a16:creationId xmlns:a16="http://schemas.microsoft.com/office/drawing/2014/main" id="{00000000-0008-0000-0700-00002E3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13</xdr:row>
          <xdr:rowOff>9525</xdr:rowOff>
        </xdr:from>
        <xdr:to>
          <xdr:col>7</xdr:col>
          <xdr:colOff>971550</xdr:colOff>
          <xdr:row>14</xdr:row>
          <xdr:rowOff>0</xdr:rowOff>
        </xdr:to>
        <xdr:sp macro="" textlink="">
          <xdr:nvSpPr>
            <xdr:cNvPr id="15418" name="Drop Down 58" descr="teste" hidden="1">
              <a:extLst>
                <a:ext uri="{63B3BB69-23CF-44E3-9099-C40C66FF867C}">
                  <a14:compatExt spid="_x0000_s15418"/>
                </a:ext>
                <a:ext uri="{FF2B5EF4-FFF2-40B4-BE49-F238E27FC236}">
                  <a16:creationId xmlns:a16="http://schemas.microsoft.com/office/drawing/2014/main" id="{00000000-0008-0000-0700-00003A3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absolute">
    <xdr:from>
      <xdr:col>11</xdr:col>
      <xdr:colOff>21563</xdr:colOff>
      <xdr:row>1</xdr:row>
      <xdr:rowOff>60829</xdr:rowOff>
    </xdr:from>
    <xdr:to>
      <xdr:col>14</xdr:col>
      <xdr:colOff>1051143</xdr:colOff>
      <xdr:row>10</xdr:row>
      <xdr:rowOff>133764</xdr:rowOff>
    </xdr:to>
    <xdr:graphicFrame macro="">
      <xdr:nvGraphicFramePr>
        <xdr:cNvPr id="14" name="Gráfico 13">
          <a:extLst>
            <a:ext uri="{FF2B5EF4-FFF2-40B4-BE49-F238E27FC236}">
              <a16:creationId xmlns:a16="http://schemas.microsoft.com/office/drawing/2014/main" id="{00000000-0008-0000-07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9</xdr:col>
      <xdr:colOff>321944</xdr:colOff>
      <xdr:row>10</xdr:row>
      <xdr:rowOff>92561</xdr:rowOff>
    </xdr:from>
    <xdr:to>
      <xdr:col>10</xdr:col>
      <xdr:colOff>129988</xdr:colOff>
      <xdr:row>14</xdr:row>
      <xdr:rowOff>897</xdr:rowOff>
    </xdr:to>
    <xdr:sp macro="" textlink="Resumo!$F$196">
      <xdr:nvSpPr>
        <xdr:cNvPr id="2" name="CaixaDeTexto 1">
          <a:extLst>
            <a:ext uri="{FF2B5EF4-FFF2-40B4-BE49-F238E27FC236}">
              <a16:creationId xmlns:a16="http://schemas.microsoft.com/office/drawing/2014/main" id="{00000000-0008-0000-0700-000002000000}"/>
            </a:ext>
          </a:extLst>
        </xdr:cNvPr>
        <xdr:cNvSpPr txBox="1"/>
      </xdr:nvSpPr>
      <xdr:spPr>
        <a:xfrm>
          <a:off x="7334697" y="2019973"/>
          <a:ext cx="1810311" cy="6870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1BE588-A3C5-4FB3-B9FB-D099CC03CA76}" type="TxLink">
            <a:rPr lang="en-US" sz="1400" b="1" i="0" u="none" strike="noStrike">
              <a:solidFill>
                <a:srgbClr val="000000"/>
              </a:solidFill>
              <a:latin typeface="Calibri"/>
              <a:cs typeface="Calibri"/>
            </a:rPr>
            <a:pPr algn="ctr"/>
            <a:t>Oversize do Inversor: 82%</a:t>
          </a:fld>
          <a:endParaRPr lang="pt-BR" sz="1800" b="1" i="0"/>
        </a:p>
      </xdr:txBody>
    </xdr:sp>
    <xdr:clientData/>
  </xdr:twoCellAnchor>
  <mc:AlternateContent xmlns:mc="http://schemas.openxmlformats.org/markup-compatibility/2006">
    <mc:Choice xmlns:a14="http://schemas.microsoft.com/office/drawing/2010/main" Requires="a14">
      <xdr:twoCellAnchor editAs="oneCell">
        <xdr:from>
          <xdr:col>6</xdr:col>
          <xdr:colOff>704850</xdr:colOff>
          <xdr:row>2</xdr:row>
          <xdr:rowOff>0</xdr:rowOff>
        </xdr:from>
        <xdr:to>
          <xdr:col>7</xdr:col>
          <xdr:colOff>800100</xdr:colOff>
          <xdr:row>3</xdr:row>
          <xdr:rowOff>9525</xdr:rowOff>
        </xdr:to>
        <xdr:sp macro="" textlink="">
          <xdr:nvSpPr>
            <xdr:cNvPr id="15423" name="Drop Down 63" hidden="1">
              <a:extLst>
                <a:ext uri="{63B3BB69-23CF-44E3-9099-C40C66FF867C}">
                  <a14:compatExt spid="_x0000_s15423"/>
                </a:ext>
                <a:ext uri="{FF2B5EF4-FFF2-40B4-BE49-F238E27FC236}">
                  <a16:creationId xmlns:a16="http://schemas.microsoft.com/office/drawing/2014/main" id="{00000000-0008-0000-0700-00003F3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104775</xdr:colOff>
          <xdr:row>30</xdr:row>
          <xdr:rowOff>171450</xdr:rowOff>
        </xdr:from>
        <xdr:to>
          <xdr:col>9</xdr:col>
          <xdr:colOff>371475</xdr:colOff>
          <xdr:row>33</xdr:row>
          <xdr:rowOff>19050</xdr:rowOff>
        </xdr:to>
        <xdr:sp macro="" textlink="">
          <xdr:nvSpPr>
            <xdr:cNvPr id="15424" name="Spinner 64" hidden="1">
              <a:extLst>
                <a:ext uri="{63B3BB69-23CF-44E3-9099-C40C66FF867C}">
                  <a14:compatExt spid="_x0000_s15424"/>
                </a:ext>
                <a:ext uri="{FF2B5EF4-FFF2-40B4-BE49-F238E27FC236}">
                  <a16:creationId xmlns:a16="http://schemas.microsoft.com/office/drawing/2014/main" id="{00000000-0008-0000-0700-0000403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absolute">
    <xdr:from>
      <xdr:col>1</xdr:col>
      <xdr:colOff>20507</xdr:colOff>
      <xdr:row>1</xdr:row>
      <xdr:rowOff>91777</xdr:rowOff>
    </xdr:from>
    <xdr:to>
      <xdr:col>3</xdr:col>
      <xdr:colOff>358365</xdr:colOff>
      <xdr:row>2</xdr:row>
      <xdr:rowOff>209663</xdr:rowOff>
    </xdr:to>
    <xdr:sp macro="" textlink="">
      <xdr:nvSpPr>
        <xdr:cNvPr id="3" name="Seta: para a Direita 2">
          <a:hlinkClick xmlns:r="http://schemas.openxmlformats.org/officeDocument/2006/relationships" r:id="rId3"/>
          <a:extLst>
            <a:ext uri="{FF2B5EF4-FFF2-40B4-BE49-F238E27FC236}">
              <a16:creationId xmlns:a16="http://schemas.microsoft.com/office/drawing/2014/main" id="{00000000-0008-0000-0700-000003000000}"/>
            </a:ext>
          </a:extLst>
        </xdr:cNvPr>
        <xdr:cNvSpPr/>
      </xdr:nvSpPr>
      <xdr:spPr>
        <a:xfrm flipH="1">
          <a:off x="121360" y="175709"/>
          <a:ext cx="1045734" cy="302895"/>
        </a:xfrm>
        <a:prstGeom prst="rightArrow">
          <a:avLst>
            <a:gd name="adj1" fmla="val 63784"/>
            <a:gd name="adj2" fmla="val 50000"/>
          </a:avLst>
        </a:prstGeom>
        <a:solidFill>
          <a:schemeClr val="accent6">
            <a:lumMod val="60000"/>
            <a:lumOff val="40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200" b="1">
              <a:solidFill>
                <a:sysClr val="windowText" lastClr="000000"/>
              </a:solidFill>
            </a:rPr>
            <a:t>Início</a:t>
          </a:r>
        </a:p>
      </xdr:txBody>
    </xdr:sp>
    <xdr:clientData/>
  </xdr:twoCellAnchor>
  <xdr:twoCellAnchor editAs="absolute">
    <xdr:from>
      <xdr:col>3</xdr:col>
      <xdr:colOff>668656</xdr:colOff>
      <xdr:row>1</xdr:row>
      <xdr:rowOff>95586</xdr:rowOff>
    </xdr:from>
    <xdr:to>
      <xdr:col>4</xdr:col>
      <xdr:colOff>135817</xdr:colOff>
      <xdr:row>2</xdr:row>
      <xdr:rowOff>210267</xdr:rowOff>
    </xdr:to>
    <xdr:sp macro="" textlink="">
      <xdr:nvSpPr>
        <xdr:cNvPr id="4" name="Seta: para a Direita 3">
          <a:hlinkClick xmlns:r="http://schemas.openxmlformats.org/officeDocument/2006/relationships" r:id="rId4"/>
          <a:extLst>
            <a:ext uri="{FF2B5EF4-FFF2-40B4-BE49-F238E27FC236}">
              <a16:creationId xmlns:a16="http://schemas.microsoft.com/office/drawing/2014/main" id="{00000000-0008-0000-0700-000004000000}"/>
            </a:ext>
          </a:extLst>
        </xdr:cNvPr>
        <xdr:cNvSpPr/>
      </xdr:nvSpPr>
      <xdr:spPr>
        <a:xfrm>
          <a:off x="1488815" y="177613"/>
          <a:ext cx="1021192" cy="301595"/>
        </a:xfrm>
        <a:prstGeom prst="rightArrow">
          <a:avLst>
            <a:gd name="adj1" fmla="val 63784"/>
            <a:gd name="adj2" fmla="val 50000"/>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200" b="1">
              <a:solidFill>
                <a:sysClr val="windowText" lastClr="000000"/>
              </a:solidFill>
            </a:rPr>
            <a:t>Kits</a:t>
          </a:r>
        </a:p>
      </xdr:txBody>
    </xdr:sp>
    <xdr:clientData/>
  </xdr:twoCellAnchor>
  <xdr:twoCellAnchor>
    <xdr:from>
      <xdr:col>13</xdr:col>
      <xdr:colOff>66675</xdr:colOff>
      <xdr:row>13</xdr:row>
      <xdr:rowOff>94689</xdr:rowOff>
    </xdr:from>
    <xdr:to>
      <xdr:col>13</xdr:col>
      <xdr:colOff>316534</xdr:colOff>
      <xdr:row>14</xdr:row>
      <xdr:rowOff>141195</xdr:rowOff>
    </xdr:to>
    <xdr:sp macro="" textlink="">
      <xdr:nvSpPr>
        <xdr:cNvPr id="5" name="Elipse 4">
          <a:extLst>
            <a:ext uri="{FF2B5EF4-FFF2-40B4-BE49-F238E27FC236}">
              <a16:creationId xmlns:a16="http://schemas.microsoft.com/office/drawing/2014/main" id="{00000000-0008-0000-0700-000005000000}"/>
            </a:ext>
          </a:extLst>
        </xdr:cNvPr>
        <xdr:cNvSpPr/>
      </xdr:nvSpPr>
      <xdr:spPr>
        <a:xfrm>
          <a:off x="12277725" y="2590239"/>
          <a:ext cx="249859" cy="246531"/>
        </a:xfrm>
        <a:prstGeom prst="ellipse">
          <a:avLst/>
        </a:prstGeom>
        <a:solidFill>
          <a:schemeClr val="accent6">
            <a:lumMod val="75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b="1">
              <a:solidFill>
                <a:schemeClr val="accent4">
                  <a:lumMod val="60000"/>
                  <a:lumOff val="40000"/>
                </a:schemeClr>
              </a:solidFill>
            </a:rPr>
            <a:t>1</a:t>
          </a:r>
        </a:p>
      </xdr:txBody>
    </xdr:sp>
    <xdr:clientData/>
  </xdr:twoCellAnchor>
  <xdr:twoCellAnchor>
    <xdr:from>
      <xdr:col>14</xdr:col>
      <xdr:colOff>512445</xdr:colOff>
      <xdr:row>19</xdr:row>
      <xdr:rowOff>60399</xdr:rowOff>
    </xdr:from>
    <xdr:to>
      <xdr:col>14</xdr:col>
      <xdr:colOff>768019</xdr:colOff>
      <xdr:row>20</xdr:row>
      <xdr:rowOff>101190</xdr:rowOff>
    </xdr:to>
    <xdr:sp macro="" textlink="">
      <xdr:nvSpPr>
        <xdr:cNvPr id="7" name="Elipse 6">
          <a:extLst>
            <a:ext uri="{FF2B5EF4-FFF2-40B4-BE49-F238E27FC236}">
              <a16:creationId xmlns:a16="http://schemas.microsoft.com/office/drawing/2014/main" id="{00000000-0008-0000-0700-000007000000}"/>
            </a:ext>
          </a:extLst>
        </xdr:cNvPr>
        <xdr:cNvSpPr/>
      </xdr:nvSpPr>
      <xdr:spPr>
        <a:xfrm>
          <a:off x="13895070" y="3537024"/>
          <a:ext cx="255574" cy="240816"/>
        </a:xfrm>
        <a:prstGeom prst="ellipse">
          <a:avLst/>
        </a:prstGeom>
        <a:solidFill>
          <a:schemeClr val="accent6">
            <a:lumMod val="75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b="1">
              <a:solidFill>
                <a:schemeClr val="accent4">
                  <a:lumMod val="60000"/>
                  <a:lumOff val="40000"/>
                </a:schemeClr>
              </a:solidFill>
            </a:rPr>
            <a:t>3</a:t>
          </a:r>
        </a:p>
      </xdr:txBody>
    </xdr:sp>
    <xdr:clientData/>
  </xdr:twoCellAnchor>
  <xdr:twoCellAnchor>
    <xdr:from>
      <xdr:col>3</xdr:col>
      <xdr:colOff>1541145</xdr:colOff>
      <xdr:row>11</xdr:row>
      <xdr:rowOff>161364</xdr:rowOff>
    </xdr:from>
    <xdr:to>
      <xdr:col>5</xdr:col>
      <xdr:colOff>11734</xdr:colOff>
      <xdr:row>13</xdr:row>
      <xdr:rowOff>9750</xdr:rowOff>
    </xdr:to>
    <xdr:sp macro="" textlink="">
      <xdr:nvSpPr>
        <xdr:cNvPr id="10" name="Elipse 9">
          <a:extLst>
            <a:ext uri="{FF2B5EF4-FFF2-40B4-BE49-F238E27FC236}">
              <a16:creationId xmlns:a16="http://schemas.microsoft.com/office/drawing/2014/main" id="{00000000-0008-0000-0700-00000A000000}"/>
            </a:ext>
          </a:extLst>
        </xdr:cNvPr>
        <xdr:cNvSpPr/>
      </xdr:nvSpPr>
      <xdr:spPr>
        <a:xfrm>
          <a:off x="2341245" y="2256864"/>
          <a:ext cx="251764" cy="248436"/>
        </a:xfrm>
        <a:prstGeom prst="ellipse">
          <a:avLst/>
        </a:prstGeom>
        <a:solidFill>
          <a:schemeClr val="accent6">
            <a:lumMod val="75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b="1">
              <a:solidFill>
                <a:schemeClr val="accent4">
                  <a:lumMod val="60000"/>
                  <a:lumOff val="40000"/>
                </a:schemeClr>
              </a:solidFill>
            </a:rPr>
            <a:t>2</a:t>
          </a:r>
        </a:p>
      </xdr:txBody>
    </xdr:sp>
    <xdr:clientData/>
  </xdr:twoCellAnchor>
  <xdr:twoCellAnchor>
    <xdr:from>
      <xdr:col>3</xdr:col>
      <xdr:colOff>1122045</xdr:colOff>
      <xdr:row>2</xdr:row>
      <xdr:rowOff>208989</xdr:rowOff>
    </xdr:from>
    <xdr:to>
      <xdr:col>3</xdr:col>
      <xdr:colOff>1373809</xdr:colOff>
      <xdr:row>3</xdr:row>
      <xdr:rowOff>190725</xdr:rowOff>
    </xdr:to>
    <xdr:sp macro="" textlink="">
      <xdr:nvSpPr>
        <xdr:cNvPr id="11" name="Elipse 10">
          <a:extLst>
            <a:ext uri="{FF2B5EF4-FFF2-40B4-BE49-F238E27FC236}">
              <a16:creationId xmlns:a16="http://schemas.microsoft.com/office/drawing/2014/main" id="{00000000-0008-0000-0700-00000B000000}"/>
            </a:ext>
          </a:extLst>
        </xdr:cNvPr>
        <xdr:cNvSpPr/>
      </xdr:nvSpPr>
      <xdr:spPr>
        <a:xfrm>
          <a:off x="1931670" y="475689"/>
          <a:ext cx="251764" cy="248436"/>
        </a:xfrm>
        <a:prstGeom prst="ellipse">
          <a:avLst/>
        </a:prstGeom>
        <a:solidFill>
          <a:schemeClr val="accent6">
            <a:lumMod val="75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b="1">
              <a:solidFill>
                <a:schemeClr val="accent4">
                  <a:lumMod val="60000"/>
                  <a:lumOff val="40000"/>
                </a:schemeClr>
              </a:solidFill>
            </a:rPr>
            <a:t>4</a:t>
          </a:r>
        </a:p>
      </xdr:txBody>
    </xdr:sp>
    <xdr:clientData/>
  </xdr:twoCellAnchor>
  <xdr:twoCellAnchor>
    <xdr:from>
      <xdr:col>9</xdr:col>
      <xdr:colOff>891540</xdr:colOff>
      <xdr:row>21</xdr:row>
      <xdr:rowOff>139066</xdr:rowOff>
    </xdr:from>
    <xdr:to>
      <xdr:col>13</xdr:col>
      <xdr:colOff>510540</xdr:colOff>
      <xdr:row>29</xdr:row>
      <xdr:rowOff>161925</xdr:rowOff>
    </xdr:to>
    <xdr:sp macro="" textlink="">
      <xdr:nvSpPr>
        <xdr:cNvPr id="12" name="Retângulo: Cantos Arredondados 11">
          <a:extLst>
            <a:ext uri="{FF2B5EF4-FFF2-40B4-BE49-F238E27FC236}">
              <a16:creationId xmlns:a16="http://schemas.microsoft.com/office/drawing/2014/main" id="{00000000-0008-0000-0700-00000C000000}"/>
            </a:ext>
          </a:extLst>
        </xdr:cNvPr>
        <xdr:cNvSpPr/>
      </xdr:nvSpPr>
      <xdr:spPr>
        <a:xfrm>
          <a:off x="7978140" y="4215766"/>
          <a:ext cx="4743450" cy="1623059"/>
        </a:xfrm>
        <a:prstGeom prst="roundRect">
          <a:avLst/>
        </a:prstGeom>
        <a:solidFill>
          <a:schemeClr val="accent6">
            <a:lumMod val="75000"/>
            <a:alpha val="20000"/>
          </a:schemeClr>
        </a:solidFill>
        <a:ln>
          <a:prstDash val="dash"/>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r>
            <a:rPr lang="pt-BR" sz="1100">
              <a:solidFill>
                <a:schemeClr val="tx1">
                  <a:lumMod val="75000"/>
                  <a:lumOff val="25000"/>
                  <a:alpha val="59000"/>
                </a:schemeClr>
              </a:solidFill>
            </a:rPr>
            <a:t>1- Verificar</a:t>
          </a:r>
          <a:r>
            <a:rPr lang="pt-BR" sz="1100" baseline="0">
              <a:solidFill>
                <a:schemeClr val="tx1">
                  <a:lumMod val="75000"/>
                  <a:lumOff val="25000"/>
                  <a:alpha val="59000"/>
                </a:schemeClr>
              </a:solidFill>
            </a:rPr>
            <a:t> o tamanho do sistema e a quantidade de módulos necessária.</a:t>
          </a:r>
        </a:p>
        <a:p>
          <a:pPr algn="l"/>
          <a:r>
            <a:rPr lang="pt-BR" sz="1100" baseline="0">
              <a:solidFill>
                <a:schemeClr val="tx1">
                  <a:lumMod val="75000"/>
                  <a:lumOff val="25000"/>
                  <a:alpha val="59000"/>
                </a:schemeClr>
              </a:solidFill>
            </a:rPr>
            <a:t>2- Ajustar a quantidade de módulos e inversor, ficando dentro da faixa de oversize;</a:t>
          </a:r>
        </a:p>
        <a:p>
          <a:pPr algn="l"/>
          <a:r>
            <a:rPr lang="pt-BR" sz="1100">
              <a:solidFill>
                <a:schemeClr val="tx1">
                  <a:lumMod val="75000"/>
                  <a:lumOff val="25000"/>
                  <a:alpha val="59000"/>
                </a:schemeClr>
              </a:solidFill>
            </a:rPr>
            <a:t>3- Verificar o incremento sugerido e aumentar no</a:t>
          </a:r>
          <a:r>
            <a:rPr lang="pt-BR" sz="1100" baseline="0">
              <a:solidFill>
                <a:schemeClr val="tx1">
                  <a:lumMod val="75000"/>
                  <a:lumOff val="25000"/>
                  <a:alpha val="59000"/>
                </a:schemeClr>
              </a:solidFill>
            </a:rPr>
            <a:t> mensal (caso haja consumo detalhado por mês, como AC) e ou "% total" até zerar o sugerido;</a:t>
          </a:r>
        </a:p>
        <a:p>
          <a:pPr algn="l"/>
          <a:r>
            <a:rPr lang="pt-BR" sz="1100" baseline="0">
              <a:solidFill>
                <a:schemeClr val="tx1">
                  <a:lumMod val="75000"/>
                  <a:lumOff val="25000"/>
                  <a:alpha val="59000"/>
                </a:schemeClr>
              </a:solidFill>
            </a:rPr>
            <a:t>4- Analisar as informações rápidas de retorno se estão dentro do padrão;</a:t>
          </a:r>
        </a:p>
        <a:p>
          <a:pPr algn="l"/>
          <a:r>
            <a:rPr lang="pt-BR" sz="1100" baseline="0">
              <a:solidFill>
                <a:schemeClr val="tx1">
                  <a:lumMod val="75000"/>
                  <a:lumOff val="25000"/>
                  <a:alpha val="59000"/>
                </a:schemeClr>
              </a:solidFill>
            </a:rPr>
            <a:t>5- Verificar o tamanho do sistema em "kWp" para escolher na etapa kit;</a:t>
          </a:r>
        </a:p>
        <a:p>
          <a:pPr algn="l"/>
          <a:r>
            <a:rPr lang="pt-BR" sz="1100" baseline="0">
              <a:solidFill>
                <a:schemeClr val="tx1">
                  <a:lumMod val="75000"/>
                  <a:lumOff val="25000"/>
                  <a:alpha val="59000"/>
                </a:schemeClr>
              </a:solidFill>
            </a:rPr>
            <a:t>6- Avançar para a próxima etapa.</a:t>
          </a:r>
          <a:endParaRPr lang="pt-BR" sz="1100">
            <a:solidFill>
              <a:schemeClr val="tx1">
                <a:lumMod val="75000"/>
                <a:lumOff val="25000"/>
                <a:alpha val="59000"/>
              </a:schemeClr>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1</xdr:rowOff>
    </xdr:from>
    <xdr:to>
      <xdr:col>1</xdr:col>
      <xdr:colOff>64659</xdr:colOff>
      <xdr:row>0</xdr:row>
      <xdr:rowOff>306706</xdr:rowOff>
    </xdr:to>
    <xdr:sp macro="" textlink="">
      <xdr:nvSpPr>
        <xdr:cNvPr id="2" name="Seta: para a Direita 1">
          <a:hlinkClick xmlns:r="http://schemas.openxmlformats.org/officeDocument/2006/relationships" r:id="rId1"/>
          <a:extLst>
            <a:ext uri="{FF2B5EF4-FFF2-40B4-BE49-F238E27FC236}">
              <a16:creationId xmlns:a16="http://schemas.microsoft.com/office/drawing/2014/main" id="{00000000-0008-0000-0800-000002000000}"/>
            </a:ext>
          </a:extLst>
        </xdr:cNvPr>
        <xdr:cNvSpPr/>
      </xdr:nvSpPr>
      <xdr:spPr>
        <a:xfrm flipH="1">
          <a:off x="0" y="1"/>
          <a:ext cx="1038114" cy="304800"/>
        </a:xfrm>
        <a:prstGeom prst="rightArrow">
          <a:avLst>
            <a:gd name="adj1" fmla="val 63784"/>
            <a:gd name="adj2" fmla="val 50000"/>
          </a:avLst>
        </a:prstGeom>
        <a:solidFill>
          <a:schemeClr val="accent6">
            <a:lumMod val="60000"/>
            <a:lumOff val="40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200" b="1">
              <a:solidFill>
                <a:sysClr val="windowText" lastClr="000000"/>
              </a:solidFill>
            </a:rPr>
            <a:t>Simulação</a:t>
          </a:r>
        </a:p>
      </xdr:txBody>
    </xdr:sp>
    <xdr:clientData/>
  </xdr:twoCellAnchor>
  <xdr:twoCellAnchor editAs="absolute">
    <xdr:from>
      <xdr:col>1</xdr:col>
      <xdr:colOff>330687</xdr:colOff>
      <xdr:row>0</xdr:row>
      <xdr:rowOff>0</xdr:rowOff>
    </xdr:from>
    <xdr:to>
      <xdr:col>2</xdr:col>
      <xdr:colOff>172684</xdr:colOff>
      <xdr:row>0</xdr:row>
      <xdr:rowOff>305405</xdr:rowOff>
    </xdr:to>
    <xdr:sp macro="" textlink="">
      <xdr:nvSpPr>
        <xdr:cNvPr id="3" name="Seta: para a Direita 2">
          <a:hlinkClick xmlns:r="http://schemas.openxmlformats.org/officeDocument/2006/relationships" r:id="rId2"/>
          <a:extLst>
            <a:ext uri="{FF2B5EF4-FFF2-40B4-BE49-F238E27FC236}">
              <a16:creationId xmlns:a16="http://schemas.microsoft.com/office/drawing/2014/main" id="{00000000-0008-0000-0800-000003000000}"/>
            </a:ext>
          </a:extLst>
        </xdr:cNvPr>
        <xdr:cNvSpPr/>
      </xdr:nvSpPr>
      <xdr:spPr>
        <a:xfrm>
          <a:off x="1306047" y="0"/>
          <a:ext cx="1028812" cy="305405"/>
        </a:xfrm>
        <a:prstGeom prst="rightArrow">
          <a:avLst>
            <a:gd name="adj1" fmla="val 63784"/>
            <a:gd name="adj2" fmla="val 50000"/>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200" b="1">
              <a:solidFill>
                <a:sysClr val="windowText" lastClr="000000"/>
              </a:solidFill>
            </a:rPr>
            <a:t>Orçamento</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15</xdr:col>
      <xdr:colOff>106680</xdr:colOff>
      <xdr:row>52</xdr:row>
      <xdr:rowOff>134378</xdr:rowOff>
    </xdr:from>
    <xdr:to>
      <xdr:col>19</xdr:col>
      <xdr:colOff>325755</xdr:colOff>
      <xdr:row>63</xdr:row>
      <xdr:rowOff>19478</xdr:rowOff>
    </xdr:to>
    <xdr:pic>
      <xdr:nvPicPr>
        <xdr:cNvPr id="2" name="Imagem 1" descr="Mapa&#10;&#10;Descrição gerada automaticamente">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16594455" y="8459228"/>
          <a:ext cx="3489960" cy="2361600"/>
        </a:xfrm>
        <a:prstGeom prst="rect">
          <a:avLst/>
        </a:prstGeom>
      </xdr:spPr>
    </xdr:pic>
    <xdr:clientData/>
  </xdr:twoCellAnchor>
  <xdr:twoCellAnchor>
    <xdr:from>
      <xdr:col>70</xdr:col>
      <xdr:colOff>0</xdr:colOff>
      <xdr:row>19</xdr:row>
      <xdr:rowOff>0</xdr:rowOff>
    </xdr:from>
    <xdr:to>
      <xdr:col>71</xdr:col>
      <xdr:colOff>549660</xdr:colOff>
      <xdr:row>21</xdr:row>
      <xdr:rowOff>178571</xdr:rowOff>
    </xdr:to>
    <xdr:sp macro="" textlink="">
      <xdr:nvSpPr>
        <xdr:cNvPr id="3" name="Retângulo: Cantos Arredondados 2">
          <a:hlinkClick xmlns:r="http://schemas.openxmlformats.org/officeDocument/2006/relationships" r:id="rId2"/>
          <a:extLst>
            <a:ext uri="{FF2B5EF4-FFF2-40B4-BE49-F238E27FC236}">
              <a16:creationId xmlns:a16="http://schemas.microsoft.com/office/drawing/2014/main" id="{00000000-0008-0000-0A00-000003000000}"/>
            </a:ext>
          </a:extLst>
        </xdr:cNvPr>
        <xdr:cNvSpPr/>
      </xdr:nvSpPr>
      <xdr:spPr>
        <a:xfrm>
          <a:off x="62338324" y="3406588"/>
          <a:ext cx="1154777" cy="537159"/>
        </a:xfrm>
        <a:prstGeom prst="roundRect">
          <a:avLst/>
        </a:prstGeom>
        <a:solidFill>
          <a:schemeClr val="accent6">
            <a:lumMod val="40000"/>
            <a:lumOff val="6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u="none">
              <a:solidFill>
                <a:sysClr val="windowText" lastClr="000000"/>
              </a:solidFill>
            </a:rPr>
            <a:t>Início</a:t>
          </a:r>
        </a:p>
      </xdr:txBody>
    </xdr:sp>
    <xdr:clientData/>
  </xdr:twoCellAnchor>
  <xdr:twoCellAnchor editAs="oneCell">
    <xdr:from>
      <xdr:col>5</xdr:col>
      <xdr:colOff>489584</xdr:colOff>
      <xdr:row>43</xdr:row>
      <xdr:rowOff>66675</xdr:rowOff>
    </xdr:from>
    <xdr:to>
      <xdr:col>8</xdr:col>
      <xdr:colOff>796045</xdr:colOff>
      <xdr:row>47</xdr:row>
      <xdr:rowOff>97211</xdr:rowOff>
    </xdr:to>
    <xdr:pic>
      <xdr:nvPicPr>
        <xdr:cNvPr id="4" name="Imagem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8976359" y="7848600"/>
          <a:ext cx="3930892" cy="76205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1</xdr:rowOff>
    </xdr:from>
    <xdr:to>
      <xdr:col>1</xdr:col>
      <xdr:colOff>378984</xdr:colOff>
      <xdr:row>1</xdr:row>
      <xdr:rowOff>133351</xdr:rowOff>
    </xdr:to>
    <xdr:sp macro="" textlink="">
      <xdr:nvSpPr>
        <xdr:cNvPr id="4" name="Seta: para a Direita 3">
          <a:hlinkClick xmlns:r="http://schemas.openxmlformats.org/officeDocument/2006/relationships" r:id="rId1"/>
          <a:extLst>
            <a:ext uri="{FF2B5EF4-FFF2-40B4-BE49-F238E27FC236}">
              <a16:creationId xmlns:a16="http://schemas.microsoft.com/office/drawing/2014/main" id="{00000000-0008-0000-0900-000004000000}"/>
            </a:ext>
          </a:extLst>
        </xdr:cNvPr>
        <xdr:cNvSpPr/>
      </xdr:nvSpPr>
      <xdr:spPr>
        <a:xfrm flipH="1">
          <a:off x="0" y="1"/>
          <a:ext cx="1038114" cy="306705"/>
        </a:xfrm>
        <a:prstGeom prst="rightArrow">
          <a:avLst>
            <a:gd name="adj1" fmla="val 63784"/>
            <a:gd name="adj2" fmla="val 50000"/>
          </a:avLst>
        </a:prstGeom>
        <a:solidFill>
          <a:schemeClr val="accent6">
            <a:lumMod val="60000"/>
            <a:lumOff val="40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200" b="1">
              <a:solidFill>
                <a:sysClr val="windowText" lastClr="000000"/>
              </a:solidFill>
            </a:rPr>
            <a:t>Kits</a:t>
          </a:r>
        </a:p>
      </xdr:txBody>
    </xdr:sp>
    <xdr:clientData/>
  </xdr:twoCellAnchor>
  <xdr:twoCellAnchor editAs="absolute">
    <xdr:from>
      <xdr:col>2</xdr:col>
      <xdr:colOff>155427</xdr:colOff>
      <xdr:row>0</xdr:row>
      <xdr:rowOff>0</xdr:rowOff>
    </xdr:from>
    <xdr:to>
      <xdr:col>2</xdr:col>
      <xdr:colOff>1178524</xdr:colOff>
      <xdr:row>1</xdr:row>
      <xdr:rowOff>130145</xdr:rowOff>
    </xdr:to>
    <xdr:sp macro="" textlink="">
      <xdr:nvSpPr>
        <xdr:cNvPr id="5" name="Seta: para a Direita 4">
          <a:hlinkClick xmlns:r="http://schemas.openxmlformats.org/officeDocument/2006/relationships" r:id="rId2"/>
          <a:extLst>
            <a:ext uri="{FF2B5EF4-FFF2-40B4-BE49-F238E27FC236}">
              <a16:creationId xmlns:a16="http://schemas.microsoft.com/office/drawing/2014/main" id="{00000000-0008-0000-0900-000005000000}"/>
            </a:ext>
          </a:extLst>
        </xdr:cNvPr>
        <xdr:cNvSpPr/>
      </xdr:nvSpPr>
      <xdr:spPr>
        <a:xfrm>
          <a:off x="1306047" y="0"/>
          <a:ext cx="1028812" cy="305405"/>
        </a:xfrm>
        <a:prstGeom prst="rightArrow">
          <a:avLst>
            <a:gd name="adj1" fmla="val 63784"/>
            <a:gd name="adj2" fmla="val 50000"/>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050" b="1">
              <a:solidFill>
                <a:sysClr val="windowText" lastClr="000000"/>
              </a:solidFill>
            </a:rPr>
            <a:t>Pré-Proposta</a:t>
          </a:r>
        </a:p>
      </xdr:txBody>
    </xdr:sp>
    <xdr:clientData/>
  </xdr:twoCellAnchor>
  <xdr:twoCellAnchor>
    <xdr:from>
      <xdr:col>5</xdr:col>
      <xdr:colOff>68165</xdr:colOff>
      <xdr:row>4</xdr:row>
      <xdr:rowOff>95581</xdr:rowOff>
    </xdr:from>
    <xdr:to>
      <xdr:col>10</xdr:col>
      <xdr:colOff>20375</xdr:colOff>
      <xdr:row>9</xdr:row>
      <xdr:rowOff>182218</xdr:rowOff>
    </xdr:to>
    <xdr:sp macro="" textlink="">
      <xdr:nvSpPr>
        <xdr:cNvPr id="2" name="Retângulo: Cantos Arredondados 1">
          <a:extLst>
            <a:ext uri="{FF2B5EF4-FFF2-40B4-BE49-F238E27FC236}">
              <a16:creationId xmlns:a16="http://schemas.microsoft.com/office/drawing/2014/main" id="{00000000-0008-0000-0900-000002000000}"/>
            </a:ext>
          </a:extLst>
        </xdr:cNvPr>
        <xdr:cNvSpPr/>
      </xdr:nvSpPr>
      <xdr:spPr>
        <a:xfrm>
          <a:off x="4391687" y="824451"/>
          <a:ext cx="4151492" cy="1196506"/>
        </a:xfrm>
        <a:prstGeom prst="roundRect">
          <a:avLst/>
        </a:prstGeom>
        <a:solidFill>
          <a:schemeClr val="accent6">
            <a:lumMod val="75000"/>
            <a:alpha val="20000"/>
          </a:schemeClr>
        </a:solidFill>
        <a:ln>
          <a:prstDash val="dash"/>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r>
            <a:rPr lang="pt-BR" sz="1100">
              <a:solidFill>
                <a:schemeClr val="accent4">
                  <a:lumMod val="60000"/>
                  <a:lumOff val="40000"/>
                  <a:alpha val="59000"/>
                </a:schemeClr>
              </a:solidFill>
            </a:rPr>
            <a:t>1-</a:t>
          </a:r>
          <a:r>
            <a:rPr lang="pt-BR" sz="1100" baseline="0">
              <a:solidFill>
                <a:schemeClr val="accent4">
                  <a:lumMod val="60000"/>
                  <a:lumOff val="40000"/>
                  <a:alpha val="59000"/>
                </a:schemeClr>
              </a:solidFill>
            </a:rPr>
            <a:t> Outros Gastos:Caso tenha outros gastos como, deslocamento para locais longes, hospedagem, adequações, etc;</a:t>
          </a:r>
        </a:p>
        <a:p>
          <a:pPr algn="l"/>
          <a:r>
            <a:rPr lang="pt-BR" sz="1100" baseline="0">
              <a:solidFill>
                <a:schemeClr val="accent4">
                  <a:lumMod val="60000"/>
                  <a:lumOff val="40000"/>
                  <a:alpha val="59000"/>
                </a:schemeClr>
              </a:solidFill>
            </a:rPr>
            <a:t>2- Comissão externa: em caso de indicação remunerada;</a:t>
          </a:r>
        </a:p>
        <a:p>
          <a:pPr algn="l"/>
          <a:r>
            <a:rPr lang="pt-BR" sz="1100" baseline="0">
              <a:solidFill>
                <a:schemeClr val="accent4">
                  <a:lumMod val="60000"/>
                  <a:lumOff val="40000"/>
                  <a:alpha val="59000"/>
                </a:schemeClr>
              </a:solidFill>
            </a:rPr>
            <a:t>3- VF Alterado: alterar valor dentro da faixa em laranja.</a:t>
          </a:r>
        </a:p>
        <a:p>
          <a:pPr algn="l"/>
          <a:r>
            <a:rPr lang="pt-BR" sz="1100" baseline="0">
              <a:solidFill>
                <a:schemeClr val="accent4">
                  <a:lumMod val="60000"/>
                  <a:lumOff val="40000"/>
                  <a:alpha val="59000"/>
                </a:schemeClr>
              </a:solidFill>
            </a:rPr>
            <a:t>4- Proposta final: Olhar a proposta inicial gerar para fazer sentido os valores</a:t>
          </a:r>
          <a:endParaRPr lang="pt-BR" sz="1100">
            <a:solidFill>
              <a:schemeClr val="accent4">
                <a:lumMod val="60000"/>
                <a:lumOff val="40000"/>
                <a:alpha val="59000"/>
              </a:schemeClr>
            </a:solidFill>
          </a:endParaRPr>
        </a:p>
      </xdr:txBody>
    </xdr:sp>
    <xdr:clientData/>
  </xdr:twoCellAnchor>
  <xdr:twoCellAnchor>
    <xdr:from>
      <xdr:col>5</xdr:col>
      <xdr:colOff>98231</xdr:colOff>
      <xdr:row>11</xdr:row>
      <xdr:rowOff>39424</xdr:rowOff>
    </xdr:from>
    <xdr:to>
      <xdr:col>10</xdr:col>
      <xdr:colOff>487680</xdr:colOff>
      <xdr:row>19</xdr:row>
      <xdr:rowOff>129540</xdr:rowOff>
    </xdr:to>
    <xdr:sp macro="" textlink="Início!Q3">
      <xdr:nvSpPr>
        <xdr:cNvPr id="3" name="Retângulo: Cantos Arredondados 2">
          <a:extLst>
            <a:ext uri="{FF2B5EF4-FFF2-40B4-BE49-F238E27FC236}">
              <a16:creationId xmlns:a16="http://schemas.microsoft.com/office/drawing/2014/main" id="{00000000-0008-0000-0900-000003000000}"/>
            </a:ext>
          </a:extLst>
        </xdr:cNvPr>
        <xdr:cNvSpPr/>
      </xdr:nvSpPr>
      <xdr:spPr>
        <a:xfrm>
          <a:off x="4616891" y="2409244"/>
          <a:ext cx="4580449" cy="2177996"/>
        </a:xfrm>
        <a:prstGeom prst="roundRect">
          <a:avLst/>
        </a:prstGeom>
        <a:solidFill>
          <a:schemeClr val="accent6">
            <a:lumMod val="75000"/>
            <a:alpha val="20000"/>
          </a:schemeClr>
        </a:solidFill>
        <a:ln>
          <a:prstDash val="dash"/>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marL="0" indent="0" algn="l"/>
          <a:fld id="{F968E5A0-E705-4AA4-9BA7-B98BC3FD9A77}" type="TxLink">
            <a:rPr lang="en-US" sz="1100">
              <a:solidFill>
                <a:schemeClr val="accent4">
                  <a:lumMod val="60000"/>
                  <a:lumOff val="40000"/>
                  <a:alpha val="59000"/>
                </a:schemeClr>
              </a:solidFill>
              <a:latin typeface="+mn-lt"/>
              <a:ea typeface="+mn-ea"/>
              <a:cs typeface="+mn-cs"/>
            </a:rPr>
            <a:pPr marL="0" indent="0" algn="l"/>
            <a:t>INFORMAÇÕES IMPORTANTES 
Ligação estava muito ruim
Disse que são dois relógios embaixo e em cima 
Esse valor de 1k está com um pouco se sobra, disse que tem um terreno enorme atrás e caso futuramente algum filho construa 
Disse para Bia que se chama </a:t>
          </a:fld>
          <a:endParaRPr lang="pt-BR" sz="1100">
            <a:solidFill>
              <a:schemeClr val="accent4">
                <a:lumMod val="60000"/>
                <a:lumOff val="40000"/>
                <a:alpha val="59000"/>
              </a:schemeClr>
            </a:solidFill>
            <a:latin typeface="+mn-lt"/>
            <a:ea typeface="+mn-ea"/>
            <a:cs typeface="+mn-cs"/>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5715</xdr:colOff>
      <xdr:row>7</xdr:row>
      <xdr:rowOff>1967</xdr:rowOff>
    </xdr:from>
    <xdr:to>
      <xdr:col>2</xdr:col>
      <xdr:colOff>543272</xdr:colOff>
      <xdr:row>9</xdr:row>
      <xdr:rowOff>134869</xdr:rowOff>
    </xdr:to>
    <xdr:sp macro="[0]!Contrato_Prestacao_de_Servicos" textlink="">
      <xdr:nvSpPr>
        <xdr:cNvPr id="3" name="Retângulo: Cantos Arredondados 2">
          <a:extLst>
            <a:ext uri="{FF2B5EF4-FFF2-40B4-BE49-F238E27FC236}">
              <a16:creationId xmlns:a16="http://schemas.microsoft.com/office/drawing/2014/main" id="{00000000-0008-0000-0B00-000003000000}"/>
            </a:ext>
          </a:extLst>
        </xdr:cNvPr>
        <xdr:cNvSpPr/>
      </xdr:nvSpPr>
      <xdr:spPr>
        <a:xfrm>
          <a:off x="120015" y="1325942"/>
          <a:ext cx="1147157" cy="494852"/>
        </a:xfrm>
        <a:prstGeom prst="roundRect">
          <a:avLst/>
        </a:prstGeom>
        <a:solidFill>
          <a:schemeClr val="bg1">
            <a:lumMod val="95000"/>
          </a:schemeClr>
        </a:solidFill>
        <a:ln>
          <a:solidFill>
            <a:schemeClr val="accent6"/>
          </a:solid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u="none">
              <a:solidFill>
                <a:sysClr val="windowText" lastClr="000000"/>
              </a:solidFill>
            </a:rPr>
            <a:t>Gerar Contrato</a:t>
          </a:r>
        </a:p>
      </xdr:txBody>
    </xdr:sp>
    <xdr:clientData/>
  </xdr:twoCellAnchor>
  <xdr:twoCellAnchor editAs="oneCell">
    <xdr:from>
      <xdr:col>1</xdr:col>
      <xdr:colOff>952</xdr:colOff>
      <xdr:row>14</xdr:row>
      <xdr:rowOff>92862</xdr:rowOff>
    </xdr:from>
    <xdr:to>
      <xdr:col>2</xdr:col>
      <xdr:colOff>548034</xdr:colOff>
      <xdr:row>17</xdr:row>
      <xdr:rowOff>55994</xdr:rowOff>
    </xdr:to>
    <xdr:sp macro="[0]!Memorial_Descritivo" textlink="">
      <xdr:nvSpPr>
        <xdr:cNvPr id="4" name="Retângulo: Cantos Arredondados 3">
          <a:extLst>
            <a:ext uri="{FF2B5EF4-FFF2-40B4-BE49-F238E27FC236}">
              <a16:creationId xmlns:a16="http://schemas.microsoft.com/office/drawing/2014/main" id="{00000000-0008-0000-0B00-000004000000}"/>
            </a:ext>
          </a:extLst>
        </xdr:cNvPr>
        <xdr:cNvSpPr/>
      </xdr:nvSpPr>
      <xdr:spPr>
        <a:xfrm>
          <a:off x="115252" y="2683662"/>
          <a:ext cx="1156682" cy="506057"/>
        </a:xfrm>
        <a:prstGeom prst="roundRect">
          <a:avLst/>
        </a:prstGeom>
        <a:solidFill>
          <a:schemeClr val="bg1">
            <a:lumMod val="95000"/>
          </a:schemeClr>
        </a:solidFill>
        <a:ln>
          <a:solidFill>
            <a:srgbClr val="7030A0"/>
          </a:solid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u="none">
              <a:solidFill>
                <a:sysClr val="windowText" lastClr="000000"/>
              </a:solidFill>
            </a:rPr>
            <a:t>Gerar Mem.</a:t>
          </a:r>
          <a:r>
            <a:rPr lang="pt-BR" sz="1100" b="1" u="none" baseline="0">
              <a:solidFill>
                <a:sysClr val="windowText" lastClr="000000"/>
              </a:solidFill>
            </a:rPr>
            <a:t> Descritivo</a:t>
          </a:r>
          <a:endParaRPr lang="pt-BR" sz="1100" b="1" u="none">
            <a:solidFill>
              <a:sysClr val="windowText" lastClr="000000"/>
            </a:solidFill>
          </a:endParaRPr>
        </a:p>
      </xdr:txBody>
    </xdr:sp>
    <xdr:clientData/>
  </xdr:twoCellAnchor>
  <xdr:twoCellAnchor editAs="oneCell">
    <xdr:from>
      <xdr:col>0</xdr:col>
      <xdr:colOff>111442</xdr:colOff>
      <xdr:row>3</xdr:row>
      <xdr:rowOff>74295</xdr:rowOff>
    </xdr:from>
    <xdr:to>
      <xdr:col>2</xdr:col>
      <xdr:colOff>551844</xdr:colOff>
      <xdr:row>6</xdr:row>
      <xdr:rowOff>22635</xdr:rowOff>
    </xdr:to>
    <xdr:sp macro="[0]!pendencias" textlink="">
      <xdr:nvSpPr>
        <xdr:cNvPr id="5" name="Retângulo: Cantos Arredondados 4">
          <a:extLst>
            <a:ext uri="{FF2B5EF4-FFF2-40B4-BE49-F238E27FC236}">
              <a16:creationId xmlns:a16="http://schemas.microsoft.com/office/drawing/2014/main" id="{00000000-0008-0000-0B00-000005000000}"/>
            </a:ext>
          </a:extLst>
        </xdr:cNvPr>
        <xdr:cNvSpPr/>
      </xdr:nvSpPr>
      <xdr:spPr>
        <a:xfrm>
          <a:off x="111442" y="674370"/>
          <a:ext cx="1164302" cy="491265"/>
        </a:xfrm>
        <a:prstGeom prst="roundRect">
          <a:avLst/>
        </a:prstGeom>
        <a:solidFill>
          <a:schemeClr val="bg1">
            <a:lumMod val="95000"/>
          </a:schemeClr>
        </a:solidFill>
        <a:ln>
          <a:solidFill>
            <a:schemeClr val="accent4"/>
          </a:solid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u="none">
              <a:solidFill>
                <a:sysClr val="windowText" lastClr="000000"/>
              </a:solidFill>
            </a:rPr>
            <a:t>Pendências</a:t>
          </a:r>
        </a:p>
      </xdr:txBody>
    </xdr:sp>
    <xdr:clientData/>
  </xdr:twoCellAnchor>
  <xdr:twoCellAnchor editAs="oneCell">
    <xdr:from>
      <xdr:col>1</xdr:col>
      <xdr:colOff>952</xdr:colOff>
      <xdr:row>21</xdr:row>
      <xdr:rowOff>145827</xdr:rowOff>
    </xdr:from>
    <xdr:to>
      <xdr:col>2</xdr:col>
      <xdr:colOff>548034</xdr:colOff>
      <xdr:row>24</xdr:row>
      <xdr:rowOff>131819</xdr:rowOff>
    </xdr:to>
    <xdr:sp macro="[0]!Gerar_Formulários" textlink="">
      <xdr:nvSpPr>
        <xdr:cNvPr id="6" name="Retângulo: Cantos Arredondados 5">
          <a:extLst>
            <a:ext uri="{FF2B5EF4-FFF2-40B4-BE49-F238E27FC236}">
              <a16:creationId xmlns:a16="http://schemas.microsoft.com/office/drawing/2014/main" id="{00000000-0008-0000-0B00-000006000000}"/>
            </a:ext>
          </a:extLst>
        </xdr:cNvPr>
        <xdr:cNvSpPr/>
      </xdr:nvSpPr>
      <xdr:spPr>
        <a:xfrm>
          <a:off x="115252" y="4003452"/>
          <a:ext cx="1156682" cy="528917"/>
        </a:xfrm>
        <a:prstGeom prst="roundRect">
          <a:avLst/>
        </a:prstGeom>
        <a:solidFill>
          <a:schemeClr val="bg1">
            <a:lumMod val="95000"/>
          </a:schemeClr>
        </a:solidFill>
        <a:ln>
          <a:solidFill>
            <a:srgbClr val="7030A0"/>
          </a:solid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u="none">
              <a:solidFill>
                <a:sysClr val="windowText" lastClr="000000"/>
              </a:solidFill>
            </a:rPr>
            <a:t>Imprimir</a:t>
          </a:r>
          <a:r>
            <a:rPr lang="pt-BR" sz="1100" b="1" u="none" baseline="0">
              <a:solidFill>
                <a:sysClr val="windowText" lastClr="000000"/>
              </a:solidFill>
            </a:rPr>
            <a:t> Formulários</a:t>
          </a:r>
          <a:endParaRPr lang="pt-BR" sz="1100" b="1" u="none">
            <a:solidFill>
              <a:sysClr val="windowText" lastClr="000000"/>
            </a:solidFill>
          </a:endParaRPr>
        </a:p>
      </xdr:txBody>
    </xdr:sp>
    <xdr:clientData/>
  </xdr:twoCellAnchor>
  <xdr:twoCellAnchor editAs="oneCell">
    <xdr:from>
      <xdr:col>1</xdr:col>
      <xdr:colOff>18097</xdr:colOff>
      <xdr:row>25</xdr:row>
      <xdr:rowOff>114962</xdr:rowOff>
    </xdr:from>
    <xdr:to>
      <xdr:col>2</xdr:col>
      <xdr:colOff>530889</xdr:colOff>
      <xdr:row>28</xdr:row>
      <xdr:rowOff>131394</xdr:rowOff>
    </xdr:to>
    <xdr:sp macro="[0]!solicitacao_de_acesso" textlink="">
      <xdr:nvSpPr>
        <xdr:cNvPr id="7" name="Retângulo: Cantos Arredondados 6">
          <a:extLst>
            <a:ext uri="{FF2B5EF4-FFF2-40B4-BE49-F238E27FC236}">
              <a16:creationId xmlns:a16="http://schemas.microsoft.com/office/drawing/2014/main" id="{00000000-0008-0000-0B00-000007000000}"/>
            </a:ext>
          </a:extLst>
        </xdr:cNvPr>
        <xdr:cNvSpPr/>
      </xdr:nvSpPr>
      <xdr:spPr>
        <a:xfrm>
          <a:off x="132397" y="4696487"/>
          <a:ext cx="1122392" cy="559357"/>
        </a:xfrm>
        <a:prstGeom prst="roundRect">
          <a:avLst/>
        </a:prstGeom>
        <a:solidFill>
          <a:schemeClr val="bg1">
            <a:lumMod val="95000"/>
          </a:schemeClr>
        </a:solidFill>
        <a:ln>
          <a:solidFill>
            <a:schemeClr val="accent1"/>
          </a:solid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u="none" baseline="0">
              <a:solidFill>
                <a:sysClr val="windowText" lastClr="000000"/>
              </a:solidFill>
            </a:rPr>
            <a:t>Solicitação de Acesso</a:t>
          </a:r>
        </a:p>
      </xdr:txBody>
    </xdr:sp>
    <xdr:clientData/>
  </xdr:twoCellAnchor>
  <xdr:twoCellAnchor editAs="oneCell">
    <xdr:from>
      <xdr:col>1</xdr:col>
      <xdr:colOff>952</xdr:colOff>
      <xdr:row>10</xdr:row>
      <xdr:rowOff>118011</xdr:rowOff>
    </xdr:from>
    <xdr:to>
      <xdr:col>2</xdr:col>
      <xdr:colOff>548034</xdr:colOff>
      <xdr:row>13</xdr:row>
      <xdr:rowOff>94480</xdr:rowOff>
    </xdr:to>
    <xdr:sp macro="[0]!imprimir_procuracao" textlink="">
      <xdr:nvSpPr>
        <xdr:cNvPr id="8" name="Retângulo: Cantos Arredondados 7">
          <a:extLst>
            <a:ext uri="{FF2B5EF4-FFF2-40B4-BE49-F238E27FC236}">
              <a16:creationId xmlns:a16="http://schemas.microsoft.com/office/drawing/2014/main" id="{00000000-0008-0000-0B00-000008000000}"/>
            </a:ext>
          </a:extLst>
        </xdr:cNvPr>
        <xdr:cNvSpPr/>
      </xdr:nvSpPr>
      <xdr:spPr>
        <a:xfrm>
          <a:off x="115252" y="1984911"/>
          <a:ext cx="1156682" cy="519394"/>
        </a:xfrm>
        <a:prstGeom prst="roundRect">
          <a:avLst/>
        </a:prstGeom>
        <a:solidFill>
          <a:schemeClr val="bg1">
            <a:lumMod val="95000"/>
          </a:schemeClr>
        </a:solidFill>
        <a:ln>
          <a:solidFill>
            <a:srgbClr val="7030A0"/>
          </a:solid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u="none">
              <a:solidFill>
                <a:sysClr val="windowText" lastClr="000000"/>
              </a:solidFill>
            </a:rPr>
            <a:t>Imprimir Procuração</a:t>
          </a:r>
        </a:p>
      </xdr:txBody>
    </xdr:sp>
    <xdr:clientData/>
  </xdr:twoCellAnchor>
  <xdr:twoCellAnchor editAs="oneCell">
    <xdr:from>
      <xdr:col>1</xdr:col>
      <xdr:colOff>952</xdr:colOff>
      <xdr:row>18</xdr:row>
      <xdr:rowOff>39136</xdr:rowOff>
    </xdr:from>
    <xdr:to>
      <xdr:col>2</xdr:col>
      <xdr:colOff>548034</xdr:colOff>
      <xdr:row>20</xdr:row>
      <xdr:rowOff>172210</xdr:rowOff>
    </xdr:to>
    <xdr:sp macro="[0]!Diagrama_Unifilar" textlink="">
      <xdr:nvSpPr>
        <xdr:cNvPr id="9" name="Retângulo: Cantos Arredondados 8">
          <a:extLst>
            <a:ext uri="{FF2B5EF4-FFF2-40B4-BE49-F238E27FC236}">
              <a16:creationId xmlns:a16="http://schemas.microsoft.com/office/drawing/2014/main" id="{00000000-0008-0000-0B00-000009000000}"/>
            </a:ext>
          </a:extLst>
        </xdr:cNvPr>
        <xdr:cNvSpPr/>
      </xdr:nvSpPr>
      <xdr:spPr>
        <a:xfrm>
          <a:off x="115252" y="3353836"/>
          <a:ext cx="1156682" cy="495024"/>
        </a:xfrm>
        <a:prstGeom prst="roundRect">
          <a:avLst/>
        </a:prstGeom>
        <a:solidFill>
          <a:schemeClr val="bg1">
            <a:lumMod val="95000"/>
          </a:schemeClr>
        </a:solidFill>
        <a:ln>
          <a:solidFill>
            <a:srgbClr val="7030A0"/>
          </a:solid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1" u="none">
              <a:solidFill>
                <a:sysClr val="windowText" lastClr="000000"/>
              </a:solidFill>
            </a:rPr>
            <a:t>Diagrama Unifilar</a:t>
          </a:r>
        </a:p>
      </xdr:txBody>
    </xdr:sp>
    <xdr:clientData/>
  </xdr:twoCellAnchor>
  <mc:AlternateContent xmlns:mc="http://schemas.openxmlformats.org/markup-compatibility/2006">
    <mc:Choice xmlns:a14="http://schemas.microsoft.com/office/drawing/2010/main" Requires="a14">
      <xdr:twoCellAnchor editAs="oneCell">
        <xdr:from>
          <xdr:col>0</xdr:col>
          <xdr:colOff>1</xdr:colOff>
          <xdr:row>0</xdr:row>
          <xdr:rowOff>1</xdr:rowOff>
        </xdr:from>
        <xdr:to>
          <xdr:col>6</xdr:col>
          <xdr:colOff>1086910</xdr:colOff>
          <xdr:row>1</xdr:row>
          <xdr:rowOff>19050</xdr:rowOff>
        </xdr:to>
        <xdr:pic>
          <xdr:nvPicPr>
            <xdr:cNvPr id="10" name="Imagem 9">
              <a:extLst>
                <a:ext uri="{FF2B5EF4-FFF2-40B4-BE49-F238E27FC236}">
                  <a16:creationId xmlns:a16="http://schemas.microsoft.com/office/drawing/2014/main" id="{00000000-0008-0000-0B00-00000A000000}"/>
                </a:ext>
              </a:extLst>
            </xdr:cNvPr>
            <xdr:cNvPicPr>
              <a:picLocks noChangeAspect="1" noChangeArrowheads="1"/>
              <a:extLst>
                <a:ext uri="{84589F7E-364E-4C9E-8A38-B11213B215E9}">
                  <a14:cameraTool cellRange="Resumo!$F$425" spid="_x0000_s535949"/>
                </a:ext>
              </a:extLst>
            </xdr:cNvPicPr>
          </xdr:nvPicPr>
          <xdr:blipFill>
            <a:blip xmlns:r="http://schemas.openxmlformats.org/officeDocument/2006/relationships" r:embed="rId1"/>
            <a:srcRect/>
            <a:stretch>
              <a:fillRect/>
            </a:stretch>
          </xdr:blipFill>
          <xdr:spPr bwMode="auto">
            <a:xfrm>
              <a:off x="1" y="1"/>
              <a:ext cx="4235874" cy="251459"/>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wsDr>
</file>

<file path=xl/drawings/drawing11.xml><?xml version="1.0" encoding="utf-8"?>
<xdr:wsDr xmlns:xdr="http://schemas.openxmlformats.org/drawingml/2006/spreadsheetDrawing" xmlns:a="http://schemas.openxmlformats.org/drawingml/2006/main">
  <xdr:twoCellAnchor editAs="oneCell">
    <xdr:from>
      <xdr:col>52</xdr:col>
      <xdr:colOff>56031</xdr:colOff>
      <xdr:row>432</xdr:row>
      <xdr:rowOff>44823</xdr:rowOff>
    </xdr:from>
    <xdr:to>
      <xdr:col>63</xdr:col>
      <xdr:colOff>468274</xdr:colOff>
      <xdr:row>455</xdr:row>
      <xdr:rowOff>145675</xdr:rowOff>
    </xdr:to>
    <xdr:pic>
      <xdr:nvPicPr>
        <xdr:cNvPr id="270649" name="Imagem 270648">
          <a:extLst>
            <a:ext uri="{FF2B5EF4-FFF2-40B4-BE49-F238E27FC236}">
              <a16:creationId xmlns:a16="http://schemas.microsoft.com/office/drawing/2014/main" id="{D1552D28-A93F-0495-C3FE-AA39CF6D1A9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09" t="13841" r="1240" b="29065"/>
        <a:stretch/>
      </xdr:blipFill>
      <xdr:spPr>
        <a:xfrm>
          <a:off x="19050002" y="72614117"/>
          <a:ext cx="6945272" cy="4224617"/>
        </a:xfrm>
        <a:prstGeom prst="rect">
          <a:avLst/>
        </a:prstGeom>
      </xdr:spPr>
    </xdr:pic>
    <xdr:clientData/>
  </xdr:twoCellAnchor>
  <xdr:twoCellAnchor editAs="oneCell">
    <xdr:from>
      <xdr:col>0</xdr:col>
      <xdr:colOff>74519</xdr:colOff>
      <xdr:row>432</xdr:row>
      <xdr:rowOff>54953</xdr:rowOff>
    </xdr:from>
    <xdr:to>
      <xdr:col>28</xdr:col>
      <xdr:colOff>626969</xdr:colOff>
      <xdr:row>455</xdr:row>
      <xdr:rowOff>121628</xdr:rowOff>
    </xdr:to>
    <xdr:pic>
      <xdr:nvPicPr>
        <xdr:cNvPr id="270593" name="Imagem 270592">
          <a:extLst>
            <a:ext uri="{FF2B5EF4-FFF2-40B4-BE49-F238E27FC236}">
              <a16:creationId xmlns:a16="http://schemas.microsoft.com/office/drawing/2014/main" id="{BA1F8A9A-C9B8-EC70-5A0E-50D2E4686682}"/>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13700" b="29045"/>
        <a:stretch/>
      </xdr:blipFill>
      <xdr:spPr>
        <a:xfrm>
          <a:off x="74519" y="72624247"/>
          <a:ext cx="7018244" cy="4190440"/>
        </a:xfrm>
        <a:prstGeom prst="rect">
          <a:avLst/>
        </a:prstGeom>
      </xdr:spPr>
    </xdr:pic>
    <xdr:clientData/>
  </xdr:twoCellAnchor>
  <xdr:twoCellAnchor>
    <xdr:from>
      <xdr:col>0</xdr:col>
      <xdr:colOff>213249</xdr:colOff>
      <xdr:row>245</xdr:row>
      <xdr:rowOff>131333</xdr:rowOff>
    </xdr:from>
    <xdr:to>
      <xdr:col>28</xdr:col>
      <xdr:colOff>398838</xdr:colOff>
      <xdr:row>261</xdr:row>
      <xdr:rowOff>135966</xdr:rowOff>
    </xdr:to>
    <xdr:grpSp>
      <xdr:nvGrpSpPr>
        <xdr:cNvPr id="270538" name="Agrupar 270537">
          <a:extLst>
            <a:ext uri="{FF2B5EF4-FFF2-40B4-BE49-F238E27FC236}">
              <a16:creationId xmlns:a16="http://schemas.microsoft.com/office/drawing/2014/main" id="{00000000-0008-0000-0F00-0000CA200400}"/>
            </a:ext>
          </a:extLst>
        </xdr:cNvPr>
        <xdr:cNvGrpSpPr/>
      </xdr:nvGrpSpPr>
      <xdr:grpSpPr>
        <a:xfrm>
          <a:off x="213249" y="46790226"/>
          <a:ext cx="6839482" cy="3052633"/>
          <a:chOff x="-5889" y="31309068"/>
          <a:chExt cx="7334682" cy="3297765"/>
        </a:xfrm>
      </xdr:grpSpPr>
      <xdr:graphicFrame macro="">
        <xdr:nvGraphicFramePr>
          <xdr:cNvPr id="270539" name="Gráfico 270538">
            <a:extLst>
              <a:ext uri="{FF2B5EF4-FFF2-40B4-BE49-F238E27FC236}">
                <a16:creationId xmlns:a16="http://schemas.microsoft.com/office/drawing/2014/main" id="{00000000-0008-0000-0F00-0000CB200400}"/>
              </a:ext>
            </a:extLst>
          </xdr:cNvPr>
          <xdr:cNvGraphicFramePr>
            <a:graphicFrameLocks/>
          </xdr:cNvGraphicFramePr>
        </xdr:nvGraphicFramePr>
        <xdr:xfrm>
          <a:off x="4789" y="31309068"/>
          <a:ext cx="7317888" cy="3287576"/>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70540" name="Gráfico 270539">
            <a:extLst>
              <a:ext uri="{FF2B5EF4-FFF2-40B4-BE49-F238E27FC236}">
                <a16:creationId xmlns:a16="http://schemas.microsoft.com/office/drawing/2014/main" id="{00000000-0008-0000-0F00-0000CC200400}"/>
              </a:ext>
            </a:extLst>
          </xdr:cNvPr>
          <xdr:cNvGraphicFramePr>
            <a:graphicFrameLocks/>
          </xdr:cNvGraphicFramePr>
        </xdr:nvGraphicFramePr>
        <xdr:xfrm>
          <a:off x="-5889" y="31317257"/>
          <a:ext cx="7334682" cy="3289576"/>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editAs="oneCell">
    <xdr:from>
      <xdr:col>55</xdr:col>
      <xdr:colOff>117774</xdr:colOff>
      <xdr:row>456</xdr:row>
      <xdr:rowOff>122295</xdr:rowOff>
    </xdr:from>
    <xdr:to>
      <xdr:col>55</xdr:col>
      <xdr:colOff>528134</xdr:colOff>
      <xdr:row>457</xdr:row>
      <xdr:rowOff>68738</xdr:rowOff>
    </xdr:to>
    <xdr:sp macro="" textlink="Resumo!$E$372">
      <xdr:nvSpPr>
        <xdr:cNvPr id="2" name="CaixaDeTexto 1">
          <a:extLst>
            <a:ext uri="{FF2B5EF4-FFF2-40B4-BE49-F238E27FC236}">
              <a16:creationId xmlns:a16="http://schemas.microsoft.com/office/drawing/2014/main" id="{00000000-0008-0000-0F00-000002000000}"/>
            </a:ext>
          </a:extLst>
        </xdr:cNvPr>
        <xdr:cNvSpPr txBox="1"/>
      </xdr:nvSpPr>
      <xdr:spPr>
        <a:xfrm>
          <a:off x="20893480" y="77005854"/>
          <a:ext cx="410360" cy="305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566B9D1-6A57-4D8C-BC1D-69FEC6CAD05B}" type="TxLink">
            <a:rPr lang="en-US" sz="1200" b="1" i="0" u="none" strike="noStrike">
              <a:solidFill>
                <a:srgbClr val="92D050"/>
              </a:solidFill>
              <a:latin typeface="Calibri"/>
              <a:cs typeface="Calibri"/>
            </a:rPr>
            <a:pPr/>
            <a:t>60x</a:t>
          </a:fld>
          <a:endParaRPr lang="pt-BR" sz="1200" b="1">
            <a:solidFill>
              <a:srgbClr val="92D050"/>
            </a:solidFill>
          </a:endParaRPr>
        </a:p>
      </xdr:txBody>
    </xdr:sp>
    <xdr:clientData/>
  </xdr:twoCellAnchor>
  <xdr:twoCellAnchor editAs="oneCell">
    <xdr:from>
      <xdr:col>0</xdr:col>
      <xdr:colOff>97481</xdr:colOff>
      <xdr:row>461</xdr:row>
      <xdr:rowOff>72150</xdr:rowOff>
    </xdr:from>
    <xdr:to>
      <xdr:col>8</xdr:col>
      <xdr:colOff>94030</xdr:colOff>
      <xdr:row>484</xdr:row>
      <xdr:rowOff>95762</xdr:rowOff>
    </xdr:to>
    <xdr:sp macro="" textlink="">
      <xdr:nvSpPr>
        <xdr:cNvPr id="3" name="Retângulo: Cantos Arredondados 2">
          <a:extLst>
            <a:ext uri="{FF2B5EF4-FFF2-40B4-BE49-F238E27FC236}">
              <a16:creationId xmlns:a16="http://schemas.microsoft.com/office/drawing/2014/main" id="{00000000-0008-0000-0F00-000003000000}"/>
            </a:ext>
          </a:extLst>
        </xdr:cNvPr>
        <xdr:cNvSpPr/>
      </xdr:nvSpPr>
      <xdr:spPr>
        <a:xfrm>
          <a:off x="97481" y="68484062"/>
          <a:ext cx="2077257" cy="4137850"/>
        </a:xfrm>
        <a:prstGeom prst="round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pt-BR"/>
        </a:p>
      </xdr:txBody>
    </xdr:sp>
    <xdr:clientData/>
  </xdr:twoCellAnchor>
  <xdr:twoCellAnchor editAs="oneCell">
    <xdr:from>
      <xdr:col>12</xdr:col>
      <xdr:colOff>33619</xdr:colOff>
      <xdr:row>241</xdr:row>
      <xdr:rowOff>98949</xdr:rowOff>
    </xdr:from>
    <xdr:to>
      <xdr:col>17</xdr:col>
      <xdr:colOff>154791</xdr:colOff>
      <xdr:row>244</xdr:row>
      <xdr:rowOff>153523</xdr:rowOff>
    </xdr:to>
    <xdr:sp macro="" textlink="">
      <xdr:nvSpPr>
        <xdr:cNvPr id="4" name="Retângulo 3">
          <a:extLst>
            <a:ext uri="{FF2B5EF4-FFF2-40B4-BE49-F238E27FC236}">
              <a16:creationId xmlns:a16="http://schemas.microsoft.com/office/drawing/2014/main" id="{00000000-0008-0000-0F00-000004000000}"/>
            </a:ext>
          </a:extLst>
        </xdr:cNvPr>
        <xdr:cNvSpPr/>
      </xdr:nvSpPr>
      <xdr:spPr>
        <a:xfrm>
          <a:off x="3059207" y="34467390"/>
          <a:ext cx="1297790" cy="633470"/>
        </a:xfrm>
        <a:prstGeom prst="rect">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pt-BR"/>
        </a:p>
      </xdr:txBody>
    </xdr:sp>
    <xdr:clientData/>
  </xdr:twoCellAnchor>
  <xdr:twoCellAnchor editAs="oneCell">
    <xdr:from>
      <xdr:col>7</xdr:col>
      <xdr:colOff>69638</xdr:colOff>
      <xdr:row>10</xdr:row>
      <xdr:rowOff>38372</xdr:rowOff>
    </xdr:from>
    <xdr:to>
      <xdr:col>21</xdr:col>
      <xdr:colOff>144663</xdr:colOff>
      <xdr:row>31</xdr:row>
      <xdr:rowOff>18778</xdr:rowOff>
    </xdr:to>
    <xdr:pic>
      <xdr:nvPicPr>
        <xdr:cNvPr id="5" name="Imagem 4">
          <a:extLst>
            <a:ext uri="{FF2B5EF4-FFF2-40B4-BE49-F238E27FC236}">
              <a16:creationId xmlns:a16="http://schemas.microsoft.com/office/drawing/2014/main" id="{00000000-0008-0000-0F00-000005000000}"/>
            </a:ext>
          </a:extLst>
        </xdr:cNvPr>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1828962" y="1943372"/>
          <a:ext cx="3212672" cy="3969700"/>
        </a:xfrm>
        <a:prstGeom prst="rect">
          <a:avLst/>
        </a:prstGeom>
      </xdr:spPr>
    </xdr:pic>
    <xdr:clientData/>
  </xdr:twoCellAnchor>
  <xdr:twoCellAnchor editAs="oneCell">
    <xdr:from>
      <xdr:col>10</xdr:col>
      <xdr:colOff>208007</xdr:colOff>
      <xdr:row>2</xdr:row>
      <xdr:rowOff>0</xdr:rowOff>
    </xdr:from>
    <xdr:to>
      <xdr:col>19</xdr:col>
      <xdr:colOff>725</xdr:colOff>
      <xdr:row>6</xdr:row>
      <xdr:rowOff>39822</xdr:rowOff>
    </xdr:to>
    <xdr:pic>
      <xdr:nvPicPr>
        <xdr:cNvPr id="6" name="Imagem 5">
          <a:extLst>
            <a:ext uri="{FF2B5EF4-FFF2-40B4-BE49-F238E27FC236}">
              <a16:creationId xmlns:a16="http://schemas.microsoft.com/office/drawing/2014/main" id="{00000000-0008-0000-0F00-000006000000}"/>
            </a:ext>
          </a:extLst>
        </xdr:cNvPr>
        <xdr:cNvPicPr/>
      </xdr:nvPicPr>
      <xdr:blipFill rotWithShape="1">
        <a:blip xmlns:r="http://schemas.openxmlformats.org/officeDocument/2006/relationships" r:embed="rId6" cstate="screen">
          <a:extLst>
            <a:ext uri="{28A0092B-C50C-407E-A947-70E740481C1C}">
              <a14:useLocalDpi xmlns:a14="http://schemas.microsoft.com/office/drawing/2010/main"/>
            </a:ext>
          </a:extLst>
        </a:blip>
        <a:srcRect/>
        <a:stretch/>
      </xdr:blipFill>
      <xdr:spPr>
        <a:xfrm>
          <a:off x="2593067" y="361950"/>
          <a:ext cx="1932033" cy="763722"/>
        </a:xfrm>
        <a:prstGeom prst="rect">
          <a:avLst/>
        </a:prstGeom>
      </xdr:spPr>
    </xdr:pic>
    <xdr:clientData/>
  </xdr:twoCellAnchor>
  <xdr:twoCellAnchor editAs="oneCell">
    <xdr:from>
      <xdr:col>12</xdr:col>
      <xdr:colOff>92721</xdr:colOff>
      <xdr:row>84</xdr:row>
      <xdr:rowOff>57887</xdr:rowOff>
    </xdr:from>
    <xdr:to>
      <xdr:col>28</xdr:col>
      <xdr:colOff>130186</xdr:colOff>
      <xdr:row>100</xdr:row>
      <xdr:rowOff>57976</xdr:rowOff>
    </xdr:to>
    <xdr:pic>
      <xdr:nvPicPr>
        <xdr:cNvPr id="7" name="Imagem 6" descr="Resultado de imagem para COMO FUNCIONA ENERGIA SOLAR ON GRID">
          <a:extLst>
            <a:ext uri="{FF2B5EF4-FFF2-40B4-BE49-F238E27FC236}">
              <a16:creationId xmlns:a16="http://schemas.microsoft.com/office/drawing/2014/main" id="{00000000-0008-0000-0F00-000007000000}"/>
            </a:ext>
          </a:extLst>
        </xdr:cNvPr>
        <xdr:cNvPicPr/>
      </xdr:nvPicPr>
      <xdr:blipFill>
        <a:blip xmlns:r="http://schemas.openxmlformats.org/officeDocument/2006/relationships" r:embed="rId7">
          <a:duotone>
            <a:schemeClr val="accent6">
              <a:shade val="45000"/>
              <a:satMod val="135000"/>
            </a:schemeClr>
            <a:prstClr val="white"/>
          </a:duotone>
          <a:extLst>
            <a:ext uri="{BEBA8EAE-BF5A-486C-A8C5-ECC9F3942E4B}">
              <a14:imgProps xmlns:a14="http://schemas.microsoft.com/office/drawing/2010/main">
                <a14:imgLayer r:embed="rId8">
                  <a14:imgEffect>
                    <a14:saturation sat="0"/>
                  </a14:imgEffect>
                </a14:imgLayer>
              </a14:imgProps>
            </a:ext>
            <a:ext uri="{28A0092B-C50C-407E-A947-70E740481C1C}">
              <a14:useLocalDpi xmlns:a14="http://schemas.microsoft.com/office/drawing/2010/main"/>
            </a:ext>
          </a:extLst>
        </a:blip>
        <a:srcRect/>
        <a:stretch>
          <a:fillRect/>
        </a:stretch>
      </xdr:blipFill>
      <xdr:spPr bwMode="auto">
        <a:xfrm>
          <a:off x="3150246" y="11773637"/>
          <a:ext cx="3837940" cy="2895690"/>
        </a:xfrm>
        <a:prstGeom prst="rect">
          <a:avLst/>
        </a:prstGeom>
        <a:noFill/>
      </xdr:spPr>
    </xdr:pic>
    <xdr:clientData/>
  </xdr:twoCellAnchor>
  <xdr:twoCellAnchor editAs="oneCell">
    <xdr:from>
      <xdr:col>0</xdr:col>
      <xdr:colOff>169544</xdr:colOff>
      <xdr:row>80</xdr:row>
      <xdr:rowOff>34792</xdr:rowOff>
    </xdr:from>
    <xdr:to>
      <xdr:col>28</xdr:col>
      <xdr:colOff>247679</xdr:colOff>
      <xdr:row>85</xdr:row>
      <xdr:rowOff>93177</xdr:rowOff>
    </xdr:to>
    <xdr:sp macro="" textlink="">
      <xdr:nvSpPr>
        <xdr:cNvPr id="8" name="CaixaDeTexto 7">
          <a:extLst>
            <a:ext uri="{FF2B5EF4-FFF2-40B4-BE49-F238E27FC236}">
              <a16:creationId xmlns:a16="http://schemas.microsoft.com/office/drawing/2014/main" id="{00000000-0008-0000-0F00-000008000000}"/>
            </a:ext>
          </a:extLst>
        </xdr:cNvPr>
        <xdr:cNvSpPr txBox="1"/>
      </xdr:nvSpPr>
      <xdr:spPr>
        <a:xfrm>
          <a:off x="169544" y="11026642"/>
          <a:ext cx="6936135" cy="963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171450" algn="just" defTabSz="914400" eaLnBrk="1" fontAlgn="auto" latinLnBrk="0" hangingPunct="1">
            <a:lnSpc>
              <a:spcPct val="150000"/>
            </a:lnSpc>
            <a:spcBef>
              <a:spcPts val="0"/>
            </a:spcBef>
            <a:spcAft>
              <a:spcPts val="0"/>
            </a:spcAft>
            <a:buClr>
              <a:schemeClr val="accent6">
                <a:lumMod val="50000"/>
              </a:schemeClr>
            </a:buClr>
            <a:buSzTx/>
            <a:buFont typeface="Arial" panose="020B0604020202020204" pitchFamily="34" charset="0"/>
            <a:buChar char="•"/>
            <a:tabLst/>
            <a:defRPr/>
          </a:pPr>
          <a:r>
            <a:rPr lang="pt-BR" sz="1200">
              <a:solidFill>
                <a:schemeClr val="dk1"/>
              </a:solidFill>
              <a:effectLst/>
              <a:latin typeface="Times New Roman" panose="02020603050405020304" pitchFamily="18" charset="0"/>
              <a:ea typeface="+mn-ea"/>
              <a:cs typeface="Times New Roman" panose="02020603050405020304" pitchFamily="18" charset="0"/>
            </a:rPr>
            <a:t>Na Geração Distribuída (GD), a energia gerada pelo Sistema Fotovoltaico pode ser consumida instantaneamente pelos equipamentos da Unidade Consumidora (residência) e seu excedente injetado na rede da concessionária local para utilização posterior.</a:t>
          </a:r>
          <a:endParaRPr lang="pt-BR" sz="1200">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171450</xdr:colOff>
      <xdr:row>84</xdr:row>
      <xdr:rowOff>124524</xdr:rowOff>
    </xdr:from>
    <xdr:to>
      <xdr:col>11</xdr:col>
      <xdr:colOff>211791</xdr:colOff>
      <xdr:row>91</xdr:row>
      <xdr:rowOff>97517</xdr:rowOff>
    </xdr:to>
    <xdr:sp macro="" textlink="">
      <xdr:nvSpPr>
        <xdr:cNvPr id="9" name="CaixaDeTexto 8">
          <a:extLst>
            <a:ext uri="{FF2B5EF4-FFF2-40B4-BE49-F238E27FC236}">
              <a16:creationId xmlns:a16="http://schemas.microsoft.com/office/drawing/2014/main" id="{00000000-0008-0000-0F00-000009000000}"/>
            </a:ext>
          </a:extLst>
        </xdr:cNvPr>
        <xdr:cNvSpPr txBox="1"/>
      </xdr:nvSpPr>
      <xdr:spPr>
        <a:xfrm>
          <a:off x="171450" y="11840274"/>
          <a:ext cx="2859741" cy="1239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171450" algn="just" defTabSz="914400" eaLnBrk="1" fontAlgn="auto" latinLnBrk="0" hangingPunct="1">
            <a:lnSpc>
              <a:spcPct val="150000"/>
            </a:lnSpc>
            <a:spcBef>
              <a:spcPts val="0"/>
            </a:spcBef>
            <a:spcAft>
              <a:spcPts val="0"/>
            </a:spcAft>
            <a:buClr>
              <a:schemeClr val="accent6">
                <a:lumMod val="50000"/>
              </a:schemeClr>
            </a:buClr>
            <a:buSzTx/>
            <a:buFont typeface="Arial" panose="020B0604020202020204" pitchFamily="34" charset="0"/>
            <a:buChar char="•"/>
            <a:tabLst/>
            <a:defRPr/>
          </a:pPr>
          <a:r>
            <a:rPr lang="pt-BR" sz="1200">
              <a:solidFill>
                <a:schemeClr val="dk1"/>
              </a:solidFill>
              <a:effectLst/>
              <a:latin typeface="Times New Roman" panose="02020603050405020304" pitchFamily="18" charset="0"/>
              <a:ea typeface="+mn-ea"/>
              <a:cs typeface="Times New Roman" panose="02020603050405020304" pitchFamily="18" charset="0"/>
            </a:rPr>
            <a:t>A rede da concessionária funciona como uma "grande bateria" armazenando o excedente de energia para ser consumida a noite, por exemplo.</a:t>
          </a:r>
        </a:p>
      </xdr:txBody>
    </xdr:sp>
    <xdr:clientData/>
  </xdr:twoCellAnchor>
  <xdr:twoCellAnchor editAs="oneCell">
    <xdr:from>
      <xdr:col>0</xdr:col>
      <xdr:colOff>167640</xdr:colOff>
      <xdr:row>90</xdr:row>
      <xdr:rowOff>108259</xdr:rowOff>
    </xdr:from>
    <xdr:to>
      <xdr:col>11</xdr:col>
      <xdr:colOff>207981</xdr:colOff>
      <xdr:row>97</xdr:row>
      <xdr:rowOff>39229</xdr:rowOff>
    </xdr:to>
    <xdr:sp macro="" textlink="">
      <xdr:nvSpPr>
        <xdr:cNvPr id="10" name="CaixaDeTexto 9">
          <a:extLst>
            <a:ext uri="{FF2B5EF4-FFF2-40B4-BE49-F238E27FC236}">
              <a16:creationId xmlns:a16="http://schemas.microsoft.com/office/drawing/2014/main" id="{00000000-0008-0000-0F00-00000A000000}"/>
            </a:ext>
          </a:extLst>
        </xdr:cNvPr>
        <xdr:cNvSpPr txBox="1"/>
      </xdr:nvSpPr>
      <xdr:spPr>
        <a:xfrm>
          <a:off x="167640" y="12909859"/>
          <a:ext cx="2859741" cy="1197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171450" algn="just" defTabSz="914400" eaLnBrk="1" fontAlgn="auto" latinLnBrk="0" hangingPunct="1">
            <a:lnSpc>
              <a:spcPct val="150000"/>
            </a:lnSpc>
            <a:spcBef>
              <a:spcPts val="0"/>
            </a:spcBef>
            <a:spcAft>
              <a:spcPts val="0"/>
            </a:spcAft>
            <a:buClr>
              <a:schemeClr val="accent6">
                <a:lumMod val="50000"/>
              </a:schemeClr>
            </a:buClr>
            <a:buSzTx/>
            <a:buFont typeface="Arial" panose="020B0604020202020204" pitchFamily="34" charset="0"/>
            <a:buChar char="•"/>
            <a:tabLst/>
            <a:defRPr/>
          </a:pPr>
          <a:r>
            <a:rPr lang="pt-BR" sz="1200">
              <a:solidFill>
                <a:schemeClr val="dk1"/>
              </a:solidFill>
              <a:effectLst/>
              <a:latin typeface="Times New Roman" panose="02020603050405020304" pitchFamily="18" charset="0"/>
              <a:ea typeface="+mn-ea"/>
              <a:cs typeface="Times New Roman" panose="02020603050405020304" pitchFamily="18" charset="0"/>
            </a:rPr>
            <a:t>Caso haja no mês uma geração maior que o consumo, essa diferença fica armazenada na forma de </a:t>
          </a:r>
          <a:r>
            <a:rPr lang="pt-BR" sz="1200" b="1">
              <a:solidFill>
                <a:schemeClr val="accent6">
                  <a:lumMod val="50000"/>
                </a:schemeClr>
              </a:solidFill>
              <a:effectLst/>
              <a:latin typeface="Times New Roman" panose="02020603050405020304" pitchFamily="18" charset="0"/>
              <a:ea typeface="+mn-ea"/>
              <a:cs typeface="Times New Roman" panose="02020603050405020304" pitchFamily="18" charset="0"/>
            </a:rPr>
            <a:t>créditos</a:t>
          </a:r>
          <a:r>
            <a:rPr lang="pt-BR" sz="1200">
              <a:solidFill>
                <a:schemeClr val="dk1"/>
              </a:solidFill>
              <a:effectLst/>
              <a:latin typeface="Times New Roman" panose="02020603050405020304" pitchFamily="18" charset="0"/>
              <a:ea typeface="+mn-ea"/>
              <a:cs typeface="Times New Roman" panose="02020603050405020304" pitchFamily="18" charset="0"/>
            </a:rPr>
            <a:t> que podem ser utilizados em até </a:t>
          </a:r>
          <a:r>
            <a:rPr lang="pt-BR" sz="1200" b="1">
              <a:solidFill>
                <a:schemeClr val="accent6">
                  <a:lumMod val="50000"/>
                </a:schemeClr>
              </a:solidFill>
              <a:effectLst/>
              <a:latin typeface="Times New Roman" panose="02020603050405020304" pitchFamily="18" charset="0"/>
              <a:ea typeface="+mn-ea"/>
              <a:cs typeface="Times New Roman" panose="02020603050405020304" pitchFamily="18" charset="0"/>
            </a:rPr>
            <a:t>60 meses</a:t>
          </a:r>
          <a:r>
            <a:rPr lang="pt-BR" sz="1200">
              <a:solidFill>
                <a:schemeClr val="dk1"/>
              </a:solidFill>
              <a:effectLst/>
              <a:latin typeface="Times New Roman" panose="02020603050405020304" pitchFamily="18" charset="0"/>
              <a:ea typeface="+mn-ea"/>
              <a:cs typeface="Times New Roman" panose="02020603050405020304" pitchFamily="18" charset="0"/>
            </a:rPr>
            <a:t>.</a:t>
          </a:r>
        </a:p>
      </xdr:txBody>
    </xdr:sp>
    <xdr:clientData/>
  </xdr:twoCellAnchor>
  <xdr:twoCellAnchor editAs="oneCell">
    <xdr:from>
      <xdr:col>0</xdr:col>
      <xdr:colOff>167640</xdr:colOff>
      <xdr:row>96</xdr:row>
      <xdr:rowOff>141746</xdr:rowOff>
    </xdr:from>
    <xdr:to>
      <xdr:col>11</xdr:col>
      <xdr:colOff>207981</xdr:colOff>
      <xdr:row>100</xdr:row>
      <xdr:rowOff>132330</xdr:rowOff>
    </xdr:to>
    <xdr:sp macro="" textlink="">
      <xdr:nvSpPr>
        <xdr:cNvPr id="11" name="CaixaDeTexto 10">
          <a:extLst>
            <a:ext uri="{FF2B5EF4-FFF2-40B4-BE49-F238E27FC236}">
              <a16:creationId xmlns:a16="http://schemas.microsoft.com/office/drawing/2014/main" id="{00000000-0008-0000-0F00-00000B000000}"/>
            </a:ext>
          </a:extLst>
        </xdr:cNvPr>
        <xdr:cNvSpPr txBox="1"/>
      </xdr:nvSpPr>
      <xdr:spPr>
        <a:xfrm>
          <a:off x="167640" y="14029196"/>
          <a:ext cx="2859741" cy="722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171450" algn="just" defTabSz="914400" eaLnBrk="1" fontAlgn="auto" latinLnBrk="0" hangingPunct="1">
            <a:lnSpc>
              <a:spcPct val="150000"/>
            </a:lnSpc>
            <a:spcBef>
              <a:spcPts val="0"/>
            </a:spcBef>
            <a:spcAft>
              <a:spcPts val="0"/>
            </a:spcAft>
            <a:buClr>
              <a:schemeClr val="accent6">
                <a:lumMod val="50000"/>
              </a:schemeClr>
            </a:buClr>
            <a:buSzTx/>
            <a:buFont typeface="Arial" panose="020B0604020202020204" pitchFamily="34" charset="0"/>
            <a:buChar char="•"/>
            <a:tabLst/>
            <a:defRPr/>
          </a:pPr>
          <a:r>
            <a:rPr lang="pt-BR" sz="1200">
              <a:solidFill>
                <a:schemeClr val="dk1"/>
              </a:solidFill>
              <a:effectLst/>
              <a:latin typeface="Times New Roman" panose="02020603050405020304" pitchFamily="18" charset="0"/>
              <a:ea typeface="+mn-ea"/>
              <a:cs typeface="Times New Roman" panose="02020603050405020304" pitchFamily="18" charset="0"/>
            </a:rPr>
            <a:t>O Medidor Bidirecional contabiliza os valores de energia consumidos e injetados.</a:t>
          </a:r>
        </a:p>
      </xdr:txBody>
    </xdr:sp>
    <xdr:clientData/>
  </xdr:twoCellAnchor>
  <xdr:twoCellAnchor editAs="oneCell">
    <xdr:from>
      <xdr:col>1</xdr:col>
      <xdr:colOff>133350</xdr:colOff>
      <xdr:row>55</xdr:row>
      <xdr:rowOff>112621</xdr:rowOff>
    </xdr:from>
    <xdr:to>
      <xdr:col>26</xdr:col>
      <xdr:colOff>97266</xdr:colOff>
      <xdr:row>74</xdr:row>
      <xdr:rowOff>112059</xdr:rowOff>
    </xdr:to>
    <xdr:sp macro="" textlink="">
      <xdr:nvSpPr>
        <xdr:cNvPr id="13" name="CaixaDeTexto 12">
          <a:extLst>
            <a:ext uri="{FF2B5EF4-FFF2-40B4-BE49-F238E27FC236}">
              <a16:creationId xmlns:a16="http://schemas.microsoft.com/office/drawing/2014/main" id="{00000000-0008-0000-0F00-00000D000000}"/>
            </a:ext>
          </a:extLst>
        </xdr:cNvPr>
        <xdr:cNvSpPr txBox="1"/>
      </xdr:nvSpPr>
      <xdr:spPr>
        <a:xfrm>
          <a:off x="570379" y="16204268"/>
          <a:ext cx="5847005" cy="3406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396000" algn="just" defTabSz="914400" eaLnBrk="1" fontAlgn="auto" latinLnBrk="0" hangingPunct="1">
            <a:lnSpc>
              <a:spcPct val="150000"/>
            </a:lnSpc>
            <a:spcBef>
              <a:spcPts val="300"/>
            </a:spcBef>
            <a:spcAft>
              <a:spcPts val="0"/>
            </a:spcAft>
            <a:buClr>
              <a:schemeClr val="accent6">
                <a:lumMod val="50000"/>
              </a:schemeClr>
            </a:buClr>
            <a:buSzPct val="150000"/>
            <a:buFont typeface="+mj-lt"/>
            <a:buAutoNum type="arabicPeriod"/>
            <a:tabLst/>
            <a:defRPr/>
          </a:pPr>
          <a:r>
            <a:rPr lang="pt-BR" sz="1200">
              <a:solidFill>
                <a:schemeClr val="dk1"/>
              </a:solidFill>
              <a:effectLst/>
              <a:latin typeface="Times New Roman" panose="02020603050405020304" pitchFamily="18" charset="0"/>
              <a:ea typeface="+mn-ea"/>
              <a:cs typeface="Times New Roman" panose="02020603050405020304" pitchFamily="18" charset="0"/>
            </a:rPr>
            <a:t>Redução significativa na fatura de energia;</a:t>
          </a:r>
        </a:p>
        <a:p>
          <a:pPr marL="0" marR="0" lvl="0" indent="-396000" algn="just" defTabSz="914400" eaLnBrk="1" fontAlgn="auto" latinLnBrk="0" hangingPunct="1">
            <a:lnSpc>
              <a:spcPct val="150000"/>
            </a:lnSpc>
            <a:spcBef>
              <a:spcPts val="300"/>
            </a:spcBef>
            <a:spcAft>
              <a:spcPts val="0"/>
            </a:spcAft>
            <a:buClr>
              <a:schemeClr val="accent6">
                <a:lumMod val="50000"/>
              </a:schemeClr>
            </a:buClr>
            <a:buSzPct val="150000"/>
            <a:buFont typeface="+mj-lt"/>
            <a:buAutoNum type="arabicPeriod"/>
            <a:tabLst/>
            <a:defRPr/>
          </a:pPr>
          <a:r>
            <a:rPr lang="pt-BR" sz="1200">
              <a:solidFill>
                <a:schemeClr val="dk1"/>
              </a:solidFill>
              <a:effectLst/>
              <a:latin typeface="Times New Roman" panose="02020603050405020304" pitchFamily="18" charset="0"/>
              <a:ea typeface="+mn-ea"/>
              <a:cs typeface="Times New Roman" panose="02020603050405020304" pitchFamily="18" charset="0"/>
            </a:rPr>
            <a:t>Mais</a:t>
          </a:r>
          <a:r>
            <a:rPr lang="pt-BR" sz="1200" baseline="0">
              <a:solidFill>
                <a:schemeClr val="dk1"/>
              </a:solidFill>
              <a:effectLst/>
              <a:latin typeface="Times New Roman" panose="02020603050405020304" pitchFamily="18" charset="0"/>
              <a:ea typeface="+mn-ea"/>
              <a:cs typeface="Times New Roman" panose="02020603050405020304" pitchFamily="18" charset="0"/>
            </a:rPr>
            <a:t> conforto;</a:t>
          </a:r>
        </a:p>
        <a:p>
          <a:pPr marL="0" marR="0" lvl="0" indent="-396000" algn="just" defTabSz="914400" eaLnBrk="1" fontAlgn="auto" latinLnBrk="0" hangingPunct="1">
            <a:lnSpc>
              <a:spcPct val="150000"/>
            </a:lnSpc>
            <a:spcBef>
              <a:spcPts val="300"/>
            </a:spcBef>
            <a:spcAft>
              <a:spcPts val="0"/>
            </a:spcAft>
            <a:buClr>
              <a:schemeClr val="accent6">
                <a:lumMod val="50000"/>
              </a:schemeClr>
            </a:buClr>
            <a:buSzPct val="150000"/>
            <a:buFont typeface="+mj-lt"/>
            <a:buAutoNum type="arabicPeriod"/>
            <a:tabLst/>
            <a:defRPr/>
          </a:pPr>
          <a:r>
            <a:rPr lang="pt-BR" sz="1200" baseline="0">
              <a:solidFill>
                <a:schemeClr val="dk1"/>
              </a:solidFill>
              <a:effectLst/>
              <a:latin typeface="Times New Roman" panose="02020603050405020304" pitchFamily="18" charset="0"/>
              <a:ea typeface="+mn-ea"/>
              <a:cs typeface="Times New Roman" panose="02020603050405020304" pitchFamily="18" charset="0"/>
            </a:rPr>
            <a:t>Reinvestir na empresa;</a:t>
          </a:r>
        </a:p>
        <a:p>
          <a:pPr marL="0" marR="0" lvl="0" indent="-396000" algn="just" defTabSz="914400" eaLnBrk="1" fontAlgn="auto" latinLnBrk="0" hangingPunct="1">
            <a:lnSpc>
              <a:spcPct val="150000"/>
            </a:lnSpc>
            <a:spcBef>
              <a:spcPts val="300"/>
            </a:spcBef>
            <a:spcAft>
              <a:spcPts val="0"/>
            </a:spcAft>
            <a:buClr>
              <a:schemeClr val="accent6">
                <a:lumMod val="50000"/>
              </a:schemeClr>
            </a:buClr>
            <a:buSzPct val="150000"/>
            <a:buFont typeface="+mj-lt"/>
            <a:buAutoNum type="arabicPeriod"/>
            <a:tabLst/>
            <a:defRPr/>
          </a:pPr>
          <a:r>
            <a:rPr lang="pt-BR" sz="1200" baseline="0">
              <a:solidFill>
                <a:schemeClr val="dk1"/>
              </a:solidFill>
              <a:effectLst/>
              <a:latin typeface="Times New Roman" panose="02020603050405020304" pitchFamily="18" charset="0"/>
              <a:ea typeface="+mn-ea"/>
              <a:cs typeface="Times New Roman" panose="02020603050405020304" pitchFamily="18" charset="0"/>
            </a:rPr>
            <a:t>Viajar mais;</a:t>
          </a:r>
        </a:p>
        <a:p>
          <a:pPr marL="0" marR="0" lvl="0" indent="-396000" algn="just" defTabSz="914400" eaLnBrk="1" fontAlgn="auto" latinLnBrk="0" hangingPunct="1">
            <a:lnSpc>
              <a:spcPct val="150000"/>
            </a:lnSpc>
            <a:spcBef>
              <a:spcPts val="300"/>
            </a:spcBef>
            <a:spcAft>
              <a:spcPts val="0"/>
            </a:spcAft>
            <a:buClr>
              <a:schemeClr val="accent6">
                <a:lumMod val="50000"/>
              </a:schemeClr>
            </a:buClr>
            <a:buSzPct val="150000"/>
            <a:buFont typeface="+mj-lt"/>
            <a:buAutoNum type="arabicPeriod"/>
            <a:tabLst/>
            <a:defRPr/>
          </a:pPr>
          <a:r>
            <a:rPr lang="pt-BR" sz="1200" baseline="0">
              <a:solidFill>
                <a:schemeClr val="dk1"/>
              </a:solidFill>
              <a:effectLst/>
              <a:latin typeface="Times New Roman" panose="02020603050405020304" pitchFamily="18" charset="0"/>
              <a:ea typeface="+mn-ea"/>
              <a:cs typeface="Times New Roman" panose="02020603050405020304" pitchFamily="18" charset="0"/>
            </a:rPr>
            <a:t>Aumentar poder de compra;</a:t>
          </a:r>
          <a:endParaRPr lang="pt-BR" sz="1200">
            <a:solidFill>
              <a:schemeClr val="dk1"/>
            </a:solidFill>
            <a:effectLst/>
            <a:latin typeface="Times New Roman" panose="02020603050405020304" pitchFamily="18" charset="0"/>
            <a:ea typeface="+mn-ea"/>
            <a:cs typeface="Times New Roman" panose="02020603050405020304" pitchFamily="18" charset="0"/>
          </a:endParaRPr>
        </a:p>
        <a:p>
          <a:pPr marL="0" marR="0" lvl="0" indent="-396000" algn="just" defTabSz="914400" eaLnBrk="1" fontAlgn="auto" latinLnBrk="0" hangingPunct="1">
            <a:lnSpc>
              <a:spcPct val="150000"/>
            </a:lnSpc>
            <a:spcBef>
              <a:spcPts val="300"/>
            </a:spcBef>
            <a:spcAft>
              <a:spcPts val="0"/>
            </a:spcAft>
            <a:buClr>
              <a:schemeClr val="accent6">
                <a:lumMod val="50000"/>
              </a:schemeClr>
            </a:buClr>
            <a:buSzPct val="150000"/>
            <a:buFont typeface="+mj-lt"/>
            <a:buAutoNum type="arabicPeriod"/>
            <a:tabLst/>
            <a:defRPr/>
          </a:pPr>
          <a:r>
            <a:rPr lang="pt-BR" sz="1200">
              <a:solidFill>
                <a:schemeClr val="dk1"/>
              </a:solidFill>
              <a:effectLst/>
              <a:latin typeface="Times New Roman" panose="02020603050405020304" pitchFamily="18" charset="0"/>
              <a:ea typeface="+mn-ea"/>
              <a:cs typeface="Times New Roman" panose="02020603050405020304" pitchFamily="18" charset="0"/>
            </a:rPr>
            <a:t>Proteção contra a inflação;</a:t>
          </a:r>
        </a:p>
        <a:p>
          <a:pPr marL="0" marR="0" lvl="0" indent="-396000" algn="just" defTabSz="914400" eaLnBrk="1" fontAlgn="auto" latinLnBrk="0" hangingPunct="1">
            <a:lnSpc>
              <a:spcPct val="150000"/>
            </a:lnSpc>
            <a:spcBef>
              <a:spcPts val="300"/>
            </a:spcBef>
            <a:spcAft>
              <a:spcPts val="0"/>
            </a:spcAft>
            <a:buClr>
              <a:schemeClr val="accent6">
                <a:lumMod val="50000"/>
              </a:schemeClr>
            </a:buClr>
            <a:buSzPct val="150000"/>
            <a:buFont typeface="+mj-lt"/>
            <a:buAutoNum type="arabicPeriod"/>
            <a:tabLst/>
            <a:defRPr/>
          </a:pPr>
          <a:r>
            <a:rPr lang="pt-BR" sz="1200">
              <a:solidFill>
                <a:schemeClr val="dk1"/>
              </a:solidFill>
              <a:effectLst/>
              <a:latin typeface="Times New Roman" panose="02020603050405020304" pitchFamily="18" charset="0"/>
              <a:ea typeface="+mn-ea"/>
              <a:cs typeface="Times New Roman" panose="02020603050405020304" pitchFamily="18" charset="0"/>
            </a:rPr>
            <a:t>Investimento com um melhor custo/benefício;</a:t>
          </a:r>
        </a:p>
        <a:p>
          <a:pPr marL="0" marR="0" lvl="0" indent="-396000" algn="just" defTabSz="914400" eaLnBrk="1" fontAlgn="auto" latinLnBrk="0" hangingPunct="1">
            <a:lnSpc>
              <a:spcPct val="150000"/>
            </a:lnSpc>
            <a:spcBef>
              <a:spcPts val="300"/>
            </a:spcBef>
            <a:spcAft>
              <a:spcPts val="0"/>
            </a:spcAft>
            <a:buClr>
              <a:schemeClr val="accent6">
                <a:lumMod val="50000"/>
              </a:schemeClr>
            </a:buClr>
            <a:buSzPct val="150000"/>
            <a:buFont typeface="+mj-lt"/>
            <a:buAutoNum type="arabicPeriod"/>
            <a:tabLst/>
            <a:defRPr/>
          </a:pPr>
          <a:r>
            <a:rPr lang="pt-BR" sz="1200">
              <a:solidFill>
                <a:schemeClr val="dk1"/>
              </a:solidFill>
              <a:effectLst/>
              <a:latin typeface="Times New Roman" panose="02020603050405020304" pitchFamily="18" charset="0"/>
              <a:ea typeface="+mn-ea"/>
              <a:cs typeface="Times New Roman" panose="02020603050405020304" pitchFamily="18" charset="0"/>
            </a:rPr>
            <a:t>Baixa manutenção;</a:t>
          </a:r>
        </a:p>
        <a:p>
          <a:pPr marL="0" marR="0" lvl="0" indent="-396000" algn="just" defTabSz="914400" eaLnBrk="1" fontAlgn="auto" latinLnBrk="0" hangingPunct="1">
            <a:lnSpc>
              <a:spcPct val="150000"/>
            </a:lnSpc>
            <a:spcBef>
              <a:spcPts val="300"/>
            </a:spcBef>
            <a:spcAft>
              <a:spcPts val="0"/>
            </a:spcAft>
            <a:buClr>
              <a:schemeClr val="accent6">
                <a:lumMod val="50000"/>
              </a:schemeClr>
            </a:buClr>
            <a:buSzPct val="150000"/>
            <a:buFont typeface="+mj-lt"/>
            <a:buAutoNum type="arabicPeriod"/>
            <a:tabLst/>
            <a:defRPr/>
          </a:pPr>
          <a:r>
            <a:rPr lang="pt-BR" sz="1200">
              <a:solidFill>
                <a:schemeClr val="dk1"/>
              </a:solidFill>
              <a:effectLst/>
              <a:latin typeface="Times New Roman" panose="02020603050405020304" pitchFamily="18" charset="0"/>
              <a:ea typeface="+mn-ea"/>
              <a:cs typeface="Times New Roman" panose="02020603050405020304" pitchFamily="18" charset="0"/>
            </a:rPr>
            <a:t>Valorização do imóvel;</a:t>
          </a:r>
        </a:p>
        <a:p>
          <a:pPr marL="0" marR="0" lvl="0" indent="-396000" algn="just" defTabSz="914400" eaLnBrk="1" fontAlgn="auto" latinLnBrk="0" hangingPunct="1">
            <a:lnSpc>
              <a:spcPct val="150000"/>
            </a:lnSpc>
            <a:spcBef>
              <a:spcPts val="300"/>
            </a:spcBef>
            <a:spcAft>
              <a:spcPts val="0"/>
            </a:spcAft>
            <a:buClr>
              <a:schemeClr val="accent6">
                <a:lumMod val="50000"/>
              </a:schemeClr>
            </a:buClr>
            <a:buSzPct val="150000"/>
            <a:buFont typeface="+mj-lt"/>
            <a:buAutoNum type="arabicPeriod"/>
            <a:tabLst/>
            <a:defRPr/>
          </a:pPr>
          <a:r>
            <a:rPr lang="pt-BR" sz="1200">
              <a:solidFill>
                <a:schemeClr val="dk1"/>
              </a:solidFill>
              <a:effectLst/>
              <a:latin typeface="Times New Roman" panose="02020603050405020304" pitchFamily="18" charset="0"/>
              <a:ea typeface="+mn-ea"/>
              <a:cs typeface="Times New Roman" panose="02020603050405020304" pitchFamily="18" charset="0"/>
            </a:rPr>
            <a:t>Escolha</a:t>
          </a:r>
          <a:r>
            <a:rPr lang="pt-BR" sz="1200" baseline="0">
              <a:solidFill>
                <a:schemeClr val="dk1"/>
              </a:solidFill>
              <a:effectLst/>
              <a:latin typeface="Times New Roman" panose="02020603050405020304" pitchFamily="18" charset="0"/>
              <a:ea typeface="+mn-ea"/>
              <a:cs typeface="Times New Roman" panose="02020603050405020304" pitchFamily="18" charset="0"/>
            </a:rPr>
            <a:t> de</a:t>
          </a:r>
          <a:r>
            <a:rPr lang="pt-BR" sz="1200">
              <a:solidFill>
                <a:schemeClr val="dk1"/>
              </a:solidFill>
              <a:effectLst/>
              <a:latin typeface="Times New Roman" panose="02020603050405020304" pitchFamily="18" charset="0"/>
              <a:ea typeface="+mn-ea"/>
              <a:cs typeface="Times New Roman" panose="02020603050405020304" pitchFamily="18" charset="0"/>
            </a:rPr>
            <a:t> uma energia limpa,</a:t>
          </a:r>
          <a:r>
            <a:rPr lang="pt-BR" sz="1200" baseline="0">
              <a:solidFill>
                <a:schemeClr val="dk1"/>
              </a:solidFill>
              <a:effectLst/>
              <a:latin typeface="Times New Roman" panose="02020603050405020304" pitchFamily="18" charset="0"/>
              <a:ea typeface="+mn-ea"/>
              <a:cs typeface="Times New Roman" panose="02020603050405020304" pitchFamily="18" charset="0"/>
            </a:rPr>
            <a:t> que ajudará na r</a:t>
          </a:r>
          <a:r>
            <a:rPr lang="pt-BR" sz="1200">
              <a:solidFill>
                <a:schemeClr val="dk1"/>
              </a:solidFill>
              <a:effectLst/>
              <a:latin typeface="Times New Roman" panose="02020603050405020304" pitchFamily="18" charset="0"/>
              <a:ea typeface="+mn-ea"/>
              <a:cs typeface="Times New Roman" panose="02020603050405020304" pitchFamily="18" charset="0"/>
            </a:rPr>
            <a:t>edução de emissão de CO₂.</a:t>
          </a:r>
        </a:p>
      </xdr:txBody>
    </xdr:sp>
    <xdr:clientData/>
  </xdr:twoCellAnchor>
  <xdr:twoCellAnchor editAs="oneCell">
    <xdr:from>
      <xdr:col>12</xdr:col>
      <xdr:colOff>110188</xdr:colOff>
      <xdr:row>233</xdr:row>
      <xdr:rowOff>133797</xdr:rowOff>
    </xdr:from>
    <xdr:to>
      <xdr:col>17</xdr:col>
      <xdr:colOff>58005</xdr:colOff>
      <xdr:row>240</xdr:row>
      <xdr:rowOff>131714</xdr:rowOff>
    </xdr:to>
    <xdr:pic>
      <xdr:nvPicPr>
        <xdr:cNvPr id="14" name="Imagem 13">
          <a:extLst>
            <a:ext uri="{FF2B5EF4-FFF2-40B4-BE49-F238E27FC236}">
              <a16:creationId xmlns:a16="http://schemas.microsoft.com/office/drawing/2014/main" id="{00000000-0008-0000-0F00-00000E000000}"/>
            </a:ext>
          </a:extLst>
        </xdr:cNvPr>
        <xdr:cNvPicPr/>
      </xdr:nvPicPr>
      <xdr:blipFill>
        <a:blip xmlns:r="http://schemas.openxmlformats.org/officeDocument/2006/relationships" r:embed="rId9" cstate="screen">
          <a:extLst>
            <a:ext uri="{28A0092B-C50C-407E-A947-70E740481C1C}">
              <a14:useLocalDpi xmlns:a14="http://schemas.microsoft.com/office/drawing/2010/main"/>
            </a:ext>
          </a:extLst>
        </a:blip>
        <a:srcRect/>
        <a:stretch>
          <a:fillRect/>
        </a:stretch>
      </xdr:blipFill>
      <xdr:spPr bwMode="auto">
        <a:xfrm>
          <a:off x="3135776" y="33023062"/>
          <a:ext cx="1124435" cy="1252976"/>
        </a:xfrm>
        <a:prstGeom prst="rect">
          <a:avLst/>
        </a:prstGeom>
        <a:noFill/>
        <a:ln>
          <a:noFill/>
        </a:ln>
      </xdr:spPr>
    </xdr:pic>
    <xdr:clientData/>
  </xdr:twoCellAnchor>
  <xdr:twoCellAnchor editAs="oneCell">
    <xdr:from>
      <xdr:col>12</xdr:col>
      <xdr:colOff>19049</xdr:colOff>
      <xdr:row>241</xdr:row>
      <xdr:rowOff>55245</xdr:rowOff>
    </xdr:from>
    <xdr:to>
      <xdr:col>17</xdr:col>
      <xdr:colOff>137159</xdr:colOff>
      <xdr:row>243</xdr:row>
      <xdr:rowOff>171451</xdr:rowOff>
    </xdr:to>
    <xdr:sp macro="" textlink="Resumo!$E$189">
      <xdr:nvSpPr>
        <xdr:cNvPr id="15" name="Caixa de Texto 2">
          <a:extLst>
            <a:ext uri="{FF2B5EF4-FFF2-40B4-BE49-F238E27FC236}">
              <a16:creationId xmlns:a16="http://schemas.microsoft.com/office/drawing/2014/main" id="{00000000-0008-0000-0F00-00000F000000}"/>
            </a:ext>
          </a:extLst>
        </xdr:cNvPr>
        <xdr:cNvSpPr txBox="1">
          <a:spLocks noChangeArrowheads="1"/>
        </xdr:cNvSpPr>
      </xdr:nvSpPr>
      <xdr:spPr bwMode="auto">
        <a:xfrm>
          <a:off x="3076574" y="45298995"/>
          <a:ext cx="1304925" cy="516256"/>
        </a:xfrm>
        <a:prstGeom prst="rect">
          <a:avLst/>
        </a:prstGeom>
        <a:noFill/>
        <a:ln w="9525">
          <a:noFill/>
          <a:miter lim="800000"/>
          <a:headEnd/>
          <a:tailEnd/>
        </a:ln>
      </xdr:spPr>
      <xdr:txBody>
        <a:bodyPr rot="0" vert="horz" wrap="square" lIns="0" tIns="0" rIns="0" bIns="0" anchor="t" anchorCtr="1">
          <a:noAutofit/>
        </a:bodyPr>
        <a:lstStyle/>
        <a:p>
          <a:pPr algn="ctr">
            <a:lnSpc>
              <a:spcPct val="150000"/>
            </a:lnSpc>
          </a:pPr>
          <a:fld id="{7CD5C8D2-2C05-4FC3-A166-C66060063462}" type="TxLink">
            <a:rPr lang="en-US" sz="2000" b="1" i="0" u="none" strike="noStrike">
              <a:solidFill>
                <a:schemeClr val="accent6">
                  <a:lumMod val="50000"/>
                </a:schemeClr>
              </a:solidFill>
              <a:effectLst/>
              <a:latin typeface="Calibri"/>
              <a:ea typeface="Calibri" panose="020F0502020204030204" pitchFamily="34" charset="0"/>
              <a:cs typeface="Calibri"/>
            </a:rPr>
            <a:pPr algn="ctr">
              <a:lnSpc>
                <a:spcPct val="150000"/>
              </a:lnSpc>
            </a:pPr>
            <a:t>8,19 kWp</a:t>
          </a:fld>
          <a:endParaRPr lang="pt-BR" sz="2000" b="1">
            <a:solidFill>
              <a:schemeClr val="accent6">
                <a:lumMod val="50000"/>
              </a:schemeClr>
            </a:solidFill>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10</xdr:col>
      <xdr:colOff>99057</xdr:colOff>
      <xdr:row>243</xdr:row>
      <xdr:rowOff>3287</xdr:rowOff>
    </xdr:from>
    <xdr:to>
      <xdr:col>19</xdr:col>
      <xdr:colOff>55802</xdr:colOff>
      <xdr:row>244</xdr:row>
      <xdr:rowOff>170863</xdr:rowOff>
    </xdr:to>
    <xdr:sp macro="" textlink="">
      <xdr:nvSpPr>
        <xdr:cNvPr id="16" name="Caixa de Texto 2">
          <a:extLst>
            <a:ext uri="{FF2B5EF4-FFF2-40B4-BE49-F238E27FC236}">
              <a16:creationId xmlns:a16="http://schemas.microsoft.com/office/drawing/2014/main" id="{00000000-0008-0000-0F00-000010000000}"/>
            </a:ext>
          </a:extLst>
        </xdr:cNvPr>
        <xdr:cNvSpPr txBox="1">
          <a:spLocks noChangeArrowheads="1"/>
        </xdr:cNvSpPr>
      </xdr:nvSpPr>
      <xdr:spPr bwMode="auto">
        <a:xfrm>
          <a:off x="2680332" y="45656612"/>
          <a:ext cx="2103680" cy="358076"/>
        </a:xfrm>
        <a:prstGeom prst="rect">
          <a:avLst/>
        </a:prstGeom>
        <a:noFill/>
        <a:ln w="9525">
          <a:noFill/>
          <a:miter lim="800000"/>
          <a:headEnd/>
          <a:tailEnd/>
        </a:ln>
      </xdr:spPr>
      <xdr:txBody>
        <a:bodyPr rot="0" vert="horz" wrap="square" lIns="91440" tIns="45720" rIns="91440" bIns="45720" anchor="t" anchorCtr="0">
          <a:noAutofit/>
        </a:bodyPr>
        <a:lstStyle/>
        <a:p>
          <a:pPr algn="ctr">
            <a:lnSpc>
              <a:spcPct val="150000"/>
            </a:lnSpc>
          </a:pPr>
          <a:r>
            <a:rPr lang="pt-BR" sz="1200">
              <a:solidFill>
                <a:srgbClr val="385623"/>
              </a:solidFill>
              <a:effectLst/>
              <a:latin typeface="Calibri" panose="020F0502020204030204" pitchFamily="34" charset="0"/>
              <a:ea typeface="Calibri" panose="020F0502020204030204" pitchFamily="34" charset="0"/>
              <a:cs typeface="Times New Roman" panose="02020603050405020304" pitchFamily="18" charset="0"/>
            </a:rPr>
            <a:t>Potência Instalada</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6</xdr:col>
      <xdr:colOff>92859</xdr:colOff>
      <xdr:row>276</xdr:row>
      <xdr:rowOff>127215</xdr:rowOff>
    </xdr:from>
    <xdr:to>
      <xdr:col>10</xdr:col>
      <xdr:colOff>167826</xdr:colOff>
      <xdr:row>282</xdr:row>
      <xdr:rowOff>129681</xdr:rowOff>
    </xdr:to>
    <xdr:pic>
      <xdr:nvPicPr>
        <xdr:cNvPr id="18" name="Gráfico 48">
          <a:extLst>
            <a:ext uri="{FF2B5EF4-FFF2-40B4-BE49-F238E27FC236}">
              <a16:creationId xmlns:a16="http://schemas.microsoft.com/office/drawing/2014/main" id="{00000000-0008-0000-0F00-000012000000}"/>
            </a:ext>
          </a:extLst>
        </xdr:cNvPr>
        <xdr:cNvPicPr/>
      </xdr:nvPicPr>
      <xdr:blipFill>
        <a:blip xmlns:r="http://schemas.openxmlformats.org/officeDocument/2006/relationships" r:embed="rId10">
          <a:extLst>
            <a:ext uri="{28A0092B-C50C-407E-A947-70E740481C1C}">
              <a14:useLocalDpi xmlns:a14="http://schemas.microsoft.com/office/drawing/2010/main"/>
            </a:ext>
            <a:ext uri="{96DAC541-7B7A-43D3-8B79-37D633B846F1}">
              <asvg:svgBlip xmlns:asvg="http://schemas.microsoft.com/office/drawing/2016/SVG/main" r:embed="rId11"/>
            </a:ext>
          </a:extLst>
        </a:blip>
        <a:stretch>
          <a:fillRect/>
        </a:stretch>
      </xdr:blipFill>
      <xdr:spPr>
        <a:xfrm>
          <a:off x="1721634" y="52009890"/>
          <a:ext cx="1027467" cy="1078790"/>
        </a:xfrm>
        <a:prstGeom prst="rect">
          <a:avLst/>
        </a:prstGeom>
      </xdr:spPr>
    </xdr:pic>
    <xdr:clientData/>
  </xdr:twoCellAnchor>
  <xdr:twoCellAnchor editAs="oneCell">
    <xdr:from>
      <xdr:col>17</xdr:col>
      <xdr:colOff>212061</xdr:colOff>
      <xdr:row>276</xdr:row>
      <xdr:rowOff>82765</xdr:rowOff>
    </xdr:from>
    <xdr:to>
      <xdr:col>22</xdr:col>
      <xdr:colOff>131939</xdr:colOff>
      <xdr:row>282</xdr:row>
      <xdr:rowOff>130951</xdr:rowOff>
    </xdr:to>
    <xdr:pic>
      <xdr:nvPicPr>
        <xdr:cNvPr id="19" name="Gráfico 49">
          <a:extLst>
            <a:ext uri="{FF2B5EF4-FFF2-40B4-BE49-F238E27FC236}">
              <a16:creationId xmlns:a16="http://schemas.microsoft.com/office/drawing/2014/main" id="{00000000-0008-0000-0F00-000013000000}"/>
            </a:ext>
          </a:extLst>
        </xdr:cNvPr>
        <xdr:cNvPicPr/>
      </xdr:nvPicPr>
      <xdr:blipFill>
        <a:blip xmlns:r="http://schemas.openxmlformats.org/officeDocument/2006/relationships" r:embed="rId12">
          <a:extLst>
            <a:ext uri="{28A0092B-C50C-407E-A947-70E740481C1C}">
              <a14:useLocalDpi xmlns:a14="http://schemas.microsoft.com/office/drawing/2010/main"/>
            </a:ext>
            <a:ext uri="{96DAC541-7B7A-43D3-8B79-37D633B846F1}">
              <asvg:svgBlip xmlns:asvg="http://schemas.microsoft.com/office/drawing/2016/SVG/main" r:embed="rId13"/>
            </a:ext>
          </a:extLst>
        </a:blip>
        <a:stretch>
          <a:fillRect/>
        </a:stretch>
      </xdr:blipFill>
      <xdr:spPr>
        <a:xfrm>
          <a:off x="4460211" y="51965440"/>
          <a:ext cx="1110503" cy="1128320"/>
        </a:xfrm>
        <a:prstGeom prst="rect">
          <a:avLst/>
        </a:prstGeom>
      </xdr:spPr>
    </xdr:pic>
    <xdr:clientData/>
  </xdr:twoCellAnchor>
  <xdr:twoCellAnchor editAs="oneCell">
    <xdr:from>
      <xdr:col>4</xdr:col>
      <xdr:colOff>173802</xdr:colOff>
      <xdr:row>271</xdr:row>
      <xdr:rowOff>48662</xdr:rowOff>
    </xdr:from>
    <xdr:to>
      <xdr:col>12</xdr:col>
      <xdr:colOff>92597</xdr:colOff>
      <xdr:row>274</xdr:row>
      <xdr:rowOff>168713</xdr:rowOff>
    </xdr:to>
    <xdr:sp macro="" textlink="">
      <xdr:nvSpPr>
        <xdr:cNvPr id="20" name="Caixa de Texto 2">
          <a:extLst>
            <a:ext uri="{FF2B5EF4-FFF2-40B4-BE49-F238E27FC236}">
              <a16:creationId xmlns:a16="http://schemas.microsoft.com/office/drawing/2014/main" id="{00000000-0008-0000-0F00-000014000000}"/>
            </a:ext>
          </a:extLst>
        </xdr:cNvPr>
        <xdr:cNvSpPr txBox="1">
          <a:spLocks noChangeArrowheads="1"/>
        </xdr:cNvSpPr>
      </xdr:nvSpPr>
      <xdr:spPr bwMode="auto">
        <a:xfrm>
          <a:off x="1326327" y="51026462"/>
          <a:ext cx="1823795" cy="657261"/>
        </a:xfrm>
        <a:prstGeom prst="rect">
          <a:avLst/>
        </a:prstGeom>
        <a:noFill/>
        <a:ln w="9525">
          <a:noFill/>
          <a:miter lim="800000"/>
          <a:headEnd/>
          <a:tailEnd/>
        </a:ln>
      </xdr:spPr>
      <xdr:txBody>
        <a:bodyPr rot="0" vert="horz" wrap="square" lIns="91440" tIns="45720" rIns="91440" bIns="45720" anchor="t" anchorCtr="0">
          <a:noAutofit/>
        </a:bodyPr>
        <a:lstStyle/>
        <a:p>
          <a:pPr algn="ctr">
            <a:lnSpc>
              <a:spcPct val="150000"/>
            </a:lnSpc>
          </a:pPr>
          <a:r>
            <a:rPr lang="pt-BR" sz="1400" b="1">
              <a:solidFill>
                <a:srgbClr val="538135"/>
              </a:solidFill>
              <a:effectLst/>
              <a:latin typeface="Times New Roman" panose="02020603050405020304" pitchFamily="18" charset="0"/>
              <a:ea typeface="Calibri" panose="020F0502020204030204" pitchFamily="34" charset="0"/>
              <a:cs typeface="Times New Roman" panose="02020603050405020304" pitchFamily="18" charset="0"/>
            </a:rPr>
            <a:t>REDUÇÃO NA EMISSÃO DE CO</a:t>
          </a:r>
          <a:r>
            <a:rPr lang="pt-BR" sz="1400" b="1" baseline="-25000">
              <a:solidFill>
                <a:srgbClr val="538135"/>
              </a:solidFill>
              <a:effectLst/>
              <a:latin typeface="Times New Roman" panose="02020603050405020304" pitchFamily="18" charset="0"/>
              <a:ea typeface="Calibri" panose="020F0502020204030204" pitchFamily="34" charset="0"/>
              <a:cs typeface="Times New Roman" panose="02020603050405020304" pitchFamily="18" charset="0"/>
            </a:rPr>
            <a:t>2</a:t>
          </a:r>
          <a:r>
            <a:rPr lang="pt-BR" sz="1400" b="1">
              <a:solidFill>
                <a:srgbClr val="538135"/>
              </a:solidFill>
              <a:effectLst/>
              <a:latin typeface="Times New Roman" panose="02020603050405020304" pitchFamily="18" charset="0"/>
              <a:ea typeface="Calibri" panose="020F0502020204030204" pitchFamily="34" charset="0"/>
              <a:cs typeface="Times New Roman" panose="02020603050405020304" pitchFamily="18" charset="0"/>
            </a:rPr>
            <a:t>*</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a:p>
          <a:pPr algn="ctr">
            <a:lnSpc>
              <a:spcPct val="150000"/>
            </a:lnSpc>
          </a:pPr>
          <a:r>
            <a:rPr lang="pt-BR" sz="1400" b="1" baseline="-25000">
              <a:solidFill>
                <a:srgbClr val="538135"/>
              </a:solidFill>
              <a:effectLst/>
              <a:latin typeface="Times New Roman" panose="02020603050405020304" pitchFamily="18" charset="0"/>
              <a:ea typeface="Calibri" panose="020F0502020204030204" pitchFamily="34" charset="0"/>
              <a:cs typeface="Times New Roman" panose="02020603050405020304" pitchFamily="18" charset="0"/>
            </a:rPr>
            <a:t> </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16</xdr:col>
      <xdr:colOff>56105</xdr:colOff>
      <xdr:row>271</xdr:row>
      <xdr:rowOff>47392</xdr:rowOff>
    </xdr:from>
    <xdr:to>
      <xdr:col>23</xdr:col>
      <xdr:colOff>207421</xdr:colOff>
      <xdr:row>274</xdr:row>
      <xdr:rowOff>131248</xdr:rowOff>
    </xdr:to>
    <xdr:sp macro="" textlink="">
      <xdr:nvSpPr>
        <xdr:cNvPr id="21" name="Caixa de Texto 2">
          <a:extLst>
            <a:ext uri="{FF2B5EF4-FFF2-40B4-BE49-F238E27FC236}">
              <a16:creationId xmlns:a16="http://schemas.microsoft.com/office/drawing/2014/main" id="{00000000-0008-0000-0F00-000015000000}"/>
            </a:ext>
          </a:extLst>
        </xdr:cNvPr>
        <xdr:cNvSpPr txBox="1">
          <a:spLocks noChangeArrowheads="1"/>
        </xdr:cNvSpPr>
      </xdr:nvSpPr>
      <xdr:spPr bwMode="auto">
        <a:xfrm>
          <a:off x="4066130" y="51025192"/>
          <a:ext cx="1818191" cy="621066"/>
        </a:xfrm>
        <a:prstGeom prst="rect">
          <a:avLst/>
        </a:prstGeom>
        <a:noFill/>
        <a:ln w="9525">
          <a:noFill/>
          <a:miter lim="800000"/>
          <a:headEnd/>
          <a:tailEnd/>
        </a:ln>
      </xdr:spPr>
      <xdr:txBody>
        <a:bodyPr rot="0" vert="horz" wrap="square" lIns="91440" tIns="45720" rIns="91440" bIns="45720" anchor="t" anchorCtr="0">
          <a:noAutofit/>
        </a:bodyPr>
        <a:lstStyle/>
        <a:p>
          <a:pPr algn="ctr">
            <a:lnSpc>
              <a:spcPct val="150000"/>
            </a:lnSpc>
          </a:pPr>
          <a:r>
            <a:rPr lang="pt-BR" sz="1400" b="1">
              <a:solidFill>
                <a:srgbClr val="538135"/>
              </a:solidFill>
              <a:effectLst/>
              <a:latin typeface="Times New Roman" panose="02020603050405020304" pitchFamily="18" charset="0"/>
              <a:ea typeface="Calibri" panose="020F0502020204030204" pitchFamily="34" charset="0"/>
              <a:cs typeface="Times New Roman" panose="02020603050405020304" pitchFamily="18" charset="0"/>
            </a:rPr>
            <a:t>ÁRVORES EQUIVALENTES**</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a:p>
          <a:pPr algn="ctr">
            <a:lnSpc>
              <a:spcPct val="150000"/>
            </a:lnSpc>
          </a:pPr>
          <a:r>
            <a:rPr lang="pt-BR" sz="1400" b="1" baseline="-25000">
              <a:solidFill>
                <a:srgbClr val="538135"/>
              </a:solidFill>
              <a:effectLst/>
              <a:latin typeface="Times New Roman" panose="02020603050405020304" pitchFamily="18" charset="0"/>
              <a:ea typeface="Calibri" panose="020F0502020204030204" pitchFamily="34" charset="0"/>
              <a:cs typeface="Times New Roman" panose="02020603050405020304" pitchFamily="18" charset="0"/>
            </a:rPr>
            <a:t> </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0</xdr:col>
      <xdr:colOff>45496</xdr:colOff>
      <xdr:row>289</xdr:row>
      <xdr:rowOff>79117</xdr:rowOff>
    </xdr:from>
    <xdr:to>
      <xdr:col>28</xdr:col>
      <xdr:colOff>209778</xdr:colOff>
      <xdr:row>298</xdr:row>
      <xdr:rowOff>37989</xdr:rowOff>
    </xdr:to>
    <xdr:sp macro="" textlink="">
      <xdr:nvSpPr>
        <xdr:cNvPr id="22" name="CaixaDeTexto 21">
          <a:extLst>
            <a:ext uri="{FF2B5EF4-FFF2-40B4-BE49-F238E27FC236}">
              <a16:creationId xmlns:a16="http://schemas.microsoft.com/office/drawing/2014/main" id="{00000000-0008-0000-0F00-000016000000}"/>
            </a:ext>
          </a:extLst>
        </xdr:cNvPr>
        <xdr:cNvSpPr txBox="1"/>
      </xdr:nvSpPr>
      <xdr:spPr>
        <a:xfrm>
          <a:off x="45496" y="54543067"/>
          <a:ext cx="7010852" cy="158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000">
              <a:solidFill>
                <a:schemeClr val="bg1">
                  <a:lumMod val="50000"/>
                </a:schemeClr>
              </a:solidFill>
              <a:effectLst/>
              <a:latin typeface="Times New Roman" panose="02020603050405020304" pitchFamily="18" charset="0"/>
              <a:ea typeface="+mn-ea"/>
              <a:cs typeface="Times New Roman" panose="02020603050405020304" pitchFamily="18" charset="0"/>
            </a:rPr>
            <a:t>*A energia solar fotovoltaica é uma forma de frear a emissão de gases causadores do efeito estufa por ser uma energia limpa. Ela reduz a necessidade de geração através de geradoras térmicas.</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000">
              <a:solidFill>
                <a:schemeClr val="bg1">
                  <a:lumMod val="50000"/>
                </a:schemeClr>
              </a:solidFill>
              <a:effectLst/>
              <a:latin typeface="Times New Roman" panose="02020603050405020304" pitchFamily="18" charset="0"/>
              <a:ea typeface="+mn-ea"/>
              <a:cs typeface="Times New Roman" panose="02020603050405020304" pitchFamily="18" charset="0"/>
            </a:rPr>
            <a:t>**A neutralização de carbono por plantio de árvore acontece através do "sequestro de carbono" da atmosfera, que é retirado do meio ambiente e fixado na biomassa do planeta. Mais </a:t>
          </a:r>
          <a:r>
            <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rPr>
            <a:t>efetivo</a:t>
          </a:r>
          <a:r>
            <a:rPr lang="pt-BR" sz="1000">
              <a:solidFill>
                <a:schemeClr val="bg1">
                  <a:lumMod val="50000"/>
                </a:schemeClr>
              </a:solidFill>
              <a:effectLst/>
              <a:latin typeface="Times New Roman" panose="02020603050405020304" pitchFamily="18" charset="0"/>
              <a:ea typeface="+mn-ea"/>
              <a:cs typeface="Times New Roman" panose="02020603050405020304" pitchFamily="18" charset="0"/>
            </a:rPr>
            <a:t> que plantar árvores para melhorar a qualidade do ar que respiramos, é </a:t>
          </a:r>
          <a:r>
            <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rPr>
            <a:t>instalar sistemas fotovoltaicos</a:t>
          </a:r>
          <a:r>
            <a:rPr lang="pt-BR" sz="1000">
              <a:solidFill>
                <a:schemeClr val="bg1">
                  <a:lumMod val="50000"/>
                </a:schemeClr>
              </a:solidFill>
              <a:effectLst/>
              <a:latin typeface="Times New Roman" panose="02020603050405020304" pitchFamily="18" charset="0"/>
              <a:ea typeface="+mn-ea"/>
              <a:cs typeface="Times New Roman" panose="02020603050405020304" pitchFamily="18" charset="0"/>
            </a:rPr>
            <a:t>, que reduzem a necessidade de geração pela queima de derivados do petróleo, reduzindo assim a emissão de CO₂ no ambiente.</a:t>
          </a:r>
        </a:p>
      </xdr:txBody>
    </xdr:sp>
    <xdr:clientData/>
  </xdr:twoCellAnchor>
  <xdr:twoCellAnchor editAs="oneCell">
    <xdr:from>
      <xdr:col>0</xdr:col>
      <xdr:colOff>0</xdr:colOff>
      <xdr:row>457</xdr:row>
      <xdr:rowOff>184290</xdr:rowOff>
    </xdr:from>
    <xdr:to>
      <xdr:col>29</xdr:col>
      <xdr:colOff>20730</xdr:colOff>
      <xdr:row>460</xdr:row>
      <xdr:rowOff>151905</xdr:rowOff>
    </xdr:to>
    <xdr:sp macro="" textlink="">
      <xdr:nvSpPr>
        <xdr:cNvPr id="24" name="CaixaDeTexto 23">
          <a:extLst>
            <a:ext uri="{FF2B5EF4-FFF2-40B4-BE49-F238E27FC236}">
              <a16:creationId xmlns:a16="http://schemas.microsoft.com/office/drawing/2014/main" id="{00000000-0008-0000-0F00-000018000000}"/>
            </a:ext>
          </a:extLst>
        </xdr:cNvPr>
        <xdr:cNvSpPr txBox="1"/>
      </xdr:nvSpPr>
      <xdr:spPr>
        <a:xfrm>
          <a:off x="0" y="77426437"/>
          <a:ext cx="7203701" cy="539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0" algn="just" defTabSz="914400" eaLnBrk="1" fontAlgn="auto" latinLnBrk="0" hangingPunct="1">
            <a:lnSpc>
              <a:spcPct val="150000"/>
            </a:lnSpc>
            <a:spcBef>
              <a:spcPts val="0"/>
            </a:spcBef>
            <a:spcAft>
              <a:spcPts val="0"/>
            </a:spcAft>
            <a:buClr>
              <a:schemeClr val="accent6">
                <a:lumMod val="50000"/>
              </a:schemeClr>
            </a:buClr>
            <a:buSzTx/>
            <a:buFont typeface="Arial" panose="020B0604020202020204" pitchFamily="34" charset="0"/>
            <a:buNone/>
            <a:tabLst/>
            <a:defRPr/>
          </a:pPr>
          <a:r>
            <a:rPr lang="pt-BR" sz="1000" b="0">
              <a:solidFill>
                <a:sysClr val="windowText" lastClr="000000"/>
              </a:solidFill>
              <a:effectLst/>
              <a:latin typeface="Times New Roman" panose="02020603050405020304" pitchFamily="18" charset="0"/>
              <a:ea typeface="+mn-ea"/>
              <a:cs typeface="Times New Roman" panose="02020603050405020304" pitchFamily="18" charset="0"/>
            </a:rPr>
            <a:t>*Estimativa</a:t>
          </a:r>
          <a:r>
            <a:rPr lang="pt-BR" sz="1000" b="0" baseline="0">
              <a:solidFill>
                <a:sysClr val="windowText" lastClr="000000"/>
              </a:solidFill>
              <a:effectLst/>
              <a:latin typeface="Times New Roman" panose="02020603050405020304" pitchFamily="18" charset="0"/>
              <a:ea typeface="+mn-ea"/>
              <a:cs typeface="Times New Roman" panose="02020603050405020304" pitchFamily="18" charset="0"/>
            </a:rPr>
            <a:t> de Financiamneto. </a:t>
          </a:r>
          <a:r>
            <a:rPr lang="pt-BR" sz="1000" b="0">
              <a:solidFill>
                <a:sysClr val="windowText" lastClr="000000"/>
              </a:solidFill>
              <a:effectLst/>
              <a:latin typeface="Times New Roman" panose="02020603050405020304" pitchFamily="18" charset="0"/>
              <a:ea typeface="+mn-ea"/>
              <a:cs typeface="Times New Roman" panose="02020603050405020304" pitchFamily="18" charset="0"/>
            </a:rPr>
            <a:t>Sujeito</a:t>
          </a:r>
          <a:r>
            <a:rPr lang="pt-BR" sz="1000" b="0" baseline="0">
              <a:solidFill>
                <a:sysClr val="windowText" lastClr="000000"/>
              </a:solidFill>
              <a:effectLst/>
              <a:latin typeface="Times New Roman" panose="02020603050405020304" pitchFamily="18" charset="0"/>
              <a:ea typeface="+mn-ea"/>
              <a:cs typeface="Times New Roman" panose="02020603050405020304" pitchFamily="18" charset="0"/>
            </a:rPr>
            <a:t> </a:t>
          </a:r>
          <a:r>
            <a:rPr lang="pt-BR" sz="1000" b="0">
              <a:solidFill>
                <a:sysClr val="windowText" lastClr="000000"/>
              </a:solidFill>
              <a:effectLst/>
              <a:latin typeface="Times New Roman" panose="02020603050405020304" pitchFamily="18" charset="0"/>
              <a:ea typeface="+mn-ea"/>
              <a:cs typeface="Times New Roman" panose="02020603050405020304" pitchFamily="18" charset="0"/>
            </a:rPr>
            <a:t>análise de crédito. A simulação não configura oferta. Parcelas</a:t>
          </a:r>
          <a:r>
            <a:rPr lang="pt-BR" sz="1000" b="0" baseline="0">
              <a:solidFill>
                <a:sysClr val="windowText" lastClr="000000"/>
              </a:solidFill>
              <a:effectLst/>
              <a:latin typeface="Times New Roman" panose="02020603050405020304" pitchFamily="18" charset="0"/>
              <a:ea typeface="+mn-ea"/>
              <a:cs typeface="Times New Roman" panose="02020603050405020304" pitchFamily="18" charset="0"/>
            </a:rPr>
            <a:t> de 12x a 144x e carência até 120 dias.</a:t>
          </a:r>
          <a:endParaRPr lang="pt-BR" sz="1000" b="0">
            <a:solidFill>
              <a:sysClr val="windowText" lastClr="000000"/>
            </a:solidFill>
            <a:effectLst/>
            <a:latin typeface="Times New Roman" panose="02020603050405020304" pitchFamily="18" charset="0"/>
            <a:ea typeface="+mn-ea"/>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21700</xdr:colOff>
          <xdr:row>510</xdr:row>
          <xdr:rowOff>169965</xdr:rowOff>
        </xdr:from>
        <xdr:to>
          <xdr:col>28</xdr:col>
          <xdr:colOff>57955</xdr:colOff>
          <xdr:row>529</xdr:row>
          <xdr:rowOff>135597</xdr:rowOff>
        </xdr:to>
        <xdr:pic>
          <xdr:nvPicPr>
            <xdr:cNvPr id="28" name="Imagem 27">
              <a:extLst>
                <a:ext uri="{FF2B5EF4-FFF2-40B4-BE49-F238E27FC236}">
                  <a16:creationId xmlns:a16="http://schemas.microsoft.com/office/drawing/2014/main" id="{00000000-0008-0000-0F00-00001C000000}"/>
                </a:ext>
              </a:extLst>
            </xdr:cNvPr>
            <xdr:cNvPicPr>
              <a:picLocks noChangeAspect="1" noChangeArrowheads="1"/>
              <a:extLst>
                <a:ext uri="{84589F7E-364E-4C9E-8A38-B11213B215E9}">
                  <a14:cameraTool cellRange="Financeiro!$Z$171:$AF$188" spid="_x0000_s524262"/>
                </a:ext>
              </a:extLst>
            </xdr:cNvPicPr>
          </xdr:nvPicPr>
          <xdr:blipFill>
            <a:blip xmlns:r="http://schemas.openxmlformats.org/officeDocument/2006/relationships" r:embed="rId14"/>
            <a:srcRect/>
            <a:stretch>
              <a:fillRect/>
            </a:stretch>
          </xdr:blipFill>
          <xdr:spPr bwMode="auto">
            <a:xfrm>
              <a:off x="464723" y="82904558"/>
              <a:ext cx="6600265" cy="338417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4</xdr:col>
      <xdr:colOff>230278</xdr:colOff>
      <xdr:row>224</xdr:row>
      <xdr:rowOff>37764</xdr:rowOff>
    </xdr:from>
    <xdr:to>
      <xdr:col>10</xdr:col>
      <xdr:colOff>168537</xdr:colOff>
      <xdr:row>225</xdr:row>
      <xdr:rowOff>169769</xdr:rowOff>
    </xdr:to>
    <xdr:sp macro="" textlink="">
      <xdr:nvSpPr>
        <xdr:cNvPr id="30" name="CaixaDeTexto 29">
          <a:extLst>
            <a:ext uri="{FF2B5EF4-FFF2-40B4-BE49-F238E27FC236}">
              <a16:creationId xmlns:a16="http://schemas.microsoft.com/office/drawing/2014/main" id="{00000000-0008-0000-0F00-00001E000000}"/>
            </a:ext>
          </a:extLst>
        </xdr:cNvPr>
        <xdr:cNvSpPr txBox="1"/>
      </xdr:nvSpPr>
      <xdr:spPr>
        <a:xfrm>
          <a:off x="1182778" y="26574414"/>
          <a:ext cx="1340675"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0" algn="ctr"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050" b="1">
              <a:solidFill>
                <a:schemeClr val="bg2">
                  <a:lumMod val="25000"/>
                </a:schemeClr>
              </a:solidFill>
              <a:effectLst/>
              <a:latin typeface="Times New Roman" panose="02020603050405020304" pitchFamily="18" charset="0"/>
              <a:ea typeface="+mn-ea"/>
              <a:cs typeface="Times New Roman" panose="02020603050405020304" pitchFamily="18" charset="0"/>
            </a:rPr>
            <a:t>CENÁRIO</a:t>
          </a:r>
          <a:r>
            <a:rPr lang="pt-BR" sz="1050" b="1" baseline="0">
              <a:solidFill>
                <a:schemeClr val="bg2">
                  <a:lumMod val="25000"/>
                </a:schemeClr>
              </a:solidFill>
              <a:effectLst/>
              <a:latin typeface="Times New Roman" panose="02020603050405020304" pitchFamily="18" charset="0"/>
              <a:ea typeface="+mn-ea"/>
              <a:cs typeface="Times New Roman" panose="02020603050405020304" pitchFamily="18" charset="0"/>
            </a:rPr>
            <a:t> ATUAL</a:t>
          </a:r>
          <a:endParaRPr lang="pt-BR" sz="1200" b="1">
            <a:solidFill>
              <a:schemeClr val="bg2">
                <a:lumMod val="25000"/>
              </a:schemeClr>
            </a:solidFill>
            <a:effectLst/>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16</xdr:col>
      <xdr:colOff>61745</xdr:colOff>
      <xdr:row>224</xdr:row>
      <xdr:rowOff>37764</xdr:rowOff>
    </xdr:from>
    <xdr:to>
      <xdr:col>26</xdr:col>
      <xdr:colOff>3809</xdr:colOff>
      <xdr:row>225</xdr:row>
      <xdr:rowOff>169769</xdr:rowOff>
    </xdr:to>
    <xdr:sp macro="" textlink="">
      <xdr:nvSpPr>
        <xdr:cNvPr id="31" name="CaixaDeTexto 30">
          <a:extLst>
            <a:ext uri="{FF2B5EF4-FFF2-40B4-BE49-F238E27FC236}">
              <a16:creationId xmlns:a16="http://schemas.microsoft.com/office/drawing/2014/main" id="{00000000-0008-0000-0F00-00001F000000}"/>
            </a:ext>
          </a:extLst>
        </xdr:cNvPr>
        <xdr:cNvSpPr txBox="1"/>
      </xdr:nvSpPr>
      <xdr:spPr>
        <a:xfrm>
          <a:off x="3867935" y="26574414"/>
          <a:ext cx="2293395"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0" algn="ctr"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050" b="1">
              <a:solidFill>
                <a:schemeClr val="bg2">
                  <a:lumMod val="25000"/>
                </a:schemeClr>
              </a:solidFill>
              <a:effectLst/>
              <a:latin typeface="Times New Roman" panose="02020603050405020304" pitchFamily="18" charset="0"/>
              <a:ea typeface="+mn-ea"/>
              <a:cs typeface="Times New Roman" panose="02020603050405020304" pitchFamily="18" charset="0"/>
            </a:rPr>
            <a:t>CENÁRIO</a:t>
          </a:r>
          <a:r>
            <a:rPr lang="pt-BR" sz="1050" b="1" baseline="0">
              <a:solidFill>
                <a:schemeClr val="bg2">
                  <a:lumMod val="25000"/>
                </a:schemeClr>
              </a:solidFill>
              <a:effectLst/>
              <a:latin typeface="Times New Roman" panose="02020603050405020304" pitchFamily="18" charset="0"/>
              <a:ea typeface="+mn-ea"/>
              <a:cs typeface="Times New Roman" panose="02020603050405020304" pitchFamily="18" charset="0"/>
            </a:rPr>
            <a:t> FUTURO PREVISTO</a:t>
          </a:r>
          <a:endParaRPr lang="pt-BR" sz="1200" b="1">
            <a:solidFill>
              <a:schemeClr val="bg2">
                <a:lumMod val="25000"/>
              </a:schemeClr>
            </a:solidFill>
            <a:effectLst/>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0</xdr:col>
      <xdr:colOff>0</xdr:colOff>
      <xdr:row>217</xdr:row>
      <xdr:rowOff>9525</xdr:rowOff>
    </xdr:from>
    <xdr:to>
      <xdr:col>28</xdr:col>
      <xdr:colOff>171902</xdr:colOff>
      <xdr:row>220</xdr:row>
      <xdr:rowOff>54010</xdr:rowOff>
    </xdr:to>
    <xdr:sp macro="" textlink="">
      <xdr:nvSpPr>
        <xdr:cNvPr id="32" name="CaixaDeTexto 31">
          <a:extLst>
            <a:ext uri="{FF2B5EF4-FFF2-40B4-BE49-F238E27FC236}">
              <a16:creationId xmlns:a16="http://schemas.microsoft.com/office/drawing/2014/main" id="{00000000-0008-0000-0F00-000020000000}"/>
            </a:ext>
          </a:extLst>
        </xdr:cNvPr>
        <xdr:cNvSpPr txBox="1"/>
      </xdr:nvSpPr>
      <xdr:spPr>
        <a:xfrm>
          <a:off x="0" y="25281255"/>
          <a:ext cx="6925015" cy="578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a:solidFill>
                <a:schemeClr val="bg2">
                  <a:lumMod val="25000"/>
                </a:schemeClr>
              </a:solidFill>
              <a:effectLst/>
              <a:latin typeface="Times New Roman" panose="02020603050405020304" pitchFamily="18" charset="0"/>
              <a:ea typeface="+mn-ea"/>
              <a:cs typeface="Times New Roman" panose="02020603050405020304" pitchFamily="18" charset="0"/>
            </a:rPr>
            <a:t>Quem coloca um sistema de energia solar, tende a consumir mais energia, através por exemplo, do aumento de uso do ar condicionado ou pela aquisição de novos equipamentos elétricos.</a:t>
          </a:r>
        </a:p>
      </xdr:txBody>
    </xdr:sp>
    <xdr:clientData/>
  </xdr:twoCellAnchor>
  <xdr:twoCellAnchor editAs="oneCell">
    <xdr:from>
      <xdr:col>0</xdr:col>
      <xdr:colOff>18601</xdr:colOff>
      <xdr:row>219</xdr:row>
      <xdr:rowOff>151840</xdr:rowOff>
    </xdr:from>
    <xdr:to>
      <xdr:col>28</xdr:col>
      <xdr:colOff>167643</xdr:colOff>
      <xdr:row>224</xdr:row>
      <xdr:rowOff>56028</xdr:rowOff>
    </xdr:to>
    <xdr:sp macro="" textlink="$B$221">
      <xdr:nvSpPr>
        <xdr:cNvPr id="29" name="CaixaDeTexto 32">
          <a:extLst>
            <a:ext uri="{FF2B5EF4-FFF2-40B4-BE49-F238E27FC236}">
              <a16:creationId xmlns:a16="http://schemas.microsoft.com/office/drawing/2014/main" id="{00000000-0008-0000-0F00-00001D000000}"/>
            </a:ext>
          </a:extLst>
        </xdr:cNvPr>
        <xdr:cNvSpPr txBox="1"/>
      </xdr:nvSpPr>
      <xdr:spPr>
        <a:xfrm>
          <a:off x="22411" y="25783615"/>
          <a:ext cx="6925015" cy="800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fld id="{FD5D629F-4B2C-4A24-83E7-E949BF55AEFA}" type="TxLink">
            <a:rPr lang="en-US" sz="1100" b="0" i="0" u="none" strike="noStrike">
              <a:solidFill>
                <a:schemeClr val="bg2">
                  <a:lumMod val="25000"/>
                </a:schemeClr>
              </a:solidFill>
              <a:effectLst/>
              <a:latin typeface="Times New Roman" panose="02020603050405020304" pitchFamily="18" charset="0"/>
              <a:ea typeface="+mn-ea"/>
              <a:cs typeface="Times New Roman" panose="02020603050405020304" pitchFamily="18" charset="0"/>
            </a:rPr>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t>Para este estudo foi previsto um aumento no consumo de 4,4%  e todas as informações descritas nesse material estarão baseadas neste aumento.
Foi considerado um consumo diurno de 30,0% em relação ao consumo total.</a:t>
          </a:fld>
          <a:endParaRPr lang="pt-BR" sz="1100">
            <a:solidFill>
              <a:schemeClr val="bg2">
                <a:lumMod val="25000"/>
              </a:schemeClr>
            </a:solidFill>
            <a:effectLst/>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55</xdr:col>
      <xdr:colOff>448019</xdr:colOff>
      <xdr:row>456</xdr:row>
      <xdr:rowOff>95981</xdr:rowOff>
    </xdr:from>
    <xdr:to>
      <xdr:col>57</xdr:col>
      <xdr:colOff>427728</xdr:colOff>
      <xdr:row>457</xdr:row>
      <xdr:rowOff>36404</xdr:rowOff>
    </xdr:to>
    <xdr:sp macro="" textlink="Resumo!$E$374">
      <xdr:nvSpPr>
        <xdr:cNvPr id="34" name="CaixaDeTexto 33">
          <a:extLst>
            <a:ext uri="{FF2B5EF4-FFF2-40B4-BE49-F238E27FC236}">
              <a16:creationId xmlns:a16="http://schemas.microsoft.com/office/drawing/2014/main" id="{00000000-0008-0000-0F00-000022000000}"/>
            </a:ext>
          </a:extLst>
        </xdr:cNvPr>
        <xdr:cNvSpPr txBox="1"/>
      </xdr:nvSpPr>
      <xdr:spPr>
        <a:xfrm>
          <a:off x="21223725" y="76979540"/>
          <a:ext cx="1167532" cy="29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8FD3242-B694-4F05-8E60-67BFBB932309}" type="TxLink">
            <a:rPr lang="en-US" sz="1400" b="1" i="0" u="none" strike="noStrike">
              <a:solidFill>
                <a:srgbClr val="92D050"/>
              </a:solidFill>
              <a:latin typeface="Calibri"/>
              <a:ea typeface="+mn-ea"/>
              <a:cs typeface="Calibri"/>
            </a:rPr>
            <a:pPr marL="0" indent="0"/>
            <a:t>R$844,86 </a:t>
          </a:fld>
          <a:endParaRPr lang="pt-BR" sz="1400" b="1" i="0" u="none" strike="noStrike">
            <a:solidFill>
              <a:srgbClr val="92D050"/>
            </a:solidFill>
            <a:latin typeface="Calibri"/>
            <a:ea typeface="+mn-ea"/>
            <a:cs typeface="Calibri"/>
          </a:endParaRPr>
        </a:p>
      </xdr:txBody>
    </xdr:sp>
    <xdr:clientData/>
  </xdr:twoCellAnchor>
  <xdr:twoCellAnchor editAs="oneCell">
    <xdr:from>
      <xdr:col>11</xdr:col>
      <xdr:colOff>226022</xdr:colOff>
      <xdr:row>247</xdr:row>
      <xdr:rowOff>14269</xdr:rowOff>
    </xdr:from>
    <xdr:to>
      <xdr:col>18</xdr:col>
      <xdr:colOff>2152</xdr:colOff>
      <xdr:row>248</xdr:row>
      <xdr:rowOff>173432</xdr:rowOff>
    </xdr:to>
    <xdr:sp macro="" textlink="">
      <xdr:nvSpPr>
        <xdr:cNvPr id="38" name="CaixaDeTexto 37">
          <a:extLst>
            <a:ext uri="{FF2B5EF4-FFF2-40B4-BE49-F238E27FC236}">
              <a16:creationId xmlns:a16="http://schemas.microsoft.com/office/drawing/2014/main" id="{00000000-0008-0000-0F00-000026000000}"/>
            </a:ext>
          </a:extLst>
        </xdr:cNvPr>
        <xdr:cNvSpPr txBox="1"/>
      </xdr:nvSpPr>
      <xdr:spPr>
        <a:xfrm>
          <a:off x="3030970" y="47048062"/>
          <a:ext cx="1419145" cy="339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0" algn="ctr"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700">
              <a:solidFill>
                <a:schemeClr val="bg1">
                  <a:lumMod val="50000"/>
                </a:schemeClr>
              </a:solidFill>
              <a:effectLst/>
              <a:latin typeface="Times New Roman" panose="02020603050405020304" pitchFamily="18" charset="0"/>
              <a:ea typeface="+mn-ea"/>
              <a:cs typeface="Times New Roman" panose="02020603050405020304" pitchFamily="18" charset="0"/>
            </a:rPr>
            <a:t>Estimativa</a:t>
          </a:r>
          <a:r>
            <a:rPr lang="pt-BR" sz="700" baseline="0">
              <a:solidFill>
                <a:schemeClr val="bg1">
                  <a:lumMod val="50000"/>
                </a:schemeClr>
              </a:solidFill>
              <a:effectLst/>
              <a:latin typeface="Times New Roman" panose="02020603050405020304" pitchFamily="18" charset="0"/>
              <a:ea typeface="+mn-ea"/>
              <a:cs typeface="Times New Roman" panose="02020603050405020304" pitchFamily="18" charset="0"/>
            </a:rPr>
            <a:t> do 2° ano</a:t>
          </a:r>
          <a:endParaRPr lang="pt-BR" sz="700">
            <a:solidFill>
              <a:schemeClr val="bg1">
                <a:lumMod val="50000"/>
              </a:schemeClr>
            </a:solidFill>
            <a:effectLst/>
            <a:latin typeface="Times New Roman" panose="02020603050405020304" pitchFamily="18" charset="0"/>
            <a:ea typeface="+mn-ea"/>
            <a:cs typeface="Times New Roman" panose="02020603050405020304" pitchFamily="18" charset="0"/>
          </a:endParaRPr>
        </a:p>
        <a:p>
          <a:pPr marL="0" marR="0" lvl="0" indent="288000" algn="ctr" defTabSz="914400" eaLnBrk="1" fontAlgn="auto" latinLnBrk="0" hangingPunct="1">
            <a:lnSpc>
              <a:spcPct val="150000"/>
            </a:lnSpc>
            <a:spcBef>
              <a:spcPts val="0"/>
            </a:spcBef>
            <a:spcAft>
              <a:spcPts val="0"/>
            </a:spcAft>
            <a:buClrTx/>
            <a:buSzTx/>
            <a:buFont typeface="Arial" panose="020B0604020202020204" pitchFamily="34" charset="0"/>
            <a:buNone/>
            <a:tabLst/>
            <a:defRPr/>
          </a:pPr>
          <a:endParaRPr lang="pt-BR" sz="900">
            <a:solidFill>
              <a:schemeClr val="dk1"/>
            </a:solidFill>
            <a:effectLst/>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5</xdr:col>
      <xdr:colOff>104775</xdr:colOff>
      <xdr:row>358</xdr:row>
      <xdr:rowOff>55261</xdr:rowOff>
    </xdr:from>
    <xdr:to>
      <xdr:col>26</xdr:col>
      <xdr:colOff>113581</xdr:colOff>
      <xdr:row>365</xdr:row>
      <xdr:rowOff>97155</xdr:rowOff>
    </xdr:to>
    <xdr:grpSp>
      <xdr:nvGrpSpPr>
        <xdr:cNvPr id="40" name="Agrupar 39">
          <a:extLst>
            <a:ext uri="{FF2B5EF4-FFF2-40B4-BE49-F238E27FC236}">
              <a16:creationId xmlns:a16="http://schemas.microsoft.com/office/drawing/2014/main" id="{00000000-0008-0000-0F00-000028000000}"/>
            </a:ext>
          </a:extLst>
        </xdr:cNvPr>
        <xdr:cNvGrpSpPr/>
      </xdr:nvGrpSpPr>
      <xdr:grpSpPr>
        <a:xfrm>
          <a:off x="1451882" y="68744118"/>
          <a:ext cx="4866556" cy="1375394"/>
          <a:chOff x="378728" y="55932003"/>
          <a:chExt cx="5232988" cy="1324130"/>
        </a:xfrm>
      </xdr:grpSpPr>
      <xdr:grpSp>
        <xdr:nvGrpSpPr>
          <xdr:cNvPr id="41" name="Agrupar 40">
            <a:extLst>
              <a:ext uri="{FF2B5EF4-FFF2-40B4-BE49-F238E27FC236}">
                <a16:creationId xmlns:a16="http://schemas.microsoft.com/office/drawing/2014/main" id="{00000000-0008-0000-0F00-000029000000}"/>
              </a:ext>
            </a:extLst>
          </xdr:cNvPr>
          <xdr:cNvGrpSpPr/>
        </xdr:nvGrpSpPr>
        <xdr:grpSpPr>
          <a:xfrm>
            <a:off x="378728" y="55935813"/>
            <a:ext cx="1245464" cy="1240310"/>
            <a:chOff x="376739" y="54932094"/>
            <a:chExt cx="1232534" cy="1220777"/>
          </a:xfrm>
        </xdr:grpSpPr>
        <xdr:pic>
          <xdr:nvPicPr>
            <xdr:cNvPr id="48" name="Gráfico 40">
              <a:extLst>
                <a:ext uri="{FF2B5EF4-FFF2-40B4-BE49-F238E27FC236}">
                  <a16:creationId xmlns:a16="http://schemas.microsoft.com/office/drawing/2014/main" id="{00000000-0008-0000-0F00-000030000000}"/>
                </a:ext>
              </a:extLst>
            </xdr:cNvPr>
            <xdr:cNvPicPr/>
          </xdr:nvPicPr>
          <xdr:blipFill>
            <a:blip xmlns:r="http://schemas.openxmlformats.org/officeDocument/2006/relationships" r:embed="rId15">
              <a:extLst>
                <a:ext uri="{28A0092B-C50C-407E-A947-70E740481C1C}">
                  <a14:useLocalDpi xmlns:a14="http://schemas.microsoft.com/office/drawing/2010/main"/>
                </a:ext>
                <a:ext uri="{96DAC541-7B7A-43D3-8B79-37D633B846F1}">
                  <asvg:svgBlip xmlns:asvg="http://schemas.microsoft.com/office/drawing/2016/SVG/main" r:embed="rId16"/>
                </a:ext>
              </a:extLst>
            </a:blip>
            <a:stretch>
              <a:fillRect/>
            </a:stretch>
          </xdr:blipFill>
          <xdr:spPr>
            <a:xfrm>
              <a:off x="398646" y="55430875"/>
              <a:ext cx="1186814" cy="721996"/>
            </a:xfrm>
            <a:prstGeom prst="rect">
              <a:avLst/>
            </a:prstGeom>
          </xdr:spPr>
        </xdr:pic>
        <xdr:sp macro="" textlink="">
          <xdr:nvSpPr>
            <xdr:cNvPr id="49" name="Caixa de Texto 2">
              <a:extLst>
                <a:ext uri="{FF2B5EF4-FFF2-40B4-BE49-F238E27FC236}">
                  <a16:creationId xmlns:a16="http://schemas.microsoft.com/office/drawing/2014/main" id="{00000000-0008-0000-0F00-000031000000}"/>
                </a:ext>
              </a:extLst>
            </xdr:cNvPr>
            <xdr:cNvSpPr txBox="1">
              <a:spLocks noChangeArrowheads="1"/>
            </xdr:cNvSpPr>
          </xdr:nvSpPr>
          <xdr:spPr bwMode="auto">
            <a:xfrm>
              <a:off x="376739" y="54932094"/>
              <a:ext cx="1232534" cy="358140"/>
            </a:xfrm>
            <a:prstGeom prst="rect">
              <a:avLst/>
            </a:prstGeom>
            <a:noFill/>
            <a:ln w="9525">
              <a:noFill/>
              <a:miter lim="800000"/>
              <a:headEnd/>
              <a:tailEnd/>
            </a:ln>
          </xdr:spPr>
          <xdr:txBody>
            <a:bodyPr rot="0" vert="horz" wrap="square" lIns="91440" tIns="45720" rIns="91440" bIns="45720" anchor="t" anchorCtr="0">
              <a:noAutofit/>
            </a:bodyPr>
            <a:lstStyle/>
            <a:p>
              <a:pPr algn="ctr">
                <a:lnSpc>
                  <a:spcPct val="150000"/>
                </a:lnSpc>
              </a:pPr>
              <a:r>
                <a:rPr lang="pt-BR" sz="1400" b="1">
                  <a:solidFill>
                    <a:srgbClr val="538135"/>
                  </a:solidFill>
                  <a:effectLst/>
                  <a:latin typeface="Times New Roman" panose="02020603050405020304" pitchFamily="18" charset="0"/>
                  <a:ea typeface="Calibri" panose="020F0502020204030204" pitchFamily="34" charset="0"/>
                  <a:cs typeface="Times New Roman" panose="02020603050405020304" pitchFamily="18" charset="0"/>
                </a:rPr>
                <a:t>MÓDULOS</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grpSp>
        <xdr:nvGrpSpPr>
          <xdr:cNvPr id="42" name="Agrupar 41">
            <a:extLst>
              <a:ext uri="{FF2B5EF4-FFF2-40B4-BE49-F238E27FC236}">
                <a16:creationId xmlns:a16="http://schemas.microsoft.com/office/drawing/2014/main" id="{00000000-0008-0000-0F00-00002A000000}"/>
              </a:ext>
            </a:extLst>
          </xdr:cNvPr>
          <xdr:cNvGrpSpPr/>
        </xdr:nvGrpSpPr>
        <xdr:grpSpPr>
          <a:xfrm>
            <a:off x="2301080" y="55932003"/>
            <a:ext cx="1216211" cy="1324130"/>
            <a:chOff x="2733424" y="54935904"/>
            <a:chExt cx="1219201" cy="1289357"/>
          </a:xfrm>
        </xdr:grpSpPr>
        <xdr:pic>
          <xdr:nvPicPr>
            <xdr:cNvPr id="46" name="Gráfico 29">
              <a:extLst>
                <a:ext uri="{FF2B5EF4-FFF2-40B4-BE49-F238E27FC236}">
                  <a16:creationId xmlns:a16="http://schemas.microsoft.com/office/drawing/2014/main" id="{00000000-0008-0000-0F00-00002E000000}"/>
                </a:ext>
              </a:extLst>
            </xdr:cNvPr>
            <xdr:cNvPicPr/>
          </xdr:nvPicPr>
          <xdr:blipFill>
            <a:blip xmlns:r="http://schemas.openxmlformats.org/officeDocument/2006/relationships" r:embed="rId17" cstate="email">
              <a:extLst>
                <a:ext uri="{28A0092B-C50C-407E-A947-70E740481C1C}">
                  <a14:useLocalDpi xmlns:a14="http://schemas.microsoft.com/office/drawing/2010/main"/>
                </a:ext>
                <a:ext uri="{96DAC541-7B7A-43D3-8B79-37D633B846F1}">
                  <asvg:svgBlip xmlns:asvg="http://schemas.microsoft.com/office/drawing/2016/SVG/main" r:embed="rId18"/>
                </a:ext>
              </a:extLst>
            </a:blip>
            <a:stretch>
              <a:fillRect/>
            </a:stretch>
          </xdr:blipFill>
          <xdr:spPr>
            <a:xfrm>
              <a:off x="2985838" y="55366105"/>
              <a:ext cx="714373" cy="859156"/>
            </a:xfrm>
            <a:prstGeom prst="rect">
              <a:avLst/>
            </a:prstGeom>
          </xdr:spPr>
        </xdr:pic>
        <xdr:sp macro="" textlink="">
          <xdr:nvSpPr>
            <xdr:cNvPr id="47" name="Caixa de Texto 2">
              <a:extLst>
                <a:ext uri="{FF2B5EF4-FFF2-40B4-BE49-F238E27FC236}">
                  <a16:creationId xmlns:a16="http://schemas.microsoft.com/office/drawing/2014/main" id="{00000000-0008-0000-0F00-00002F000000}"/>
                </a:ext>
              </a:extLst>
            </xdr:cNvPr>
            <xdr:cNvSpPr txBox="1">
              <a:spLocks noChangeArrowheads="1"/>
            </xdr:cNvSpPr>
          </xdr:nvSpPr>
          <xdr:spPr bwMode="auto">
            <a:xfrm>
              <a:off x="2733424" y="54935904"/>
              <a:ext cx="1219201" cy="358140"/>
            </a:xfrm>
            <a:prstGeom prst="rect">
              <a:avLst/>
            </a:prstGeom>
            <a:noFill/>
            <a:ln w="9525">
              <a:noFill/>
              <a:miter lim="800000"/>
              <a:headEnd/>
              <a:tailEnd/>
            </a:ln>
          </xdr:spPr>
          <xdr:txBody>
            <a:bodyPr rot="0" vert="horz" wrap="square" lIns="91440" tIns="45720" rIns="91440" bIns="45720" anchor="ctr" anchorCtr="0">
              <a:noAutofit/>
            </a:bodyPr>
            <a:lstStyle/>
            <a:p>
              <a:pPr algn="ctr">
                <a:lnSpc>
                  <a:spcPct val="150000"/>
                </a:lnSpc>
              </a:pPr>
              <a:r>
                <a:rPr lang="pt-BR" sz="1400" b="1">
                  <a:solidFill>
                    <a:srgbClr val="538135"/>
                  </a:solidFill>
                  <a:effectLst/>
                  <a:latin typeface="Times New Roman" panose="02020603050405020304" pitchFamily="18" charset="0"/>
                  <a:ea typeface="Calibri" panose="020F0502020204030204" pitchFamily="34" charset="0"/>
                  <a:cs typeface="Times New Roman" panose="02020603050405020304" pitchFamily="18" charset="0"/>
                </a:rPr>
                <a:t>INVERSOR</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grpSp>
        <xdr:nvGrpSpPr>
          <xdr:cNvPr id="43" name="Agrupar 42">
            <a:extLst>
              <a:ext uri="{FF2B5EF4-FFF2-40B4-BE49-F238E27FC236}">
                <a16:creationId xmlns:a16="http://schemas.microsoft.com/office/drawing/2014/main" id="{00000000-0008-0000-0F00-00002B000000}"/>
              </a:ext>
            </a:extLst>
          </xdr:cNvPr>
          <xdr:cNvGrpSpPr/>
        </xdr:nvGrpSpPr>
        <xdr:grpSpPr>
          <a:xfrm>
            <a:off x="4011195" y="55933887"/>
            <a:ext cx="1600521" cy="1279271"/>
            <a:chOff x="3956844" y="54708481"/>
            <a:chExt cx="1581251" cy="1257945"/>
          </a:xfrm>
        </xdr:grpSpPr>
        <xdr:pic>
          <xdr:nvPicPr>
            <xdr:cNvPr id="44" name="Imagem 43">
              <a:extLst>
                <a:ext uri="{FF2B5EF4-FFF2-40B4-BE49-F238E27FC236}">
                  <a16:creationId xmlns:a16="http://schemas.microsoft.com/office/drawing/2014/main" id="{00000000-0008-0000-0F00-00002C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4321677" y="55171325"/>
              <a:ext cx="827268" cy="795101"/>
            </a:xfrm>
            <a:prstGeom prst="rect">
              <a:avLst/>
            </a:prstGeom>
          </xdr:spPr>
        </xdr:pic>
        <xdr:sp macro="" textlink="">
          <xdr:nvSpPr>
            <xdr:cNvPr id="45" name="Caixa de Texto 2">
              <a:extLst>
                <a:ext uri="{FF2B5EF4-FFF2-40B4-BE49-F238E27FC236}">
                  <a16:creationId xmlns:a16="http://schemas.microsoft.com/office/drawing/2014/main" id="{00000000-0008-0000-0F00-00002D000000}"/>
                </a:ext>
              </a:extLst>
            </xdr:cNvPr>
            <xdr:cNvSpPr txBox="1">
              <a:spLocks noChangeArrowheads="1"/>
            </xdr:cNvSpPr>
          </xdr:nvSpPr>
          <xdr:spPr bwMode="auto">
            <a:xfrm>
              <a:off x="3956844" y="54708481"/>
              <a:ext cx="1581251" cy="356739"/>
            </a:xfrm>
            <a:prstGeom prst="rect">
              <a:avLst/>
            </a:prstGeom>
            <a:noFill/>
            <a:ln w="9525">
              <a:noFill/>
              <a:miter lim="800000"/>
              <a:headEnd/>
              <a:tailEnd/>
            </a:ln>
          </xdr:spPr>
          <xdr:txBody>
            <a:bodyPr rot="0" vert="horz" wrap="square" lIns="91440" tIns="45720" rIns="91440" bIns="45720" anchor="ctr" anchorCtr="0">
              <a:noAutofit/>
            </a:bodyPr>
            <a:lstStyle/>
            <a:p>
              <a:pPr algn="ctr">
                <a:lnSpc>
                  <a:spcPct val="150000"/>
                </a:lnSpc>
              </a:pPr>
              <a:r>
                <a:rPr lang="pt-BR" sz="1400" b="1">
                  <a:solidFill>
                    <a:srgbClr val="538135"/>
                  </a:solidFill>
                  <a:effectLst/>
                  <a:latin typeface="Times New Roman" panose="02020603050405020304" pitchFamily="18" charset="0"/>
                  <a:ea typeface="Calibri" panose="020F0502020204030204" pitchFamily="34" charset="0"/>
                  <a:cs typeface="Times New Roman" panose="02020603050405020304" pitchFamily="18" charset="0"/>
                </a:rPr>
                <a:t>MÃO DE OBRA</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grpSp>
    <xdr:clientData/>
  </xdr:twoCellAnchor>
  <xdr:twoCellAnchor editAs="oneCell">
    <xdr:from>
      <xdr:col>0</xdr:col>
      <xdr:colOff>215768</xdr:colOff>
      <xdr:row>465</xdr:row>
      <xdr:rowOff>175738</xdr:rowOff>
    </xdr:from>
    <xdr:to>
      <xdr:col>24</xdr:col>
      <xdr:colOff>87922</xdr:colOff>
      <xdr:row>469</xdr:row>
      <xdr:rowOff>60099</xdr:rowOff>
    </xdr:to>
    <xdr:grpSp>
      <xdr:nvGrpSpPr>
        <xdr:cNvPr id="52" name="Agrupar 51">
          <a:extLst>
            <a:ext uri="{FF2B5EF4-FFF2-40B4-BE49-F238E27FC236}">
              <a16:creationId xmlns:a16="http://schemas.microsoft.com/office/drawing/2014/main" id="{00000000-0008-0000-0F00-000034000000}"/>
            </a:ext>
          </a:extLst>
        </xdr:cNvPr>
        <xdr:cNvGrpSpPr/>
      </xdr:nvGrpSpPr>
      <xdr:grpSpPr>
        <a:xfrm>
          <a:off x="215768" y="78811417"/>
          <a:ext cx="5614368" cy="646361"/>
          <a:chOff x="450838" y="69914908"/>
          <a:chExt cx="5696765" cy="614203"/>
        </a:xfrm>
      </xdr:grpSpPr>
      <xdr:sp macro="" textlink="Resumo!$E$364">
        <xdr:nvSpPr>
          <xdr:cNvPr id="53" name="Caixa de Texto 2">
            <a:extLst>
              <a:ext uri="{FF2B5EF4-FFF2-40B4-BE49-F238E27FC236}">
                <a16:creationId xmlns:a16="http://schemas.microsoft.com/office/drawing/2014/main" id="{00000000-0008-0000-0F00-000035000000}"/>
              </a:ext>
            </a:extLst>
          </xdr:cNvPr>
          <xdr:cNvSpPr txBox="1">
            <a:spLocks noChangeArrowheads="1"/>
          </xdr:cNvSpPr>
        </xdr:nvSpPr>
        <xdr:spPr bwMode="auto">
          <a:xfrm>
            <a:off x="450838" y="69914908"/>
            <a:ext cx="1778552" cy="420425"/>
          </a:xfrm>
          <a:prstGeom prst="rect">
            <a:avLst/>
          </a:prstGeom>
          <a:noFill/>
          <a:ln w="9525">
            <a:noFill/>
            <a:miter lim="800000"/>
            <a:headEnd/>
            <a:tailEnd/>
          </a:ln>
        </xdr:spPr>
        <xdr:txBody>
          <a:bodyPr rot="0" vert="horz" wrap="square" lIns="91440" tIns="45720" rIns="91440" bIns="45720" anchor="b" anchorCtr="0">
            <a:noAutofit/>
          </a:bodyPr>
          <a:lstStyle/>
          <a:p>
            <a:pPr marL="0" indent="0" algn="ctr">
              <a:lnSpc>
                <a:spcPct val="150000"/>
              </a:lnSpc>
            </a:pPr>
            <a:fld id="{440E31DF-E76F-445F-A739-59BEB1C2F503}" type="TxLink">
              <a:rPr lang="en-US" sz="16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rPr>
              <a:pPr marL="0" indent="0" algn="ctr">
                <a:lnSpc>
                  <a:spcPct val="150000"/>
                </a:lnSpc>
              </a:pPr>
              <a:t>R$324.637,02 </a:t>
            </a:fld>
            <a:endParaRPr lang="pt-BR" sz="16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54" name="Caixa de Texto 2">
            <a:extLst>
              <a:ext uri="{FF2B5EF4-FFF2-40B4-BE49-F238E27FC236}">
                <a16:creationId xmlns:a16="http://schemas.microsoft.com/office/drawing/2014/main" id="{00000000-0008-0000-0F00-000036000000}"/>
              </a:ext>
            </a:extLst>
          </xdr:cNvPr>
          <xdr:cNvSpPr txBox="1">
            <a:spLocks noChangeArrowheads="1"/>
          </xdr:cNvSpPr>
        </xdr:nvSpPr>
        <xdr:spPr bwMode="auto">
          <a:xfrm>
            <a:off x="2504633" y="69914908"/>
            <a:ext cx="2451266" cy="420425"/>
          </a:xfrm>
          <a:prstGeom prst="rect">
            <a:avLst/>
          </a:prstGeom>
          <a:noFill/>
          <a:ln w="9525">
            <a:noFill/>
            <a:miter lim="800000"/>
            <a:headEnd/>
            <a:tailEnd/>
          </a:ln>
        </xdr:spPr>
        <xdr:txBody>
          <a:bodyPr rot="0" vert="horz" wrap="square" lIns="91440" tIns="45720" rIns="91440" bIns="45720" anchor="t" anchorCtr="0">
            <a:noAutofit/>
          </a:bodyPr>
          <a:lstStyle/>
          <a:p>
            <a:pPr>
              <a:lnSpc>
                <a:spcPct val="150000"/>
              </a:lnSpc>
            </a:pPr>
            <a:r>
              <a:rPr lang="pt-BR" sz="14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rPr>
              <a:t>Valor Presente Líquido (VPL)</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55" name="Caixa de Texto 2">
            <a:extLst>
              <a:ext uri="{FF2B5EF4-FFF2-40B4-BE49-F238E27FC236}">
                <a16:creationId xmlns:a16="http://schemas.microsoft.com/office/drawing/2014/main" id="{00000000-0008-0000-0F00-000037000000}"/>
              </a:ext>
            </a:extLst>
          </xdr:cNvPr>
          <xdr:cNvSpPr txBox="1">
            <a:spLocks noChangeArrowheads="1"/>
          </xdr:cNvSpPr>
        </xdr:nvSpPr>
        <xdr:spPr bwMode="auto">
          <a:xfrm>
            <a:off x="2578927" y="70116306"/>
            <a:ext cx="3568676" cy="412805"/>
          </a:xfrm>
          <a:prstGeom prst="rect">
            <a:avLst/>
          </a:prstGeom>
          <a:noFill/>
          <a:ln w="9525">
            <a:noFill/>
            <a:miter lim="800000"/>
            <a:headEnd/>
            <a:tailEnd/>
          </a:ln>
        </xdr:spPr>
        <xdr:txBody>
          <a:bodyPr rot="0" vert="horz" wrap="square" lIns="91440" tIns="45720" rIns="91440" bIns="45720" anchor="t" anchorCtr="0">
            <a:noAutofit/>
          </a:bodyPr>
          <a:lstStyle/>
          <a:p>
            <a:pPr>
              <a:lnSpc>
                <a:spcPct val="150000"/>
              </a:lnSpc>
            </a:pPr>
            <a:r>
              <a:rPr lang="pt-BR" sz="1000" b="1">
                <a:solidFill>
                  <a:schemeClr val="accent4">
                    <a:lumMod val="75000"/>
                  </a:schemeClr>
                </a:solidFill>
                <a:effectLst/>
                <a:latin typeface="Calibri" panose="020F0502020204030204" pitchFamily="34" charset="0"/>
                <a:ea typeface="Calibri" panose="020F0502020204030204" pitchFamily="34" charset="0"/>
                <a:cs typeface="Times New Roman" panose="02020603050405020304" pitchFamily="18" charset="0"/>
              </a:rPr>
              <a:t>Valor de economia futura trazido ao valor presente</a:t>
            </a:r>
            <a:endParaRPr lang="pt-BR" sz="1100">
              <a:solidFill>
                <a:schemeClr val="accent4">
                  <a:lumMod val="75000"/>
                </a:schemeClr>
              </a:solidFill>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twoCellAnchor editAs="oneCell">
    <xdr:from>
      <xdr:col>0</xdr:col>
      <xdr:colOff>215768</xdr:colOff>
      <xdr:row>470</xdr:row>
      <xdr:rowOff>19111</xdr:rowOff>
    </xdr:from>
    <xdr:to>
      <xdr:col>28</xdr:col>
      <xdr:colOff>388327</xdr:colOff>
      <xdr:row>473</xdr:row>
      <xdr:rowOff>60573</xdr:rowOff>
    </xdr:to>
    <xdr:grpSp>
      <xdr:nvGrpSpPr>
        <xdr:cNvPr id="56" name="Agrupar 55">
          <a:extLst>
            <a:ext uri="{FF2B5EF4-FFF2-40B4-BE49-F238E27FC236}">
              <a16:creationId xmlns:a16="http://schemas.microsoft.com/office/drawing/2014/main" id="{00000000-0008-0000-0F00-000038000000}"/>
            </a:ext>
          </a:extLst>
        </xdr:cNvPr>
        <xdr:cNvGrpSpPr/>
      </xdr:nvGrpSpPr>
      <xdr:grpSpPr>
        <a:xfrm>
          <a:off x="215768" y="79607290"/>
          <a:ext cx="6826452" cy="612962"/>
          <a:chOff x="450838" y="70710674"/>
          <a:chExt cx="6957568" cy="595815"/>
        </a:xfrm>
      </xdr:grpSpPr>
      <xdr:sp macro="" textlink="Resumo!$E$365">
        <xdr:nvSpPr>
          <xdr:cNvPr id="57" name="Caixa de Texto 2">
            <a:extLst>
              <a:ext uri="{FF2B5EF4-FFF2-40B4-BE49-F238E27FC236}">
                <a16:creationId xmlns:a16="http://schemas.microsoft.com/office/drawing/2014/main" id="{00000000-0008-0000-0F00-000039000000}"/>
              </a:ext>
            </a:extLst>
          </xdr:cNvPr>
          <xdr:cNvSpPr txBox="1">
            <a:spLocks noChangeArrowheads="1"/>
          </xdr:cNvSpPr>
        </xdr:nvSpPr>
        <xdr:spPr bwMode="auto">
          <a:xfrm>
            <a:off x="450838" y="70710674"/>
            <a:ext cx="1778552" cy="411562"/>
          </a:xfrm>
          <a:prstGeom prst="rect">
            <a:avLst/>
          </a:prstGeom>
          <a:noFill/>
          <a:ln w="9525">
            <a:noFill/>
            <a:miter lim="800000"/>
            <a:headEnd/>
            <a:tailEnd/>
          </a:ln>
        </xdr:spPr>
        <xdr:txBody>
          <a:bodyPr rot="0" vert="horz" wrap="square" lIns="91440" tIns="45720" rIns="91440" bIns="45720" anchor="b" anchorCtr="0">
            <a:noAutofit/>
          </a:bodyPr>
          <a:lstStyle/>
          <a:p>
            <a:pPr marL="0" indent="0" algn="ctr">
              <a:lnSpc>
                <a:spcPct val="150000"/>
              </a:lnSpc>
            </a:pPr>
            <a:fld id="{D89CEA5D-E0C4-425E-B0CE-4EDD816DCD09}" type="TxLink">
              <a:rPr lang="en-US" sz="16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rPr>
              <a:pPr marL="0" indent="0" algn="ctr">
                <a:lnSpc>
                  <a:spcPct val="150000"/>
                </a:lnSpc>
              </a:pPr>
              <a:t>50%</a:t>
            </a:fld>
            <a:endParaRPr lang="pt-BR" sz="16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58" name="Caixa de Texto 2">
            <a:extLst>
              <a:ext uri="{FF2B5EF4-FFF2-40B4-BE49-F238E27FC236}">
                <a16:creationId xmlns:a16="http://schemas.microsoft.com/office/drawing/2014/main" id="{00000000-0008-0000-0F00-00003A000000}"/>
              </a:ext>
            </a:extLst>
          </xdr:cNvPr>
          <xdr:cNvSpPr txBox="1">
            <a:spLocks noChangeArrowheads="1"/>
          </xdr:cNvSpPr>
        </xdr:nvSpPr>
        <xdr:spPr bwMode="auto">
          <a:xfrm>
            <a:off x="2504633" y="70710674"/>
            <a:ext cx="2451266" cy="411562"/>
          </a:xfrm>
          <a:prstGeom prst="rect">
            <a:avLst/>
          </a:prstGeom>
          <a:noFill/>
          <a:ln w="9525">
            <a:noFill/>
            <a:miter lim="800000"/>
            <a:headEnd/>
            <a:tailEnd/>
          </a:ln>
        </xdr:spPr>
        <xdr:txBody>
          <a:bodyPr rot="0" vert="horz" wrap="square" lIns="91440" tIns="45720" rIns="91440" bIns="45720" anchor="t" anchorCtr="0">
            <a:noAutofit/>
          </a:bodyPr>
          <a:lstStyle/>
          <a:p>
            <a:pPr>
              <a:lnSpc>
                <a:spcPct val="150000"/>
              </a:lnSpc>
            </a:pPr>
            <a:r>
              <a:rPr lang="pt-BR" sz="14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rPr>
              <a:t>Taxa Interna de Retorno (TIR)</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59" name="Caixa de Texto 2">
            <a:extLst>
              <a:ext uri="{FF2B5EF4-FFF2-40B4-BE49-F238E27FC236}">
                <a16:creationId xmlns:a16="http://schemas.microsoft.com/office/drawing/2014/main" id="{00000000-0008-0000-0F00-00003B000000}"/>
              </a:ext>
            </a:extLst>
          </xdr:cNvPr>
          <xdr:cNvSpPr txBox="1">
            <a:spLocks noChangeArrowheads="1"/>
          </xdr:cNvSpPr>
        </xdr:nvSpPr>
        <xdr:spPr bwMode="auto">
          <a:xfrm>
            <a:off x="2575119" y="70894926"/>
            <a:ext cx="4833287" cy="411563"/>
          </a:xfrm>
          <a:prstGeom prst="rect">
            <a:avLst/>
          </a:prstGeom>
          <a:noFill/>
          <a:ln w="9525">
            <a:noFill/>
            <a:miter lim="800000"/>
            <a:headEnd/>
            <a:tailEnd/>
          </a:ln>
        </xdr:spPr>
        <xdr:txBody>
          <a:bodyPr rot="0" vert="horz" wrap="square" lIns="91440" tIns="45720" rIns="91440" bIns="45720" anchor="t" anchorCtr="0">
            <a:noAutofit/>
          </a:bodyPr>
          <a:lstStyle/>
          <a:p>
            <a:pPr>
              <a:lnSpc>
                <a:spcPct val="150000"/>
              </a:lnSpc>
            </a:pPr>
            <a:r>
              <a:rPr lang="pt-BR" sz="1000" b="1">
                <a:solidFill>
                  <a:schemeClr val="accent4">
                    <a:lumMod val="75000"/>
                  </a:schemeClr>
                </a:solidFill>
                <a:effectLst/>
                <a:latin typeface="Calibri" panose="020F0502020204030204" pitchFamily="34" charset="0"/>
                <a:ea typeface="Calibri" panose="020F0502020204030204" pitchFamily="34" charset="0"/>
                <a:cs typeface="Times New Roman" panose="02020603050405020304" pitchFamily="18" charset="0"/>
              </a:rPr>
              <a:t>Taxa de retorno que o sistema trará (comparar com taxas de Selic, poupança, etc)</a:t>
            </a:r>
            <a:endParaRPr lang="pt-BR" sz="1100">
              <a:solidFill>
                <a:schemeClr val="accent4">
                  <a:lumMod val="75000"/>
                </a:schemeClr>
              </a:solidFill>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twoCellAnchor editAs="oneCell">
    <xdr:from>
      <xdr:col>0</xdr:col>
      <xdr:colOff>215768</xdr:colOff>
      <xdr:row>478</xdr:row>
      <xdr:rowOff>999</xdr:rowOff>
    </xdr:from>
    <xdr:to>
      <xdr:col>22</xdr:col>
      <xdr:colOff>35219</xdr:colOff>
      <xdr:row>480</xdr:row>
      <xdr:rowOff>135777</xdr:rowOff>
    </xdr:to>
    <xdr:grpSp>
      <xdr:nvGrpSpPr>
        <xdr:cNvPr id="60" name="Agrupar 59">
          <a:extLst>
            <a:ext uri="{FF2B5EF4-FFF2-40B4-BE49-F238E27FC236}">
              <a16:creationId xmlns:a16="http://schemas.microsoft.com/office/drawing/2014/main" id="{00000000-0008-0000-0F00-00003C000000}"/>
            </a:ext>
          </a:extLst>
        </xdr:cNvPr>
        <xdr:cNvGrpSpPr/>
      </xdr:nvGrpSpPr>
      <xdr:grpSpPr>
        <a:xfrm>
          <a:off x="215768" y="81113178"/>
          <a:ext cx="5099022" cy="515778"/>
          <a:chOff x="458458" y="71920487"/>
          <a:chExt cx="5201076" cy="510063"/>
        </a:xfrm>
      </xdr:grpSpPr>
      <xdr:sp macro="" textlink="Resumo!$F$367">
        <xdr:nvSpPr>
          <xdr:cNvPr id="61" name="Caixa de Texto 2">
            <a:extLst>
              <a:ext uri="{FF2B5EF4-FFF2-40B4-BE49-F238E27FC236}">
                <a16:creationId xmlns:a16="http://schemas.microsoft.com/office/drawing/2014/main" id="{00000000-0008-0000-0F00-00003D000000}"/>
              </a:ext>
            </a:extLst>
          </xdr:cNvPr>
          <xdr:cNvSpPr txBox="1">
            <a:spLocks noChangeArrowheads="1"/>
          </xdr:cNvSpPr>
        </xdr:nvSpPr>
        <xdr:spPr bwMode="auto">
          <a:xfrm>
            <a:off x="458458" y="71920487"/>
            <a:ext cx="1770932" cy="405185"/>
          </a:xfrm>
          <a:prstGeom prst="rect">
            <a:avLst/>
          </a:prstGeom>
          <a:noFill/>
          <a:ln w="9525">
            <a:noFill/>
            <a:miter lim="800000"/>
            <a:headEnd/>
            <a:tailEnd/>
          </a:ln>
        </xdr:spPr>
        <xdr:txBody>
          <a:bodyPr rot="0" vert="horz" wrap="square" lIns="91440" tIns="45720" rIns="91440" bIns="45720" anchor="b" anchorCtr="0">
            <a:noAutofit/>
          </a:bodyPr>
          <a:lstStyle/>
          <a:p>
            <a:pPr marL="0" indent="0" algn="ctr">
              <a:lnSpc>
                <a:spcPct val="150000"/>
              </a:lnSpc>
            </a:pPr>
            <a:fld id="{CC13059A-E6F1-4253-A6B7-C0A726E2CF34}" type="TxLink">
              <a:rPr lang="en-US" sz="16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rPr>
              <a:pPr marL="0" indent="0" algn="ctr">
                <a:lnSpc>
                  <a:spcPct val="150000"/>
                </a:lnSpc>
              </a:pPr>
              <a:t>2 anos e 2 meses</a:t>
            </a:fld>
            <a:endParaRPr lang="pt-BR" sz="16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2" name="Caixa de Texto 2">
            <a:extLst>
              <a:ext uri="{FF2B5EF4-FFF2-40B4-BE49-F238E27FC236}">
                <a16:creationId xmlns:a16="http://schemas.microsoft.com/office/drawing/2014/main" id="{00000000-0008-0000-0F00-00003E000000}"/>
              </a:ext>
            </a:extLst>
          </xdr:cNvPr>
          <xdr:cNvSpPr txBox="1">
            <a:spLocks noChangeArrowheads="1"/>
          </xdr:cNvSpPr>
        </xdr:nvSpPr>
        <xdr:spPr bwMode="auto">
          <a:xfrm>
            <a:off x="2495108" y="71920487"/>
            <a:ext cx="2460791" cy="405185"/>
          </a:xfrm>
          <a:prstGeom prst="rect">
            <a:avLst/>
          </a:prstGeom>
          <a:noFill/>
          <a:ln w="9525">
            <a:noFill/>
            <a:miter lim="800000"/>
            <a:headEnd/>
            <a:tailEnd/>
          </a:ln>
        </xdr:spPr>
        <xdr:txBody>
          <a:bodyPr rot="0" vert="horz" wrap="square" lIns="91440" tIns="45720" rIns="91440" bIns="45720" anchor="t" anchorCtr="0">
            <a:noAutofit/>
          </a:bodyPr>
          <a:lstStyle/>
          <a:p>
            <a:pPr>
              <a:lnSpc>
                <a:spcPct val="150000"/>
              </a:lnSpc>
            </a:pPr>
            <a:r>
              <a:rPr lang="pt-BR" sz="14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rPr>
              <a:t>Payback</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3" name="Caixa de Texto 2">
            <a:extLst>
              <a:ext uri="{FF2B5EF4-FFF2-40B4-BE49-F238E27FC236}">
                <a16:creationId xmlns:a16="http://schemas.microsoft.com/office/drawing/2014/main" id="{00000000-0008-0000-0F00-00003F000000}"/>
              </a:ext>
            </a:extLst>
          </xdr:cNvPr>
          <xdr:cNvSpPr txBox="1">
            <a:spLocks noChangeArrowheads="1"/>
          </xdr:cNvSpPr>
        </xdr:nvSpPr>
        <xdr:spPr bwMode="auto">
          <a:xfrm>
            <a:off x="2573848" y="72102199"/>
            <a:ext cx="3085686" cy="328351"/>
          </a:xfrm>
          <a:prstGeom prst="rect">
            <a:avLst/>
          </a:prstGeom>
          <a:noFill/>
          <a:ln w="9525">
            <a:noFill/>
            <a:miter lim="800000"/>
            <a:headEnd/>
            <a:tailEnd/>
          </a:ln>
        </xdr:spPr>
        <xdr:txBody>
          <a:bodyPr rot="0" vert="horz" wrap="square" lIns="91440" tIns="45720" rIns="91440" bIns="45720" anchor="t" anchorCtr="0">
            <a:noAutofit/>
          </a:bodyPr>
          <a:lstStyle/>
          <a:p>
            <a:pPr>
              <a:lnSpc>
                <a:spcPct val="150000"/>
              </a:lnSpc>
            </a:pPr>
            <a:r>
              <a:rPr lang="pt-BR" sz="1000" b="1">
                <a:solidFill>
                  <a:schemeClr val="accent4">
                    <a:lumMod val="75000"/>
                  </a:schemeClr>
                </a:solidFill>
                <a:effectLst/>
                <a:latin typeface="Calibri" panose="020F0502020204030204" pitchFamily="34" charset="0"/>
                <a:ea typeface="Calibri" panose="020F0502020204030204" pitchFamily="34" charset="0"/>
                <a:cs typeface="Times New Roman" panose="02020603050405020304" pitchFamily="18" charset="0"/>
              </a:rPr>
              <a:t>Tempo em que a economia pagará o valor investido</a:t>
            </a:r>
            <a:endParaRPr lang="pt-BR" sz="1100">
              <a:solidFill>
                <a:schemeClr val="accent4">
                  <a:lumMod val="75000"/>
                </a:schemeClr>
              </a:solidFill>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twoCellAnchor editAs="oneCell">
    <xdr:from>
      <xdr:col>0</xdr:col>
      <xdr:colOff>220530</xdr:colOff>
      <xdr:row>481</xdr:row>
      <xdr:rowOff>102404</xdr:rowOff>
    </xdr:from>
    <xdr:to>
      <xdr:col>28</xdr:col>
      <xdr:colOff>490904</xdr:colOff>
      <xdr:row>484</xdr:row>
      <xdr:rowOff>97597</xdr:rowOff>
    </xdr:to>
    <xdr:grpSp>
      <xdr:nvGrpSpPr>
        <xdr:cNvPr id="64" name="Agrupar 63">
          <a:extLst>
            <a:ext uri="{FF2B5EF4-FFF2-40B4-BE49-F238E27FC236}">
              <a16:creationId xmlns:a16="http://schemas.microsoft.com/office/drawing/2014/main" id="{00000000-0008-0000-0F00-000040000000}"/>
            </a:ext>
          </a:extLst>
        </xdr:cNvPr>
        <xdr:cNvGrpSpPr/>
      </xdr:nvGrpSpPr>
      <xdr:grpSpPr>
        <a:xfrm>
          <a:off x="220530" y="81786083"/>
          <a:ext cx="6924267" cy="566693"/>
          <a:chOff x="455600" y="72686930"/>
          <a:chExt cx="7078721" cy="543830"/>
        </a:xfrm>
      </xdr:grpSpPr>
      <xdr:sp macro="" textlink="Resumo!$I$377">
        <xdr:nvSpPr>
          <xdr:cNvPr id="65" name="Caixa de Texto 2">
            <a:extLst>
              <a:ext uri="{FF2B5EF4-FFF2-40B4-BE49-F238E27FC236}">
                <a16:creationId xmlns:a16="http://schemas.microsoft.com/office/drawing/2014/main" id="{00000000-0008-0000-0F00-000041000000}"/>
              </a:ext>
            </a:extLst>
          </xdr:cNvPr>
          <xdr:cNvSpPr txBox="1">
            <a:spLocks noChangeArrowheads="1"/>
          </xdr:cNvSpPr>
        </xdr:nvSpPr>
        <xdr:spPr bwMode="auto">
          <a:xfrm>
            <a:off x="455600" y="72686930"/>
            <a:ext cx="1774742" cy="424235"/>
          </a:xfrm>
          <a:prstGeom prst="rect">
            <a:avLst/>
          </a:prstGeom>
          <a:noFill/>
          <a:ln w="9525">
            <a:noFill/>
            <a:miter lim="800000"/>
            <a:headEnd/>
            <a:tailEnd/>
          </a:ln>
        </xdr:spPr>
        <xdr:txBody>
          <a:bodyPr rot="0" vert="horz" wrap="square" lIns="91440" tIns="45720" rIns="91440" bIns="45720" anchor="b" anchorCtr="0">
            <a:noAutofit/>
          </a:bodyPr>
          <a:lstStyle/>
          <a:p>
            <a:pPr marL="0" indent="0" algn="ctr">
              <a:lnSpc>
                <a:spcPct val="150000"/>
              </a:lnSpc>
            </a:pPr>
            <a:fld id="{C7C0DB91-28C4-44D4-9B48-E0CFCD7E61A7}" type="TxLink">
              <a:rPr lang="en-US" sz="16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rPr>
              <a:pPr marL="0" indent="0" algn="ctr">
                <a:lnSpc>
                  <a:spcPct val="150000"/>
                </a:lnSpc>
              </a:pPr>
              <a:t>0 anos e 0 meses</a:t>
            </a:fld>
            <a:endParaRPr lang="pt-BR" sz="16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6" name="Caixa de Texto 2">
            <a:extLst>
              <a:ext uri="{FF2B5EF4-FFF2-40B4-BE49-F238E27FC236}">
                <a16:creationId xmlns:a16="http://schemas.microsoft.com/office/drawing/2014/main" id="{00000000-0008-0000-0F00-000042000000}"/>
              </a:ext>
            </a:extLst>
          </xdr:cNvPr>
          <xdr:cNvSpPr txBox="1">
            <a:spLocks noChangeArrowheads="1"/>
          </xdr:cNvSpPr>
        </xdr:nvSpPr>
        <xdr:spPr bwMode="auto">
          <a:xfrm>
            <a:off x="2495108" y="72721967"/>
            <a:ext cx="2460791" cy="414710"/>
          </a:xfrm>
          <a:prstGeom prst="rect">
            <a:avLst/>
          </a:prstGeom>
          <a:noFill/>
          <a:ln w="9525">
            <a:noFill/>
            <a:miter lim="800000"/>
            <a:headEnd/>
            <a:tailEnd/>
          </a:ln>
        </xdr:spPr>
        <xdr:txBody>
          <a:bodyPr rot="0" vert="horz" wrap="square" lIns="91440" tIns="45720" rIns="91440" bIns="45720" anchor="t" anchorCtr="0">
            <a:noAutofit/>
          </a:bodyPr>
          <a:lstStyle/>
          <a:p>
            <a:pPr>
              <a:lnSpc>
                <a:spcPct val="150000"/>
              </a:lnSpc>
            </a:pPr>
            <a:r>
              <a:rPr lang="pt-BR" sz="14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rPr>
              <a:t>Payback – (FINANCIAMENTO)</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7" name="Caixa de Texto 2">
            <a:extLst>
              <a:ext uri="{FF2B5EF4-FFF2-40B4-BE49-F238E27FC236}">
                <a16:creationId xmlns:a16="http://schemas.microsoft.com/office/drawing/2014/main" id="{00000000-0008-0000-0F00-000043000000}"/>
              </a:ext>
            </a:extLst>
          </xdr:cNvPr>
          <xdr:cNvSpPr txBox="1">
            <a:spLocks noChangeArrowheads="1"/>
          </xdr:cNvSpPr>
        </xdr:nvSpPr>
        <xdr:spPr bwMode="auto">
          <a:xfrm>
            <a:off x="2570037" y="72902410"/>
            <a:ext cx="4964284" cy="328350"/>
          </a:xfrm>
          <a:prstGeom prst="rect">
            <a:avLst/>
          </a:prstGeom>
          <a:noFill/>
          <a:ln w="9525">
            <a:noFill/>
            <a:miter lim="800000"/>
            <a:headEnd/>
            <a:tailEnd/>
          </a:ln>
        </xdr:spPr>
        <xdr:txBody>
          <a:bodyPr rot="0" vert="horz" wrap="square" lIns="91440" tIns="45720" rIns="91440" bIns="45720" anchor="t" anchorCtr="0">
            <a:noAutofit/>
          </a:bodyPr>
          <a:lstStyle/>
          <a:p>
            <a:pPr>
              <a:lnSpc>
                <a:spcPct val="150000"/>
              </a:lnSpc>
            </a:pPr>
            <a:r>
              <a:rPr lang="pt-BR" sz="1000" b="1">
                <a:solidFill>
                  <a:schemeClr val="accent4">
                    <a:lumMod val="75000"/>
                  </a:schemeClr>
                </a:solidFill>
                <a:effectLst/>
                <a:latin typeface="Calibri" panose="020F0502020204030204" pitchFamily="34" charset="0"/>
                <a:ea typeface="Calibri" panose="020F0502020204030204" pitchFamily="34" charset="0"/>
                <a:cs typeface="Times New Roman" panose="02020603050405020304" pitchFamily="18" charset="0"/>
              </a:rPr>
              <a:t>Tempo em que a economia pagará o valor investido ao optar pelo financiamento</a:t>
            </a:r>
            <a:endParaRPr lang="pt-BR" sz="1100">
              <a:solidFill>
                <a:schemeClr val="accent4">
                  <a:lumMod val="75000"/>
                </a:schemeClr>
              </a:solidFill>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twoCellAnchor editAs="oneCell">
    <xdr:from>
      <xdr:col>0</xdr:col>
      <xdr:colOff>220530</xdr:colOff>
      <xdr:row>461</xdr:row>
      <xdr:rowOff>78440</xdr:rowOff>
    </xdr:from>
    <xdr:to>
      <xdr:col>19</xdr:col>
      <xdr:colOff>94213</xdr:colOff>
      <xdr:row>465</xdr:row>
      <xdr:rowOff>18387</xdr:rowOff>
    </xdr:to>
    <xdr:grpSp>
      <xdr:nvGrpSpPr>
        <xdr:cNvPr id="68" name="Agrupar 67">
          <a:extLst>
            <a:ext uri="{FF2B5EF4-FFF2-40B4-BE49-F238E27FC236}">
              <a16:creationId xmlns:a16="http://schemas.microsoft.com/office/drawing/2014/main" id="{00000000-0008-0000-0F00-000044000000}"/>
            </a:ext>
          </a:extLst>
        </xdr:cNvPr>
        <xdr:cNvGrpSpPr/>
      </xdr:nvGrpSpPr>
      <xdr:grpSpPr>
        <a:xfrm>
          <a:off x="220530" y="77952119"/>
          <a:ext cx="4459290" cy="701947"/>
          <a:chOff x="446075" y="69129303"/>
          <a:chExt cx="4571861" cy="604678"/>
        </a:xfrm>
      </xdr:grpSpPr>
      <xdr:sp macro="" textlink="">
        <xdr:nvSpPr>
          <xdr:cNvPr id="69" name="Caixa de Texto 2">
            <a:extLst>
              <a:ext uri="{FF2B5EF4-FFF2-40B4-BE49-F238E27FC236}">
                <a16:creationId xmlns:a16="http://schemas.microsoft.com/office/drawing/2014/main" id="{00000000-0008-0000-0F00-000045000000}"/>
              </a:ext>
            </a:extLst>
          </xdr:cNvPr>
          <xdr:cNvSpPr txBox="1">
            <a:spLocks noChangeArrowheads="1"/>
          </xdr:cNvSpPr>
        </xdr:nvSpPr>
        <xdr:spPr bwMode="auto">
          <a:xfrm>
            <a:off x="2504633" y="69129303"/>
            <a:ext cx="2451266" cy="410900"/>
          </a:xfrm>
          <a:prstGeom prst="rect">
            <a:avLst/>
          </a:prstGeom>
          <a:noFill/>
          <a:ln w="9525">
            <a:noFill/>
            <a:miter lim="800000"/>
            <a:headEnd/>
            <a:tailEnd/>
          </a:ln>
        </xdr:spPr>
        <xdr:txBody>
          <a:bodyPr rot="0" vert="horz" wrap="square" lIns="91440" tIns="45720" rIns="91440" bIns="45720" anchor="t" anchorCtr="0">
            <a:noAutofit/>
          </a:bodyPr>
          <a:lstStyle/>
          <a:p>
            <a:pPr>
              <a:lnSpc>
                <a:spcPct val="150000"/>
              </a:lnSpc>
            </a:pPr>
            <a:r>
              <a:rPr lang="pt-BR" sz="14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rPr>
              <a:t>Economia Bruta em 25 anos</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70" name="Caixa de Texto 2">
            <a:extLst>
              <a:ext uri="{FF2B5EF4-FFF2-40B4-BE49-F238E27FC236}">
                <a16:creationId xmlns:a16="http://schemas.microsoft.com/office/drawing/2014/main" id="{00000000-0008-0000-0F00-000046000000}"/>
              </a:ext>
            </a:extLst>
          </xdr:cNvPr>
          <xdr:cNvSpPr txBox="1">
            <a:spLocks noChangeArrowheads="1"/>
          </xdr:cNvSpPr>
        </xdr:nvSpPr>
        <xdr:spPr bwMode="auto">
          <a:xfrm>
            <a:off x="2578928" y="69315460"/>
            <a:ext cx="2439008" cy="418521"/>
          </a:xfrm>
          <a:prstGeom prst="rect">
            <a:avLst/>
          </a:prstGeom>
          <a:noFill/>
          <a:ln w="9525">
            <a:noFill/>
            <a:miter lim="800000"/>
            <a:headEnd/>
            <a:tailEnd/>
          </a:ln>
        </xdr:spPr>
        <xdr:txBody>
          <a:bodyPr rot="0" vert="horz" wrap="square" lIns="91440" tIns="45720" rIns="91440" bIns="45720" anchor="t" anchorCtr="0">
            <a:noAutofit/>
          </a:bodyPr>
          <a:lstStyle/>
          <a:p>
            <a:pPr>
              <a:lnSpc>
                <a:spcPct val="150000"/>
              </a:lnSpc>
            </a:pPr>
            <a:r>
              <a:rPr lang="pt-BR" sz="1000" b="1">
                <a:solidFill>
                  <a:schemeClr val="accent4">
                    <a:lumMod val="75000"/>
                  </a:schemeClr>
                </a:solidFill>
                <a:effectLst/>
                <a:latin typeface="Calibri" panose="020F0502020204030204" pitchFamily="34" charset="0"/>
                <a:ea typeface="Calibri" panose="020F0502020204030204" pitchFamily="34" charset="0"/>
                <a:cs typeface="Times New Roman" panose="02020603050405020304" pitchFamily="18" charset="0"/>
              </a:rPr>
              <a:t>Valor total economizado no período</a:t>
            </a:r>
            <a:endParaRPr lang="pt-BR" sz="1100">
              <a:solidFill>
                <a:schemeClr val="accent4">
                  <a:lumMod val="75000"/>
                </a:schemeClr>
              </a:solidFill>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Resumo!$E$363">
        <xdr:nvSpPr>
          <xdr:cNvPr id="71" name="Caixa de Texto 2">
            <a:extLst>
              <a:ext uri="{FF2B5EF4-FFF2-40B4-BE49-F238E27FC236}">
                <a16:creationId xmlns:a16="http://schemas.microsoft.com/office/drawing/2014/main" id="{00000000-0008-0000-0F00-000047000000}"/>
              </a:ext>
            </a:extLst>
          </xdr:cNvPr>
          <xdr:cNvSpPr txBox="1">
            <a:spLocks noChangeArrowheads="1"/>
          </xdr:cNvSpPr>
        </xdr:nvSpPr>
        <xdr:spPr bwMode="auto">
          <a:xfrm>
            <a:off x="446075" y="69154813"/>
            <a:ext cx="1783439" cy="412805"/>
          </a:xfrm>
          <a:prstGeom prst="rect">
            <a:avLst/>
          </a:prstGeom>
          <a:noFill/>
          <a:ln w="9525">
            <a:noFill/>
            <a:miter lim="800000"/>
            <a:headEnd/>
            <a:tailEnd/>
          </a:ln>
        </xdr:spPr>
        <xdr:txBody>
          <a:bodyPr rot="0" vert="horz" wrap="square" lIns="91440" tIns="45720" rIns="91440" bIns="45720" anchor="b" anchorCtr="0">
            <a:noAutofit/>
          </a:bodyPr>
          <a:lstStyle/>
          <a:p>
            <a:pPr marL="0" indent="0" algn="ctr">
              <a:lnSpc>
                <a:spcPct val="150000"/>
              </a:lnSpc>
            </a:pPr>
            <a:fld id="{567DD5C9-0E3D-4E4E-B8EB-56F846268ED5}" type="TxLink">
              <a:rPr lang="en-US" sz="16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rPr>
              <a:pPr marL="0" indent="0" algn="ctr">
                <a:lnSpc>
                  <a:spcPct val="150000"/>
                </a:lnSpc>
              </a:pPr>
              <a:t>R$ 432.926,36</a:t>
            </a:fld>
            <a:endParaRPr lang="pt-BR" sz="16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twoCellAnchor editAs="oneCell">
    <xdr:from>
      <xdr:col>0</xdr:col>
      <xdr:colOff>215768</xdr:colOff>
      <xdr:row>474</xdr:row>
      <xdr:rowOff>21485</xdr:rowOff>
    </xdr:from>
    <xdr:to>
      <xdr:col>28</xdr:col>
      <xdr:colOff>534866</xdr:colOff>
      <xdr:row>477</xdr:row>
      <xdr:rowOff>57229</xdr:rowOff>
    </xdr:to>
    <xdr:grpSp>
      <xdr:nvGrpSpPr>
        <xdr:cNvPr id="72" name="Agrupar 71">
          <a:extLst>
            <a:ext uri="{FF2B5EF4-FFF2-40B4-BE49-F238E27FC236}">
              <a16:creationId xmlns:a16="http://schemas.microsoft.com/office/drawing/2014/main" id="{00000000-0008-0000-0F00-000048000000}"/>
            </a:ext>
          </a:extLst>
        </xdr:cNvPr>
        <xdr:cNvGrpSpPr/>
      </xdr:nvGrpSpPr>
      <xdr:grpSpPr>
        <a:xfrm>
          <a:off x="215768" y="80371664"/>
          <a:ext cx="6972991" cy="607244"/>
          <a:chOff x="450838" y="70710674"/>
          <a:chExt cx="7148084" cy="605655"/>
        </a:xfrm>
      </xdr:grpSpPr>
      <xdr:sp macro="" textlink="Resumo!$G$365">
        <xdr:nvSpPr>
          <xdr:cNvPr id="73" name="Caixa de Texto 2">
            <a:extLst>
              <a:ext uri="{FF2B5EF4-FFF2-40B4-BE49-F238E27FC236}">
                <a16:creationId xmlns:a16="http://schemas.microsoft.com/office/drawing/2014/main" id="{00000000-0008-0000-0F00-000049000000}"/>
              </a:ext>
            </a:extLst>
          </xdr:cNvPr>
          <xdr:cNvSpPr txBox="1">
            <a:spLocks noChangeArrowheads="1"/>
          </xdr:cNvSpPr>
        </xdr:nvSpPr>
        <xdr:spPr bwMode="auto">
          <a:xfrm>
            <a:off x="450838" y="70710674"/>
            <a:ext cx="1778552" cy="411562"/>
          </a:xfrm>
          <a:prstGeom prst="rect">
            <a:avLst/>
          </a:prstGeom>
          <a:noFill/>
          <a:ln w="9525">
            <a:noFill/>
            <a:miter lim="800000"/>
            <a:headEnd/>
            <a:tailEnd/>
          </a:ln>
        </xdr:spPr>
        <xdr:txBody>
          <a:bodyPr rot="0" vert="horz" wrap="square" lIns="91440" tIns="45720" rIns="91440" bIns="45720" anchor="b" anchorCtr="0">
            <a:noAutofit/>
          </a:bodyPr>
          <a:lstStyle/>
          <a:p>
            <a:pPr marL="0" indent="0" algn="ctr">
              <a:lnSpc>
                <a:spcPct val="150000"/>
              </a:lnSpc>
            </a:pPr>
            <a:fld id="{42970467-B854-4C43-AABD-92E1F9D9119A}" type="TxLink">
              <a:rPr lang="en-US" sz="1600" b="1" i="0" u="none" strike="noStrike">
                <a:solidFill>
                  <a:srgbClr val="538135"/>
                </a:solidFill>
                <a:effectLst/>
                <a:latin typeface="Calibri"/>
                <a:ea typeface="Calibri" panose="020F0502020204030204" pitchFamily="34" charset="0"/>
                <a:cs typeface="Calibri"/>
              </a:rPr>
              <a:pPr marL="0" indent="0" algn="ctr">
                <a:lnSpc>
                  <a:spcPct val="150000"/>
                </a:lnSpc>
              </a:pPr>
              <a:t>3,9% a.m.</a:t>
            </a:fld>
            <a:endParaRPr lang="pt-BR" sz="24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74" name="Caixa de Texto 2">
            <a:extLst>
              <a:ext uri="{FF2B5EF4-FFF2-40B4-BE49-F238E27FC236}">
                <a16:creationId xmlns:a16="http://schemas.microsoft.com/office/drawing/2014/main" id="{00000000-0008-0000-0F00-00004A000000}"/>
              </a:ext>
            </a:extLst>
          </xdr:cNvPr>
          <xdr:cNvSpPr txBox="1">
            <a:spLocks noChangeArrowheads="1"/>
          </xdr:cNvSpPr>
        </xdr:nvSpPr>
        <xdr:spPr bwMode="auto">
          <a:xfrm>
            <a:off x="2504633" y="70710674"/>
            <a:ext cx="2451266" cy="411562"/>
          </a:xfrm>
          <a:prstGeom prst="rect">
            <a:avLst/>
          </a:prstGeom>
          <a:noFill/>
          <a:ln w="9525">
            <a:noFill/>
            <a:miter lim="800000"/>
            <a:headEnd/>
            <a:tailEnd/>
          </a:ln>
        </xdr:spPr>
        <xdr:txBody>
          <a:bodyPr rot="0" vert="horz" wrap="square" lIns="91440" tIns="45720" rIns="91440" bIns="45720" anchor="t" anchorCtr="0">
            <a:noAutofit/>
          </a:bodyPr>
          <a:lstStyle/>
          <a:p>
            <a:pPr>
              <a:lnSpc>
                <a:spcPct val="150000"/>
              </a:lnSpc>
            </a:pPr>
            <a:r>
              <a:rPr lang="pt-BR" sz="14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rPr>
              <a:t>Rentabilidade Mensal</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75" name="Caixa de Texto 2">
            <a:extLst>
              <a:ext uri="{FF2B5EF4-FFF2-40B4-BE49-F238E27FC236}">
                <a16:creationId xmlns:a16="http://schemas.microsoft.com/office/drawing/2014/main" id="{00000000-0008-0000-0F00-00004B000000}"/>
              </a:ext>
            </a:extLst>
          </xdr:cNvPr>
          <xdr:cNvSpPr txBox="1">
            <a:spLocks noChangeArrowheads="1"/>
          </xdr:cNvSpPr>
        </xdr:nvSpPr>
        <xdr:spPr bwMode="auto">
          <a:xfrm>
            <a:off x="2575118" y="70904766"/>
            <a:ext cx="5023804" cy="411563"/>
          </a:xfrm>
          <a:prstGeom prst="rect">
            <a:avLst/>
          </a:prstGeom>
          <a:noFill/>
          <a:ln w="9525">
            <a:noFill/>
            <a:miter lim="800000"/>
            <a:headEnd/>
            <a:tailEnd/>
          </a:ln>
        </xdr:spPr>
        <xdr:txBody>
          <a:bodyPr rot="0" vert="horz" wrap="square" lIns="91440" tIns="45720" rIns="91440" bIns="45720" anchor="t" anchorCtr="0">
            <a:noAutofit/>
          </a:bodyPr>
          <a:lstStyle/>
          <a:p>
            <a:pPr>
              <a:lnSpc>
                <a:spcPct val="150000"/>
              </a:lnSpc>
            </a:pPr>
            <a:r>
              <a:rPr lang="pt-BR" sz="1000" b="1">
                <a:solidFill>
                  <a:schemeClr val="accent4">
                    <a:lumMod val="75000"/>
                  </a:schemeClr>
                </a:solidFill>
                <a:effectLst/>
                <a:latin typeface="Calibri" panose="020F0502020204030204" pitchFamily="34" charset="0"/>
                <a:ea typeface="Calibri" panose="020F0502020204030204" pitchFamily="34" charset="0"/>
                <a:cs typeface="Times New Roman" panose="02020603050405020304" pitchFamily="18" charset="0"/>
              </a:rPr>
              <a:t>Rentabilidade que a economia mensal gera comparado com o valor do investimento</a:t>
            </a:r>
            <a:endParaRPr lang="pt-BR" sz="1100">
              <a:solidFill>
                <a:schemeClr val="accent4">
                  <a:lumMod val="75000"/>
                </a:schemeClr>
              </a:solidFill>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twoCellAnchor editAs="oneCell">
    <xdr:from>
      <xdr:col>35</xdr:col>
      <xdr:colOff>517598</xdr:colOff>
      <xdr:row>0</xdr:row>
      <xdr:rowOff>168088</xdr:rowOff>
    </xdr:from>
    <xdr:to>
      <xdr:col>38</xdr:col>
      <xdr:colOff>289446</xdr:colOff>
      <xdr:row>4</xdr:row>
      <xdr:rowOff>54349</xdr:rowOff>
    </xdr:to>
    <xdr:sp macro="[0]!Gerar_Pre_Proposta" textlink="">
      <xdr:nvSpPr>
        <xdr:cNvPr id="77" name="Retângulo: Cantos Arredondados 76">
          <a:extLst>
            <a:ext uri="{FF2B5EF4-FFF2-40B4-BE49-F238E27FC236}">
              <a16:creationId xmlns:a16="http://schemas.microsoft.com/office/drawing/2014/main" id="{00000000-0008-0000-0F00-00004D000000}"/>
            </a:ext>
          </a:extLst>
        </xdr:cNvPr>
        <xdr:cNvSpPr/>
      </xdr:nvSpPr>
      <xdr:spPr>
        <a:xfrm>
          <a:off x="9603664" y="168088"/>
          <a:ext cx="1587201" cy="593912"/>
        </a:xfrm>
        <a:prstGeom prst="roundRect">
          <a:avLst/>
        </a:prstGeom>
        <a:noFill/>
        <a:ln w="38100">
          <a:solidFill>
            <a:schemeClr val="bg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ctr"/>
          <a:r>
            <a:rPr lang="pt-BR" sz="1400" b="1">
              <a:ln>
                <a:noFill/>
              </a:ln>
              <a:solidFill>
                <a:schemeClr val="accent6">
                  <a:lumMod val="50000"/>
                </a:schemeClr>
              </a:solidFill>
            </a:rPr>
            <a:t>Gerar</a:t>
          </a:r>
        </a:p>
        <a:p>
          <a:pPr algn="ctr"/>
          <a:r>
            <a:rPr lang="pt-BR" sz="1400" b="1">
              <a:ln>
                <a:noFill/>
              </a:ln>
              <a:solidFill>
                <a:schemeClr val="accent6">
                  <a:lumMod val="50000"/>
                </a:schemeClr>
              </a:solidFill>
            </a:rPr>
            <a:t>Proposta Inicial</a:t>
          </a:r>
        </a:p>
      </xdr:txBody>
    </xdr:sp>
    <xdr:clientData fPrintsWithSheet="0"/>
  </xdr:twoCellAnchor>
  <xdr:twoCellAnchor editAs="oneCell">
    <xdr:from>
      <xdr:col>16</xdr:col>
      <xdr:colOff>64212</xdr:colOff>
      <xdr:row>237</xdr:row>
      <xdr:rowOff>152513</xdr:rowOff>
    </xdr:from>
    <xdr:to>
      <xdr:col>19</xdr:col>
      <xdr:colOff>115684</xdr:colOff>
      <xdr:row>238</xdr:row>
      <xdr:rowOff>150608</xdr:rowOff>
    </xdr:to>
    <xdr:sp macro="" textlink="">
      <xdr:nvSpPr>
        <xdr:cNvPr id="79" name="Forma Livre: Forma 78">
          <a:extLst>
            <a:ext uri="{FF2B5EF4-FFF2-40B4-BE49-F238E27FC236}">
              <a16:creationId xmlns:a16="http://schemas.microsoft.com/office/drawing/2014/main" id="{00000000-0008-0000-0F00-00004F000000}"/>
            </a:ext>
          </a:extLst>
        </xdr:cNvPr>
        <xdr:cNvSpPr/>
      </xdr:nvSpPr>
      <xdr:spPr>
        <a:xfrm rot="1928361">
          <a:off x="4031094" y="33758954"/>
          <a:ext cx="757443" cy="177389"/>
        </a:xfrm>
        <a:custGeom>
          <a:avLst/>
          <a:gdLst>
            <a:gd name="connsiteX0" fmla="*/ 0 w 795867"/>
            <a:gd name="connsiteY0" fmla="*/ 194733 h 194733"/>
            <a:gd name="connsiteX1" fmla="*/ 228600 w 795867"/>
            <a:gd name="connsiteY1" fmla="*/ 33867 h 194733"/>
            <a:gd name="connsiteX2" fmla="*/ 795867 w 795867"/>
            <a:gd name="connsiteY2" fmla="*/ 0 h 194733"/>
            <a:gd name="connsiteX0" fmla="*/ 0 w 795867"/>
            <a:gd name="connsiteY0" fmla="*/ 171430 h 171430"/>
            <a:gd name="connsiteX1" fmla="*/ 228600 w 795867"/>
            <a:gd name="connsiteY1" fmla="*/ 10564 h 171430"/>
            <a:gd name="connsiteX2" fmla="*/ 795867 w 795867"/>
            <a:gd name="connsiteY2" fmla="*/ 4832 h 171430"/>
            <a:gd name="connsiteX0" fmla="*/ 0 w 795867"/>
            <a:gd name="connsiteY0" fmla="*/ 186848 h 186848"/>
            <a:gd name="connsiteX1" fmla="*/ 228600 w 795867"/>
            <a:gd name="connsiteY1" fmla="*/ 25982 h 186848"/>
            <a:gd name="connsiteX2" fmla="*/ 795867 w 795867"/>
            <a:gd name="connsiteY2" fmla="*/ 20250 h 186848"/>
          </a:gdLst>
          <a:ahLst/>
          <a:cxnLst>
            <a:cxn ang="0">
              <a:pos x="connsiteX0" y="connsiteY0"/>
            </a:cxn>
            <a:cxn ang="0">
              <a:pos x="connsiteX1" y="connsiteY1"/>
            </a:cxn>
            <a:cxn ang="0">
              <a:pos x="connsiteX2" y="connsiteY2"/>
            </a:cxn>
          </a:cxnLst>
          <a:rect l="l" t="t" r="r" b="b"/>
          <a:pathLst>
            <a:path w="795867" h="186848">
              <a:moveTo>
                <a:pt x="0" y="186848"/>
              </a:moveTo>
              <a:cubicBezTo>
                <a:pt x="47978" y="122642"/>
                <a:pt x="95956" y="53748"/>
                <a:pt x="228600" y="25982"/>
              </a:cubicBezTo>
              <a:cubicBezTo>
                <a:pt x="361244" y="-1784"/>
                <a:pt x="693966" y="-12528"/>
                <a:pt x="795867" y="20250"/>
              </a:cubicBezTo>
            </a:path>
          </a:pathLst>
        </a:custGeom>
        <a:noFill/>
        <a:ln>
          <a:solidFill>
            <a:schemeClr val="accent6">
              <a:lumMod val="75000"/>
            </a:schemeClr>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pt-BR"/>
        </a:p>
      </xdr:txBody>
    </xdr:sp>
    <xdr:clientData/>
  </xdr:twoCellAnchor>
  <xdr:twoCellAnchor editAs="oneCell">
    <xdr:from>
      <xdr:col>10</xdr:col>
      <xdr:colOff>35193</xdr:colOff>
      <xdr:row>237</xdr:row>
      <xdr:rowOff>110497</xdr:rowOff>
    </xdr:from>
    <xdr:to>
      <xdr:col>13</xdr:col>
      <xdr:colOff>96189</xdr:colOff>
      <xdr:row>238</xdr:row>
      <xdr:rowOff>150795</xdr:rowOff>
    </xdr:to>
    <xdr:sp macro="" textlink="">
      <xdr:nvSpPr>
        <xdr:cNvPr id="80" name="Forma Livre: Forma 79">
          <a:extLst>
            <a:ext uri="{FF2B5EF4-FFF2-40B4-BE49-F238E27FC236}">
              <a16:creationId xmlns:a16="http://schemas.microsoft.com/office/drawing/2014/main" id="{00000000-0008-0000-0F00-000050000000}"/>
            </a:ext>
          </a:extLst>
        </xdr:cNvPr>
        <xdr:cNvSpPr/>
      </xdr:nvSpPr>
      <xdr:spPr>
        <a:xfrm rot="19772961" flipV="1">
          <a:off x="2590134" y="33716938"/>
          <a:ext cx="751727" cy="219592"/>
        </a:xfrm>
        <a:custGeom>
          <a:avLst/>
          <a:gdLst>
            <a:gd name="connsiteX0" fmla="*/ 770467 w 770467"/>
            <a:gd name="connsiteY0" fmla="*/ 0 h 186267"/>
            <a:gd name="connsiteX1" fmla="*/ 508000 w 770467"/>
            <a:gd name="connsiteY1" fmla="*/ 169333 h 186267"/>
            <a:gd name="connsiteX2" fmla="*/ 0 w 770467"/>
            <a:gd name="connsiteY2" fmla="*/ 186267 h 186267"/>
            <a:gd name="connsiteX0" fmla="*/ 790525 w 790525"/>
            <a:gd name="connsiteY0" fmla="*/ 0 h 206342"/>
            <a:gd name="connsiteX1" fmla="*/ 528058 w 790525"/>
            <a:gd name="connsiteY1" fmla="*/ 169333 h 206342"/>
            <a:gd name="connsiteX2" fmla="*/ 0 w 790525"/>
            <a:gd name="connsiteY2" fmla="*/ 206342 h 206342"/>
            <a:gd name="connsiteX0" fmla="*/ 790525 w 790525"/>
            <a:gd name="connsiteY0" fmla="*/ 0 h 206342"/>
            <a:gd name="connsiteX1" fmla="*/ 528058 w 790525"/>
            <a:gd name="connsiteY1" fmla="*/ 169333 h 206342"/>
            <a:gd name="connsiteX2" fmla="*/ 0 w 790525"/>
            <a:gd name="connsiteY2" fmla="*/ 206342 h 206342"/>
            <a:gd name="connsiteX0" fmla="*/ 790525 w 790525"/>
            <a:gd name="connsiteY0" fmla="*/ 0 h 207998"/>
            <a:gd name="connsiteX1" fmla="*/ 528058 w 790525"/>
            <a:gd name="connsiteY1" fmla="*/ 169333 h 207998"/>
            <a:gd name="connsiteX2" fmla="*/ 0 w 790525"/>
            <a:gd name="connsiteY2" fmla="*/ 206342 h 207998"/>
          </a:gdLst>
          <a:ahLst/>
          <a:cxnLst>
            <a:cxn ang="0">
              <a:pos x="connsiteX0" y="connsiteY0"/>
            </a:cxn>
            <a:cxn ang="0">
              <a:pos x="connsiteX1" y="connsiteY1"/>
            </a:cxn>
            <a:cxn ang="0">
              <a:pos x="connsiteX2" y="connsiteY2"/>
            </a:cxn>
          </a:cxnLst>
          <a:rect l="l" t="t" r="r" b="b"/>
          <a:pathLst>
            <a:path w="790525" h="207998">
              <a:moveTo>
                <a:pt x="790525" y="0"/>
              </a:moveTo>
              <a:cubicBezTo>
                <a:pt x="723497" y="69144"/>
                <a:pt x="659812" y="134943"/>
                <a:pt x="528058" y="169333"/>
              </a:cubicBezTo>
              <a:cubicBezTo>
                <a:pt x="396304" y="203723"/>
                <a:pt x="266247" y="212064"/>
                <a:pt x="0" y="206342"/>
              </a:cubicBezTo>
            </a:path>
          </a:pathLst>
        </a:custGeom>
        <a:noFill/>
        <a:ln>
          <a:solidFill>
            <a:schemeClr val="accent6">
              <a:lumMod val="75000"/>
            </a:schemeClr>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pt-BR"/>
        </a:p>
      </xdr:txBody>
    </xdr:sp>
    <xdr:clientData/>
  </xdr:twoCellAnchor>
  <xdr:twoCellAnchor editAs="oneCell">
    <xdr:from>
      <xdr:col>1</xdr:col>
      <xdr:colOff>61524</xdr:colOff>
      <xdr:row>239</xdr:row>
      <xdr:rowOff>136375</xdr:rowOff>
    </xdr:from>
    <xdr:to>
      <xdr:col>10</xdr:col>
      <xdr:colOff>93910</xdr:colOff>
      <xdr:row>242</xdr:row>
      <xdr:rowOff>56031</xdr:rowOff>
    </xdr:to>
    <xdr:sp macro="" textlink="">
      <xdr:nvSpPr>
        <xdr:cNvPr id="81" name="Retângulo: Cantos Arredondados 80">
          <a:extLst>
            <a:ext uri="{FF2B5EF4-FFF2-40B4-BE49-F238E27FC236}">
              <a16:creationId xmlns:a16="http://schemas.microsoft.com/office/drawing/2014/main" id="{00000000-0008-0000-0F00-000051000000}"/>
            </a:ext>
          </a:extLst>
        </xdr:cNvPr>
        <xdr:cNvSpPr/>
      </xdr:nvSpPr>
      <xdr:spPr>
        <a:xfrm>
          <a:off x="498553" y="34101404"/>
          <a:ext cx="2157918" cy="545281"/>
        </a:xfrm>
        <a:prstGeom prst="roundRect">
          <a:avLst/>
        </a:prstGeom>
        <a:noFill/>
        <a:ln w="28575">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18</xdr:col>
      <xdr:colOff>156883</xdr:colOff>
      <xdr:row>239</xdr:row>
      <xdr:rowOff>142090</xdr:rowOff>
    </xdr:from>
    <xdr:to>
      <xdr:col>27</xdr:col>
      <xdr:colOff>206638</xdr:colOff>
      <xdr:row>242</xdr:row>
      <xdr:rowOff>56031</xdr:rowOff>
    </xdr:to>
    <xdr:sp macro="" textlink="">
      <xdr:nvSpPr>
        <xdr:cNvPr id="82" name="Retângulo: Cantos Arredondados 81">
          <a:extLst>
            <a:ext uri="{FF2B5EF4-FFF2-40B4-BE49-F238E27FC236}">
              <a16:creationId xmlns:a16="http://schemas.microsoft.com/office/drawing/2014/main" id="{00000000-0008-0000-0F00-000052000000}"/>
            </a:ext>
          </a:extLst>
        </xdr:cNvPr>
        <xdr:cNvSpPr/>
      </xdr:nvSpPr>
      <xdr:spPr>
        <a:xfrm>
          <a:off x="4594412" y="34107119"/>
          <a:ext cx="2167667" cy="539566"/>
        </a:xfrm>
        <a:prstGeom prst="roundRect">
          <a:avLst/>
        </a:prstGeom>
        <a:noFill/>
        <a:ln w="28575">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26</xdr:col>
      <xdr:colOff>100853</xdr:colOff>
      <xdr:row>48</xdr:row>
      <xdr:rowOff>123265</xdr:rowOff>
    </xdr:from>
    <xdr:to>
      <xdr:col>28</xdr:col>
      <xdr:colOff>361837</xdr:colOff>
      <xdr:row>51</xdr:row>
      <xdr:rowOff>246918</xdr:rowOff>
    </xdr:to>
    <xdr:pic>
      <xdr:nvPicPr>
        <xdr:cNvPr id="91" name="Imagem 90">
          <a:hlinkClick xmlns:r="http://schemas.openxmlformats.org/officeDocument/2006/relationships" r:id="rId20"/>
          <a:extLst>
            <a:ext uri="{FF2B5EF4-FFF2-40B4-BE49-F238E27FC236}">
              <a16:creationId xmlns:a16="http://schemas.microsoft.com/office/drawing/2014/main" id="{00000000-0008-0000-0F00-00005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219265" y="8404412"/>
          <a:ext cx="731855" cy="722832"/>
        </a:xfrm>
        <a:prstGeom prst="rect">
          <a:avLst/>
        </a:prstGeom>
      </xdr:spPr>
    </xdr:pic>
    <xdr:clientData/>
  </xdr:twoCellAnchor>
  <xdr:twoCellAnchor editAs="oneCell">
    <xdr:from>
      <xdr:col>0</xdr:col>
      <xdr:colOff>0</xdr:colOff>
      <xdr:row>261</xdr:row>
      <xdr:rowOff>5491</xdr:rowOff>
    </xdr:from>
    <xdr:to>
      <xdr:col>28</xdr:col>
      <xdr:colOff>552897</xdr:colOff>
      <xdr:row>269</xdr:row>
      <xdr:rowOff>16698</xdr:rowOff>
    </xdr:to>
    <xdr:sp macro="" textlink="">
      <xdr:nvSpPr>
        <xdr:cNvPr id="93" name="CaixaDeTexto 92">
          <a:extLst>
            <a:ext uri="{FF2B5EF4-FFF2-40B4-BE49-F238E27FC236}">
              <a16:creationId xmlns:a16="http://schemas.microsoft.com/office/drawing/2014/main" id="{00000000-0008-0000-0F00-00005D000000}"/>
            </a:ext>
          </a:extLst>
        </xdr:cNvPr>
        <xdr:cNvSpPr txBox="1"/>
      </xdr:nvSpPr>
      <xdr:spPr>
        <a:xfrm>
          <a:off x="0" y="48224403"/>
          <a:ext cx="7332456" cy="1436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00000"/>
            </a:lnSpc>
            <a:spcBef>
              <a:spcPts val="0"/>
            </a:spcBef>
            <a:spcAft>
              <a:spcPts val="200"/>
            </a:spcAft>
            <a:buClrTx/>
            <a:buSzTx/>
            <a:buFont typeface="Arial" panose="020B0604020202020204" pitchFamily="34" charset="0"/>
            <a:buNone/>
            <a:tabLst/>
            <a:defRPr/>
          </a:pPr>
          <a:r>
            <a:rPr lang="pt-BR" sz="900">
              <a:solidFill>
                <a:schemeClr val="bg2">
                  <a:lumMod val="50000"/>
                </a:schemeClr>
              </a:solidFill>
              <a:effectLst/>
              <a:latin typeface="Times New Roman" panose="02020603050405020304" pitchFamily="18" charset="0"/>
              <a:ea typeface="+mn-ea"/>
              <a:cs typeface="Times New Roman" panose="02020603050405020304" pitchFamily="18" charset="0"/>
            </a:rPr>
            <a:t>Parâmetros:</a:t>
          </a:r>
        </a:p>
        <a:p>
          <a:pPr marL="685800" marR="0" lvl="1" indent="-228600" algn="just" defTabSz="914400" eaLnBrk="1" fontAlgn="auto" latinLnBrk="0" hangingPunct="1">
            <a:lnSpc>
              <a:spcPct val="100000"/>
            </a:lnSpc>
            <a:spcBef>
              <a:spcPts val="0"/>
            </a:spcBef>
            <a:spcAft>
              <a:spcPts val="200"/>
            </a:spcAft>
            <a:buClrTx/>
            <a:buSzTx/>
            <a:buFont typeface="+mj-lt"/>
            <a:buAutoNum type="arabicParenR"/>
            <a:tabLst/>
            <a:defRPr/>
          </a:pPr>
          <a:r>
            <a:rPr lang="pt-BR" sz="900">
              <a:solidFill>
                <a:schemeClr val="bg2">
                  <a:lumMod val="50000"/>
                </a:schemeClr>
              </a:solidFill>
              <a:effectLst/>
              <a:latin typeface="Times New Roman" panose="02020603050405020304" pitchFamily="18" charset="0"/>
              <a:ea typeface="+mn-ea"/>
              <a:cs typeface="Times New Roman" panose="02020603050405020304" pitchFamily="18" charset="0"/>
            </a:rPr>
            <a:t>Para estudo de geração foi considerado diversos fatores de perda, como temperatura, inclinação, orientação, mismatch, sombreamento, sujidade, entre outros;</a:t>
          </a:r>
        </a:p>
        <a:p>
          <a:pPr marL="685800" marR="0" lvl="1" indent="-228600" algn="just" defTabSz="914400" eaLnBrk="1" fontAlgn="auto" latinLnBrk="0" hangingPunct="1">
            <a:lnSpc>
              <a:spcPct val="100000"/>
            </a:lnSpc>
            <a:spcBef>
              <a:spcPts val="0"/>
            </a:spcBef>
            <a:spcAft>
              <a:spcPts val="200"/>
            </a:spcAft>
            <a:buClrTx/>
            <a:buSzTx/>
            <a:buFont typeface="+mj-lt"/>
            <a:buAutoNum type="arabicParenR"/>
            <a:tabLst/>
            <a:defRPr/>
          </a:pPr>
          <a:r>
            <a:rPr lang="pt-BR" sz="900">
              <a:solidFill>
                <a:schemeClr val="bg2">
                  <a:lumMod val="50000"/>
                </a:schemeClr>
              </a:solidFill>
              <a:effectLst/>
              <a:latin typeface="Times New Roman" panose="02020603050405020304" pitchFamily="18" charset="0"/>
              <a:ea typeface="+mn-ea"/>
              <a:cs typeface="Times New Roman" panose="02020603050405020304" pitchFamily="18" charset="0"/>
            </a:rPr>
            <a:t>Para estudo de sombreamento e irradiação será utilizado software específico para maior assertividade;</a:t>
          </a:r>
        </a:p>
        <a:p>
          <a:pPr marL="685800" marR="0" lvl="1" indent="-228600" algn="just" defTabSz="914400" eaLnBrk="1" fontAlgn="auto" latinLnBrk="0" hangingPunct="1">
            <a:lnSpc>
              <a:spcPct val="100000"/>
            </a:lnSpc>
            <a:spcBef>
              <a:spcPts val="0"/>
            </a:spcBef>
            <a:spcAft>
              <a:spcPts val="200"/>
            </a:spcAft>
            <a:buClrTx/>
            <a:buSzTx/>
            <a:buFont typeface="+mj-lt"/>
            <a:buAutoNum type="arabicParenR"/>
            <a:tabLst/>
            <a:defRPr/>
          </a:pPr>
          <a:r>
            <a:rPr lang="pt-BR" sz="900">
              <a:solidFill>
                <a:schemeClr val="bg2">
                  <a:lumMod val="50000"/>
                </a:schemeClr>
              </a:solidFill>
              <a:effectLst/>
              <a:latin typeface="Times New Roman" panose="02020603050405020304" pitchFamily="18" charset="0"/>
              <a:ea typeface="+mn-ea"/>
              <a:cs typeface="Times New Roman" panose="02020603050405020304" pitchFamily="18" charset="0"/>
            </a:rPr>
            <a:t>A geração prevista foi baseada em histórico de irradiância para o local onde será instalada a usina e poderá apresentar divergências para períodos climáticos atípicos.</a:t>
          </a:r>
        </a:p>
        <a:p>
          <a:pPr marL="685800" marR="0" lvl="1" indent="-228600" algn="just" defTabSz="914400" eaLnBrk="1" fontAlgn="auto" latinLnBrk="0" hangingPunct="1">
            <a:lnSpc>
              <a:spcPct val="100000"/>
            </a:lnSpc>
            <a:spcBef>
              <a:spcPts val="0"/>
            </a:spcBef>
            <a:spcAft>
              <a:spcPts val="200"/>
            </a:spcAft>
            <a:buClrTx/>
            <a:buSzTx/>
            <a:buFont typeface="+mj-lt"/>
            <a:buAutoNum type="arabicParenR"/>
            <a:tabLst/>
            <a:defRPr/>
          </a:pPr>
          <a:r>
            <a:rPr lang="pt-BR" sz="900">
              <a:solidFill>
                <a:schemeClr val="bg2">
                  <a:lumMod val="50000"/>
                </a:schemeClr>
              </a:solidFill>
              <a:effectLst/>
              <a:latin typeface="Times New Roman" panose="02020603050405020304" pitchFamily="18" charset="0"/>
              <a:ea typeface="+mn-ea"/>
              <a:cs typeface="Times New Roman" panose="02020603050405020304" pitchFamily="18" charset="0"/>
            </a:rPr>
            <a:t>Todos os cuidados foram tomados e cálculos realizados para se obter a maior taxa de assertividade dos valores. </a:t>
          </a:r>
        </a:p>
        <a:p>
          <a:pPr marL="0" marR="0" lvl="0" indent="288000" algn="just" defTabSz="914400" eaLnBrk="1" fontAlgn="auto" latinLnBrk="0" hangingPunct="1">
            <a:lnSpc>
              <a:spcPct val="100000"/>
            </a:lnSpc>
            <a:spcBef>
              <a:spcPts val="0"/>
            </a:spcBef>
            <a:spcAft>
              <a:spcPts val="200"/>
            </a:spcAft>
            <a:buClrTx/>
            <a:buSzTx/>
            <a:buFont typeface="Arial" panose="020B0604020202020204" pitchFamily="34" charset="0"/>
            <a:buNone/>
            <a:tabLst/>
            <a:defRPr/>
          </a:pPr>
          <a:r>
            <a:rPr lang="pt-BR" sz="900" b="0">
              <a:solidFill>
                <a:srgbClr val="C00000"/>
              </a:solidFill>
              <a:effectLst/>
              <a:latin typeface="+mn-lt"/>
              <a:ea typeface="+mn-ea"/>
              <a:cs typeface="+mn-cs"/>
            </a:rPr>
            <a:t>*Informações baseadas em análise preliminar podendo sofrer alteração após a visita técnica, onde serão analisados área útil, sombreamento e outros fatores que possam impactar na geração do sistema.</a:t>
          </a:r>
          <a:endParaRPr lang="pt-BR" sz="900">
            <a:solidFill>
              <a:srgbClr val="C00000"/>
            </a:solidFill>
            <a:effectLst/>
          </a:endParaRPr>
        </a:p>
        <a:p>
          <a:pPr marL="0" marR="0" lvl="0" indent="288000" algn="just" defTabSz="914400" eaLnBrk="1" fontAlgn="auto" latinLnBrk="0" hangingPunct="1">
            <a:lnSpc>
              <a:spcPct val="100000"/>
            </a:lnSpc>
            <a:spcBef>
              <a:spcPts val="0"/>
            </a:spcBef>
            <a:spcAft>
              <a:spcPts val="200"/>
            </a:spcAft>
            <a:buClrTx/>
            <a:buSzTx/>
            <a:buFont typeface="Arial" panose="020B0604020202020204" pitchFamily="34" charset="0"/>
            <a:buNone/>
            <a:tabLst/>
            <a:defRPr/>
          </a:pPr>
          <a:endParaRPr lang="pt-BR" sz="900">
            <a:solidFill>
              <a:schemeClr val="bg2">
                <a:lumMod val="50000"/>
              </a:schemeClr>
            </a:solidFill>
            <a:effectLst/>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0</xdr:col>
      <xdr:colOff>0</xdr:colOff>
      <xdr:row>346</xdr:row>
      <xdr:rowOff>67843</xdr:rowOff>
    </xdr:from>
    <xdr:to>
      <xdr:col>28</xdr:col>
      <xdr:colOff>285862</xdr:colOff>
      <xdr:row>357</xdr:row>
      <xdr:rowOff>70757</xdr:rowOff>
    </xdr:to>
    <xdr:sp macro="" textlink="">
      <xdr:nvSpPr>
        <xdr:cNvPr id="35" name="CaixaDeTexto 122">
          <a:extLst>
            <a:ext uri="{FF2B5EF4-FFF2-40B4-BE49-F238E27FC236}">
              <a16:creationId xmlns:a16="http://schemas.microsoft.com/office/drawing/2014/main" id="{00000000-0008-0000-0F00-000023000000}"/>
            </a:ext>
          </a:extLst>
        </xdr:cNvPr>
        <xdr:cNvSpPr txBox="1"/>
      </xdr:nvSpPr>
      <xdr:spPr>
        <a:xfrm>
          <a:off x="0" y="66568672"/>
          <a:ext cx="6866276" cy="2163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144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900">
              <a:solidFill>
                <a:schemeClr val="bg2">
                  <a:lumMod val="50000"/>
                </a:schemeClr>
              </a:solidFill>
              <a:effectLst/>
              <a:latin typeface="Times New Roman" panose="02020603050405020304" pitchFamily="18" charset="0"/>
              <a:ea typeface="+mn-ea"/>
              <a:cs typeface="Times New Roman" panose="02020603050405020304" pitchFamily="18" charset="0"/>
            </a:rPr>
            <a:t>¹ Por se tratar de uma proposta inicial, não especificamos os modelos de equipamentos nesta etapa. Serão descriminados após a visita técnica onde será coletado informações importantes para essa definição como área disponível e local de alocação. Trabalhamos com as melhores marcas de inversor/microinversor e módulos do mercado como: Solis, Sungrow, Hoymiles, NEP, Enphase, SolarEdge, Astronergy,</a:t>
          </a:r>
          <a:r>
            <a:rPr lang="pt-BR" sz="900" baseline="0">
              <a:solidFill>
                <a:schemeClr val="bg2">
                  <a:lumMod val="50000"/>
                </a:schemeClr>
              </a:solidFill>
              <a:effectLst/>
              <a:latin typeface="Times New Roman" panose="02020603050405020304" pitchFamily="18" charset="0"/>
              <a:ea typeface="+mn-ea"/>
              <a:cs typeface="Times New Roman" panose="02020603050405020304" pitchFamily="18" charset="0"/>
            </a:rPr>
            <a:t> DAH, Longi, Osda, Trina entre outras.</a:t>
          </a:r>
        </a:p>
        <a:p>
          <a:pPr marL="0" marR="0" lvl="0" indent="144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900" baseline="0">
              <a:solidFill>
                <a:schemeClr val="bg2">
                  <a:lumMod val="50000"/>
                </a:schemeClr>
              </a:solidFill>
              <a:effectLst/>
              <a:latin typeface="Times New Roman" panose="02020603050405020304" pitchFamily="18" charset="0"/>
              <a:ea typeface="+mn-ea"/>
              <a:cs typeface="Times New Roman" panose="02020603050405020304" pitchFamily="18" charset="0"/>
            </a:rPr>
            <a:t>² Os cabos, nessa proposta inicial estão cotados para uma distância máxima de 10m do sistema ao ponto de conexão.</a:t>
          </a:r>
        </a:p>
        <a:p>
          <a:pPr marL="0" marR="0" lvl="0" indent="144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900" baseline="30000">
              <a:solidFill>
                <a:schemeClr val="bg2">
                  <a:lumMod val="50000"/>
                </a:schemeClr>
              </a:solidFill>
              <a:effectLst/>
              <a:latin typeface="Times New Roman" panose="02020603050405020304" pitchFamily="18" charset="0"/>
              <a:ea typeface="+mn-ea"/>
              <a:cs typeface="Times New Roman" panose="02020603050405020304" pitchFamily="18" charset="0"/>
            </a:rPr>
            <a:t>3</a:t>
          </a:r>
          <a:r>
            <a:rPr lang="pt-BR" sz="900" baseline="0">
              <a:solidFill>
                <a:schemeClr val="bg2">
                  <a:lumMod val="50000"/>
                </a:schemeClr>
              </a:solidFill>
              <a:effectLst/>
              <a:latin typeface="Times New Roman" panose="02020603050405020304" pitchFamily="18" charset="0"/>
              <a:ea typeface="+mn-ea"/>
              <a:cs typeface="Times New Roman" panose="02020603050405020304" pitchFamily="18" charset="0"/>
            </a:rPr>
            <a:t> Foi considerado para essa proposta telhado cerâmico, fibrocimento ou metálico. Estruturas de laje, solo e outros, acarretam alteração de valor. </a:t>
          </a:r>
        </a:p>
        <a:p>
          <a:pPr indent="144000" eaLnBrk="1" fontAlgn="auto" latinLnBrk="0" hangingPunct="1"/>
          <a:r>
            <a:rPr lang="pt-BR" sz="900" b="0" i="0">
              <a:solidFill>
                <a:schemeClr val="bg2">
                  <a:lumMod val="50000"/>
                </a:schemeClr>
              </a:solidFill>
              <a:effectLst/>
              <a:latin typeface="Times New Roman" panose="02020603050405020304" pitchFamily="18" charset="0"/>
              <a:ea typeface="+mn-ea"/>
              <a:cs typeface="Times New Roman" panose="02020603050405020304" pitchFamily="18" charset="0"/>
            </a:rPr>
            <a:t>⁴</a:t>
          </a:r>
          <a:r>
            <a:rPr lang="pt-BR" sz="1100" baseline="0">
              <a:solidFill>
                <a:schemeClr val="bg2">
                  <a:lumMod val="50000"/>
                </a:schemeClr>
              </a:solidFill>
              <a:effectLst/>
              <a:latin typeface="+mn-lt"/>
              <a:ea typeface="+mn-ea"/>
              <a:cs typeface="+mn-cs"/>
            </a:rPr>
            <a:t> </a:t>
          </a:r>
          <a:r>
            <a:rPr lang="pt-BR" sz="900" baseline="0">
              <a:solidFill>
                <a:schemeClr val="bg2">
                  <a:lumMod val="50000"/>
                </a:schemeClr>
              </a:solidFill>
              <a:effectLst/>
              <a:latin typeface="Times New Roman" panose="02020603050405020304" pitchFamily="18" charset="0"/>
              <a:ea typeface="+mn-ea"/>
              <a:cs typeface="Times New Roman" panose="02020603050405020304" pitchFamily="18" charset="0"/>
            </a:rPr>
            <a:t>Cobertura a danos de força maior (incêndio, raio, vendaval), roubo/furto, danos elétricos e tempo sem geração. Valor: 0,99%/ano (opcional).</a:t>
          </a:r>
        </a:p>
        <a:p>
          <a:pPr indent="144000"/>
          <a:r>
            <a:rPr lang="pt-BR" sz="900" baseline="0">
              <a:solidFill>
                <a:schemeClr val="bg2">
                  <a:lumMod val="50000"/>
                </a:schemeClr>
              </a:solidFill>
              <a:effectLst/>
              <a:latin typeface="Times New Roman" panose="02020603050405020304" pitchFamily="18" charset="0"/>
              <a:ea typeface="+mn-ea"/>
              <a:cs typeface="Times New Roman" panose="02020603050405020304" pitchFamily="18" charset="0"/>
            </a:rPr>
            <a:t>³ A plataforma SolarZ simplifica as informações de geração e consumo, gerando relatórios explicativos que facilitam a compreensão.</a:t>
          </a:r>
        </a:p>
      </xdr:txBody>
    </xdr:sp>
    <xdr:clientData/>
  </xdr:twoCellAnchor>
  <mc:AlternateContent xmlns:mc="http://schemas.openxmlformats.org/markup-compatibility/2006">
    <mc:Choice xmlns:a14="http://schemas.microsoft.com/office/drawing/2010/main" Requires="a14">
      <xdr:twoCellAnchor editAs="oneCell">
        <xdr:from>
          <xdr:col>36</xdr:col>
          <xdr:colOff>190500</xdr:colOff>
          <xdr:row>5</xdr:row>
          <xdr:rowOff>9525</xdr:rowOff>
        </xdr:from>
        <xdr:to>
          <xdr:col>36</xdr:col>
          <xdr:colOff>552450</xdr:colOff>
          <xdr:row>7</xdr:row>
          <xdr:rowOff>19050</xdr:rowOff>
        </xdr:to>
        <xdr:sp macro="" textlink="">
          <xdr:nvSpPr>
            <xdr:cNvPr id="270580" name="Spinner 244" hidden="1">
              <a:extLst>
                <a:ext uri="{63B3BB69-23CF-44E3-9099-C40C66FF867C}">
                  <a14:compatExt spid="_x0000_s270580"/>
                </a:ext>
                <a:ext uri="{FF2B5EF4-FFF2-40B4-BE49-F238E27FC236}">
                  <a16:creationId xmlns:a16="http://schemas.microsoft.com/office/drawing/2014/main" id="{00000000-0008-0000-0F00-0000F42004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xdr:twoCellAnchor editAs="oneCell">
    <xdr:from>
      <xdr:col>0</xdr:col>
      <xdr:colOff>0</xdr:colOff>
      <xdr:row>0</xdr:row>
      <xdr:rowOff>1</xdr:rowOff>
    </xdr:from>
    <xdr:to>
      <xdr:col>3</xdr:col>
      <xdr:colOff>135928</xdr:colOff>
      <xdr:row>1</xdr:row>
      <xdr:rowOff>135032</xdr:rowOff>
    </xdr:to>
    <xdr:sp macro="" textlink="">
      <xdr:nvSpPr>
        <xdr:cNvPr id="17" name="Seta: para a Direita 16">
          <a:hlinkClick xmlns:r="http://schemas.openxmlformats.org/officeDocument/2006/relationships" r:id="rId22"/>
          <a:extLst>
            <a:ext uri="{FF2B5EF4-FFF2-40B4-BE49-F238E27FC236}">
              <a16:creationId xmlns:a16="http://schemas.microsoft.com/office/drawing/2014/main" id="{00000000-0008-0000-0F00-000011000000}"/>
            </a:ext>
          </a:extLst>
        </xdr:cNvPr>
        <xdr:cNvSpPr/>
      </xdr:nvSpPr>
      <xdr:spPr>
        <a:xfrm flipH="1">
          <a:off x="0" y="1"/>
          <a:ext cx="1038114" cy="306705"/>
        </a:xfrm>
        <a:prstGeom prst="rightArrow">
          <a:avLst>
            <a:gd name="adj1" fmla="val 63784"/>
            <a:gd name="adj2" fmla="val 50000"/>
          </a:avLst>
        </a:prstGeom>
        <a:solidFill>
          <a:schemeClr val="accent6">
            <a:lumMod val="60000"/>
            <a:lumOff val="40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200" b="1">
              <a:solidFill>
                <a:sysClr val="windowText" lastClr="000000"/>
              </a:solidFill>
            </a:rPr>
            <a:t>Orçamento</a:t>
          </a:r>
        </a:p>
      </xdr:txBody>
    </xdr:sp>
    <xdr:clientData fPrintsWithSheet="0"/>
  </xdr:twoCellAnchor>
  <xdr:twoCellAnchor editAs="oneCell">
    <xdr:from>
      <xdr:col>0</xdr:col>
      <xdr:colOff>0</xdr:colOff>
      <xdr:row>2</xdr:row>
      <xdr:rowOff>168089</xdr:rowOff>
    </xdr:from>
    <xdr:to>
      <xdr:col>3</xdr:col>
      <xdr:colOff>132118</xdr:colOff>
      <xdr:row>4</xdr:row>
      <xdr:rowOff>129541</xdr:rowOff>
    </xdr:to>
    <xdr:sp macro="" textlink="">
      <xdr:nvSpPr>
        <xdr:cNvPr id="39" name="Seta: para a Direita 38">
          <a:hlinkClick xmlns:r="http://schemas.openxmlformats.org/officeDocument/2006/relationships" r:id="rId23"/>
          <a:extLst>
            <a:ext uri="{FF2B5EF4-FFF2-40B4-BE49-F238E27FC236}">
              <a16:creationId xmlns:a16="http://schemas.microsoft.com/office/drawing/2014/main" id="{00000000-0008-0000-0F00-000027000000}"/>
            </a:ext>
          </a:extLst>
        </xdr:cNvPr>
        <xdr:cNvSpPr/>
      </xdr:nvSpPr>
      <xdr:spPr>
        <a:xfrm flipH="1">
          <a:off x="0" y="526677"/>
          <a:ext cx="1034304" cy="310515"/>
        </a:xfrm>
        <a:prstGeom prst="rightArrow">
          <a:avLst>
            <a:gd name="adj1" fmla="val 63784"/>
            <a:gd name="adj2" fmla="val 50000"/>
          </a:avLst>
        </a:prstGeom>
        <a:solidFill>
          <a:schemeClr val="bg1">
            <a:lumMod val="75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200" b="1">
              <a:solidFill>
                <a:sysClr val="windowText" lastClr="000000"/>
              </a:solidFill>
            </a:rPr>
            <a:t>Prospectos</a:t>
          </a:r>
        </a:p>
      </xdr:txBody>
    </xdr:sp>
    <xdr:clientData fPrintsWithSheet="0"/>
  </xdr:twoCellAnchor>
  <xdr:twoCellAnchor>
    <xdr:from>
      <xdr:col>52</xdr:col>
      <xdr:colOff>178398</xdr:colOff>
      <xdr:row>448</xdr:row>
      <xdr:rowOff>68401</xdr:rowOff>
    </xdr:from>
    <xdr:to>
      <xdr:col>54</xdr:col>
      <xdr:colOff>1342</xdr:colOff>
      <xdr:row>450</xdr:row>
      <xdr:rowOff>143948</xdr:rowOff>
    </xdr:to>
    <xdr:sp macro="" textlink="">
      <xdr:nvSpPr>
        <xdr:cNvPr id="105" name="Retângulo 104">
          <a:extLst>
            <a:ext uri="{FF2B5EF4-FFF2-40B4-BE49-F238E27FC236}">
              <a16:creationId xmlns:a16="http://schemas.microsoft.com/office/drawing/2014/main" id="{00000000-0008-0000-0F00-000069000000}"/>
            </a:ext>
          </a:extLst>
        </xdr:cNvPr>
        <xdr:cNvSpPr/>
      </xdr:nvSpPr>
      <xdr:spPr>
        <a:xfrm>
          <a:off x="19172369" y="75450372"/>
          <a:ext cx="1010767" cy="43413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rPr>
            <a:t>Apenas:</a:t>
          </a:r>
        </a:p>
      </xdr:txBody>
    </xdr:sp>
    <xdr:clientData/>
  </xdr:twoCellAnchor>
  <xdr:twoCellAnchor>
    <xdr:from>
      <xdr:col>52</xdr:col>
      <xdr:colOff>478275</xdr:colOff>
      <xdr:row>452</xdr:row>
      <xdr:rowOff>79330</xdr:rowOff>
    </xdr:from>
    <xdr:to>
      <xdr:col>55</xdr:col>
      <xdr:colOff>47365</xdr:colOff>
      <xdr:row>455</xdr:row>
      <xdr:rowOff>37361</xdr:rowOff>
    </xdr:to>
    <xdr:sp macro="" textlink="Resumo!$I$347">
      <xdr:nvSpPr>
        <xdr:cNvPr id="108" name="Retângulo 107">
          <a:extLst>
            <a:ext uri="{FF2B5EF4-FFF2-40B4-BE49-F238E27FC236}">
              <a16:creationId xmlns:a16="http://schemas.microsoft.com/office/drawing/2014/main" id="{00000000-0008-0000-0F00-00006C000000}"/>
            </a:ext>
          </a:extLst>
        </xdr:cNvPr>
        <xdr:cNvSpPr/>
      </xdr:nvSpPr>
      <xdr:spPr>
        <a:xfrm>
          <a:off x="19472246" y="76189683"/>
          <a:ext cx="1350825" cy="54073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18E5CD8-14A9-4C22-B5BC-DD1D9BD3AF38}" type="TxLink">
            <a:rPr lang="en-US" sz="1200" b="1" i="0"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rPr>
            <a:pPr marL="0" indent="0" algn="ctr"/>
            <a:t> R$29.300,00 </a:t>
          </a:fld>
          <a:endParaRPr lang="pt-BR" sz="1200" b="1" i="0"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51</xdr:col>
      <xdr:colOff>588700</xdr:colOff>
      <xdr:row>449</xdr:row>
      <xdr:rowOff>150504</xdr:rowOff>
    </xdr:from>
    <xdr:to>
      <xdr:col>53</xdr:col>
      <xdr:colOff>269784</xdr:colOff>
      <xdr:row>452</xdr:row>
      <xdr:rowOff>108835</xdr:rowOff>
    </xdr:to>
    <xdr:sp macro="" textlink="">
      <xdr:nvSpPr>
        <xdr:cNvPr id="104" name="Retângulo 103">
          <a:extLst>
            <a:ext uri="{FF2B5EF4-FFF2-40B4-BE49-F238E27FC236}">
              <a16:creationId xmlns:a16="http://schemas.microsoft.com/office/drawing/2014/main" id="{00000000-0008-0000-0F00-000068000000}"/>
            </a:ext>
          </a:extLst>
        </xdr:cNvPr>
        <xdr:cNvSpPr/>
      </xdr:nvSpPr>
      <xdr:spPr>
        <a:xfrm>
          <a:off x="18988759" y="75711769"/>
          <a:ext cx="868907" cy="50741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rPr>
            <a:t>18x</a:t>
          </a:r>
        </a:p>
      </xdr:txBody>
    </xdr:sp>
    <xdr:clientData/>
  </xdr:twoCellAnchor>
  <xdr:twoCellAnchor>
    <xdr:from>
      <xdr:col>52</xdr:col>
      <xdr:colOff>539786</xdr:colOff>
      <xdr:row>449</xdr:row>
      <xdr:rowOff>139877</xdr:rowOff>
    </xdr:from>
    <xdr:to>
      <xdr:col>55</xdr:col>
      <xdr:colOff>269948</xdr:colOff>
      <xdr:row>452</xdr:row>
      <xdr:rowOff>97632</xdr:rowOff>
    </xdr:to>
    <xdr:sp macro="" textlink="Resumo!$H$347">
      <xdr:nvSpPr>
        <xdr:cNvPr id="109" name="Retângulo 108">
          <a:extLst>
            <a:ext uri="{FF2B5EF4-FFF2-40B4-BE49-F238E27FC236}">
              <a16:creationId xmlns:a16="http://schemas.microsoft.com/office/drawing/2014/main" id="{00000000-0008-0000-0F00-00006D000000}"/>
            </a:ext>
          </a:extLst>
        </xdr:cNvPr>
        <xdr:cNvSpPr/>
      </xdr:nvSpPr>
      <xdr:spPr>
        <a:xfrm>
          <a:off x="19533757" y="75701142"/>
          <a:ext cx="1511897" cy="5068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indent="0" algn="ctr"/>
          <a:fld id="{16CCF072-F412-480C-A6EE-DC0A3FD9C3D0}" type="TxLink">
            <a:rPr lang="en-US" sz="2000" b="1" i="0"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rPr>
            <a:pPr marL="0" indent="0" algn="ctr"/>
            <a:t> R$1.627,78 </a:t>
          </a:fld>
          <a:endParaRPr lang="pt-BR" sz="2000" b="1" i="0"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52</xdr:col>
      <xdr:colOff>258887</xdr:colOff>
      <xdr:row>451</xdr:row>
      <xdr:rowOff>105835</xdr:rowOff>
    </xdr:from>
    <xdr:to>
      <xdr:col>54</xdr:col>
      <xdr:colOff>33247</xdr:colOff>
      <xdr:row>453</xdr:row>
      <xdr:rowOff>115946</xdr:rowOff>
    </xdr:to>
    <xdr:sp macro="" textlink="">
      <xdr:nvSpPr>
        <xdr:cNvPr id="110" name="Retângulo 109">
          <a:extLst>
            <a:ext uri="{FF2B5EF4-FFF2-40B4-BE49-F238E27FC236}">
              <a16:creationId xmlns:a16="http://schemas.microsoft.com/office/drawing/2014/main" id="{00000000-0008-0000-0F00-00006E000000}"/>
            </a:ext>
          </a:extLst>
        </xdr:cNvPr>
        <xdr:cNvSpPr/>
      </xdr:nvSpPr>
      <xdr:spPr>
        <a:xfrm>
          <a:off x="19252858" y="76025688"/>
          <a:ext cx="962183" cy="39111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rPr>
            <a:t>ou à vista:</a:t>
          </a:r>
        </a:p>
      </xdr:txBody>
    </xdr:sp>
    <xdr:clientData/>
  </xdr:twoCellAnchor>
  <xdr:twoCellAnchor>
    <xdr:from>
      <xdr:col>56</xdr:col>
      <xdr:colOff>119454</xdr:colOff>
      <xdr:row>448</xdr:row>
      <xdr:rowOff>74116</xdr:rowOff>
    </xdr:from>
    <xdr:to>
      <xdr:col>57</xdr:col>
      <xdr:colOff>527700</xdr:colOff>
      <xdr:row>450</xdr:row>
      <xdr:rowOff>143481</xdr:rowOff>
    </xdr:to>
    <xdr:sp macro="" textlink="">
      <xdr:nvSpPr>
        <xdr:cNvPr id="124" name="Retângulo 123">
          <a:extLst>
            <a:ext uri="{FF2B5EF4-FFF2-40B4-BE49-F238E27FC236}">
              <a16:creationId xmlns:a16="http://schemas.microsoft.com/office/drawing/2014/main" id="{00000000-0008-0000-0F00-00007C000000}"/>
            </a:ext>
          </a:extLst>
        </xdr:cNvPr>
        <xdr:cNvSpPr/>
      </xdr:nvSpPr>
      <xdr:spPr>
        <a:xfrm>
          <a:off x="21489072" y="75456087"/>
          <a:ext cx="1002157" cy="42795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rPr>
            <a:t>Apenas:</a:t>
          </a:r>
        </a:p>
      </xdr:txBody>
    </xdr:sp>
    <xdr:clientData/>
  </xdr:twoCellAnchor>
  <xdr:twoCellAnchor>
    <xdr:from>
      <xdr:col>56</xdr:col>
      <xdr:colOff>418735</xdr:colOff>
      <xdr:row>452</xdr:row>
      <xdr:rowOff>76693</xdr:rowOff>
    </xdr:from>
    <xdr:to>
      <xdr:col>58</xdr:col>
      <xdr:colOff>582035</xdr:colOff>
      <xdr:row>455</xdr:row>
      <xdr:rowOff>37361</xdr:rowOff>
    </xdr:to>
    <xdr:sp macro="" textlink="Resumo!$I$353">
      <xdr:nvSpPr>
        <xdr:cNvPr id="125" name="Retângulo 124">
          <a:extLst>
            <a:ext uri="{FF2B5EF4-FFF2-40B4-BE49-F238E27FC236}">
              <a16:creationId xmlns:a16="http://schemas.microsoft.com/office/drawing/2014/main" id="{00000000-0008-0000-0F00-00007D000000}"/>
            </a:ext>
          </a:extLst>
        </xdr:cNvPr>
        <xdr:cNvSpPr/>
      </xdr:nvSpPr>
      <xdr:spPr>
        <a:xfrm>
          <a:off x="21788353" y="76187046"/>
          <a:ext cx="1351123" cy="54337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E08BE3B-D8F4-4A1E-85FE-4E191413F7F1}" type="TxLink">
            <a:rPr lang="en-US" sz="1200" b="1" i="0"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rPr>
            <a:pPr marL="0" indent="0" algn="ctr"/>
            <a:t> R$32.800,00 </a:t>
          </a:fld>
          <a:endParaRPr lang="pt-BR" sz="1200" b="1" i="0"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55</xdr:col>
      <xdr:colOff>502301</xdr:colOff>
      <xdr:row>449</xdr:row>
      <xdr:rowOff>154602</xdr:rowOff>
    </xdr:from>
    <xdr:to>
      <xdr:col>57</xdr:col>
      <xdr:colOff>216197</xdr:colOff>
      <xdr:row>452</xdr:row>
      <xdr:rowOff>112048</xdr:rowOff>
    </xdr:to>
    <xdr:sp macro="" textlink="">
      <xdr:nvSpPr>
        <xdr:cNvPr id="270528" name="Retângulo 270527">
          <a:extLst>
            <a:ext uri="{FF2B5EF4-FFF2-40B4-BE49-F238E27FC236}">
              <a16:creationId xmlns:a16="http://schemas.microsoft.com/office/drawing/2014/main" id="{00000000-0008-0000-0F00-0000C0200400}"/>
            </a:ext>
          </a:extLst>
        </xdr:cNvPr>
        <xdr:cNvSpPr/>
      </xdr:nvSpPr>
      <xdr:spPr>
        <a:xfrm>
          <a:off x="21278007" y="75715867"/>
          <a:ext cx="901719" cy="50653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rPr>
            <a:t>18x</a:t>
          </a:r>
        </a:p>
      </xdr:txBody>
    </xdr:sp>
    <xdr:clientData/>
  </xdr:twoCellAnchor>
  <xdr:twoCellAnchor>
    <xdr:from>
      <xdr:col>56</xdr:col>
      <xdr:colOff>450140</xdr:colOff>
      <xdr:row>449</xdr:row>
      <xdr:rowOff>141348</xdr:rowOff>
    </xdr:from>
    <xdr:to>
      <xdr:col>59</xdr:col>
      <xdr:colOff>212913</xdr:colOff>
      <xdr:row>452</xdr:row>
      <xdr:rowOff>96162</xdr:rowOff>
    </xdr:to>
    <xdr:sp macro="" textlink="Resumo!$G$353">
      <xdr:nvSpPr>
        <xdr:cNvPr id="270529" name="Retângulo 270528">
          <a:extLst>
            <a:ext uri="{FF2B5EF4-FFF2-40B4-BE49-F238E27FC236}">
              <a16:creationId xmlns:a16="http://schemas.microsoft.com/office/drawing/2014/main" id="{00000000-0008-0000-0F00-0000C1200400}"/>
            </a:ext>
          </a:extLst>
        </xdr:cNvPr>
        <xdr:cNvSpPr/>
      </xdr:nvSpPr>
      <xdr:spPr>
        <a:xfrm>
          <a:off x="21819758" y="75702613"/>
          <a:ext cx="1544508" cy="50390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indent="0" algn="ctr"/>
          <a:fld id="{99169B24-D24D-4544-9069-BB4E2D45A90A}" type="TxLink">
            <a:rPr lang="en-US" sz="2000" b="1" i="0"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rPr>
            <a:pPr marL="0" indent="0" algn="ctr"/>
            <a:t> R$1.823,11 </a:t>
          </a:fld>
          <a:endParaRPr lang="pt-BR" sz="2000" b="1" i="0"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56</xdr:col>
      <xdr:colOff>200270</xdr:colOff>
      <xdr:row>451</xdr:row>
      <xdr:rowOff>116250</xdr:rowOff>
    </xdr:from>
    <xdr:to>
      <xdr:col>57</xdr:col>
      <xdr:colOff>556935</xdr:colOff>
      <xdr:row>453</xdr:row>
      <xdr:rowOff>113225</xdr:rowOff>
    </xdr:to>
    <xdr:sp macro="" textlink="">
      <xdr:nvSpPr>
        <xdr:cNvPr id="127" name="Retângulo 126">
          <a:extLst>
            <a:ext uri="{FF2B5EF4-FFF2-40B4-BE49-F238E27FC236}">
              <a16:creationId xmlns:a16="http://schemas.microsoft.com/office/drawing/2014/main" id="{00000000-0008-0000-0F00-00007F000000}"/>
            </a:ext>
          </a:extLst>
        </xdr:cNvPr>
        <xdr:cNvSpPr/>
      </xdr:nvSpPr>
      <xdr:spPr>
        <a:xfrm>
          <a:off x="21569888" y="76036103"/>
          <a:ext cx="950576" cy="3779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rPr>
            <a:t>ou à vista:</a:t>
          </a:r>
        </a:p>
      </xdr:txBody>
    </xdr:sp>
    <xdr:clientData/>
  </xdr:twoCellAnchor>
  <xdr:twoCellAnchor>
    <xdr:from>
      <xdr:col>60</xdr:col>
      <xdr:colOff>84604</xdr:colOff>
      <xdr:row>448</xdr:row>
      <xdr:rowOff>74116</xdr:rowOff>
    </xdr:from>
    <xdr:to>
      <xdr:col>61</xdr:col>
      <xdr:colOff>497331</xdr:colOff>
      <xdr:row>450</xdr:row>
      <xdr:rowOff>143481</xdr:rowOff>
    </xdr:to>
    <xdr:sp macro="" textlink="">
      <xdr:nvSpPr>
        <xdr:cNvPr id="270531" name="Retângulo 270530">
          <a:extLst>
            <a:ext uri="{FF2B5EF4-FFF2-40B4-BE49-F238E27FC236}">
              <a16:creationId xmlns:a16="http://schemas.microsoft.com/office/drawing/2014/main" id="{00000000-0008-0000-0F00-0000C3200400}"/>
            </a:ext>
          </a:extLst>
        </xdr:cNvPr>
        <xdr:cNvSpPr/>
      </xdr:nvSpPr>
      <xdr:spPr>
        <a:xfrm>
          <a:off x="23829869" y="75456087"/>
          <a:ext cx="1006638" cy="42795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rPr>
            <a:t>Apenas:</a:t>
          </a:r>
        </a:p>
      </xdr:txBody>
    </xdr:sp>
    <xdr:clientData/>
  </xdr:twoCellAnchor>
  <xdr:twoCellAnchor>
    <xdr:from>
      <xdr:col>60</xdr:col>
      <xdr:colOff>371446</xdr:colOff>
      <xdr:row>452</xdr:row>
      <xdr:rowOff>76693</xdr:rowOff>
    </xdr:from>
    <xdr:to>
      <xdr:col>62</xdr:col>
      <xdr:colOff>546176</xdr:colOff>
      <xdr:row>455</xdr:row>
      <xdr:rowOff>37361</xdr:rowOff>
    </xdr:to>
    <xdr:sp macro="" textlink="Resumo!$I$354">
      <xdr:nvSpPr>
        <xdr:cNvPr id="270532" name="Retângulo 270531">
          <a:extLst>
            <a:ext uri="{FF2B5EF4-FFF2-40B4-BE49-F238E27FC236}">
              <a16:creationId xmlns:a16="http://schemas.microsoft.com/office/drawing/2014/main" id="{00000000-0008-0000-0F00-0000C4200400}"/>
            </a:ext>
          </a:extLst>
        </xdr:cNvPr>
        <xdr:cNvSpPr/>
      </xdr:nvSpPr>
      <xdr:spPr>
        <a:xfrm>
          <a:off x="24116711" y="76187046"/>
          <a:ext cx="1362553" cy="54337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E18666D-8E7F-416C-8C02-4E563167812B}" type="TxLink">
            <a:rPr lang="en-US" sz="1200" b="1" i="0"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rPr>
            <a:pPr marL="0" indent="0" algn="ctr"/>
            <a:t> R$48.300,00 </a:t>
          </a:fld>
          <a:endParaRPr lang="pt-BR" sz="1200" b="1" i="0"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59</xdr:col>
      <xdr:colOff>473166</xdr:colOff>
      <xdr:row>449</xdr:row>
      <xdr:rowOff>154644</xdr:rowOff>
    </xdr:from>
    <xdr:to>
      <xdr:col>61</xdr:col>
      <xdr:colOff>178420</xdr:colOff>
      <xdr:row>452</xdr:row>
      <xdr:rowOff>106304</xdr:rowOff>
    </xdr:to>
    <xdr:sp macro="" textlink="">
      <xdr:nvSpPr>
        <xdr:cNvPr id="270535" name="Retângulo 270534">
          <a:extLst>
            <a:ext uri="{FF2B5EF4-FFF2-40B4-BE49-F238E27FC236}">
              <a16:creationId xmlns:a16="http://schemas.microsoft.com/office/drawing/2014/main" id="{00000000-0008-0000-0F00-0000C7200400}"/>
            </a:ext>
          </a:extLst>
        </xdr:cNvPr>
        <xdr:cNvSpPr/>
      </xdr:nvSpPr>
      <xdr:spPr>
        <a:xfrm>
          <a:off x="23624519" y="75715909"/>
          <a:ext cx="893077" cy="50074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rPr>
            <a:t>18x</a:t>
          </a:r>
        </a:p>
      </xdr:txBody>
    </xdr:sp>
    <xdr:clientData/>
  </xdr:twoCellAnchor>
  <xdr:twoCellAnchor>
    <xdr:from>
      <xdr:col>60</xdr:col>
      <xdr:colOff>154887</xdr:colOff>
      <xdr:row>451</xdr:row>
      <xdr:rowOff>116250</xdr:rowOff>
    </xdr:from>
    <xdr:to>
      <xdr:col>61</xdr:col>
      <xdr:colOff>526566</xdr:colOff>
      <xdr:row>453</xdr:row>
      <xdr:rowOff>113225</xdr:rowOff>
    </xdr:to>
    <xdr:sp macro="" textlink="">
      <xdr:nvSpPr>
        <xdr:cNvPr id="270534" name="Retângulo 270533">
          <a:extLst>
            <a:ext uri="{FF2B5EF4-FFF2-40B4-BE49-F238E27FC236}">
              <a16:creationId xmlns:a16="http://schemas.microsoft.com/office/drawing/2014/main" id="{00000000-0008-0000-0F00-0000C6200400}"/>
            </a:ext>
          </a:extLst>
        </xdr:cNvPr>
        <xdr:cNvSpPr/>
      </xdr:nvSpPr>
      <xdr:spPr>
        <a:xfrm>
          <a:off x="23900152" y="76036103"/>
          <a:ext cx="965590" cy="3779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rPr>
            <a:t>ou à vista:</a:t>
          </a:r>
        </a:p>
      </xdr:txBody>
    </xdr:sp>
    <xdr:clientData/>
  </xdr:twoCellAnchor>
  <xdr:twoCellAnchor>
    <xdr:from>
      <xdr:col>0</xdr:col>
      <xdr:colOff>336176</xdr:colOff>
      <xdr:row>486</xdr:row>
      <xdr:rowOff>11207</xdr:rowOff>
    </xdr:from>
    <xdr:to>
      <xdr:col>28</xdr:col>
      <xdr:colOff>402577</xdr:colOff>
      <xdr:row>509</xdr:row>
      <xdr:rowOff>171293</xdr:rowOff>
    </xdr:to>
    <xdr:graphicFrame macro="">
      <xdr:nvGraphicFramePr>
        <xdr:cNvPr id="270537" name="Gráfico 270536">
          <a:extLst>
            <a:ext uri="{FF2B5EF4-FFF2-40B4-BE49-F238E27FC236}">
              <a16:creationId xmlns:a16="http://schemas.microsoft.com/office/drawing/2014/main" id="{00000000-0008-0000-0F00-0000C920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259778</xdr:colOff>
      <xdr:row>108</xdr:row>
      <xdr:rowOff>57822</xdr:rowOff>
    </xdr:from>
    <xdr:to>
      <xdr:col>16</xdr:col>
      <xdr:colOff>97405</xdr:colOff>
      <xdr:row>117</xdr:row>
      <xdr:rowOff>168088</xdr:rowOff>
    </xdr:to>
    <xdr:grpSp>
      <xdr:nvGrpSpPr>
        <xdr:cNvPr id="102" name="Agrupar 101">
          <a:extLst>
            <a:ext uri="{FF2B5EF4-FFF2-40B4-BE49-F238E27FC236}">
              <a16:creationId xmlns:a16="http://schemas.microsoft.com/office/drawing/2014/main" id="{00000000-0008-0000-0F00-000066000000}"/>
            </a:ext>
          </a:extLst>
        </xdr:cNvPr>
        <xdr:cNvGrpSpPr/>
      </xdr:nvGrpSpPr>
      <xdr:grpSpPr>
        <a:xfrm>
          <a:off x="259778" y="21162501"/>
          <a:ext cx="3729270" cy="1824766"/>
          <a:chOff x="0" y="20415100"/>
          <a:chExt cx="3827369" cy="1731533"/>
        </a:xfrm>
      </xdr:grpSpPr>
      <xdr:sp macro="" textlink="">
        <xdr:nvSpPr>
          <xdr:cNvPr id="27" name="CaixaDeTexto 26">
            <a:extLst>
              <a:ext uri="{FF2B5EF4-FFF2-40B4-BE49-F238E27FC236}">
                <a16:creationId xmlns:a16="http://schemas.microsoft.com/office/drawing/2014/main" id="{00000000-0008-0000-0F00-00001B000000}"/>
              </a:ext>
            </a:extLst>
          </xdr:cNvPr>
          <xdr:cNvSpPr txBox="1"/>
        </xdr:nvSpPr>
        <xdr:spPr>
          <a:xfrm>
            <a:off x="1136443" y="20415100"/>
            <a:ext cx="1661116" cy="371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400" b="1">
                <a:solidFill>
                  <a:schemeClr val="accent6">
                    <a:lumMod val="50000"/>
                  </a:schemeClr>
                </a:solidFill>
                <a:effectLst/>
                <a:latin typeface="Times New Roman" panose="02020603050405020304" pitchFamily="18" charset="0"/>
                <a:ea typeface="+mn-ea"/>
                <a:cs typeface="Times New Roman" panose="02020603050405020304" pitchFamily="18" charset="0"/>
              </a:rPr>
              <a:t>CONHECIMENTO</a:t>
            </a:r>
          </a:p>
        </xdr:txBody>
      </xdr:sp>
      <xdr:sp macro="" textlink="">
        <xdr:nvSpPr>
          <xdr:cNvPr id="33" name="CaixaDeTexto 32">
            <a:extLst>
              <a:ext uri="{FF2B5EF4-FFF2-40B4-BE49-F238E27FC236}">
                <a16:creationId xmlns:a16="http://schemas.microsoft.com/office/drawing/2014/main" id="{00000000-0008-0000-0F00-000021000000}"/>
              </a:ext>
            </a:extLst>
          </xdr:cNvPr>
          <xdr:cNvSpPr txBox="1"/>
        </xdr:nvSpPr>
        <xdr:spPr>
          <a:xfrm>
            <a:off x="0" y="20710040"/>
            <a:ext cx="3827369" cy="1436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a:solidFill>
                  <a:schemeClr val="dk1"/>
                </a:solidFill>
                <a:effectLst/>
                <a:latin typeface="Times New Roman" panose="02020603050405020304" pitchFamily="18" charset="0"/>
                <a:ea typeface="+mn-ea"/>
                <a:cs typeface="Times New Roman" panose="02020603050405020304" pitchFamily="18" charset="0"/>
              </a:rPr>
              <a:t>A </a:t>
            </a:r>
            <a:r>
              <a:rPr lang="pt-BR" sz="1100" b="1">
                <a:solidFill>
                  <a:schemeClr val="accent6">
                    <a:lumMod val="50000"/>
                  </a:schemeClr>
                </a:solidFill>
                <a:effectLst/>
                <a:latin typeface="Times New Roman" panose="02020603050405020304" pitchFamily="18" charset="0"/>
                <a:ea typeface="+mn-ea"/>
                <a:cs typeface="Times New Roman" panose="02020603050405020304" pitchFamily="18" charset="0"/>
              </a:rPr>
              <a:t>CACTOS</a:t>
            </a:r>
            <a:r>
              <a:rPr lang="pt-BR" sz="1100">
                <a:solidFill>
                  <a:schemeClr val="dk1"/>
                </a:solidFill>
                <a:effectLst/>
                <a:latin typeface="Times New Roman" panose="02020603050405020304" pitchFamily="18" charset="0"/>
                <a:ea typeface="+mn-ea"/>
                <a:cs typeface="Times New Roman" panose="02020603050405020304" pitchFamily="18" charset="0"/>
              </a:rPr>
              <a:t> possui</a:t>
            </a:r>
            <a:r>
              <a:rPr lang="pt-BR" sz="1100" baseline="0">
                <a:solidFill>
                  <a:schemeClr val="dk1"/>
                </a:solidFill>
                <a:effectLst/>
                <a:latin typeface="Times New Roman" panose="02020603050405020304" pitchFamily="18" charset="0"/>
                <a:ea typeface="+mn-ea"/>
                <a:cs typeface="Times New Roman" panose="02020603050405020304" pitchFamily="18" charset="0"/>
              </a:rPr>
              <a:t> mais de </a:t>
            </a:r>
            <a:r>
              <a:rPr lang="pt-BR" sz="1100" baseline="0">
                <a:solidFill>
                  <a:schemeClr val="accent6">
                    <a:lumMod val="50000"/>
                  </a:schemeClr>
                </a:solidFill>
                <a:effectLst/>
                <a:latin typeface="Times New Roman" panose="02020603050405020304" pitchFamily="18" charset="0"/>
                <a:ea typeface="+mn-ea"/>
                <a:cs typeface="Times New Roman" panose="02020603050405020304" pitchFamily="18" charset="0"/>
              </a:rPr>
              <a:t>7 anos </a:t>
            </a:r>
            <a:r>
              <a:rPr lang="pt-BR" sz="1100" baseline="0">
                <a:solidFill>
                  <a:schemeClr val="dk1"/>
                </a:solidFill>
                <a:effectLst/>
                <a:latin typeface="Times New Roman" panose="02020603050405020304" pitchFamily="18" charset="0"/>
                <a:ea typeface="+mn-ea"/>
                <a:cs typeface="Times New Roman" panose="02020603050405020304" pitchFamily="18" charset="0"/>
              </a:rPr>
              <a:t>de experiência com Energia Solar e está sempre se atualizando nesse mercado dinâmico, seja com treinamentos, consultorias, eventos, e utilizando os melhores programas existentes no mercado, para entregar o melhor que você pode ter!</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endParaRPr lang="pt-BR" sz="1100">
              <a:solidFill>
                <a:schemeClr val="dk1"/>
              </a:solidFill>
              <a:effectLst/>
              <a:latin typeface="Times New Roman" panose="02020603050405020304" pitchFamily="18" charset="0"/>
              <a:ea typeface="+mn-ea"/>
              <a:cs typeface="Times New Roman" panose="02020603050405020304" pitchFamily="18" charset="0"/>
            </a:endParaRPr>
          </a:p>
        </xdr:txBody>
      </xdr:sp>
    </xdr:grpSp>
    <xdr:clientData/>
  </xdr:twoCellAnchor>
  <xdr:twoCellAnchor>
    <xdr:from>
      <xdr:col>0</xdr:col>
      <xdr:colOff>248831</xdr:colOff>
      <xdr:row>120</xdr:row>
      <xdr:rowOff>108462</xdr:rowOff>
    </xdr:from>
    <xdr:to>
      <xdr:col>16</xdr:col>
      <xdr:colOff>115972</xdr:colOff>
      <xdr:row>130</xdr:row>
      <xdr:rowOff>151780</xdr:rowOff>
    </xdr:to>
    <xdr:grpSp>
      <xdr:nvGrpSpPr>
        <xdr:cNvPr id="101" name="Agrupar 100">
          <a:extLst>
            <a:ext uri="{FF2B5EF4-FFF2-40B4-BE49-F238E27FC236}">
              <a16:creationId xmlns:a16="http://schemas.microsoft.com/office/drawing/2014/main" id="{00000000-0008-0000-0F00-000065000000}"/>
            </a:ext>
          </a:extLst>
        </xdr:cNvPr>
        <xdr:cNvGrpSpPr/>
      </xdr:nvGrpSpPr>
      <xdr:grpSpPr>
        <a:xfrm>
          <a:off x="248831" y="23499141"/>
          <a:ext cx="3758784" cy="1948318"/>
          <a:chOff x="0" y="22245697"/>
          <a:chExt cx="3826403" cy="1826337"/>
        </a:xfrm>
      </xdr:grpSpPr>
      <xdr:sp macro="" textlink="">
        <xdr:nvSpPr>
          <xdr:cNvPr id="36" name="CaixaDeTexto 35">
            <a:extLst>
              <a:ext uri="{FF2B5EF4-FFF2-40B4-BE49-F238E27FC236}">
                <a16:creationId xmlns:a16="http://schemas.microsoft.com/office/drawing/2014/main" id="{00000000-0008-0000-0F00-000024000000}"/>
              </a:ext>
            </a:extLst>
          </xdr:cNvPr>
          <xdr:cNvSpPr txBox="1"/>
        </xdr:nvSpPr>
        <xdr:spPr>
          <a:xfrm>
            <a:off x="0" y="22525619"/>
            <a:ext cx="3826403" cy="1546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a:solidFill>
                  <a:schemeClr val="dk1"/>
                </a:solidFill>
                <a:effectLst/>
                <a:latin typeface="Times New Roman" panose="02020603050405020304" pitchFamily="18" charset="0"/>
                <a:ea typeface="+mn-ea"/>
                <a:cs typeface="Times New Roman" panose="02020603050405020304" pitchFamily="18" charset="0"/>
              </a:rPr>
              <a:t>Nossa</a:t>
            </a:r>
            <a:r>
              <a:rPr lang="pt-BR" sz="1100" baseline="0">
                <a:solidFill>
                  <a:schemeClr val="dk1"/>
                </a:solidFill>
                <a:effectLst/>
                <a:latin typeface="Times New Roman" panose="02020603050405020304" pitchFamily="18" charset="0"/>
                <a:ea typeface="+mn-ea"/>
                <a:cs typeface="Times New Roman" panose="02020603050405020304" pitchFamily="18" charset="0"/>
              </a:rPr>
              <a:t> equipe de instalação possui todas as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certificações</a:t>
            </a:r>
            <a:r>
              <a:rPr lang="pt-BR" sz="1100" baseline="0">
                <a:solidFill>
                  <a:schemeClr val="dk1"/>
                </a:solidFill>
                <a:effectLst/>
                <a:latin typeface="Times New Roman" panose="02020603050405020304" pitchFamily="18" charset="0"/>
                <a:ea typeface="+mn-ea"/>
                <a:cs typeface="Times New Roman" panose="02020603050405020304" pitchFamily="18" charset="0"/>
              </a:rPr>
              <a:t> necessárias para realização do trabalho, seja relacionado a instalações elétricas assim como trabalho em altura.</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baseline="0">
                <a:solidFill>
                  <a:schemeClr val="dk1"/>
                </a:solidFill>
                <a:effectLst/>
                <a:latin typeface="Times New Roman" panose="02020603050405020304" pitchFamily="18" charset="0"/>
                <a:ea typeface="+mn-ea"/>
                <a:cs typeface="Times New Roman" panose="02020603050405020304" pitchFamily="18" charset="0"/>
              </a:rPr>
              <a:t>Todos os nossos sistemas possuem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seguro</a:t>
            </a:r>
            <a:r>
              <a:rPr lang="pt-BR" sz="1100" baseline="0">
                <a:solidFill>
                  <a:schemeClr val="dk1"/>
                </a:solidFill>
                <a:effectLst/>
                <a:latin typeface="Times New Roman" panose="02020603050405020304" pitchFamily="18" charset="0"/>
                <a:ea typeface="+mn-ea"/>
                <a:cs typeface="Times New Roman" panose="02020603050405020304" pitchFamily="18" charset="0"/>
              </a:rPr>
              <a:t> de instalação e responsabilidade civil e ofertamos também o seguro do sistema que pode ser renovado anualmente.</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endParaRPr lang="pt-BR" sz="1100">
              <a:solidFill>
                <a:schemeClr val="dk1"/>
              </a:solidFill>
              <a:effectLst/>
              <a:latin typeface="Times New Roman" panose="02020603050405020304" pitchFamily="18" charset="0"/>
              <a:ea typeface="+mn-ea"/>
              <a:cs typeface="Times New Roman" panose="02020603050405020304" pitchFamily="18" charset="0"/>
            </a:endParaRPr>
          </a:p>
        </xdr:txBody>
      </xdr:sp>
      <xdr:sp macro="" textlink="">
        <xdr:nvSpPr>
          <xdr:cNvPr id="37" name="CaixaDeTexto 36">
            <a:extLst>
              <a:ext uri="{FF2B5EF4-FFF2-40B4-BE49-F238E27FC236}">
                <a16:creationId xmlns:a16="http://schemas.microsoft.com/office/drawing/2014/main" id="{00000000-0008-0000-0F00-000025000000}"/>
              </a:ext>
            </a:extLst>
          </xdr:cNvPr>
          <xdr:cNvSpPr txBox="1"/>
        </xdr:nvSpPr>
        <xdr:spPr>
          <a:xfrm>
            <a:off x="1153106" y="22245697"/>
            <a:ext cx="1527810" cy="3641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400" b="1">
                <a:solidFill>
                  <a:schemeClr val="accent6">
                    <a:lumMod val="50000"/>
                  </a:schemeClr>
                </a:solidFill>
                <a:effectLst/>
                <a:latin typeface="Times New Roman" panose="02020603050405020304" pitchFamily="18" charset="0"/>
                <a:ea typeface="+mn-ea"/>
                <a:cs typeface="Times New Roman" panose="02020603050405020304" pitchFamily="18" charset="0"/>
              </a:rPr>
              <a:t>SEGURANÇA</a:t>
            </a:r>
          </a:p>
        </xdr:txBody>
      </xdr:sp>
    </xdr:grpSp>
    <xdr:clientData/>
  </xdr:twoCellAnchor>
  <xdr:twoCellAnchor>
    <xdr:from>
      <xdr:col>0</xdr:col>
      <xdr:colOff>231740</xdr:colOff>
      <xdr:row>133</xdr:row>
      <xdr:rowOff>88345</xdr:rowOff>
    </xdr:from>
    <xdr:to>
      <xdr:col>16</xdr:col>
      <xdr:colOff>127347</xdr:colOff>
      <xdr:row>141</xdr:row>
      <xdr:rowOff>123609</xdr:rowOff>
    </xdr:to>
    <xdr:grpSp>
      <xdr:nvGrpSpPr>
        <xdr:cNvPr id="100" name="Agrupar 99">
          <a:extLst>
            <a:ext uri="{FF2B5EF4-FFF2-40B4-BE49-F238E27FC236}">
              <a16:creationId xmlns:a16="http://schemas.microsoft.com/office/drawing/2014/main" id="{00000000-0008-0000-0F00-000064000000}"/>
            </a:ext>
          </a:extLst>
        </xdr:cNvPr>
        <xdr:cNvGrpSpPr/>
      </xdr:nvGrpSpPr>
      <xdr:grpSpPr>
        <a:xfrm>
          <a:off x="231740" y="25955524"/>
          <a:ext cx="3787250" cy="1559264"/>
          <a:chOff x="0" y="24475664"/>
          <a:chExt cx="3862489" cy="1456281"/>
        </a:xfrm>
      </xdr:grpSpPr>
      <xdr:sp macro="" textlink="">
        <xdr:nvSpPr>
          <xdr:cNvPr id="50" name="CaixaDeTexto 49">
            <a:extLst>
              <a:ext uri="{FF2B5EF4-FFF2-40B4-BE49-F238E27FC236}">
                <a16:creationId xmlns:a16="http://schemas.microsoft.com/office/drawing/2014/main" id="{00000000-0008-0000-0F00-000032000000}"/>
              </a:ext>
            </a:extLst>
          </xdr:cNvPr>
          <xdr:cNvSpPr txBox="1"/>
        </xdr:nvSpPr>
        <xdr:spPr>
          <a:xfrm>
            <a:off x="0" y="24789430"/>
            <a:ext cx="3862489" cy="114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a:solidFill>
                  <a:schemeClr val="dk1"/>
                </a:solidFill>
                <a:effectLst/>
                <a:latin typeface="Times New Roman" panose="02020603050405020304" pitchFamily="18" charset="0"/>
                <a:ea typeface="+mn-ea"/>
                <a:cs typeface="Times New Roman" panose="02020603050405020304" pitchFamily="18" charset="0"/>
              </a:rPr>
              <a:t>Já</a:t>
            </a:r>
            <a:r>
              <a:rPr lang="pt-BR" sz="1100" baseline="0">
                <a:solidFill>
                  <a:schemeClr val="dk1"/>
                </a:solidFill>
                <a:effectLst/>
                <a:latin typeface="Times New Roman" panose="02020603050405020304" pitchFamily="18" charset="0"/>
                <a:ea typeface="+mn-ea"/>
                <a:cs typeface="Times New Roman" panose="02020603050405020304" pitchFamily="18" charset="0"/>
              </a:rPr>
              <a:t> atendemos diversas cidades do Rio de Janeiro, desde residências pequenas até grandes comércios.</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baseline="0">
                <a:solidFill>
                  <a:schemeClr val="dk1"/>
                </a:solidFill>
                <a:effectLst/>
                <a:latin typeface="Times New Roman" panose="02020603050405020304" pitchFamily="18" charset="0"/>
                <a:ea typeface="+mn-ea"/>
                <a:cs typeface="Times New Roman" panose="02020603050405020304" pitchFamily="18" charset="0"/>
              </a:rPr>
              <a:t>Temos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100% de aprovação </a:t>
            </a:r>
            <a:r>
              <a:rPr lang="pt-BR" sz="1100" baseline="0">
                <a:solidFill>
                  <a:schemeClr val="dk1"/>
                </a:solidFill>
                <a:effectLst/>
                <a:latin typeface="Times New Roman" panose="02020603050405020304" pitchFamily="18" charset="0"/>
                <a:ea typeface="+mn-ea"/>
                <a:cs typeface="Times New Roman" panose="02020603050405020304" pitchFamily="18" charset="0"/>
              </a:rPr>
              <a:t>dos nossos clientes, a sua satisfação é o que nos motiva!</a:t>
            </a:r>
            <a:endParaRPr lang="pt-BR" sz="1100">
              <a:solidFill>
                <a:schemeClr val="dk1"/>
              </a:solidFill>
              <a:effectLst/>
              <a:latin typeface="Times New Roman" panose="02020603050405020304" pitchFamily="18" charset="0"/>
              <a:ea typeface="+mn-ea"/>
              <a:cs typeface="Times New Roman" panose="02020603050405020304" pitchFamily="18" charset="0"/>
            </a:endParaRPr>
          </a:p>
        </xdr:txBody>
      </xdr:sp>
      <xdr:sp macro="" textlink="">
        <xdr:nvSpPr>
          <xdr:cNvPr id="51" name="CaixaDeTexto 50">
            <a:extLst>
              <a:ext uri="{FF2B5EF4-FFF2-40B4-BE49-F238E27FC236}">
                <a16:creationId xmlns:a16="http://schemas.microsoft.com/office/drawing/2014/main" id="{00000000-0008-0000-0F00-000033000000}"/>
              </a:ext>
            </a:extLst>
          </xdr:cNvPr>
          <xdr:cNvSpPr txBox="1"/>
        </xdr:nvSpPr>
        <xdr:spPr>
          <a:xfrm>
            <a:off x="1051583" y="24475664"/>
            <a:ext cx="1757418" cy="358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400" b="1">
                <a:solidFill>
                  <a:schemeClr val="accent6">
                    <a:lumMod val="50000"/>
                  </a:schemeClr>
                </a:solidFill>
                <a:effectLst/>
                <a:latin typeface="Times New Roman" panose="02020603050405020304" pitchFamily="18" charset="0"/>
                <a:ea typeface="+mn-ea"/>
                <a:cs typeface="Times New Roman" panose="02020603050405020304" pitchFamily="18" charset="0"/>
              </a:rPr>
              <a:t>CONFIABILIDADE</a:t>
            </a:r>
          </a:p>
        </xdr:txBody>
      </xdr:sp>
    </xdr:grpSp>
    <xdr:clientData/>
  </xdr:twoCellAnchor>
  <xdr:twoCellAnchor>
    <xdr:from>
      <xdr:col>0</xdr:col>
      <xdr:colOff>250844</xdr:colOff>
      <xdr:row>144</xdr:row>
      <xdr:rowOff>60174</xdr:rowOff>
    </xdr:from>
    <xdr:to>
      <xdr:col>16</xdr:col>
      <xdr:colOff>102529</xdr:colOff>
      <xdr:row>157</xdr:row>
      <xdr:rowOff>97042</xdr:rowOff>
    </xdr:to>
    <xdr:grpSp>
      <xdr:nvGrpSpPr>
        <xdr:cNvPr id="99" name="Agrupar 98">
          <a:extLst>
            <a:ext uri="{FF2B5EF4-FFF2-40B4-BE49-F238E27FC236}">
              <a16:creationId xmlns:a16="http://schemas.microsoft.com/office/drawing/2014/main" id="{00000000-0008-0000-0F00-000063000000}"/>
            </a:ext>
          </a:extLst>
        </xdr:cNvPr>
        <xdr:cNvGrpSpPr/>
      </xdr:nvGrpSpPr>
      <xdr:grpSpPr>
        <a:xfrm>
          <a:off x="250844" y="27995638"/>
          <a:ext cx="3743328" cy="2336475"/>
          <a:chOff x="0" y="26872041"/>
          <a:chExt cx="3829997" cy="2375312"/>
        </a:xfrm>
      </xdr:grpSpPr>
      <xdr:sp macro="" textlink="">
        <xdr:nvSpPr>
          <xdr:cNvPr id="76" name="CaixaDeTexto 75">
            <a:extLst>
              <a:ext uri="{FF2B5EF4-FFF2-40B4-BE49-F238E27FC236}">
                <a16:creationId xmlns:a16="http://schemas.microsoft.com/office/drawing/2014/main" id="{00000000-0008-0000-0F00-00004C000000}"/>
              </a:ext>
            </a:extLst>
          </xdr:cNvPr>
          <xdr:cNvSpPr txBox="1"/>
        </xdr:nvSpPr>
        <xdr:spPr>
          <a:xfrm>
            <a:off x="0" y="27167205"/>
            <a:ext cx="3829997" cy="2080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b="1">
                <a:solidFill>
                  <a:schemeClr val="accent6">
                    <a:lumMod val="50000"/>
                  </a:schemeClr>
                </a:solidFill>
                <a:effectLst/>
                <a:latin typeface="Times New Roman" panose="02020603050405020304" pitchFamily="18" charset="0"/>
                <a:ea typeface="+mn-ea"/>
                <a:cs typeface="Times New Roman" panose="02020603050405020304" pitchFamily="18" charset="0"/>
              </a:rPr>
              <a:t>Toda</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 proposta é diferente!</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baseline="0">
                <a:solidFill>
                  <a:schemeClr val="dk1"/>
                </a:solidFill>
                <a:effectLst/>
                <a:latin typeface="Times New Roman" panose="02020603050405020304" pitchFamily="18" charset="0"/>
                <a:ea typeface="+mn-ea"/>
                <a:cs typeface="Times New Roman" panose="02020603050405020304" pitchFamily="18" charset="0"/>
              </a:rPr>
              <a:t>Um sistema de Energia Solar não é um monte de placa no telhado; é a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economia</a:t>
            </a:r>
            <a:r>
              <a:rPr lang="pt-BR" sz="1100" baseline="0">
                <a:solidFill>
                  <a:schemeClr val="dk1"/>
                </a:solidFill>
                <a:effectLst/>
                <a:latin typeface="Times New Roman" panose="02020603050405020304" pitchFamily="18" charset="0"/>
                <a:ea typeface="+mn-ea"/>
                <a:cs typeface="Times New Roman" panose="02020603050405020304" pitchFamily="18" charset="0"/>
              </a:rPr>
              <a:t> que almeja com a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segurança</a:t>
            </a:r>
            <a:r>
              <a:rPr lang="pt-BR" sz="1100" baseline="0">
                <a:solidFill>
                  <a:schemeClr val="dk1"/>
                </a:solidFill>
                <a:effectLst/>
                <a:latin typeface="Times New Roman" panose="02020603050405020304" pitchFamily="18" charset="0"/>
                <a:ea typeface="+mn-ea"/>
                <a:cs typeface="Times New Roman" panose="02020603050405020304" pitchFamily="18" charset="0"/>
              </a:rPr>
              <a:t> e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qualidade</a:t>
            </a:r>
            <a:r>
              <a:rPr lang="pt-BR" sz="1100" baseline="0">
                <a:solidFill>
                  <a:schemeClr val="dk1"/>
                </a:solidFill>
                <a:effectLst/>
                <a:latin typeface="Times New Roman" panose="02020603050405020304" pitchFamily="18" charset="0"/>
                <a:ea typeface="+mn-ea"/>
                <a:cs typeface="Times New Roman" panose="02020603050405020304" pitchFamily="18" charset="0"/>
              </a:rPr>
              <a:t> que precisa.</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baseline="0">
                <a:solidFill>
                  <a:schemeClr val="dk1"/>
                </a:solidFill>
                <a:effectLst/>
                <a:latin typeface="Times New Roman" panose="02020603050405020304" pitchFamily="18" charset="0"/>
                <a:ea typeface="+mn-ea"/>
                <a:cs typeface="Times New Roman" panose="02020603050405020304" pitchFamily="18" charset="0"/>
              </a:rPr>
              <a:t>Hoje temos um leque de produtos para todos os bolsos, mas sem abrir mão desses 3 pilares.</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baseline="0">
                <a:solidFill>
                  <a:schemeClr val="dk1"/>
                </a:solidFill>
                <a:effectLst/>
                <a:latin typeface="Times New Roman" panose="02020603050405020304" pitchFamily="18" charset="0"/>
                <a:ea typeface="+mn-ea"/>
                <a:cs typeface="Times New Roman" panose="02020603050405020304" pitchFamily="18" charset="0"/>
              </a:rPr>
              <a:t>Por isso, somos afirmativos: </a:t>
            </a:r>
            <a:r>
              <a:rPr lang="pt-BR" sz="1100" b="1" i="1" baseline="0">
                <a:solidFill>
                  <a:schemeClr val="accent6">
                    <a:lumMod val="50000"/>
                  </a:schemeClr>
                </a:solidFill>
                <a:effectLst/>
                <a:latin typeface="Times New Roman" panose="02020603050405020304" pitchFamily="18" charset="0"/>
                <a:ea typeface="+mn-ea"/>
                <a:cs typeface="Times New Roman" panose="02020603050405020304" pitchFamily="18" charset="0"/>
              </a:rPr>
              <a:t>Cobrimos qualquer proposta com os mesmos entregáveis nossos!</a:t>
            </a:r>
            <a:endParaRPr lang="pt-BR" sz="1100" b="1" i="1">
              <a:solidFill>
                <a:schemeClr val="accent6">
                  <a:lumMod val="50000"/>
                </a:schemeClr>
              </a:solidFill>
              <a:effectLst/>
              <a:latin typeface="Times New Roman" panose="02020603050405020304" pitchFamily="18" charset="0"/>
              <a:ea typeface="+mn-ea"/>
              <a:cs typeface="Times New Roman" panose="02020603050405020304" pitchFamily="18" charset="0"/>
            </a:endParaRPr>
          </a:p>
        </xdr:txBody>
      </xdr:sp>
      <xdr:sp macro="" textlink="">
        <xdr:nvSpPr>
          <xdr:cNvPr id="78" name="CaixaDeTexto 77">
            <a:extLst>
              <a:ext uri="{FF2B5EF4-FFF2-40B4-BE49-F238E27FC236}">
                <a16:creationId xmlns:a16="http://schemas.microsoft.com/office/drawing/2014/main" id="{00000000-0008-0000-0F00-00004E000000}"/>
              </a:ext>
            </a:extLst>
          </xdr:cNvPr>
          <xdr:cNvSpPr txBox="1"/>
        </xdr:nvSpPr>
        <xdr:spPr>
          <a:xfrm>
            <a:off x="838631" y="26872041"/>
            <a:ext cx="2152734" cy="358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400" b="1">
                <a:solidFill>
                  <a:schemeClr val="accent6">
                    <a:lumMod val="50000"/>
                  </a:schemeClr>
                </a:solidFill>
                <a:effectLst/>
                <a:latin typeface="Times New Roman" panose="02020603050405020304" pitchFamily="18" charset="0"/>
                <a:ea typeface="+mn-ea"/>
                <a:cs typeface="Times New Roman" panose="02020603050405020304" pitchFamily="18" charset="0"/>
              </a:rPr>
              <a:t>PONHA NA BALANÇA</a:t>
            </a:r>
          </a:p>
        </xdr:txBody>
      </xdr:sp>
    </xdr:grpSp>
    <xdr:clientData/>
  </xdr:twoCellAnchor>
  <xdr:twoCellAnchor>
    <xdr:from>
      <xdr:col>1</xdr:col>
      <xdr:colOff>97043</xdr:colOff>
      <xdr:row>239</xdr:row>
      <xdr:rowOff>134471</xdr:rowOff>
    </xdr:from>
    <xdr:to>
      <xdr:col>10</xdr:col>
      <xdr:colOff>56030</xdr:colOff>
      <xdr:row>242</xdr:row>
      <xdr:rowOff>31712</xdr:rowOff>
    </xdr:to>
    <xdr:sp macro="" textlink="$A$241">
      <xdr:nvSpPr>
        <xdr:cNvPr id="83" name="Retângulo 82">
          <a:extLst>
            <a:ext uri="{FF2B5EF4-FFF2-40B4-BE49-F238E27FC236}">
              <a16:creationId xmlns:a16="http://schemas.microsoft.com/office/drawing/2014/main" id="{00000000-0008-0000-0F00-000053000000}"/>
            </a:ext>
          </a:extLst>
        </xdr:cNvPr>
        <xdr:cNvSpPr/>
      </xdr:nvSpPr>
      <xdr:spPr>
        <a:xfrm>
          <a:off x="534072" y="34099500"/>
          <a:ext cx="2076899" cy="52477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C5D6288-2B36-4DD3-889D-32CB3D9B9BA5}" type="TxLink">
            <a:rPr lang="en-US" sz="1400" b="1" i="0" u="none" strike="noStrike">
              <a:solidFill>
                <a:srgbClr val="808080"/>
              </a:solidFill>
              <a:latin typeface="Calibri"/>
              <a:ea typeface="Calibri"/>
              <a:cs typeface="Calibri"/>
            </a:rPr>
            <a:pPr algn="ctr"/>
            <a:t>14 Módulos FV de 585Wp</a:t>
          </a:fld>
          <a:endParaRPr lang="pt-BR" sz="1100"/>
        </a:p>
      </xdr:txBody>
    </xdr:sp>
    <xdr:clientData/>
  </xdr:twoCellAnchor>
  <xdr:twoCellAnchor editAs="oneCell">
    <xdr:from>
      <xdr:col>2</xdr:col>
      <xdr:colOff>120254</xdr:colOff>
      <xdr:row>133</xdr:row>
      <xdr:rowOff>29809</xdr:rowOff>
    </xdr:from>
    <xdr:to>
      <xdr:col>4</xdr:col>
      <xdr:colOff>79702</xdr:colOff>
      <xdr:row>135</xdr:row>
      <xdr:rowOff>94582</xdr:rowOff>
    </xdr:to>
    <xdr:pic>
      <xdr:nvPicPr>
        <xdr:cNvPr id="270541" name="Imagem 270540">
          <a:extLst>
            <a:ext uri="{FF2B5EF4-FFF2-40B4-BE49-F238E27FC236}">
              <a16:creationId xmlns:a16="http://schemas.microsoft.com/office/drawing/2014/main" id="{00000000-0008-0000-0F00-0000CD200400}"/>
            </a:ext>
          </a:extLst>
        </xdr:cNvPr>
        <xdr:cNvPicPr>
          <a:picLocks noChangeAspect="1"/>
        </xdr:cNvPicPr>
      </xdr:nvPicPr>
      <xdr:blipFill>
        <a:blip xmlns:r="http://schemas.openxmlformats.org/officeDocument/2006/relationships" r:embed="rId25"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792607" y="24951691"/>
          <a:ext cx="430095" cy="423361"/>
        </a:xfrm>
        <a:prstGeom prst="rect">
          <a:avLst/>
        </a:prstGeom>
      </xdr:spPr>
    </xdr:pic>
    <xdr:clientData/>
  </xdr:twoCellAnchor>
  <xdr:twoCellAnchor editAs="oneCell">
    <xdr:from>
      <xdr:col>2</xdr:col>
      <xdr:colOff>53971</xdr:colOff>
      <xdr:row>144</xdr:row>
      <xdr:rowOff>36137</xdr:rowOff>
    </xdr:from>
    <xdr:to>
      <xdr:col>4</xdr:col>
      <xdr:colOff>21039</xdr:colOff>
      <xdr:row>146</xdr:row>
      <xdr:rowOff>98877</xdr:rowOff>
    </xdr:to>
    <xdr:pic>
      <xdr:nvPicPr>
        <xdr:cNvPr id="270555" name="Imagem 270554">
          <a:extLst>
            <a:ext uri="{FF2B5EF4-FFF2-40B4-BE49-F238E27FC236}">
              <a16:creationId xmlns:a16="http://schemas.microsoft.com/office/drawing/2014/main" id="{00000000-0008-0000-0F00-0000DB200400}"/>
            </a:ext>
          </a:extLst>
        </xdr:cNvPr>
        <xdr:cNvPicPr>
          <a:picLocks noChangeAspect="1"/>
        </xdr:cNvPicPr>
      </xdr:nvPicPr>
      <xdr:blipFill>
        <a:blip xmlns:r="http://schemas.openxmlformats.org/officeDocument/2006/relationships" r:embed="rId26"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726324" y="26930255"/>
          <a:ext cx="445335" cy="417518"/>
        </a:xfrm>
        <a:prstGeom prst="rect">
          <a:avLst/>
        </a:prstGeom>
      </xdr:spPr>
    </xdr:pic>
    <xdr:clientData/>
  </xdr:twoCellAnchor>
  <xdr:twoCellAnchor editAs="oneCell">
    <xdr:from>
      <xdr:col>2</xdr:col>
      <xdr:colOff>121206</xdr:colOff>
      <xdr:row>120</xdr:row>
      <xdr:rowOff>47435</xdr:rowOff>
    </xdr:from>
    <xdr:to>
      <xdr:col>4</xdr:col>
      <xdr:colOff>92084</xdr:colOff>
      <xdr:row>122</xdr:row>
      <xdr:rowOff>111915</xdr:rowOff>
    </xdr:to>
    <xdr:pic>
      <xdr:nvPicPr>
        <xdr:cNvPr id="270557" name="Imagem 270556">
          <a:extLst>
            <a:ext uri="{FF2B5EF4-FFF2-40B4-BE49-F238E27FC236}">
              <a16:creationId xmlns:a16="http://schemas.microsoft.com/office/drawing/2014/main" id="{00000000-0008-0000-0F00-0000DD200400}"/>
            </a:ext>
          </a:extLst>
        </xdr:cNvPr>
        <xdr:cNvPicPr>
          <a:picLocks noChangeAspect="1"/>
        </xdr:cNvPicPr>
      </xdr:nvPicPr>
      <xdr:blipFill>
        <a:blip xmlns:r="http://schemas.openxmlformats.org/officeDocument/2006/relationships" r:embed="rId27"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793559" y="22638494"/>
          <a:ext cx="432000" cy="423068"/>
        </a:xfrm>
        <a:prstGeom prst="rect">
          <a:avLst/>
        </a:prstGeom>
      </xdr:spPr>
    </xdr:pic>
    <xdr:clientData/>
  </xdr:twoCellAnchor>
  <xdr:twoCellAnchor editAs="oneCell">
    <xdr:from>
      <xdr:col>2</xdr:col>
      <xdr:colOff>119301</xdr:colOff>
      <xdr:row>108</xdr:row>
      <xdr:rowOff>13261</xdr:rowOff>
    </xdr:from>
    <xdr:to>
      <xdr:col>4</xdr:col>
      <xdr:colOff>95894</xdr:colOff>
      <xdr:row>110</xdr:row>
      <xdr:rowOff>74891</xdr:rowOff>
    </xdr:to>
    <xdr:pic>
      <xdr:nvPicPr>
        <xdr:cNvPr id="270561" name="Imagem 270560">
          <a:extLst>
            <a:ext uri="{FF2B5EF4-FFF2-40B4-BE49-F238E27FC236}">
              <a16:creationId xmlns:a16="http://schemas.microsoft.com/office/drawing/2014/main" id="{00000000-0008-0000-0F00-0000E1200400}"/>
            </a:ext>
          </a:extLst>
        </xdr:cNvPr>
        <xdr:cNvPicPr>
          <a:picLocks noChangeAspect="1"/>
        </xdr:cNvPicPr>
      </xdr:nvPicPr>
      <xdr:blipFill>
        <a:blip xmlns:r="http://schemas.openxmlformats.org/officeDocument/2006/relationships" r:embed="rId28"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791654" y="20452790"/>
          <a:ext cx="432000" cy="420218"/>
        </a:xfrm>
        <a:prstGeom prst="rect">
          <a:avLst/>
        </a:prstGeom>
      </xdr:spPr>
    </xdr:pic>
    <xdr:clientData/>
  </xdr:twoCellAnchor>
  <xdr:twoCellAnchor>
    <xdr:from>
      <xdr:col>1</xdr:col>
      <xdr:colOff>11430</xdr:colOff>
      <xdr:row>306</xdr:row>
      <xdr:rowOff>174589</xdr:rowOff>
    </xdr:from>
    <xdr:to>
      <xdr:col>3</xdr:col>
      <xdr:colOff>82380</xdr:colOff>
      <xdr:row>309</xdr:row>
      <xdr:rowOff>171244</xdr:rowOff>
    </xdr:to>
    <xdr:grpSp>
      <xdr:nvGrpSpPr>
        <xdr:cNvPr id="270601" name="Agrupar 270600">
          <a:extLst>
            <a:ext uri="{FF2B5EF4-FFF2-40B4-BE49-F238E27FC236}">
              <a16:creationId xmlns:a16="http://schemas.microsoft.com/office/drawing/2014/main" id="{00000000-0008-0000-0F00-000009210400}"/>
            </a:ext>
          </a:extLst>
        </xdr:cNvPr>
        <xdr:cNvGrpSpPr/>
      </xdr:nvGrpSpPr>
      <xdr:grpSpPr>
        <a:xfrm>
          <a:off x="433251" y="58807768"/>
          <a:ext cx="533593" cy="568155"/>
          <a:chOff x="607695" y="57800557"/>
          <a:chExt cx="523875" cy="521970"/>
        </a:xfrm>
      </xdr:grpSpPr>
      <xdr:pic>
        <xdr:nvPicPr>
          <xdr:cNvPr id="270571" name="Imagem 270570">
            <a:extLst>
              <a:ext uri="{FF2B5EF4-FFF2-40B4-BE49-F238E27FC236}">
                <a16:creationId xmlns:a16="http://schemas.microsoft.com/office/drawing/2014/main" id="{00000000-0008-0000-0F00-0000EB200400}"/>
              </a:ext>
            </a:extLst>
          </xdr:cNvPr>
          <xdr:cNvPicPr>
            <a:picLocks noChangeAspect="1"/>
          </xdr:cNvPicPr>
        </xdr:nvPicPr>
        <xdr:blipFill>
          <a:blip xmlns:r="http://schemas.openxmlformats.org/officeDocument/2006/relationships" r:embed="rId29"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692677" y="57891843"/>
            <a:ext cx="357721" cy="347076"/>
          </a:xfrm>
          <a:prstGeom prst="rect">
            <a:avLst/>
          </a:prstGeom>
        </xdr:spPr>
      </xdr:pic>
      <xdr:sp macro="" textlink="">
        <xdr:nvSpPr>
          <xdr:cNvPr id="270574" name="Elipse 270573">
            <a:extLst>
              <a:ext uri="{FF2B5EF4-FFF2-40B4-BE49-F238E27FC236}">
                <a16:creationId xmlns:a16="http://schemas.microsoft.com/office/drawing/2014/main" id="{00000000-0008-0000-0F00-0000EE200400}"/>
              </a:ext>
            </a:extLst>
          </xdr:cNvPr>
          <xdr:cNvSpPr/>
        </xdr:nvSpPr>
        <xdr:spPr>
          <a:xfrm>
            <a:off x="607695" y="57800557"/>
            <a:ext cx="523875" cy="521970"/>
          </a:xfrm>
          <a:prstGeom prst="ellipse">
            <a:avLst/>
          </a:prstGeom>
          <a:noFill/>
          <a:ln w="28575">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twoCellAnchor>
    <xdr:from>
      <xdr:col>0</xdr:col>
      <xdr:colOff>363855</xdr:colOff>
      <xdr:row>304</xdr:row>
      <xdr:rowOff>133360</xdr:rowOff>
    </xdr:from>
    <xdr:to>
      <xdr:col>3</xdr:col>
      <xdr:colOff>161925</xdr:colOff>
      <xdr:row>307</xdr:row>
      <xdr:rowOff>59065</xdr:rowOff>
    </xdr:to>
    <xdr:sp macro="" textlink="">
      <xdr:nvSpPr>
        <xdr:cNvPr id="270582" name="CaixaDeTexto 270581">
          <a:extLst>
            <a:ext uri="{FF2B5EF4-FFF2-40B4-BE49-F238E27FC236}">
              <a16:creationId xmlns:a16="http://schemas.microsoft.com/office/drawing/2014/main" id="{00000000-0008-0000-0F00-0000F6200400}"/>
            </a:ext>
          </a:extLst>
        </xdr:cNvPr>
        <xdr:cNvSpPr txBox="1"/>
      </xdr:nvSpPr>
      <xdr:spPr>
        <a:xfrm>
          <a:off x="363855" y="57407185"/>
          <a:ext cx="712470" cy="46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rPr>
            <a:t>Aceite da Proposta</a:t>
          </a:r>
        </a:p>
      </xdr:txBody>
    </xdr:sp>
    <xdr:clientData/>
  </xdr:twoCellAnchor>
  <xdr:twoCellAnchor>
    <xdr:from>
      <xdr:col>7</xdr:col>
      <xdr:colOff>132142</xdr:colOff>
      <xdr:row>307</xdr:row>
      <xdr:rowOff>19504</xdr:rowOff>
    </xdr:from>
    <xdr:to>
      <xdr:col>9</xdr:col>
      <xdr:colOff>194318</xdr:colOff>
      <xdr:row>310</xdr:row>
      <xdr:rowOff>16159</xdr:rowOff>
    </xdr:to>
    <xdr:grpSp>
      <xdr:nvGrpSpPr>
        <xdr:cNvPr id="270594" name="Agrupar 270593">
          <a:extLst>
            <a:ext uri="{FF2B5EF4-FFF2-40B4-BE49-F238E27FC236}">
              <a16:creationId xmlns:a16="http://schemas.microsoft.com/office/drawing/2014/main" id="{00000000-0008-0000-0F00-000002210400}"/>
            </a:ext>
          </a:extLst>
        </xdr:cNvPr>
        <xdr:cNvGrpSpPr/>
      </xdr:nvGrpSpPr>
      <xdr:grpSpPr>
        <a:xfrm>
          <a:off x="1941892" y="58843183"/>
          <a:ext cx="524819" cy="568155"/>
          <a:chOff x="2763542" y="57806618"/>
          <a:chExt cx="525091" cy="508289"/>
        </a:xfrm>
      </xdr:grpSpPr>
      <xdr:pic>
        <xdr:nvPicPr>
          <xdr:cNvPr id="270569" name="Imagem 270568">
            <a:extLst>
              <a:ext uri="{FF2B5EF4-FFF2-40B4-BE49-F238E27FC236}">
                <a16:creationId xmlns:a16="http://schemas.microsoft.com/office/drawing/2014/main" id="{00000000-0008-0000-0F00-0000E9200400}"/>
              </a:ext>
            </a:extLst>
          </xdr:cNvPr>
          <xdr:cNvPicPr>
            <a:picLocks noChangeAspect="1"/>
          </xdr:cNvPicPr>
        </xdr:nvPicPr>
        <xdr:blipFill>
          <a:blip xmlns:r="http://schemas.openxmlformats.org/officeDocument/2006/relationships" r:embed="rId30"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2857342" y="57898772"/>
            <a:ext cx="344649" cy="359857"/>
          </a:xfrm>
          <a:prstGeom prst="rect">
            <a:avLst/>
          </a:prstGeom>
        </xdr:spPr>
      </xdr:pic>
      <xdr:sp macro="" textlink="">
        <xdr:nvSpPr>
          <xdr:cNvPr id="270576" name="Elipse 270575">
            <a:extLst>
              <a:ext uri="{FF2B5EF4-FFF2-40B4-BE49-F238E27FC236}">
                <a16:creationId xmlns:a16="http://schemas.microsoft.com/office/drawing/2014/main" id="{00000000-0008-0000-0F00-0000F0200400}"/>
              </a:ext>
            </a:extLst>
          </xdr:cNvPr>
          <xdr:cNvSpPr/>
        </xdr:nvSpPr>
        <xdr:spPr>
          <a:xfrm>
            <a:off x="2763542" y="57806618"/>
            <a:ext cx="525091" cy="508289"/>
          </a:xfrm>
          <a:prstGeom prst="ellipse">
            <a:avLst/>
          </a:prstGeom>
          <a:noFill/>
          <a:ln w="28575">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twoCellAnchor>
    <xdr:from>
      <xdr:col>4</xdr:col>
      <xdr:colOff>66564</xdr:colOff>
      <xdr:row>310</xdr:row>
      <xdr:rowOff>97215</xdr:rowOff>
    </xdr:from>
    <xdr:to>
      <xdr:col>6</xdr:col>
      <xdr:colOff>149863</xdr:colOff>
      <xdr:row>313</xdr:row>
      <xdr:rowOff>93870</xdr:rowOff>
    </xdr:to>
    <xdr:grpSp>
      <xdr:nvGrpSpPr>
        <xdr:cNvPr id="270600" name="Agrupar 270599">
          <a:extLst>
            <a:ext uri="{FF2B5EF4-FFF2-40B4-BE49-F238E27FC236}">
              <a16:creationId xmlns:a16="http://schemas.microsoft.com/office/drawing/2014/main" id="{00000000-0008-0000-0F00-000008210400}"/>
            </a:ext>
          </a:extLst>
        </xdr:cNvPr>
        <xdr:cNvGrpSpPr/>
      </xdr:nvGrpSpPr>
      <xdr:grpSpPr>
        <a:xfrm>
          <a:off x="1182350" y="59492394"/>
          <a:ext cx="545942" cy="568155"/>
          <a:chOff x="1489005" y="58399416"/>
          <a:chExt cx="542404" cy="522234"/>
        </a:xfrm>
      </xdr:grpSpPr>
      <xdr:pic>
        <xdr:nvPicPr>
          <xdr:cNvPr id="270573" name="Imagem 270572">
            <a:extLst>
              <a:ext uri="{FF2B5EF4-FFF2-40B4-BE49-F238E27FC236}">
                <a16:creationId xmlns:a16="http://schemas.microsoft.com/office/drawing/2014/main" id="{00000000-0008-0000-0F00-0000ED200400}"/>
              </a:ext>
            </a:extLst>
          </xdr:cNvPr>
          <xdr:cNvPicPr>
            <a:picLocks noChangeAspect="1"/>
          </xdr:cNvPicPr>
        </xdr:nvPicPr>
        <xdr:blipFill>
          <a:blip xmlns:r="http://schemas.openxmlformats.org/officeDocument/2006/relationships" r:embed="rId31" cstate="print">
            <a:duotone>
              <a:schemeClr val="accent6">
                <a:shade val="45000"/>
                <a:satMod val="135000"/>
              </a:schemeClr>
              <a:prstClr val="white"/>
            </a:duotone>
            <a:alphaModFix/>
            <a:extLst>
              <a:ext uri="{28A0092B-C50C-407E-A947-70E740481C1C}">
                <a14:useLocalDpi xmlns:a14="http://schemas.microsoft.com/office/drawing/2010/main" val="0"/>
              </a:ext>
            </a:extLst>
          </a:blip>
          <a:stretch>
            <a:fillRect/>
          </a:stretch>
        </xdr:blipFill>
        <xdr:spPr>
          <a:xfrm>
            <a:off x="1587833" y="58509936"/>
            <a:ext cx="348583" cy="363399"/>
          </a:xfrm>
          <a:prstGeom prst="rect">
            <a:avLst/>
          </a:prstGeom>
        </xdr:spPr>
      </xdr:pic>
      <xdr:sp macro="" textlink="">
        <xdr:nvSpPr>
          <xdr:cNvPr id="270575" name="Elipse 270574">
            <a:extLst>
              <a:ext uri="{FF2B5EF4-FFF2-40B4-BE49-F238E27FC236}">
                <a16:creationId xmlns:a16="http://schemas.microsoft.com/office/drawing/2014/main" id="{00000000-0008-0000-0F00-0000EF200400}"/>
              </a:ext>
            </a:extLst>
          </xdr:cNvPr>
          <xdr:cNvSpPr/>
        </xdr:nvSpPr>
        <xdr:spPr>
          <a:xfrm>
            <a:off x="1489005" y="58399416"/>
            <a:ext cx="542404" cy="522234"/>
          </a:xfrm>
          <a:prstGeom prst="ellipse">
            <a:avLst/>
          </a:prstGeom>
          <a:noFill/>
          <a:ln w="28575">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twoCellAnchor>
    <xdr:from>
      <xdr:col>3</xdr:col>
      <xdr:colOff>220980</xdr:colOff>
      <xdr:row>313</xdr:row>
      <xdr:rowOff>40005</xdr:rowOff>
    </xdr:from>
    <xdr:to>
      <xdr:col>6</xdr:col>
      <xdr:colOff>220980</xdr:colOff>
      <xdr:row>315</xdr:row>
      <xdr:rowOff>140895</xdr:rowOff>
    </xdr:to>
    <xdr:sp macro="" textlink="">
      <xdr:nvSpPr>
        <xdr:cNvPr id="270584" name="CaixaDeTexto 270583">
          <a:extLst>
            <a:ext uri="{FF2B5EF4-FFF2-40B4-BE49-F238E27FC236}">
              <a16:creationId xmlns:a16="http://schemas.microsoft.com/office/drawing/2014/main" id="{00000000-0008-0000-0F00-0000F8200400}"/>
            </a:ext>
          </a:extLst>
        </xdr:cNvPr>
        <xdr:cNvSpPr txBox="1"/>
      </xdr:nvSpPr>
      <xdr:spPr>
        <a:xfrm>
          <a:off x="1135380" y="58942605"/>
          <a:ext cx="714375" cy="462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rPr>
            <a:t>Visita Técnica</a:t>
          </a:r>
        </a:p>
      </xdr:txBody>
    </xdr:sp>
    <xdr:clientData/>
  </xdr:twoCellAnchor>
  <xdr:twoCellAnchor>
    <xdr:from>
      <xdr:col>20</xdr:col>
      <xdr:colOff>113278</xdr:colOff>
      <xdr:row>306</xdr:row>
      <xdr:rowOff>173066</xdr:rowOff>
    </xdr:from>
    <xdr:to>
      <xdr:col>22</xdr:col>
      <xdr:colOff>191848</xdr:colOff>
      <xdr:row>309</xdr:row>
      <xdr:rowOff>168492</xdr:rowOff>
    </xdr:to>
    <xdr:grpSp>
      <xdr:nvGrpSpPr>
        <xdr:cNvPr id="23" name="Agrupar 22">
          <a:extLst>
            <a:ext uri="{FF2B5EF4-FFF2-40B4-BE49-F238E27FC236}">
              <a16:creationId xmlns:a16="http://schemas.microsoft.com/office/drawing/2014/main" id="{00000000-0008-0000-0F00-000017000000}"/>
            </a:ext>
          </a:extLst>
        </xdr:cNvPr>
        <xdr:cNvGrpSpPr/>
      </xdr:nvGrpSpPr>
      <xdr:grpSpPr>
        <a:xfrm>
          <a:off x="4930207" y="58806245"/>
          <a:ext cx="541212" cy="566926"/>
          <a:chOff x="4974386" y="57795606"/>
          <a:chExt cx="519211" cy="528826"/>
        </a:xfrm>
      </xdr:grpSpPr>
      <xdr:pic>
        <xdr:nvPicPr>
          <xdr:cNvPr id="270565" name="Imagem 270564">
            <a:extLst>
              <a:ext uri="{FF2B5EF4-FFF2-40B4-BE49-F238E27FC236}">
                <a16:creationId xmlns:a16="http://schemas.microsoft.com/office/drawing/2014/main" id="{00000000-0008-0000-0F00-0000E5200400}"/>
              </a:ext>
            </a:extLst>
          </xdr:cNvPr>
          <xdr:cNvPicPr>
            <a:picLocks noChangeAspect="1"/>
          </xdr:cNvPicPr>
        </xdr:nvPicPr>
        <xdr:blipFill>
          <a:blip xmlns:r="http://schemas.openxmlformats.org/officeDocument/2006/relationships" r:embed="rId32"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5057056" y="57844703"/>
            <a:ext cx="355776" cy="359142"/>
          </a:xfrm>
          <a:prstGeom prst="rect">
            <a:avLst/>
          </a:prstGeom>
        </xdr:spPr>
      </xdr:pic>
      <xdr:sp macro="" textlink="">
        <xdr:nvSpPr>
          <xdr:cNvPr id="270578" name="Elipse 270577">
            <a:extLst>
              <a:ext uri="{FF2B5EF4-FFF2-40B4-BE49-F238E27FC236}">
                <a16:creationId xmlns:a16="http://schemas.microsoft.com/office/drawing/2014/main" id="{00000000-0008-0000-0F00-0000F2200400}"/>
              </a:ext>
            </a:extLst>
          </xdr:cNvPr>
          <xdr:cNvSpPr/>
        </xdr:nvSpPr>
        <xdr:spPr>
          <a:xfrm>
            <a:off x="4974386" y="57795606"/>
            <a:ext cx="519211" cy="528826"/>
          </a:xfrm>
          <a:prstGeom prst="ellipse">
            <a:avLst/>
          </a:prstGeom>
          <a:noFill/>
          <a:ln w="28575">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twoCellAnchor>
    <xdr:from>
      <xdr:col>20</xdr:col>
      <xdr:colOff>45719</xdr:colOff>
      <xdr:row>305</xdr:row>
      <xdr:rowOff>137142</xdr:rowOff>
    </xdr:from>
    <xdr:to>
      <xdr:col>23</xdr:col>
      <xdr:colOff>45719</xdr:colOff>
      <xdr:row>307</xdr:row>
      <xdr:rowOff>15250</xdr:rowOff>
    </xdr:to>
    <xdr:sp macro="" textlink="">
      <xdr:nvSpPr>
        <xdr:cNvPr id="270585" name="CaixaDeTexto 270584">
          <a:extLst>
            <a:ext uri="{FF2B5EF4-FFF2-40B4-BE49-F238E27FC236}">
              <a16:creationId xmlns:a16="http://schemas.microsoft.com/office/drawing/2014/main" id="{00000000-0008-0000-0F00-0000F9200400}"/>
            </a:ext>
          </a:extLst>
        </xdr:cNvPr>
        <xdr:cNvSpPr txBox="1"/>
      </xdr:nvSpPr>
      <xdr:spPr>
        <a:xfrm>
          <a:off x="5008244" y="57591942"/>
          <a:ext cx="714375" cy="2400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rPr>
            <a:t>Instalação</a:t>
          </a:r>
        </a:p>
      </xdr:txBody>
    </xdr:sp>
    <xdr:clientData/>
  </xdr:twoCellAnchor>
  <xdr:twoCellAnchor>
    <xdr:from>
      <xdr:col>13</xdr:col>
      <xdr:colOff>135254</xdr:colOff>
      <xdr:row>304</xdr:row>
      <xdr:rowOff>156075</xdr:rowOff>
    </xdr:from>
    <xdr:to>
      <xdr:col>16</xdr:col>
      <xdr:colOff>222884</xdr:colOff>
      <xdr:row>307</xdr:row>
      <xdr:rowOff>30490</xdr:rowOff>
    </xdr:to>
    <xdr:sp macro="" textlink="">
      <xdr:nvSpPr>
        <xdr:cNvPr id="270586" name="CaixaDeTexto 270585">
          <a:extLst>
            <a:ext uri="{FF2B5EF4-FFF2-40B4-BE49-F238E27FC236}">
              <a16:creationId xmlns:a16="http://schemas.microsoft.com/office/drawing/2014/main" id="{00000000-0008-0000-0F00-0000FA200400}"/>
            </a:ext>
          </a:extLst>
        </xdr:cNvPr>
        <xdr:cNvSpPr txBox="1"/>
      </xdr:nvSpPr>
      <xdr:spPr>
        <a:xfrm>
          <a:off x="3430904" y="57429900"/>
          <a:ext cx="802005" cy="417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rPr>
            <a:t>Processo de Homologação</a:t>
          </a:r>
        </a:p>
      </xdr:txBody>
    </xdr:sp>
    <xdr:clientData/>
  </xdr:twoCellAnchor>
  <xdr:twoCellAnchor>
    <xdr:from>
      <xdr:col>23</xdr:col>
      <xdr:colOff>170318</xdr:colOff>
      <xdr:row>310</xdr:row>
      <xdr:rowOff>95007</xdr:rowOff>
    </xdr:from>
    <xdr:to>
      <xdr:col>26</xdr:col>
      <xdr:colOff>1117</xdr:colOff>
      <xdr:row>313</xdr:row>
      <xdr:rowOff>99282</xdr:rowOff>
    </xdr:to>
    <xdr:grpSp>
      <xdr:nvGrpSpPr>
        <xdr:cNvPr id="12" name="Agrupar 11">
          <a:extLst>
            <a:ext uri="{FF2B5EF4-FFF2-40B4-BE49-F238E27FC236}">
              <a16:creationId xmlns:a16="http://schemas.microsoft.com/office/drawing/2014/main" id="{00000000-0008-0000-0F00-00000C000000}"/>
            </a:ext>
          </a:extLst>
        </xdr:cNvPr>
        <xdr:cNvGrpSpPr/>
      </xdr:nvGrpSpPr>
      <xdr:grpSpPr>
        <a:xfrm>
          <a:off x="5681211" y="59490186"/>
          <a:ext cx="524763" cy="575775"/>
          <a:chOff x="5858648" y="58398810"/>
          <a:chExt cx="529934" cy="522840"/>
        </a:xfrm>
      </xdr:grpSpPr>
      <xdr:pic>
        <xdr:nvPicPr>
          <xdr:cNvPr id="270567" name="Imagem 270566">
            <a:extLst>
              <a:ext uri="{FF2B5EF4-FFF2-40B4-BE49-F238E27FC236}">
                <a16:creationId xmlns:a16="http://schemas.microsoft.com/office/drawing/2014/main" id="{00000000-0008-0000-0F00-0000E7200400}"/>
              </a:ext>
            </a:extLst>
          </xdr:cNvPr>
          <xdr:cNvPicPr>
            <a:picLocks noChangeAspect="1"/>
          </xdr:cNvPicPr>
        </xdr:nvPicPr>
        <xdr:blipFill>
          <a:blip xmlns:r="http://schemas.openxmlformats.org/officeDocument/2006/relationships" r:embed="rId33"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5943149" y="58504611"/>
            <a:ext cx="359026" cy="353495"/>
          </a:xfrm>
          <a:prstGeom prst="rect">
            <a:avLst/>
          </a:prstGeom>
        </xdr:spPr>
      </xdr:pic>
      <xdr:sp macro="" textlink="">
        <xdr:nvSpPr>
          <xdr:cNvPr id="270579" name="Elipse 270578">
            <a:extLst>
              <a:ext uri="{FF2B5EF4-FFF2-40B4-BE49-F238E27FC236}">
                <a16:creationId xmlns:a16="http://schemas.microsoft.com/office/drawing/2014/main" id="{00000000-0008-0000-0F00-0000F3200400}"/>
              </a:ext>
            </a:extLst>
          </xdr:cNvPr>
          <xdr:cNvSpPr/>
        </xdr:nvSpPr>
        <xdr:spPr>
          <a:xfrm>
            <a:off x="5858648" y="58398810"/>
            <a:ext cx="529934" cy="522840"/>
          </a:xfrm>
          <a:prstGeom prst="ellipse">
            <a:avLst/>
          </a:prstGeom>
          <a:noFill/>
          <a:ln w="28575">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twoCellAnchor>
    <xdr:from>
      <xdr:col>23</xdr:col>
      <xdr:colOff>102870</xdr:colOff>
      <xdr:row>313</xdr:row>
      <xdr:rowOff>40005</xdr:rowOff>
    </xdr:from>
    <xdr:to>
      <xdr:col>26</xdr:col>
      <xdr:colOff>106680</xdr:colOff>
      <xdr:row>315</xdr:row>
      <xdr:rowOff>124830</xdr:rowOff>
    </xdr:to>
    <xdr:sp macro="" textlink="">
      <xdr:nvSpPr>
        <xdr:cNvPr id="270587" name="CaixaDeTexto 270586">
          <a:extLst>
            <a:ext uri="{FF2B5EF4-FFF2-40B4-BE49-F238E27FC236}">
              <a16:creationId xmlns:a16="http://schemas.microsoft.com/office/drawing/2014/main" id="{00000000-0008-0000-0F00-0000FB200400}"/>
            </a:ext>
          </a:extLst>
        </xdr:cNvPr>
        <xdr:cNvSpPr txBox="1"/>
      </xdr:nvSpPr>
      <xdr:spPr>
        <a:xfrm>
          <a:off x="5779770" y="58942605"/>
          <a:ext cx="718185" cy="44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rPr>
            <a:t>Troca</a:t>
          </a:r>
          <a:r>
            <a:rPr lang="pt-BR" sz="1000" b="1" baseline="0">
              <a:solidFill>
                <a:schemeClr val="bg1">
                  <a:lumMod val="50000"/>
                </a:schemeClr>
              </a:solidFill>
              <a:effectLst/>
              <a:latin typeface="Times New Roman" panose="02020603050405020304" pitchFamily="18" charset="0"/>
              <a:ea typeface="+mn-ea"/>
              <a:cs typeface="Times New Roman" panose="02020603050405020304" pitchFamily="18" charset="0"/>
            </a:rPr>
            <a:t> do Relógio</a:t>
          </a:r>
          <a:endPar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9</xdr:col>
      <xdr:colOff>115467</xdr:colOff>
      <xdr:row>309</xdr:row>
      <xdr:rowOff>120019</xdr:rowOff>
    </xdr:from>
    <xdr:to>
      <xdr:col>11</xdr:col>
      <xdr:colOff>16175</xdr:colOff>
      <xdr:row>310</xdr:row>
      <xdr:rowOff>168092</xdr:rowOff>
    </xdr:to>
    <xdr:cxnSp macro="">
      <xdr:nvCxnSpPr>
        <xdr:cNvPr id="270596" name="Conector reto 270595">
          <a:extLst>
            <a:ext uri="{FF2B5EF4-FFF2-40B4-BE49-F238E27FC236}">
              <a16:creationId xmlns:a16="http://schemas.microsoft.com/office/drawing/2014/main" id="{00000000-0008-0000-0F00-000004210400}"/>
            </a:ext>
          </a:extLst>
        </xdr:cNvPr>
        <xdr:cNvCxnSpPr>
          <a:cxnSpLocks/>
          <a:stCxn id="270576" idx="5"/>
          <a:endCxn id="270643" idx="1"/>
        </xdr:cNvCxnSpPr>
      </xdr:nvCxnSpPr>
      <xdr:spPr>
        <a:xfrm>
          <a:off x="2458617" y="58296814"/>
          <a:ext cx="380768" cy="234763"/>
        </a:xfrm>
        <a:prstGeom prst="line">
          <a:avLst/>
        </a:prstGeom>
        <a:ln>
          <a:solidFill>
            <a:schemeClr val="accent6">
              <a:lumMod val="50000"/>
            </a:schemeClr>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19</xdr:col>
      <xdr:colOff>49747</xdr:colOff>
      <xdr:row>309</xdr:row>
      <xdr:rowOff>89652</xdr:rowOff>
    </xdr:from>
    <xdr:to>
      <xdr:col>20</xdr:col>
      <xdr:colOff>194530</xdr:colOff>
      <xdr:row>310</xdr:row>
      <xdr:rowOff>176175</xdr:rowOff>
    </xdr:to>
    <xdr:cxnSp macro="">
      <xdr:nvCxnSpPr>
        <xdr:cNvPr id="270597" name="Conector reto 270596">
          <a:extLst>
            <a:ext uri="{FF2B5EF4-FFF2-40B4-BE49-F238E27FC236}">
              <a16:creationId xmlns:a16="http://schemas.microsoft.com/office/drawing/2014/main" id="{00000000-0008-0000-0F00-000005210400}"/>
            </a:ext>
          </a:extLst>
        </xdr:cNvPr>
        <xdr:cNvCxnSpPr>
          <a:stCxn id="270612" idx="7"/>
          <a:endCxn id="270578" idx="3"/>
        </xdr:cNvCxnSpPr>
      </xdr:nvCxnSpPr>
      <xdr:spPr>
        <a:xfrm flipV="1">
          <a:off x="4774147" y="58268352"/>
          <a:ext cx="382908" cy="267498"/>
        </a:xfrm>
        <a:prstGeom prst="line">
          <a:avLst/>
        </a:prstGeom>
        <a:ln>
          <a:solidFill>
            <a:schemeClr val="accent6">
              <a:lumMod val="50000"/>
            </a:schemeClr>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22</xdr:col>
      <xdr:colOff>110596</xdr:colOff>
      <xdr:row>309</xdr:row>
      <xdr:rowOff>89652</xdr:rowOff>
    </xdr:from>
    <xdr:to>
      <xdr:col>24</xdr:col>
      <xdr:colOff>15284</xdr:colOff>
      <xdr:row>310</xdr:row>
      <xdr:rowOff>177837</xdr:rowOff>
    </xdr:to>
    <xdr:cxnSp macro="">
      <xdr:nvCxnSpPr>
        <xdr:cNvPr id="270599" name="Conector reto 270598">
          <a:extLst>
            <a:ext uri="{FF2B5EF4-FFF2-40B4-BE49-F238E27FC236}">
              <a16:creationId xmlns:a16="http://schemas.microsoft.com/office/drawing/2014/main" id="{00000000-0008-0000-0F00-000007210400}"/>
            </a:ext>
          </a:extLst>
        </xdr:cNvPr>
        <xdr:cNvCxnSpPr>
          <a:stCxn id="270578" idx="5"/>
          <a:endCxn id="270579" idx="1"/>
        </xdr:cNvCxnSpPr>
      </xdr:nvCxnSpPr>
      <xdr:spPr>
        <a:xfrm>
          <a:off x="5549371" y="58268352"/>
          <a:ext cx="380938" cy="269160"/>
        </a:xfrm>
        <a:prstGeom prst="line">
          <a:avLst/>
        </a:prstGeom>
        <a:ln>
          <a:solidFill>
            <a:schemeClr val="accent6">
              <a:lumMod val="50000"/>
            </a:schemeClr>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26</xdr:col>
      <xdr:colOff>123825</xdr:colOff>
      <xdr:row>311</xdr:row>
      <xdr:rowOff>15240</xdr:rowOff>
    </xdr:from>
    <xdr:to>
      <xdr:col>28</xdr:col>
      <xdr:colOff>691515</xdr:colOff>
      <xdr:row>313</xdr:row>
      <xdr:rowOff>96213</xdr:rowOff>
    </xdr:to>
    <xdr:sp macro="" textlink="">
      <xdr:nvSpPr>
        <xdr:cNvPr id="270608" name="CaixaDeTexto 270607">
          <a:extLst>
            <a:ext uri="{FF2B5EF4-FFF2-40B4-BE49-F238E27FC236}">
              <a16:creationId xmlns:a16="http://schemas.microsoft.com/office/drawing/2014/main" id="{00000000-0008-0000-0F00-000010210400}"/>
            </a:ext>
          </a:extLst>
        </xdr:cNvPr>
        <xdr:cNvSpPr txBox="1"/>
      </xdr:nvSpPr>
      <xdr:spPr>
        <a:xfrm>
          <a:off x="6515100" y="58555890"/>
          <a:ext cx="1034415" cy="442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rPr>
            <a:t>Prazo aproximado</a:t>
          </a:r>
        </a:p>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rPr>
            <a:t>50 dias</a:t>
          </a:r>
        </a:p>
      </xdr:txBody>
    </xdr:sp>
    <xdr:clientData/>
  </xdr:twoCellAnchor>
  <xdr:twoCellAnchor>
    <xdr:from>
      <xdr:col>14</xdr:col>
      <xdr:colOff>15240</xdr:colOff>
      <xdr:row>309</xdr:row>
      <xdr:rowOff>131446</xdr:rowOff>
    </xdr:from>
    <xdr:to>
      <xdr:col>16</xdr:col>
      <xdr:colOff>36196</xdr:colOff>
      <xdr:row>311</xdr:row>
      <xdr:rowOff>97156</xdr:rowOff>
    </xdr:to>
    <xdr:sp macro="" textlink="">
      <xdr:nvSpPr>
        <xdr:cNvPr id="270607" name="CaixaDeTexto 270606">
          <a:extLst>
            <a:ext uri="{FF2B5EF4-FFF2-40B4-BE49-F238E27FC236}">
              <a16:creationId xmlns:a16="http://schemas.microsoft.com/office/drawing/2014/main" id="{00000000-0008-0000-0F00-00000F210400}"/>
            </a:ext>
          </a:extLst>
        </xdr:cNvPr>
        <xdr:cNvSpPr txBox="1"/>
      </xdr:nvSpPr>
      <xdr:spPr>
        <a:xfrm>
          <a:off x="3549015" y="58310146"/>
          <a:ext cx="497206"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800" b="0" i="1">
              <a:solidFill>
                <a:schemeClr val="bg1">
                  <a:lumMod val="50000"/>
                </a:schemeClr>
              </a:solidFill>
              <a:effectLst/>
              <a:latin typeface="Times New Roman" panose="02020603050405020304" pitchFamily="18" charset="0"/>
              <a:ea typeface="+mn-ea"/>
              <a:cs typeface="Times New Roman" panose="02020603050405020304" pitchFamily="18" charset="0"/>
            </a:rPr>
            <a:t>15-30d</a:t>
          </a:r>
        </a:p>
      </xdr:txBody>
    </xdr:sp>
    <xdr:clientData/>
  </xdr:twoCellAnchor>
  <xdr:twoCellAnchor>
    <xdr:from>
      <xdr:col>23</xdr:col>
      <xdr:colOff>201930</xdr:colOff>
      <xdr:row>308</xdr:row>
      <xdr:rowOff>177166</xdr:rowOff>
    </xdr:from>
    <xdr:to>
      <xdr:col>25</xdr:col>
      <xdr:colOff>215266</xdr:colOff>
      <xdr:row>310</xdr:row>
      <xdr:rowOff>135256</xdr:rowOff>
    </xdr:to>
    <xdr:sp macro="" textlink="">
      <xdr:nvSpPr>
        <xdr:cNvPr id="270609" name="CaixaDeTexto 270608">
          <a:extLst>
            <a:ext uri="{FF2B5EF4-FFF2-40B4-BE49-F238E27FC236}">
              <a16:creationId xmlns:a16="http://schemas.microsoft.com/office/drawing/2014/main" id="{00000000-0008-0000-0F00-000011210400}"/>
            </a:ext>
          </a:extLst>
        </xdr:cNvPr>
        <xdr:cNvSpPr txBox="1"/>
      </xdr:nvSpPr>
      <xdr:spPr>
        <a:xfrm>
          <a:off x="5878830" y="58174891"/>
          <a:ext cx="489586"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800" b="0" i="1">
              <a:solidFill>
                <a:schemeClr val="bg1">
                  <a:lumMod val="50000"/>
                </a:schemeClr>
              </a:solidFill>
              <a:effectLst/>
              <a:latin typeface="Times New Roman" panose="02020603050405020304" pitchFamily="18" charset="0"/>
              <a:ea typeface="+mn-ea"/>
              <a:cs typeface="Times New Roman" panose="02020603050405020304" pitchFamily="18" charset="0"/>
            </a:rPr>
            <a:t>7d</a:t>
          </a:r>
        </a:p>
      </xdr:txBody>
    </xdr:sp>
    <xdr:clientData/>
  </xdr:twoCellAnchor>
  <xdr:twoCellAnchor>
    <xdr:from>
      <xdr:col>16</xdr:col>
      <xdr:colOff>226694</xdr:colOff>
      <xdr:row>313</xdr:row>
      <xdr:rowOff>40005</xdr:rowOff>
    </xdr:from>
    <xdr:to>
      <xdr:col>19</xdr:col>
      <xdr:colOff>226694</xdr:colOff>
      <xdr:row>315</xdr:row>
      <xdr:rowOff>130503</xdr:rowOff>
    </xdr:to>
    <xdr:sp macro="" textlink="">
      <xdr:nvSpPr>
        <xdr:cNvPr id="270613" name="CaixaDeTexto 270612">
          <a:extLst>
            <a:ext uri="{FF2B5EF4-FFF2-40B4-BE49-F238E27FC236}">
              <a16:creationId xmlns:a16="http://schemas.microsoft.com/office/drawing/2014/main" id="{00000000-0008-0000-0F00-000015210400}"/>
            </a:ext>
          </a:extLst>
        </xdr:cNvPr>
        <xdr:cNvSpPr txBox="1"/>
      </xdr:nvSpPr>
      <xdr:spPr>
        <a:xfrm>
          <a:off x="4236719" y="58942605"/>
          <a:ext cx="714375" cy="4524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rPr>
            <a:t>Recebimento do Material</a:t>
          </a:r>
        </a:p>
      </xdr:txBody>
    </xdr:sp>
    <xdr:clientData/>
  </xdr:twoCellAnchor>
  <xdr:twoCellAnchor>
    <xdr:from>
      <xdr:col>14</xdr:col>
      <xdr:colOff>1105</xdr:colOff>
      <xdr:row>306</xdr:row>
      <xdr:rowOff>170825</xdr:rowOff>
    </xdr:from>
    <xdr:to>
      <xdr:col>16</xdr:col>
      <xdr:colOff>70150</xdr:colOff>
      <xdr:row>309</xdr:row>
      <xdr:rowOff>175100</xdr:rowOff>
    </xdr:to>
    <xdr:grpSp>
      <xdr:nvGrpSpPr>
        <xdr:cNvPr id="270614" name="Agrupar 270613">
          <a:extLst>
            <a:ext uri="{FF2B5EF4-FFF2-40B4-BE49-F238E27FC236}">
              <a16:creationId xmlns:a16="http://schemas.microsoft.com/office/drawing/2014/main" id="{00000000-0008-0000-0F00-000016210400}"/>
            </a:ext>
          </a:extLst>
        </xdr:cNvPr>
        <xdr:cNvGrpSpPr/>
      </xdr:nvGrpSpPr>
      <xdr:grpSpPr>
        <a:xfrm>
          <a:off x="3430105" y="58804004"/>
          <a:ext cx="531688" cy="575775"/>
          <a:chOff x="4049049" y="58409298"/>
          <a:chExt cx="523875" cy="510447"/>
        </a:xfrm>
      </xdr:grpSpPr>
      <xdr:pic>
        <xdr:nvPicPr>
          <xdr:cNvPr id="270615" name="Imagem 270614">
            <a:extLst>
              <a:ext uri="{FF2B5EF4-FFF2-40B4-BE49-F238E27FC236}">
                <a16:creationId xmlns:a16="http://schemas.microsoft.com/office/drawing/2014/main" id="{00000000-0008-0000-0F00-000017210400}"/>
              </a:ext>
            </a:extLst>
          </xdr:cNvPr>
          <xdr:cNvPicPr>
            <a:picLocks noChangeAspect="1"/>
          </xdr:cNvPicPr>
        </xdr:nvPicPr>
        <xdr:blipFill>
          <a:blip xmlns:r="http://schemas.openxmlformats.org/officeDocument/2006/relationships" r:embed="rId34"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4141213" y="58500282"/>
            <a:ext cx="343356" cy="352106"/>
          </a:xfrm>
          <a:prstGeom prst="rect">
            <a:avLst/>
          </a:prstGeom>
        </xdr:spPr>
      </xdr:pic>
      <xdr:sp macro="" textlink="">
        <xdr:nvSpPr>
          <xdr:cNvPr id="270616" name="Elipse 270615">
            <a:extLst>
              <a:ext uri="{FF2B5EF4-FFF2-40B4-BE49-F238E27FC236}">
                <a16:creationId xmlns:a16="http://schemas.microsoft.com/office/drawing/2014/main" id="{00000000-0008-0000-0F00-000018210400}"/>
              </a:ext>
            </a:extLst>
          </xdr:cNvPr>
          <xdr:cNvSpPr/>
        </xdr:nvSpPr>
        <xdr:spPr>
          <a:xfrm>
            <a:off x="4049049" y="58409298"/>
            <a:ext cx="523875" cy="510447"/>
          </a:xfrm>
          <a:prstGeom prst="ellipse">
            <a:avLst/>
          </a:prstGeom>
          <a:noFill/>
          <a:ln w="28575">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twoCellAnchor>
    <xdr:from>
      <xdr:col>10</xdr:col>
      <xdr:colOff>55244</xdr:colOff>
      <xdr:row>313</xdr:row>
      <xdr:rowOff>40005</xdr:rowOff>
    </xdr:from>
    <xdr:to>
      <xdr:col>13</xdr:col>
      <xdr:colOff>131444</xdr:colOff>
      <xdr:row>315</xdr:row>
      <xdr:rowOff>131590</xdr:rowOff>
    </xdr:to>
    <xdr:sp macro="" textlink="">
      <xdr:nvSpPr>
        <xdr:cNvPr id="270617" name="CaixaDeTexto 270616">
          <a:extLst>
            <a:ext uri="{FF2B5EF4-FFF2-40B4-BE49-F238E27FC236}">
              <a16:creationId xmlns:a16="http://schemas.microsoft.com/office/drawing/2014/main" id="{00000000-0008-0000-0F00-000019210400}"/>
            </a:ext>
          </a:extLst>
        </xdr:cNvPr>
        <xdr:cNvSpPr txBox="1"/>
      </xdr:nvSpPr>
      <xdr:spPr>
        <a:xfrm>
          <a:off x="2636519" y="58942605"/>
          <a:ext cx="790575" cy="45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rPr>
            <a:t>Realização do Projeto</a:t>
          </a:r>
        </a:p>
      </xdr:txBody>
    </xdr:sp>
    <xdr:clientData/>
  </xdr:twoCellAnchor>
  <xdr:twoCellAnchor>
    <xdr:from>
      <xdr:col>12</xdr:col>
      <xdr:colOff>171628</xdr:colOff>
      <xdr:row>309</xdr:row>
      <xdr:rowOff>98774</xdr:rowOff>
    </xdr:from>
    <xdr:to>
      <xdr:col>14</xdr:col>
      <xdr:colOff>82867</xdr:colOff>
      <xdr:row>310</xdr:row>
      <xdr:rowOff>168092</xdr:rowOff>
    </xdr:to>
    <xdr:cxnSp macro="">
      <xdr:nvCxnSpPr>
        <xdr:cNvPr id="270619" name="Conector reto 270618">
          <a:extLst>
            <a:ext uri="{FF2B5EF4-FFF2-40B4-BE49-F238E27FC236}">
              <a16:creationId xmlns:a16="http://schemas.microsoft.com/office/drawing/2014/main" id="{00000000-0008-0000-0F00-00001B210400}"/>
            </a:ext>
          </a:extLst>
        </xdr:cNvPr>
        <xdr:cNvCxnSpPr>
          <a:cxnSpLocks/>
          <a:stCxn id="270643" idx="7"/>
          <a:endCxn id="270616" idx="3"/>
        </xdr:cNvCxnSpPr>
      </xdr:nvCxnSpPr>
      <xdr:spPr>
        <a:xfrm flipV="1">
          <a:off x="3232963" y="58273664"/>
          <a:ext cx="381774" cy="257913"/>
        </a:xfrm>
        <a:prstGeom prst="line">
          <a:avLst/>
        </a:prstGeom>
        <a:ln>
          <a:solidFill>
            <a:schemeClr val="accent6">
              <a:lumMod val="50000"/>
            </a:schemeClr>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15</xdr:col>
      <xdr:colOff>228418</xdr:colOff>
      <xdr:row>309</xdr:row>
      <xdr:rowOff>94964</xdr:rowOff>
    </xdr:from>
    <xdr:to>
      <xdr:col>17</xdr:col>
      <xdr:colOff>133681</xdr:colOff>
      <xdr:row>310</xdr:row>
      <xdr:rowOff>176175</xdr:rowOff>
    </xdr:to>
    <xdr:cxnSp macro="">
      <xdr:nvCxnSpPr>
        <xdr:cNvPr id="270620" name="Conector reto 270619">
          <a:extLst>
            <a:ext uri="{FF2B5EF4-FFF2-40B4-BE49-F238E27FC236}">
              <a16:creationId xmlns:a16="http://schemas.microsoft.com/office/drawing/2014/main" id="{00000000-0008-0000-0F00-00001C210400}"/>
            </a:ext>
          </a:extLst>
        </xdr:cNvPr>
        <xdr:cNvCxnSpPr>
          <a:stCxn id="270616" idx="5"/>
          <a:endCxn id="270612" idx="1"/>
        </xdr:cNvCxnSpPr>
      </xdr:nvCxnSpPr>
      <xdr:spPr>
        <a:xfrm>
          <a:off x="4000318" y="58273664"/>
          <a:ext cx="381513" cy="262186"/>
        </a:xfrm>
        <a:prstGeom prst="line">
          <a:avLst/>
        </a:prstGeom>
        <a:ln>
          <a:solidFill>
            <a:schemeClr val="accent6">
              <a:lumMod val="50000"/>
            </a:schemeClr>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17</xdr:col>
      <xdr:colOff>106680</xdr:colOff>
      <xdr:row>308</xdr:row>
      <xdr:rowOff>169546</xdr:rowOff>
    </xdr:from>
    <xdr:to>
      <xdr:col>19</xdr:col>
      <xdr:colOff>120016</xdr:colOff>
      <xdr:row>310</xdr:row>
      <xdr:rowOff>135256</xdr:rowOff>
    </xdr:to>
    <xdr:sp macro="" textlink="">
      <xdr:nvSpPr>
        <xdr:cNvPr id="270633" name="CaixaDeTexto 270632">
          <a:extLst>
            <a:ext uri="{FF2B5EF4-FFF2-40B4-BE49-F238E27FC236}">
              <a16:creationId xmlns:a16="http://schemas.microsoft.com/office/drawing/2014/main" id="{00000000-0008-0000-0F00-000029210400}"/>
            </a:ext>
          </a:extLst>
        </xdr:cNvPr>
        <xdr:cNvSpPr txBox="1"/>
      </xdr:nvSpPr>
      <xdr:spPr>
        <a:xfrm>
          <a:off x="4354830" y="58167271"/>
          <a:ext cx="489586"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800" b="0" i="1">
              <a:solidFill>
                <a:schemeClr val="bg1">
                  <a:lumMod val="50000"/>
                </a:schemeClr>
              </a:solidFill>
              <a:effectLst/>
              <a:latin typeface="Times New Roman" panose="02020603050405020304" pitchFamily="18" charset="0"/>
              <a:ea typeface="+mn-ea"/>
              <a:cs typeface="Times New Roman" panose="02020603050405020304" pitchFamily="18" charset="0"/>
            </a:rPr>
            <a:t>13d</a:t>
          </a:r>
        </a:p>
      </xdr:txBody>
    </xdr:sp>
    <xdr:clientData/>
  </xdr:twoCellAnchor>
  <xdr:twoCellAnchor>
    <xdr:from>
      <xdr:col>10</xdr:col>
      <xdr:colOff>219075</xdr:colOff>
      <xdr:row>309</xdr:row>
      <xdr:rowOff>1906</xdr:rowOff>
    </xdr:from>
    <xdr:to>
      <xdr:col>12</xdr:col>
      <xdr:colOff>228601</xdr:colOff>
      <xdr:row>310</xdr:row>
      <xdr:rowOff>131446</xdr:rowOff>
    </xdr:to>
    <xdr:sp macro="" textlink="">
      <xdr:nvSpPr>
        <xdr:cNvPr id="270634" name="CaixaDeTexto 270633">
          <a:extLst>
            <a:ext uri="{FF2B5EF4-FFF2-40B4-BE49-F238E27FC236}">
              <a16:creationId xmlns:a16="http://schemas.microsoft.com/office/drawing/2014/main" id="{00000000-0008-0000-0F00-00002A210400}"/>
            </a:ext>
          </a:extLst>
        </xdr:cNvPr>
        <xdr:cNvSpPr txBox="1"/>
      </xdr:nvSpPr>
      <xdr:spPr>
        <a:xfrm>
          <a:off x="2800350" y="58180606"/>
          <a:ext cx="485776" cy="310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800" b="0" i="1">
              <a:solidFill>
                <a:schemeClr val="bg1">
                  <a:lumMod val="50000"/>
                </a:schemeClr>
              </a:solidFill>
              <a:effectLst/>
              <a:latin typeface="Times New Roman" panose="02020603050405020304" pitchFamily="18" charset="0"/>
              <a:ea typeface="+mn-ea"/>
              <a:cs typeface="Times New Roman" panose="02020603050405020304" pitchFamily="18" charset="0"/>
            </a:rPr>
            <a:t>3d</a:t>
          </a:r>
        </a:p>
      </xdr:txBody>
    </xdr:sp>
    <xdr:clientData/>
  </xdr:twoCellAnchor>
  <xdr:twoCellAnchor>
    <xdr:from>
      <xdr:col>20</xdr:col>
      <xdr:colOff>150495</xdr:colOff>
      <xdr:row>309</xdr:row>
      <xdr:rowOff>140971</xdr:rowOff>
    </xdr:from>
    <xdr:to>
      <xdr:col>22</xdr:col>
      <xdr:colOff>171451</xdr:colOff>
      <xdr:row>311</xdr:row>
      <xdr:rowOff>93346</xdr:rowOff>
    </xdr:to>
    <xdr:sp macro="" textlink="Resumo!$F$389">
      <xdr:nvSpPr>
        <xdr:cNvPr id="270636" name="CaixaDeTexto 270635">
          <a:extLst>
            <a:ext uri="{FF2B5EF4-FFF2-40B4-BE49-F238E27FC236}">
              <a16:creationId xmlns:a16="http://schemas.microsoft.com/office/drawing/2014/main" id="{00000000-0008-0000-0F00-00002C210400}"/>
            </a:ext>
          </a:extLst>
        </xdr:cNvPr>
        <xdr:cNvSpPr txBox="1"/>
      </xdr:nvSpPr>
      <xdr:spPr>
        <a:xfrm>
          <a:off x="5113020" y="58319671"/>
          <a:ext cx="49720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fld id="{F9B53BBA-71F4-46FC-BB2E-4C69A11A3302}" type="TxLink">
            <a:rPr lang="en-US" sz="800" b="0" i="1">
              <a:solidFill>
                <a:schemeClr val="bg1">
                  <a:lumMod val="50000"/>
                </a:schemeClr>
              </a:solidFill>
              <a:effectLst/>
              <a:latin typeface="Times New Roman" panose="02020603050405020304" pitchFamily="18" charset="0"/>
              <a:ea typeface="+mn-ea"/>
              <a:cs typeface="Times New Roman" panose="02020603050405020304" pitchFamily="18" charset="0"/>
            </a:rPr>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t>4d</a:t>
          </a:fld>
          <a:endParaRPr lang="pt-BR" sz="800" b="0" i="1">
            <a:solidFill>
              <a:schemeClr val="bg1">
                <a:lumMod val="50000"/>
              </a:schemeClr>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17</xdr:col>
      <xdr:colOff>52429</xdr:colOff>
      <xdr:row>310</xdr:row>
      <xdr:rowOff>96777</xdr:rowOff>
    </xdr:from>
    <xdr:to>
      <xdr:col>19</xdr:col>
      <xdr:colOff>130999</xdr:colOff>
      <xdr:row>313</xdr:row>
      <xdr:rowOff>96013</xdr:rowOff>
    </xdr:to>
    <xdr:grpSp>
      <xdr:nvGrpSpPr>
        <xdr:cNvPr id="270646" name="Agrupar 270645">
          <a:extLst>
            <a:ext uri="{FF2B5EF4-FFF2-40B4-BE49-F238E27FC236}">
              <a16:creationId xmlns:a16="http://schemas.microsoft.com/office/drawing/2014/main" id="{00000000-0008-0000-0F00-000036210400}"/>
            </a:ext>
          </a:extLst>
        </xdr:cNvPr>
        <xdr:cNvGrpSpPr/>
      </xdr:nvGrpSpPr>
      <xdr:grpSpPr>
        <a:xfrm>
          <a:off x="4175393" y="59491956"/>
          <a:ext cx="541213" cy="570736"/>
          <a:chOff x="4339654" y="58452642"/>
          <a:chExt cx="554820" cy="542161"/>
        </a:xfrm>
      </xdr:grpSpPr>
      <xdr:sp macro="" textlink="">
        <xdr:nvSpPr>
          <xdr:cNvPr id="270612" name="Elipse 270611">
            <a:extLst>
              <a:ext uri="{FF2B5EF4-FFF2-40B4-BE49-F238E27FC236}">
                <a16:creationId xmlns:a16="http://schemas.microsoft.com/office/drawing/2014/main" id="{00000000-0008-0000-0F00-000014210400}"/>
              </a:ext>
            </a:extLst>
          </xdr:cNvPr>
          <xdr:cNvSpPr/>
        </xdr:nvSpPr>
        <xdr:spPr>
          <a:xfrm>
            <a:off x="4339654" y="58452642"/>
            <a:ext cx="554820" cy="542161"/>
          </a:xfrm>
          <a:prstGeom prst="ellipse">
            <a:avLst/>
          </a:prstGeom>
          <a:noFill/>
          <a:ln w="28575">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270638" name="Imagem 270637">
            <a:extLst>
              <a:ext uri="{FF2B5EF4-FFF2-40B4-BE49-F238E27FC236}">
                <a16:creationId xmlns:a16="http://schemas.microsoft.com/office/drawing/2014/main" id="{00000000-0008-0000-0F00-00002E210400}"/>
              </a:ext>
            </a:extLst>
          </xdr:cNvPr>
          <xdr:cNvPicPr>
            <a:picLocks noChangeAspect="1"/>
          </xdr:cNvPicPr>
        </xdr:nvPicPr>
        <xdr:blipFill>
          <a:blip xmlns:r="http://schemas.openxmlformats.org/officeDocument/2006/relationships" r:embed="rId35"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4398646" y="58523854"/>
            <a:ext cx="437374" cy="433905"/>
          </a:xfrm>
          <a:prstGeom prst="rect">
            <a:avLst/>
          </a:prstGeom>
        </xdr:spPr>
      </xdr:pic>
    </xdr:grpSp>
    <xdr:clientData/>
  </xdr:twoCellAnchor>
  <xdr:twoCellAnchor>
    <xdr:from>
      <xdr:col>10</xdr:col>
      <xdr:colOff>172787</xdr:colOff>
      <xdr:row>310</xdr:row>
      <xdr:rowOff>96912</xdr:rowOff>
    </xdr:from>
    <xdr:to>
      <xdr:col>13</xdr:col>
      <xdr:colOff>22636</xdr:colOff>
      <xdr:row>313</xdr:row>
      <xdr:rowOff>92067</xdr:rowOff>
    </xdr:to>
    <xdr:grpSp>
      <xdr:nvGrpSpPr>
        <xdr:cNvPr id="270647" name="Agrupar 270646">
          <a:extLst>
            <a:ext uri="{FF2B5EF4-FFF2-40B4-BE49-F238E27FC236}">
              <a16:creationId xmlns:a16="http://schemas.microsoft.com/office/drawing/2014/main" id="{00000000-0008-0000-0F00-000037210400}"/>
            </a:ext>
          </a:extLst>
        </xdr:cNvPr>
        <xdr:cNvGrpSpPr/>
      </xdr:nvGrpSpPr>
      <xdr:grpSpPr>
        <a:xfrm>
          <a:off x="2676501" y="59492091"/>
          <a:ext cx="543814" cy="566655"/>
          <a:chOff x="2801123" y="58448967"/>
          <a:chExt cx="558509" cy="539985"/>
        </a:xfrm>
      </xdr:grpSpPr>
      <xdr:pic>
        <xdr:nvPicPr>
          <xdr:cNvPr id="270640" name="Imagem 270639">
            <a:extLst>
              <a:ext uri="{FF2B5EF4-FFF2-40B4-BE49-F238E27FC236}">
                <a16:creationId xmlns:a16="http://schemas.microsoft.com/office/drawing/2014/main" id="{00000000-0008-0000-0F00-000030210400}"/>
              </a:ext>
            </a:extLst>
          </xdr:cNvPr>
          <xdr:cNvPicPr>
            <a:picLocks noChangeAspect="1"/>
          </xdr:cNvPicPr>
        </xdr:nvPicPr>
        <xdr:blipFill>
          <a:blip xmlns:r="http://schemas.openxmlformats.org/officeDocument/2006/relationships" r:embed="rId36"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2860818" y="58491049"/>
            <a:ext cx="434274" cy="433905"/>
          </a:xfrm>
          <a:prstGeom prst="rect">
            <a:avLst/>
          </a:prstGeom>
        </xdr:spPr>
      </xdr:pic>
      <xdr:sp macro="" textlink="">
        <xdr:nvSpPr>
          <xdr:cNvPr id="270643" name="Elipse 270642">
            <a:extLst>
              <a:ext uri="{FF2B5EF4-FFF2-40B4-BE49-F238E27FC236}">
                <a16:creationId xmlns:a16="http://schemas.microsoft.com/office/drawing/2014/main" id="{00000000-0008-0000-0F00-000033210400}"/>
              </a:ext>
            </a:extLst>
          </xdr:cNvPr>
          <xdr:cNvSpPr/>
        </xdr:nvSpPr>
        <xdr:spPr>
          <a:xfrm>
            <a:off x="2801123" y="58448967"/>
            <a:ext cx="558509" cy="539985"/>
          </a:xfrm>
          <a:prstGeom prst="ellipse">
            <a:avLst/>
          </a:prstGeom>
          <a:noFill/>
          <a:ln w="28575">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twoCellAnchor>
    <xdr:from>
      <xdr:col>5</xdr:col>
      <xdr:colOff>158115</xdr:colOff>
      <xdr:row>304</xdr:row>
      <xdr:rowOff>131417</xdr:rowOff>
    </xdr:from>
    <xdr:to>
      <xdr:col>11</xdr:col>
      <xdr:colOff>160019</xdr:colOff>
      <xdr:row>307</xdr:row>
      <xdr:rowOff>59065</xdr:rowOff>
    </xdr:to>
    <xdr:sp macro="" textlink="">
      <xdr:nvSpPr>
        <xdr:cNvPr id="270583" name="CaixaDeTexto 270582">
          <a:extLst>
            <a:ext uri="{FF2B5EF4-FFF2-40B4-BE49-F238E27FC236}">
              <a16:creationId xmlns:a16="http://schemas.microsoft.com/office/drawing/2014/main" id="{00000000-0008-0000-0F00-0000F7200400}"/>
            </a:ext>
          </a:extLst>
        </xdr:cNvPr>
        <xdr:cNvSpPr txBox="1"/>
      </xdr:nvSpPr>
      <xdr:spPr>
        <a:xfrm>
          <a:off x="1548765" y="57405242"/>
          <a:ext cx="1430654" cy="470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rPr>
            <a:t>Aceite da Proposta Final e Assinatura do Contrato</a:t>
          </a:r>
        </a:p>
      </xdr:txBody>
    </xdr:sp>
    <xdr:clientData/>
  </xdr:twoCellAnchor>
  <xdr:twoCellAnchor>
    <xdr:from>
      <xdr:col>3</xdr:col>
      <xdr:colOff>4428</xdr:colOff>
      <xdr:row>309</xdr:row>
      <xdr:rowOff>94918</xdr:rowOff>
    </xdr:from>
    <xdr:to>
      <xdr:col>4</xdr:col>
      <xdr:colOff>148508</xdr:colOff>
      <xdr:row>310</xdr:row>
      <xdr:rowOff>176235</xdr:rowOff>
    </xdr:to>
    <xdr:cxnSp macro="">
      <xdr:nvCxnSpPr>
        <xdr:cNvPr id="270595" name="Conector reto 270594">
          <a:extLst>
            <a:ext uri="{FF2B5EF4-FFF2-40B4-BE49-F238E27FC236}">
              <a16:creationId xmlns:a16="http://schemas.microsoft.com/office/drawing/2014/main" id="{00000000-0008-0000-0F00-000003210400}"/>
            </a:ext>
          </a:extLst>
        </xdr:cNvPr>
        <xdr:cNvCxnSpPr>
          <a:stCxn id="270574" idx="5"/>
          <a:endCxn id="270575" idx="1"/>
        </xdr:cNvCxnSpPr>
      </xdr:nvCxnSpPr>
      <xdr:spPr>
        <a:xfrm>
          <a:off x="918828" y="58273618"/>
          <a:ext cx="382205" cy="262292"/>
        </a:xfrm>
        <a:prstGeom prst="line">
          <a:avLst/>
        </a:prstGeom>
        <a:ln>
          <a:solidFill>
            <a:schemeClr val="bg1">
              <a:lumMod val="50000"/>
            </a:schemeClr>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6</xdr:col>
      <xdr:colOff>67919</xdr:colOff>
      <xdr:row>309</xdr:row>
      <xdr:rowOff>118114</xdr:rowOff>
    </xdr:from>
    <xdr:to>
      <xdr:col>7</xdr:col>
      <xdr:colOff>210993</xdr:colOff>
      <xdr:row>310</xdr:row>
      <xdr:rowOff>176235</xdr:rowOff>
    </xdr:to>
    <xdr:cxnSp macro="">
      <xdr:nvCxnSpPr>
        <xdr:cNvPr id="270598" name="Conector reto 270597">
          <a:extLst>
            <a:ext uri="{FF2B5EF4-FFF2-40B4-BE49-F238E27FC236}">
              <a16:creationId xmlns:a16="http://schemas.microsoft.com/office/drawing/2014/main" id="{00000000-0008-0000-0F00-000006210400}"/>
            </a:ext>
          </a:extLst>
        </xdr:cNvPr>
        <xdr:cNvCxnSpPr>
          <a:stCxn id="270575" idx="7"/>
          <a:endCxn id="270576" idx="3"/>
        </xdr:cNvCxnSpPr>
      </xdr:nvCxnSpPr>
      <xdr:spPr>
        <a:xfrm flipV="1">
          <a:off x="1696694" y="58296814"/>
          <a:ext cx="381199" cy="239096"/>
        </a:xfrm>
        <a:prstGeom prst="line">
          <a:avLst/>
        </a:prstGeom>
        <a:ln>
          <a:solidFill>
            <a:schemeClr val="bg1">
              <a:lumMod val="50000"/>
            </a:schemeClr>
          </a:solidFill>
        </a:ln>
      </xdr:spPr>
      <xdr:style>
        <a:lnRef idx="1">
          <a:schemeClr val="accent6"/>
        </a:lnRef>
        <a:fillRef idx="0">
          <a:schemeClr val="accent6"/>
        </a:fillRef>
        <a:effectRef idx="0">
          <a:schemeClr val="accent6"/>
        </a:effectRef>
        <a:fontRef idx="minor">
          <a:schemeClr val="tx1"/>
        </a:fontRef>
      </xdr:style>
    </xdr:cxnSp>
    <xdr:clientData/>
  </xdr:twoCellAnchor>
  <xdr:twoCellAnchor editAs="oneCell">
    <xdr:from>
      <xdr:col>0</xdr:col>
      <xdr:colOff>98947</xdr:colOff>
      <xdr:row>161</xdr:row>
      <xdr:rowOff>32841</xdr:rowOff>
    </xdr:from>
    <xdr:to>
      <xdr:col>10</xdr:col>
      <xdr:colOff>207012</xdr:colOff>
      <xdr:row>214</xdr:row>
      <xdr:rowOff>113965</xdr:rowOff>
    </xdr:to>
    <xdr:pic>
      <xdr:nvPicPr>
        <xdr:cNvPr id="26" name="Imagem 25">
          <a:extLst>
            <a:ext uri="{FF2B5EF4-FFF2-40B4-BE49-F238E27FC236}">
              <a16:creationId xmlns:a16="http://schemas.microsoft.com/office/drawing/2014/main" id="{00000000-0008-0000-0F00-00001A000000}"/>
            </a:ext>
          </a:extLst>
        </xdr:cNvPr>
        <xdr:cNvPicPr>
          <a:picLocks noChangeAspect="1"/>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l="58820" t="5073" r="5632" b="4359"/>
        <a:stretch/>
      </xdr:blipFill>
      <xdr:spPr>
        <a:xfrm>
          <a:off x="98947" y="30087017"/>
          <a:ext cx="2663006" cy="9583713"/>
        </a:xfrm>
        <a:prstGeom prst="rect">
          <a:avLst/>
        </a:prstGeom>
      </xdr:spPr>
    </xdr:pic>
    <xdr:clientData/>
  </xdr:twoCellAnchor>
  <xdr:twoCellAnchor editAs="oneCell">
    <xdr:from>
      <xdr:col>18</xdr:col>
      <xdr:colOff>53704</xdr:colOff>
      <xdr:row>108</xdr:row>
      <xdr:rowOff>20727</xdr:rowOff>
    </xdr:from>
    <xdr:to>
      <xdr:col>28</xdr:col>
      <xdr:colOff>666639</xdr:colOff>
      <xdr:row>160</xdr:row>
      <xdr:rowOff>46729</xdr:rowOff>
    </xdr:to>
    <xdr:pic>
      <xdr:nvPicPr>
        <xdr:cNvPr id="270592" name="Imagem 270591">
          <a:extLst>
            <a:ext uri="{FF2B5EF4-FFF2-40B4-BE49-F238E27FC236}">
              <a16:creationId xmlns:a16="http://schemas.microsoft.com/office/drawing/2014/main" id="{00000000-0008-0000-0F00-000000210400}"/>
            </a:ext>
          </a:extLst>
        </xdr:cNvPr>
        <xdr:cNvPicPr>
          <a:picLocks noChangeAspect="1"/>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l="2022" t="4925" r="58004" b="3787"/>
        <a:stretch/>
      </xdr:blipFill>
      <xdr:spPr>
        <a:xfrm>
          <a:off x="4491233" y="20135286"/>
          <a:ext cx="2958775" cy="9515479"/>
        </a:xfrm>
        <a:prstGeom prst="rect">
          <a:avLst/>
        </a:prstGeom>
      </xdr:spPr>
    </xdr:pic>
    <xdr:clientData/>
  </xdr:twoCellAnchor>
  <xdr:twoCellAnchor>
    <xdr:from>
      <xdr:col>60</xdr:col>
      <xdr:colOff>400809</xdr:colOff>
      <xdr:row>449</xdr:row>
      <xdr:rowOff>138309</xdr:rowOff>
    </xdr:from>
    <xdr:to>
      <xdr:col>63</xdr:col>
      <xdr:colOff>292513</xdr:colOff>
      <xdr:row>452</xdr:row>
      <xdr:rowOff>99200</xdr:rowOff>
    </xdr:to>
    <xdr:sp macro="" textlink="Resumo!$G$354">
      <xdr:nvSpPr>
        <xdr:cNvPr id="270536" name="Retângulo 270535">
          <a:extLst>
            <a:ext uri="{FF2B5EF4-FFF2-40B4-BE49-F238E27FC236}">
              <a16:creationId xmlns:a16="http://schemas.microsoft.com/office/drawing/2014/main" id="{00000000-0008-0000-0F00-0000C8200400}"/>
            </a:ext>
          </a:extLst>
        </xdr:cNvPr>
        <xdr:cNvSpPr/>
      </xdr:nvSpPr>
      <xdr:spPr>
        <a:xfrm>
          <a:off x="24146074" y="75699574"/>
          <a:ext cx="1673439" cy="50997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indent="0" algn="ctr"/>
          <a:fld id="{39BE5560-20AD-45F3-80F4-993650BA1414}" type="TxLink">
            <a:rPr lang="en-US" sz="2000" b="1" i="0"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rPr>
            <a:pPr marL="0" indent="0" algn="ctr"/>
            <a:t> R$2.685,83 </a:t>
          </a:fld>
          <a:endParaRPr lang="pt-BR" sz="2000" b="1" i="0"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12</xdr:col>
      <xdr:colOff>60370</xdr:colOff>
      <xdr:row>187</xdr:row>
      <xdr:rowOff>83800</xdr:rowOff>
    </xdr:from>
    <xdr:to>
      <xdr:col>28</xdr:col>
      <xdr:colOff>482561</xdr:colOff>
      <xdr:row>201</xdr:row>
      <xdr:rowOff>155360</xdr:rowOff>
    </xdr:to>
    <xdr:grpSp>
      <xdr:nvGrpSpPr>
        <xdr:cNvPr id="270602" name="Agrupar 270601">
          <a:extLst>
            <a:ext uri="{FF2B5EF4-FFF2-40B4-BE49-F238E27FC236}">
              <a16:creationId xmlns:a16="http://schemas.microsoft.com/office/drawing/2014/main" id="{00000000-0008-0000-0F00-00000A210400}"/>
            </a:ext>
          </a:extLst>
        </xdr:cNvPr>
        <xdr:cNvGrpSpPr/>
      </xdr:nvGrpSpPr>
      <xdr:grpSpPr>
        <a:xfrm>
          <a:off x="3026727" y="35870586"/>
          <a:ext cx="4109727" cy="2548060"/>
          <a:chOff x="8039484" y="22580150"/>
          <a:chExt cx="4050313" cy="2371389"/>
        </a:xfrm>
      </xdr:grpSpPr>
      <xdr:sp macro="" textlink="">
        <xdr:nvSpPr>
          <xdr:cNvPr id="270603" name="CaixaDeTexto 270602">
            <a:extLst>
              <a:ext uri="{FF2B5EF4-FFF2-40B4-BE49-F238E27FC236}">
                <a16:creationId xmlns:a16="http://schemas.microsoft.com/office/drawing/2014/main" id="{00000000-0008-0000-0F00-00000B210400}"/>
              </a:ext>
            </a:extLst>
          </xdr:cNvPr>
          <xdr:cNvSpPr txBox="1"/>
        </xdr:nvSpPr>
        <xdr:spPr>
          <a:xfrm>
            <a:off x="8039484" y="22893956"/>
            <a:ext cx="4050313" cy="2057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a:solidFill>
                  <a:schemeClr val="dk1"/>
                </a:solidFill>
                <a:effectLst/>
                <a:latin typeface="Times New Roman" panose="02020603050405020304" pitchFamily="18" charset="0"/>
                <a:ea typeface="+mn-ea"/>
                <a:cs typeface="Times New Roman" panose="02020603050405020304" pitchFamily="18" charset="0"/>
              </a:rPr>
              <a:t>Temos um time de pós-venda que te dará todo o suporte </a:t>
            </a:r>
            <a:r>
              <a:rPr lang="pt-BR" sz="1100" b="1">
                <a:solidFill>
                  <a:schemeClr val="accent6">
                    <a:lumMod val="50000"/>
                  </a:schemeClr>
                </a:solidFill>
                <a:effectLst/>
                <a:latin typeface="Times New Roman" panose="02020603050405020304" pitchFamily="18" charset="0"/>
                <a:ea typeface="+mn-ea"/>
                <a:cs typeface="Times New Roman" panose="02020603050405020304" pitchFamily="18" charset="0"/>
              </a:rPr>
              <a:t>mesmo depois da conclusão da instalação</a:t>
            </a:r>
            <a:r>
              <a:rPr lang="pt-BR" sz="1100">
                <a:solidFill>
                  <a:schemeClr val="dk1"/>
                </a:solidFill>
                <a:effectLst/>
                <a:latin typeface="Times New Roman" panose="02020603050405020304" pitchFamily="18" charset="0"/>
                <a:ea typeface="+mn-ea"/>
                <a:cs typeface="Times New Roman" panose="02020603050405020304" pitchFamily="18" charset="0"/>
              </a:rPr>
              <a:t>, para garantir a melhor experiência para você</a:t>
            </a:r>
            <a:r>
              <a:rPr lang="pt-BR" sz="1100" baseline="0">
                <a:solidFill>
                  <a:schemeClr val="dk1"/>
                </a:solidFill>
                <a:effectLst/>
                <a:latin typeface="Times New Roman" panose="02020603050405020304" pitchFamily="18" charset="0"/>
                <a:ea typeface="+mn-ea"/>
                <a:cs typeface="Times New Roman" panose="02020603050405020304" pitchFamily="18" charset="0"/>
              </a:rPr>
              <a:t>, além de materiais em PDF e vídeos explicativos.</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Acompanhamento semanal e remoto do sistema</a:t>
            </a:r>
            <a:r>
              <a:rPr lang="pt-BR" sz="1100" b="1" baseline="0">
                <a:solidFill>
                  <a:schemeClr val="bg1">
                    <a:lumMod val="50000"/>
                  </a:schemeClr>
                </a:solidFill>
                <a:effectLst/>
                <a:latin typeface="Times New Roman" panose="02020603050405020304" pitchFamily="18" charset="0"/>
                <a:ea typeface="+mn-ea"/>
                <a:cs typeface="Times New Roman" panose="02020603050405020304" pitchFamily="18" charset="0"/>
              </a:rPr>
              <a:t>*</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 </a:t>
            </a:r>
            <a:r>
              <a:rPr lang="pt-BR" sz="1100" baseline="0">
                <a:solidFill>
                  <a:schemeClr val="dk1"/>
                </a:solidFill>
                <a:effectLst/>
                <a:latin typeface="Times New Roman" panose="02020603050405020304" pitchFamily="18" charset="0"/>
                <a:ea typeface="+mn-ea"/>
                <a:cs typeface="Times New Roman" panose="02020603050405020304" pitchFamily="18" charset="0"/>
              </a:rPr>
              <a:t>para uma rápida identificação de problema, minimizando o tempo sem geração.</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baseline="0">
                <a:solidFill>
                  <a:schemeClr val="dk1"/>
                </a:solidFill>
                <a:effectLst/>
                <a:latin typeface="Times New Roman" panose="02020603050405020304" pitchFamily="18" charset="0"/>
                <a:ea typeface="+mn-ea"/>
                <a:cs typeface="Times New Roman" panose="02020603050405020304" pitchFamily="18" charset="0"/>
              </a:rPr>
              <a:t>Acesso a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plataforma parceira SolarZ</a:t>
            </a:r>
            <a:r>
              <a:rPr lang="pt-BR" sz="1100" b="1" baseline="0">
                <a:solidFill>
                  <a:schemeClr val="bg1">
                    <a:lumMod val="50000"/>
                  </a:schemeClr>
                </a:solidFill>
                <a:effectLst/>
                <a:latin typeface="Times New Roman" panose="02020603050405020304" pitchFamily="18" charset="0"/>
                <a:ea typeface="+mn-ea"/>
                <a:cs typeface="Times New Roman" panose="02020603050405020304" pitchFamily="18" charset="0"/>
              </a:rPr>
              <a:t>*</a:t>
            </a:r>
            <a:r>
              <a:rPr lang="pt-BR" sz="1100" baseline="0">
                <a:solidFill>
                  <a:schemeClr val="dk1"/>
                </a:solidFill>
                <a:effectLst/>
                <a:latin typeface="Times New Roman" panose="02020603050405020304" pitchFamily="18" charset="0"/>
                <a:ea typeface="+mn-ea"/>
                <a:cs typeface="Times New Roman" panose="02020603050405020304" pitchFamily="18" charset="0"/>
              </a:rPr>
              <a:t>, que simplifica e consolida as informações da fatura e da geração de energia.</a:t>
            </a:r>
            <a:endParaRPr lang="pt-BR" sz="1100">
              <a:solidFill>
                <a:schemeClr val="dk1"/>
              </a:solidFill>
              <a:effectLst/>
              <a:latin typeface="Times New Roman" panose="02020603050405020304" pitchFamily="18" charset="0"/>
              <a:ea typeface="+mn-ea"/>
              <a:cs typeface="Times New Roman" panose="02020603050405020304" pitchFamily="18" charset="0"/>
            </a:endParaRPr>
          </a:p>
        </xdr:txBody>
      </xdr:sp>
      <xdr:sp macro="" textlink="">
        <xdr:nvSpPr>
          <xdr:cNvPr id="270604" name="CaixaDeTexto 270603">
            <a:extLst>
              <a:ext uri="{FF2B5EF4-FFF2-40B4-BE49-F238E27FC236}">
                <a16:creationId xmlns:a16="http://schemas.microsoft.com/office/drawing/2014/main" id="{00000000-0008-0000-0F00-00000C210400}"/>
              </a:ext>
            </a:extLst>
          </xdr:cNvPr>
          <xdr:cNvSpPr txBox="1"/>
        </xdr:nvSpPr>
        <xdr:spPr>
          <a:xfrm>
            <a:off x="9293115" y="22580150"/>
            <a:ext cx="1543050" cy="362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400" b="1">
                <a:solidFill>
                  <a:schemeClr val="accent6">
                    <a:lumMod val="50000"/>
                  </a:schemeClr>
                </a:solidFill>
                <a:effectLst/>
                <a:latin typeface="Times New Roman" panose="02020603050405020304" pitchFamily="18" charset="0"/>
                <a:ea typeface="+mn-ea"/>
                <a:cs typeface="Times New Roman" panose="02020603050405020304" pitchFamily="18" charset="0"/>
              </a:rPr>
              <a:t>PÓS-VENDA</a:t>
            </a:r>
          </a:p>
        </xdr:txBody>
      </xdr:sp>
    </xdr:grpSp>
    <xdr:clientData/>
  </xdr:twoCellAnchor>
  <xdr:twoCellAnchor>
    <xdr:from>
      <xdr:col>12</xdr:col>
      <xdr:colOff>55790</xdr:colOff>
      <xdr:row>161</xdr:row>
      <xdr:rowOff>81643</xdr:rowOff>
    </xdr:from>
    <xdr:to>
      <xdr:col>28</xdr:col>
      <xdr:colOff>489887</xdr:colOff>
      <xdr:row>174</xdr:row>
      <xdr:rowOff>130867</xdr:rowOff>
    </xdr:to>
    <xdr:grpSp>
      <xdr:nvGrpSpPr>
        <xdr:cNvPr id="270605" name="Agrupar 270604">
          <a:extLst>
            <a:ext uri="{FF2B5EF4-FFF2-40B4-BE49-F238E27FC236}">
              <a16:creationId xmlns:a16="http://schemas.microsoft.com/office/drawing/2014/main" id="{00000000-0008-0000-0F00-00000D210400}"/>
            </a:ext>
          </a:extLst>
        </xdr:cNvPr>
        <xdr:cNvGrpSpPr/>
      </xdr:nvGrpSpPr>
      <xdr:grpSpPr>
        <a:xfrm>
          <a:off x="3022147" y="31269214"/>
          <a:ext cx="4121633" cy="2348832"/>
          <a:chOff x="12519484" y="22559315"/>
          <a:chExt cx="4056474" cy="2011403"/>
        </a:xfrm>
      </xdr:grpSpPr>
      <xdr:sp macro="" textlink="">
        <xdr:nvSpPr>
          <xdr:cNvPr id="270610" name="CaixaDeTexto 270609">
            <a:extLst>
              <a:ext uri="{FF2B5EF4-FFF2-40B4-BE49-F238E27FC236}">
                <a16:creationId xmlns:a16="http://schemas.microsoft.com/office/drawing/2014/main" id="{00000000-0008-0000-0F00-000012210400}"/>
              </a:ext>
            </a:extLst>
          </xdr:cNvPr>
          <xdr:cNvSpPr txBox="1"/>
        </xdr:nvSpPr>
        <xdr:spPr>
          <a:xfrm>
            <a:off x="12519484" y="22893956"/>
            <a:ext cx="4056474" cy="1676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a:solidFill>
                  <a:schemeClr val="dk1"/>
                </a:solidFill>
                <a:effectLst/>
                <a:latin typeface="Times New Roman" panose="02020603050405020304" pitchFamily="18" charset="0"/>
                <a:ea typeface="+mn-ea"/>
                <a:cs typeface="Times New Roman" panose="02020603050405020304" pitchFamily="18" charset="0"/>
              </a:rPr>
              <a:t>Realizamos uma</a:t>
            </a:r>
            <a:r>
              <a:rPr lang="pt-BR" sz="1100" baseline="0">
                <a:solidFill>
                  <a:schemeClr val="dk1"/>
                </a:solidFill>
                <a:effectLst/>
                <a:latin typeface="Times New Roman" panose="02020603050405020304" pitchFamily="18" charset="0"/>
                <a:ea typeface="+mn-ea"/>
                <a:cs typeface="Times New Roman" panose="02020603050405020304" pitchFamily="18" charset="0"/>
              </a:rPr>
              <a:t> análise com drone, gerando uma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maquete em 3D</a:t>
            </a:r>
            <a:r>
              <a:rPr lang="pt-BR" sz="1100" b="1" baseline="0">
                <a:solidFill>
                  <a:schemeClr val="bg1">
                    <a:lumMod val="50000"/>
                  </a:schemeClr>
                </a:solidFill>
                <a:effectLst/>
                <a:latin typeface="Times New Roman" panose="02020603050405020304" pitchFamily="18" charset="0"/>
                <a:ea typeface="+mn-ea"/>
                <a:cs typeface="Times New Roman" panose="02020603050405020304" pitchFamily="18" charset="0"/>
              </a:rPr>
              <a:t>*</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 </a:t>
            </a:r>
            <a:r>
              <a:rPr lang="pt-BR" sz="1100" baseline="0">
                <a:solidFill>
                  <a:schemeClr val="dk1"/>
                </a:solidFill>
                <a:effectLst/>
                <a:latin typeface="Times New Roman" panose="02020603050405020304" pitchFamily="18" charset="0"/>
                <a:ea typeface="+mn-ea"/>
                <a:cs typeface="Times New Roman" panose="02020603050405020304" pitchFamily="18" charset="0"/>
              </a:rPr>
              <a:t>do estabelecimento. Na sequência utilizamos esse modelo no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melhor</a:t>
            </a:r>
            <a:r>
              <a:rPr lang="pt-BR" sz="1100" baseline="0">
                <a:solidFill>
                  <a:schemeClr val="dk1"/>
                </a:solidFill>
                <a:effectLst/>
                <a:latin typeface="Times New Roman" panose="02020603050405020304" pitchFamily="18" charset="0"/>
                <a:ea typeface="+mn-ea"/>
                <a:cs typeface="Times New Roman" panose="02020603050405020304" pitchFamily="18" charset="0"/>
              </a:rPr>
              <a:t> software do mercado - PV*Sol</a:t>
            </a:r>
            <a:r>
              <a:rPr lang="pt-BR" sz="1100" baseline="0">
                <a:solidFill>
                  <a:schemeClr val="bg1">
                    <a:lumMod val="50000"/>
                  </a:schemeClr>
                </a:solidFill>
                <a:effectLst/>
                <a:latin typeface="Times New Roman" panose="02020603050405020304" pitchFamily="18" charset="0"/>
                <a:ea typeface="+mn-ea"/>
                <a:cs typeface="Times New Roman" panose="02020603050405020304" pitchFamily="18" charset="0"/>
              </a:rPr>
              <a:t>*</a:t>
            </a:r>
            <a:r>
              <a:rPr lang="pt-BR" sz="1100" baseline="0">
                <a:solidFill>
                  <a:schemeClr val="dk1"/>
                </a:solidFill>
                <a:effectLst/>
                <a:latin typeface="Times New Roman" panose="02020603050405020304" pitchFamily="18" charset="0"/>
                <a:ea typeface="+mn-ea"/>
                <a:cs typeface="Times New Roman" panose="02020603050405020304" pitchFamily="18" charset="0"/>
              </a:rPr>
              <a:t> - para calcular de maneira assertiva sua geração, de hora em hora, para todos os dias do ano.</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Resultado:</a:t>
            </a:r>
            <a:r>
              <a:rPr lang="pt-BR" sz="1100" baseline="0">
                <a:solidFill>
                  <a:schemeClr val="dk1"/>
                </a:solidFill>
                <a:effectLst/>
                <a:latin typeface="Times New Roman" panose="02020603050405020304" pitchFamily="18" charset="0"/>
                <a:ea typeface="+mn-ea"/>
                <a:cs typeface="Times New Roman" panose="02020603050405020304" pitchFamily="18" charset="0"/>
              </a:rPr>
              <a:t> Precisão das medidas, visibilidade do sistema antes mesmo da isntalação e assertividade &gt;90% na estimativa de geração.</a:t>
            </a:r>
            <a:endParaRPr lang="pt-BR" sz="1100">
              <a:solidFill>
                <a:schemeClr val="dk1"/>
              </a:solidFill>
              <a:effectLst/>
              <a:latin typeface="Times New Roman" panose="02020603050405020304" pitchFamily="18" charset="0"/>
              <a:ea typeface="+mn-ea"/>
              <a:cs typeface="Times New Roman" panose="02020603050405020304" pitchFamily="18" charset="0"/>
            </a:endParaRPr>
          </a:p>
        </xdr:txBody>
      </xdr:sp>
      <xdr:sp macro="" textlink="">
        <xdr:nvSpPr>
          <xdr:cNvPr id="270611" name="CaixaDeTexto 270610">
            <a:extLst>
              <a:ext uri="{FF2B5EF4-FFF2-40B4-BE49-F238E27FC236}">
                <a16:creationId xmlns:a16="http://schemas.microsoft.com/office/drawing/2014/main" id="{00000000-0008-0000-0F00-000013210400}"/>
              </a:ext>
            </a:extLst>
          </xdr:cNvPr>
          <xdr:cNvSpPr txBox="1"/>
        </xdr:nvSpPr>
        <xdr:spPr>
          <a:xfrm>
            <a:off x="13775243" y="22559315"/>
            <a:ext cx="1544955" cy="341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400" b="1">
                <a:solidFill>
                  <a:schemeClr val="accent6">
                    <a:lumMod val="50000"/>
                  </a:schemeClr>
                </a:solidFill>
                <a:effectLst/>
                <a:latin typeface="Times New Roman" panose="02020603050405020304" pitchFamily="18" charset="0"/>
                <a:ea typeface="+mn-ea"/>
                <a:cs typeface="Times New Roman" panose="02020603050405020304" pitchFamily="18" charset="0"/>
              </a:rPr>
              <a:t>PROJETO</a:t>
            </a:r>
          </a:p>
        </xdr:txBody>
      </xdr:sp>
    </xdr:grpSp>
    <xdr:clientData/>
  </xdr:twoCellAnchor>
  <xdr:twoCellAnchor>
    <xdr:from>
      <xdr:col>12</xdr:col>
      <xdr:colOff>54429</xdr:colOff>
      <xdr:row>173</xdr:row>
      <xdr:rowOff>104526</xdr:rowOff>
    </xdr:from>
    <xdr:to>
      <xdr:col>28</xdr:col>
      <xdr:colOff>460580</xdr:colOff>
      <xdr:row>186</xdr:row>
      <xdr:rowOff>13532</xdr:rowOff>
    </xdr:to>
    <xdr:grpSp>
      <xdr:nvGrpSpPr>
        <xdr:cNvPr id="270618" name="Agrupar 270617">
          <a:extLst>
            <a:ext uri="{FF2B5EF4-FFF2-40B4-BE49-F238E27FC236}">
              <a16:creationId xmlns:a16="http://schemas.microsoft.com/office/drawing/2014/main" id="{00000000-0008-0000-0F00-00001A210400}"/>
            </a:ext>
          </a:extLst>
        </xdr:cNvPr>
        <xdr:cNvGrpSpPr/>
      </xdr:nvGrpSpPr>
      <xdr:grpSpPr>
        <a:xfrm>
          <a:off x="3020786" y="33414812"/>
          <a:ext cx="4093687" cy="2208613"/>
          <a:chOff x="8103132" y="25409406"/>
          <a:chExt cx="4040342" cy="2094997"/>
        </a:xfrm>
      </xdr:grpSpPr>
      <xdr:sp macro="" textlink="">
        <xdr:nvSpPr>
          <xdr:cNvPr id="270621" name="CaixaDeTexto 270620">
            <a:extLst>
              <a:ext uri="{FF2B5EF4-FFF2-40B4-BE49-F238E27FC236}">
                <a16:creationId xmlns:a16="http://schemas.microsoft.com/office/drawing/2014/main" id="{00000000-0008-0000-0F00-00001D210400}"/>
              </a:ext>
            </a:extLst>
          </xdr:cNvPr>
          <xdr:cNvSpPr txBox="1"/>
        </xdr:nvSpPr>
        <xdr:spPr>
          <a:xfrm>
            <a:off x="8103132" y="25732855"/>
            <a:ext cx="4040342" cy="1771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a:solidFill>
                  <a:schemeClr val="dk1"/>
                </a:solidFill>
                <a:effectLst/>
                <a:latin typeface="Times New Roman" panose="02020603050405020304" pitchFamily="18" charset="0"/>
                <a:ea typeface="+mn-ea"/>
                <a:cs typeface="Times New Roman" panose="02020603050405020304" pitchFamily="18" charset="0"/>
              </a:rPr>
              <a:t>Nosso</a:t>
            </a:r>
            <a:r>
              <a:rPr lang="pt-BR" sz="1100" baseline="0">
                <a:solidFill>
                  <a:schemeClr val="dk1"/>
                </a:solidFill>
                <a:effectLst/>
                <a:latin typeface="Times New Roman" panose="02020603050405020304" pitchFamily="18" charset="0"/>
                <a:ea typeface="+mn-ea"/>
                <a:cs typeface="Times New Roman" panose="02020603050405020304" pitchFamily="18" charset="0"/>
              </a:rPr>
              <a:t> time de engenharia estará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presente em todas as etapas</a:t>
            </a:r>
            <a:r>
              <a:rPr lang="pt-BR" sz="1100" baseline="0">
                <a:solidFill>
                  <a:schemeClr val="dk1"/>
                </a:solidFill>
                <a:effectLst/>
                <a:latin typeface="Times New Roman" panose="02020603050405020304" pitchFamily="18" charset="0"/>
                <a:ea typeface="+mn-ea"/>
                <a:cs typeface="Times New Roman" panose="02020603050405020304" pitchFamily="18" charset="0"/>
              </a:rPr>
              <a:t>: Visita Técnica, Projeto, Layout, Instalação, Acompanhamentos pós-instalação.</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baseline="0">
                <a:solidFill>
                  <a:schemeClr val="dk1"/>
                </a:solidFill>
                <a:effectLst/>
                <a:latin typeface="Times New Roman" panose="02020603050405020304" pitchFamily="18" charset="0"/>
                <a:ea typeface="+mn-ea"/>
                <a:cs typeface="Times New Roman" panose="02020603050405020304" pitchFamily="18" charset="0"/>
              </a:rPr>
              <a:t>Será preparado um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projeto detalhado</a:t>
            </a:r>
            <a:r>
              <a:rPr lang="pt-BR" sz="1100" baseline="0">
                <a:solidFill>
                  <a:schemeClr val="dk1"/>
                </a:solidFill>
                <a:effectLst/>
                <a:latin typeface="Times New Roman" panose="02020603050405020304" pitchFamily="18" charset="0"/>
                <a:ea typeface="+mn-ea"/>
                <a:cs typeface="Times New Roman" panose="02020603050405020304" pitchFamily="18" charset="0"/>
              </a:rPr>
              <a:t>, evitando erros na instalação, além da realização de todos os testes após a instalação, para garantir que seu sistema está funcionando da melhor forma.</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baseline="0">
                <a:solidFill>
                  <a:schemeClr val="dk1"/>
                </a:solidFill>
                <a:effectLst/>
                <a:latin typeface="Times New Roman" panose="02020603050405020304" pitchFamily="18" charset="0"/>
                <a:ea typeface="+mn-ea"/>
                <a:cs typeface="Times New Roman" panose="02020603050405020304" pitchFamily="18" charset="0"/>
              </a:rPr>
              <a:t>E o melhor: Nosso time de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engenharia é próprio</a:t>
            </a:r>
            <a:r>
              <a:rPr lang="pt-BR" sz="1100" baseline="0">
                <a:solidFill>
                  <a:schemeClr val="dk1"/>
                </a:solidFill>
                <a:effectLst/>
                <a:latin typeface="Times New Roman" panose="02020603050405020304" pitchFamily="18" charset="0"/>
                <a:ea typeface="+mn-ea"/>
                <a:cs typeface="Times New Roman" panose="02020603050405020304" pitchFamily="18" charset="0"/>
              </a:rPr>
              <a:t>!</a:t>
            </a:r>
            <a:endParaRPr lang="pt-BR" sz="1100">
              <a:solidFill>
                <a:schemeClr val="dk1"/>
              </a:solidFill>
              <a:effectLst/>
              <a:latin typeface="Times New Roman" panose="02020603050405020304" pitchFamily="18" charset="0"/>
              <a:ea typeface="+mn-ea"/>
              <a:cs typeface="Times New Roman" panose="02020603050405020304" pitchFamily="18" charset="0"/>
            </a:endParaRPr>
          </a:p>
        </xdr:txBody>
      </xdr:sp>
      <xdr:sp macro="" textlink="">
        <xdr:nvSpPr>
          <xdr:cNvPr id="270622" name="CaixaDeTexto 270621">
            <a:extLst>
              <a:ext uri="{FF2B5EF4-FFF2-40B4-BE49-F238E27FC236}">
                <a16:creationId xmlns:a16="http://schemas.microsoft.com/office/drawing/2014/main" id="{00000000-0008-0000-0F00-00001E210400}"/>
              </a:ext>
            </a:extLst>
          </xdr:cNvPr>
          <xdr:cNvSpPr txBox="1"/>
        </xdr:nvSpPr>
        <xdr:spPr>
          <a:xfrm>
            <a:off x="9345110" y="25409406"/>
            <a:ext cx="1556385" cy="341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400" b="1">
                <a:solidFill>
                  <a:schemeClr val="accent6">
                    <a:lumMod val="50000"/>
                  </a:schemeClr>
                </a:solidFill>
                <a:effectLst/>
                <a:latin typeface="Times New Roman" panose="02020603050405020304" pitchFamily="18" charset="0"/>
                <a:ea typeface="+mn-ea"/>
                <a:cs typeface="Times New Roman" panose="02020603050405020304" pitchFamily="18" charset="0"/>
              </a:rPr>
              <a:t>ENGENHARIA</a:t>
            </a:r>
          </a:p>
        </xdr:txBody>
      </xdr:sp>
    </xdr:grpSp>
    <xdr:clientData/>
  </xdr:twoCellAnchor>
  <xdr:twoCellAnchor>
    <xdr:from>
      <xdr:col>12</xdr:col>
      <xdr:colOff>83400</xdr:colOff>
      <xdr:row>202</xdr:row>
      <xdr:rowOff>153115</xdr:rowOff>
    </xdr:from>
    <xdr:to>
      <xdr:col>28</xdr:col>
      <xdr:colOff>394638</xdr:colOff>
      <xdr:row>216</xdr:row>
      <xdr:rowOff>70014</xdr:rowOff>
    </xdr:to>
    <xdr:grpSp>
      <xdr:nvGrpSpPr>
        <xdr:cNvPr id="270623" name="Agrupar 270622">
          <a:extLst>
            <a:ext uri="{FF2B5EF4-FFF2-40B4-BE49-F238E27FC236}">
              <a16:creationId xmlns:a16="http://schemas.microsoft.com/office/drawing/2014/main" id="{00000000-0008-0000-0F00-00001F210400}"/>
            </a:ext>
          </a:extLst>
        </xdr:cNvPr>
        <xdr:cNvGrpSpPr/>
      </xdr:nvGrpSpPr>
      <xdr:grpSpPr>
        <a:xfrm>
          <a:off x="3049757" y="38593294"/>
          <a:ext cx="3998774" cy="2475041"/>
          <a:chOff x="12628251" y="24639795"/>
          <a:chExt cx="4101455" cy="1787415"/>
        </a:xfrm>
      </xdr:grpSpPr>
      <xdr:sp macro="" textlink="">
        <xdr:nvSpPr>
          <xdr:cNvPr id="270624" name="CaixaDeTexto 270623">
            <a:extLst>
              <a:ext uri="{FF2B5EF4-FFF2-40B4-BE49-F238E27FC236}">
                <a16:creationId xmlns:a16="http://schemas.microsoft.com/office/drawing/2014/main" id="{00000000-0008-0000-0F00-000020210400}"/>
              </a:ext>
            </a:extLst>
          </xdr:cNvPr>
          <xdr:cNvSpPr txBox="1"/>
        </xdr:nvSpPr>
        <xdr:spPr>
          <a:xfrm>
            <a:off x="12628251" y="24934496"/>
            <a:ext cx="4101455" cy="1492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a:solidFill>
                  <a:schemeClr val="dk1"/>
                </a:solidFill>
                <a:effectLst/>
                <a:latin typeface="Times New Roman" panose="02020603050405020304" pitchFamily="18" charset="0"/>
                <a:ea typeface="+mn-ea"/>
                <a:cs typeface="Times New Roman" panose="02020603050405020304" pitchFamily="18" charset="0"/>
              </a:rPr>
              <a:t>Com a CACTOS</a:t>
            </a:r>
            <a:r>
              <a:rPr lang="pt-BR" sz="1100" baseline="0">
                <a:solidFill>
                  <a:schemeClr val="dk1"/>
                </a:solidFill>
                <a:effectLst/>
                <a:latin typeface="Times New Roman" panose="02020603050405020304" pitchFamily="18" charset="0"/>
                <a:ea typeface="+mn-ea"/>
                <a:cs typeface="Times New Roman" panose="02020603050405020304" pitchFamily="18" charset="0"/>
              </a:rPr>
              <a:t> a qualidade da sua entrega é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garantida</a:t>
            </a:r>
            <a:r>
              <a:rPr lang="pt-BR" sz="1100" baseline="0">
                <a:solidFill>
                  <a:schemeClr val="dk1"/>
                </a:solidFill>
                <a:effectLst/>
                <a:latin typeface="Times New Roman" panose="02020603050405020304" pitchFamily="18" charset="0"/>
                <a:ea typeface="+mn-ea"/>
                <a:cs typeface="Times New Roman" panose="02020603050405020304" pitchFamily="18" charset="0"/>
              </a:rPr>
              <a:t>. O nosso objetivo é solucionar suas dores e não gerar mais problema.</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baseline="0">
                <a:solidFill>
                  <a:schemeClr val="dk1"/>
                </a:solidFill>
                <a:effectLst/>
                <a:latin typeface="Times New Roman" panose="02020603050405020304" pitchFamily="18" charset="0"/>
                <a:ea typeface="+mn-ea"/>
                <a:cs typeface="Times New Roman" panose="02020603050405020304" pitchFamily="18" charset="0"/>
              </a:rPr>
              <a:t>Somos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peritos</a:t>
            </a:r>
            <a:r>
              <a:rPr lang="pt-BR" sz="1100" baseline="0">
                <a:solidFill>
                  <a:schemeClr val="dk1"/>
                </a:solidFill>
                <a:effectLst/>
                <a:latin typeface="Times New Roman" panose="02020603050405020304" pitchFamily="18" charset="0"/>
                <a:ea typeface="+mn-ea"/>
                <a:cs typeface="Times New Roman" panose="02020603050405020304" pitchFamily="18" charset="0"/>
              </a:rPr>
              <a:t> nas áreas da Elétrica e Energia Solar e nesses mais de 7 anos, já realizamos diversos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laudos e manuteções corretivas</a:t>
            </a:r>
            <a:r>
              <a:rPr lang="pt-BR" sz="1100" baseline="0">
                <a:solidFill>
                  <a:schemeClr val="dk1"/>
                </a:solidFill>
                <a:effectLst/>
                <a:latin typeface="Times New Roman" panose="02020603050405020304" pitchFamily="18" charset="0"/>
                <a:ea typeface="+mn-ea"/>
                <a:cs typeface="Times New Roman" panose="02020603050405020304" pitchFamily="18" charset="0"/>
              </a:rPr>
              <a:t> de sistemas existentes; alguns que inclusive acarretaram em perda da garantia, resultante de erros no processo de instalação.</a:t>
            </a:r>
            <a:endParaRPr lang="pt-BR" sz="1100">
              <a:solidFill>
                <a:schemeClr val="dk1"/>
              </a:solidFill>
              <a:effectLst/>
              <a:latin typeface="Times New Roman" panose="02020603050405020304" pitchFamily="18" charset="0"/>
              <a:ea typeface="+mn-ea"/>
              <a:cs typeface="Times New Roman" panose="02020603050405020304" pitchFamily="18" charset="0"/>
            </a:endParaRPr>
          </a:p>
        </xdr:txBody>
      </xdr:sp>
      <xdr:sp macro="" textlink="">
        <xdr:nvSpPr>
          <xdr:cNvPr id="270625" name="CaixaDeTexto 270624">
            <a:extLst>
              <a:ext uri="{FF2B5EF4-FFF2-40B4-BE49-F238E27FC236}">
                <a16:creationId xmlns:a16="http://schemas.microsoft.com/office/drawing/2014/main" id="{00000000-0008-0000-0F00-000021210400}"/>
              </a:ext>
            </a:extLst>
          </xdr:cNvPr>
          <xdr:cNvSpPr txBox="1"/>
        </xdr:nvSpPr>
        <xdr:spPr>
          <a:xfrm>
            <a:off x="13912215" y="24639795"/>
            <a:ext cx="1533525" cy="3508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400" b="1">
                <a:solidFill>
                  <a:schemeClr val="accent6">
                    <a:lumMod val="50000"/>
                  </a:schemeClr>
                </a:solidFill>
                <a:effectLst/>
                <a:latin typeface="Times New Roman" panose="02020603050405020304" pitchFamily="18" charset="0"/>
                <a:ea typeface="+mn-ea"/>
                <a:cs typeface="Times New Roman" panose="02020603050405020304" pitchFamily="18" charset="0"/>
              </a:rPr>
              <a:t>QUALIDADE</a:t>
            </a:r>
          </a:p>
        </xdr:txBody>
      </xdr:sp>
    </xdr:grpSp>
    <xdr:clientData/>
  </xdr:twoCellAnchor>
  <xdr:oneCellAnchor>
    <xdr:from>
      <xdr:col>16</xdr:col>
      <xdr:colOff>20313</xdr:colOff>
      <xdr:row>187</xdr:row>
      <xdr:rowOff>6231</xdr:rowOff>
    </xdr:from>
    <xdr:ext cx="445495" cy="421577"/>
    <xdr:pic>
      <xdr:nvPicPr>
        <xdr:cNvPr id="270626" name="Imagem 270625">
          <a:extLst>
            <a:ext uri="{FF2B5EF4-FFF2-40B4-BE49-F238E27FC236}">
              <a16:creationId xmlns:a16="http://schemas.microsoft.com/office/drawing/2014/main" id="{00000000-0008-0000-0F00-000022210400}"/>
            </a:ext>
          </a:extLst>
        </xdr:cNvPr>
        <xdr:cNvPicPr>
          <a:picLocks noChangeAspect="1"/>
        </xdr:cNvPicPr>
      </xdr:nvPicPr>
      <xdr:blipFill>
        <a:blip xmlns:r="http://schemas.openxmlformats.org/officeDocument/2006/relationships" r:embed="rId38"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3911956" y="35793017"/>
          <a:ext cx="445495" cy="421577"/>
        </a:xfrm>
        <a:prstGeom prst="rect">
          <a:avLst/>
        </a:prstGeom>
      </xdr:spPr>
    </xdr:pic>
    <xdr:clientData/>
  </xdr:oneCellAnchor>
  <xdr:oneCellAnchor>
    <xdr:from>
      <xdr:col>16</xdr:col>
      <xdr:colOff>7930</xdr:colOff>
      <xdr:row>202</xdr:row>
      <xdr:rowOff>42674</xdr:rowOff>
    </xdr:from>
    <xdr:ext cx="466450" cy="450266"/>
    <xdr:pic>
      <xdr:nvPicPr>
        <xdr:cNvPr id="270627" name="Imagem 270626">
          <a:extLst>
            <a:ext uri="{FF2B5EF4-FFF2-40B4-BE49-F238E27FC236}">
              <a16:creationId xmlns:a16="http://schemas.microsoft.com/office/drawing/2014/main" id="{00000000-0008-0000-0F00-000023210400}"/>
            </a:ext>
          </a:extLst>
        </xdr:cNvPr>
        <xdr:cNvPicPr>
          <a:picLocks noChangeAspect="1"/>
        </xdr:cNvPicPr>
      </xdr:nvPicPr>
      <xdr:blipFill>
        <a:blip xmlns:r="http://schemas.openxmlformats.org/officeDocument/2006/relationships" r:embed="rId39"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3899573" y="38482853"/>
          <a:ext cx="466450" cy="450266"/>
        </a:xfrm>
        <a:prstGeom prst="rect">
          <a:avLst/>
        </a:prstGeom>
      </xdr:spPr>
    </xdr:pic>
    <xdr:clientData/>
  </xdr:oneCellAnchor>
  <xdr:oneCellAnchor>
    <xdr:from>
      <xdr:col>15</xdr:col>
      <xdr:colOff>197582</xdr:colOff>
      <xdr:row>173</xdr:row>
      <xdr:rowOff>4174</xdr:rowOff>
    </xdr:from>
    <xdr:ext cx="441685" cy="465349"/>
    <xdr:pic>
      <xdr:nvPicPr>
        <xdr:cNvPr id="270628" name="Imagem 270627">
          <a:extLst>
            <a:ext uri="{FF2B5EF4-FFF2-40B4-BE49-F238E27FC236}">
              <a16:creationId xmlns:a16="http://schemas.microsoft.com/office/drawing/2014/main" id="{00000000-0008-0000-0F00-000024210400}"/>
            </a:ext>
          </a:extLst>
        </xdr:cNvPr>
        <xdr:cNvPicPr>
          <a:picLocks noChangeAspect="1"/>
        </xdr:cNvPicPr>
      </xdr:nvPicPr>
      <xdr:blipFill>
        <a:blip xmlns:r="http://schemas.openxmlformats.org/officeDocument/2006/relationships" r:embed="rId40"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3857903" y="33314460"/>
          <a:ext cx="441685" cy="465349"/>
        </a:xfrm>
        <a:prstGeom prst="rect">
          <a:avLst/>
        </a:prstGeom>
      </xdr:spPr>
    </xdr:pic>
    <xdr:clientData/>
  </xdr:oneCellAnchor>
  <xdr:oneCellAnchor>
    <xdr:from>
      <xdr:col>16</xdr:col>
      <xdr:colOff>7930</xdr:colOff>
      <xdr:row>161</xdr:row>
      <xdr:rowOff>83057</xdr:rowOff>
    </xdr:from>
    <xdr:ext cx="466450" cy="409461"/>
    <xdr:pic>
      <xdr:nvPicPr>
        <xdr:cNvPr id="270629" name="Imagem 270628">
          <a:extLst>
            <a:ext uri="{FF2B5EF4-FFF2-40B4-BE49-F238E27FC236}">
              <a16:creationId xmlns:a16="http://schemas.microsoft.com/office/drawing/2014/main" id="{00000000-0008-0000-0F00-000025210400}"/>
            </a:ext>
          </a:extLst>
        </xdr:cNvPr>
        <xdr:cNvPicPr>
          <a:picLocks noChangeAspect="1"/>
        </xdr:cNvPicPr>
      </xdr:nvPicPr>
      <xdr:blipFill>
        <a:blip xmlns:r="http://schemas.openxmlformats.org/officeDocument/2006/relationships" r:embed="rId41"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3899573" y="31270628"/>
          <a:ext cx="466450" cy="409461"/>
        </a:xfrm>
        <a:prstGeom prst="rect">
          <a:avLst/>
        </a:prstGeom>
      </xdr:spPr>
    </xdr:pic>
    <xdr:clientData/>
  </xdr:oneCellAnchor>
  <xdr:twoCellAnchor editAs="oneCell">
    <xdr:from>
      <xdr:col>23</xdr:col>
      <xdr:colOff>93673</xdr:colOff>
      <xdr:row>202</xdr:row>
      <xdr:rowOff>119493</xdr:rowOff>
    </xdr:from>
    <xdr:to>
      <xdr:col>28</xdr:col>
      <xdr:colOff>3536</xdr:colOff>
      <xdr:row>205</xdr:row>
      <xdr:rowOff>86119</xdr:rowOff>
    </xdr:to>
    <xdr:pic>
      <xdr:nvPicPr>
        <xdr:cNvPr id="270630" name="Imagem 270629">
          <a:extLst>
            <a:ext uri="{FF2B5EF4-FFF2-40B4-BE49-F238E27FC236}">
              <a16:creationId xmlns:a16="http://schemas.microsoft.com/office/drawing/2014/main" id="{00000000-0008-0000-0F00-0000262104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5604566" y="38559672"/>
          <a:ext cx="1052863" cy="497304"/>
        </a:xfrm>
        <a:prstGeom prst="rect">
          <a:avLst/>
        </a:prstGeom>
        <a:ln w="9525">
          <a:solidFill>
            <a:schemeClr val="accent6">
              <a:lumMod val="40000"/>
              <a:lumOff val="60000"/>
            </a:schemeClr>
          </a:solidFill>
        </a:ln>
        <a:effectLst>
          <a:innerShdw blurRad="63500" dist="50800" dir="13500000">
            <a:prstClr val="black">
              <a:alpha val="50000"/>
            </a:prstClr>
          </a:innerShdw>
        </a:effectLst>
      </xdr:spPr>
    </xdr:pic>
    <xdr:clientData/>
  </xdr:twoCellAnchor>
  <xdr:twoCellAnchor>
    <xdr:from>
      <xdr:col>54</xdr:col>
      <xdr:colOff>348182</xdr:colOff>
      <xdr:row>451</xdr:row>
      <xdr:rowOff>83527</xdr:rowOff>
    </xdr:from>
    <xdr:to>
      <xdr:col>55</xdr:col>
      <xdr:colOff>550448</xdr:colOff>
      <xdr:row>455</xdr:row>
      <xdr:rowOff>83527</xdr:rowOff>
    </xdr:to>
    <xdr:sp macro="" textlink="Resumo!$J$344">
      <xdr:nvSpPr>
        <xdr:cNvPr id="25" name="CaixaDeTexto 24">
          <a:extLst>
            <a:ext uri="{FF2B5EF4-FFF2-40B4-BE49-F238E27FC236}">
              <a16:creationId xmlns:a16="http://schemas.microsoft.com/office/drawing/2014/main" id="{E7EA9446-9A66-53C3-D583-49E1472474F6}"/>
            </a:ext>
          </a:extLst>
        </xdr:cNvPr>
        <xdr:cNvSpPr txBox="1"/>
      </xdr:nvSpPr>
      <xdr:spPr>
        <a:xfrm>
          <a:off x="20529976" y="76003380"/>
          <a:ext cx="796178" cy="773206"/>
        </a:xfrm>
        <a:prstGeom prst="rect">
          <a:avLst/>
        </a:prstGeom>
        <a:noFill/>
        <a:ln w="9525" cmpd="sng">
          <a:noFill/>
        </a:ln>
        <a:scene3d>
          <a:camera prst="perspectiveHeroicExtremeLeftFacing"/>
          <a:lightRig rig="threePt" dir="t"/>
        </a:scene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6A7B934-A5DE-4912-9C4D-4D3051FE4AF7}" type="TxLink">
            <a:rPr lang="en-US" sz="1600" b="1" i="1">
              <a:solidFill>
                <a:srgbClr val="FF0000"/>
              </a:solidFill>
              <a:latin typeface="Engravers MT" panose="02090707080505020304" pitchFamily="18" charset="0"/>
              <a:ea typeface="+mn-ea"/>
              <a:cs typeface="Cavolini" panose="020B0502040204020203" pitchFamily="66" charset="0"/>
            </a:rPr>
            <a:pPr marL="0" indent="0" algn="ctr"/>
            <a:t>-20%</a:t>
          </a:fld>
          <a:endParaRPr lang="pt-BR" sz="1600" b="1" i="1">
            <a:solidFill>
              <a:srgbClr val="FF0000"/>
            </a:solidFill>
            <a:latin typeface="Engravers MT" panose="02090707080505020304" pitchFamily="18" charset="0"/>
            <a:ea typeface="+mn-ea"/>
            <a:cs typeface="Cavolini" panose="020B0502040204020203" pitchFamily="66" charset="0"/>
          </a:endParaRPr>
        </a:p>
      </xdr:txBody>
    </xdr:sp>
    <xdr:clientData/>
  </xdr:twoCellAnchor>
  <xdr:twoCellAnchor>
    <xdr:from>
      <xdr:col>60</xdr:col>
      <xdr:colOff>557038</xdr:colOff>
      <xdr:row>453</xdr:row>
      <xdr:rowOff>16853</xdr:rowOff>
    </xdr:from>
    <xdr:to>
      <xdr:col>62</xdr:col>
      <xdr:colOff>357363</xdr:colOff>
      <xdr:row>454</xdr:row>
      <xdr:rowOff>72812</xdr:rowOff>
    </xdr:to>
    <xdr:cxnSp macro="">
      <xdr:nvCxnSpPr>
        <xdr:cNvPr id="270644" name="Conector reto 270643">
          <a:extLst>
            <a:ext uri="{FF2B5EF4-FFF2-40B4-BE49-F238E27FC236}">
              <a16:creationId xmlns:a16="http://schemas.microsoft.com/office/drawing/2014/main" id="{6EFEF0F0-7326-3E4B-2DBE-04D047CCFD32}"/>
            </a:ext>
          </a:extLst>
        </xdr:cNvPr>
        <xdr:cNvCxnSpPr/>
      </xdr:nvCxnSpPr>
      <xdr:spPr>
        <a:xfrm>
          <a:off x="24302303" y="76317706"/>
          <a:ext cx="988148" cy="257665"/>
        </a:xfrm>
        <a:prstGeom prst="line">
          <a:avLst/>
        </a:prstGeom>
        <a:ln w="25400">
          <a:solidFill>
            <a:srgbClr val="FF0000">
              <a:alpha val="47000"/>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565968</xdr:colOff>
      <xdr:row>453</xdr:row>
      <xdr:rowOff>19234</xdr:rowOff>
    </xdr:from>
    <xdr:to>
      <xdr:col>62</xdr:col>
      <xdr:colOff>348433</xdr:colOff>
      <xdr:row>454</xdr:row>
      <xdr:rowOff>100197</xdr:rowOff>
    </xdr:to>
    <xdr:cxnSp macro="">
      <xdr:nvCxnSpPr>
        <xdr:cNvPr id="270648" name="Conector reto 270647">
          <a:extLst>
            <a:ext uri="{FF2B5EF4-FFF2-40B4-BE49-F238E27FC236}">
              <a16:creationId xmlns:a16="http://schemas.microsoft.com/office/drawing/2014/main" id="{9A2BD3C3-3F66-6775-D616-51133864070F}"/>
            </a:ext>
          </a:extLst>
        </xdr:cNvPr>
        <xdr:cNvCxnSpPr/>
      </xdr:nvCxnSpPr>
      <xdr:spPr>
        <a:xfrm flipV="1">
          <a:off x="24311233" y="76320087"/>
          <a:ext cx="970288" cy="282669"/>
        </a:xfrm>
        <a:prstGeom prst="line">
          <a:avLst/>
        </a:prstGeom>
        <a:ln w="25400">
          <a:solidFill>
            <a:srgbClr val="FF0000">
              <a:alpha val="47000"/>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377398</xdr:colOff>
      <xdr:row>453</xdr:row>
      <xdr:rowOff>87224</xdr:rowOff>
    </xdr:from>
    <xdr:to>
      <xdr:col>62</xdr:col>
      <xdr:colOff>552128</xdr:colOff>
      <xdr:row>456</xdr:row>
      <xdr:rowOff>47892</xdr:rowOff>
    </xdr:to>
    <xdr:sp macro="" textlink="Resumo!$J$354">
      <xdr:nvSpPr>
        <xdr:cNvPr id="270652" name="Retângulo 270651">
          <a:extLst>
            <a:ext uri="{FF2B5EF4-FFF2-40B4-BE49-F238E27FC236}">
              <a16:creationId xmlns:a16="http://schemas.microsoft.com/office/drawing/2014/main" id="{FC8FA8D8-B470-9423-65DB-87E9B336BF77}"/>
            </a:ext>
          </a:extLst>
        </xdr:cNvPr>
        <xdr:cNvSpPr/>
      </xdr:nvSpPr>
      <xdr:spPr>
        <a:xfrm>
          <a:off x="24122663" y="76388077"/>
          <a:ext cx="1362553" cy="54337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44DD484-8E7B-4CC0-A060-E9BCE6D3630B}" type="TxLink">
            <a:rPr lang="en-US" sz="1200" b="1" i="0" u="none" strike="noStrike">
              <a:solidFill>
                <a:srgbClr val="FFC000"/>
              </a:solidFill>
              <a:latin typeface="Aptos ExtraBold" panose="020F0502020204030204" pitchFamily="34" charset="0"/>
              <a:ea typeface="ADLaM Display" panose="020F0502020204030204" pitchFamily="2" charset="0"/>
              <a:cs typeface="ADLaM Display" panose="020F0502020204030204" pitchFamily="2" charset="0"/>
            </a:rPr>
            <a:pPr marL="0" indent="0" algn="ctr"/>
            <a:t> R$ 38.640,00 </a:t>
          </a:fld>
          <a:endParaRPr lang="pt-BR" sz="1200" b="1" i="0" u="none" strike="noStrike">
            <a:solidFill>
              <a:srgbClr val="FFC000"/>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57</xdr:col>
      <xdr:colOff>67831</xdr:colOff>
      <xdr:row>453</xdr:row>
      <xdr:rowOff>16853</xdr:rowOff>
    </xdr:from>
    <xdr:to>
      <xdr:col>58</xdr:col>
      <xdr:colOff>462068</xdr:colOff>
      <xdr:row>454</xdr:row>
      <xdr:rowOff>72812</xdr:rowOff>
    </xdr:to>
    <xdr:cxnSp macro="">
      <xdr:nvCxnSpPr>
        <xdr:cNvPr id="270653" name="Conector reto 270652">
          <a:extLst>
            <a:ext uri="{FF2B5EF4-FFF2-40B4-BE49-F238E27FC236}">
              <a16:creationId xmlns:a16="http://schemas.microsoft.com/office/drawing/2014/main" id="{B4CC208F-FBB2-95AF-9FD2-683506B0A95E}"/>
            </a:ext>
          </a:extLst>
        </xdr:cNvPr>
        <xdr:cNvCxnSpPr/>
      </xdr:nvCxnSpPr>
      <xdr:spPr>
        <a:xfrm>
          <a:off x="22031360" y="76317706"/>
          <a:ext cx="988149" cy="257665"/>
        </a:xfrm>
        <a:prstGeom prst="line">
          <a:avLst/>
        </a:prstGeom>
        <a:ln w="25400">
          <a:solidFill>
            <a:srgbClr val="FF0000">
              <a:alpha val="47000"/>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76761</xdr:colOff>
      <xdr:row>453</xdr:row>
      <xdr:rowOff>19234</xdr:rowOff>
    </xdr:from>
    <xdr:to>
      <xdr:col>58</xdr:col>
      <xdr:colOff>453138</xdr:colOff>
      <xdr:row>454</xdr:row>
      <xdr:rowOff>100197</xdr:rowOff>
    </xdr:to>
    <xdr:cxnSp macro="">
      <xdr:nvCxnSpPr>
        <xdr:cNvPr id="270654" name="Conector reto 270653">
          <a:extLst>
            <a:ext uri="{FF2B5EF4-FFF2-40B4-BE49-F238E27FC236}">
              <a16:creationId xmlns:a16="http://schemas.microsoft.com/office/drawing/2014/main" id="{7CCB186E-45EB-42A4-D089-10A3B1EC73FB}"/>
            </a:ext>
          </a:extLst>
        </xdr:cNvPr>
        <xdr:cNvCxnSpPr/>
      </xdr:nvCxnSpPr>
      <xdr:spPr>
        <a:xfrm flipV="1">
          <a:off x="22040290" y="76320087"/>
          <a:ext cx="970289" cy="282669"/>
        </a:xfrm>
        <a:prstGeom prst="line">
          <a:avLst/>
        </a:prstGeom>
        <a:ln w="25400">
          <a:solidFill>
            <a:srgbClr val="FF0000">
              <a:alpha val="47000"/>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418722</xdr:colOff>
      <xdr:row>453</xdr:row>
      <xdr:rowOff>87224</xdr:rowOff>
    </xdr:from>
    <xdr:to>
      <xdr:col>58</xdr:col>
      <xdr:colOff>587498</xdr:colOff>
      <xdr:row>456</xdr:row>
      <xdr:rowOff>47892</xdr:rowOff>
    </xdr:to>
    <xdr:sp macro="" textlink="Resumo!$J$353">
      <xdr:nvSpPr>
        <xdr:cNvPr id="270655" name="Retângulo 270654">
          <a:extLst>
            <a:ext uri="{FF2B5EF4-FFF2-40B4-BE49-F238E27FC236}">
              <a16:creationId xmlns:a16="http://schemas.microsoft.com/office/drawing/2014/main" id="{27870D1B-F062-8392-0B7F-8C00F34C9CFF}"/>
            </a:ext>
          </a:extLst>
        </xdr:cNvPr>
        <xdr:cNvSpPr/>
      </xdr:nvSpPr>
      <xdr:spPr>
        <a:xfrm>
          <a:off x="21788340" y="76388077"/>
          <a:ext cx="1356599" cy="54337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004A0C9-CF24-4F5C-848B-524C4B0FEE90}" type="TxLink">
            <a:rPr lang="en-US" sz="1200" b="1" i="0" u="none" strike="noStrike">
              <a:solidFill>
                <a:srgbClr val="FFC000"/>
              </a:solidFill>
              <a:latin typeface="Aptos ExtraBold" panose="020F0502020204030204" pitchFamily="34" charset="0"/>
              <a:ea typeface="ADLaM Display" panose="020F0502020204030204" pitchFamily="2" charset="0"/>
              <a:cs typeface="ADLaM Display" panose="020F0502020204030204" pitchFamily="2" charset="0"/>
            </a:rPr>
            <a:pPr marL="0" indent="0" algn="ctr"/>
            <a:t> R$ 26.240,00 </a:t>
          </a:fld>
          <a:endParaRPr lang="pt-BR" sz="1200" b="1" i="0" u="none" strike="noStrike">
            <a:solidFill>
              <a:srgbClr val="FFC000"/>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53</xdr:col>
      <xdr:colOff>31762</xdr:colOff>
      <xdr:row>453</xdr:row>
      <xdr:rowOff>16853</xdr:rowOff>
    </xdr:from>
    <xdr:to>
      <xdr:col>54</xdr:col>
      <xdr:colOff>425999</xdr:colOff>
      <xdr:row>454</xdr:row>
      <xdr:rowOff>72812</xdr:rowOff>
    </xdr:to>
    <xdr:cxnSp macro="">
      <xdr:nvCxnSpPr>
        <xdr:cNvPr id="84" name="Conector reto 83">
          <a:extLst>
            <a:ext uri="{FF2B5EF4-FFF2-40B4-BE49-F238E27FC236}">
              <a16:creationId xmlns:a16="http://schemas.microsoft.com/office/drawing/2014/main" id="{730F803A-1446-E16E-5A96-D9C9D5A5CB0D}"/>
            </a:ext>
          </a:extLst>
        </xdr:cNvPr>
        <xdr:cNvCxnSpPr/>
      </xdr:nvCxnSpPr>
      <xdr:spPr>
        <a:xfrm>
          <a:off x="19619644" y="76317706"/>
          <a:ext cx="988149" cy="257665"/>
        </a:xfrm>
        <a:prstGeom prst="line">
          <a:avLst/>
        </a:prstGeom>
        <a:ln w="25400">
          <a:solidFill>
            <a:srgbClr val="FF0000">
              <a:alpha val="47000"/>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40692</xdr:colOff>
      <xdr:row>453</xdr:row>
      <xdr:rowOff>19234</xdr:rowOff>
    </xdr:from>
    <xdr:to>
      <xdr:col>54</xdr:col>
      <xdr:colOff>417069</xdr:colOff>
      <xdr:row>454</xdr:row>
      <xdr:rowOff>100197</xdr:rowOff>
    </xdr:to>
    <xdr:cxnSp macro="">
      <xdr:nvCxnSpPr>
        <xdr:cNvPr id="85" name="Conector reto 84">
          <a:extLst>
            <a:ext uri="{FF2B5EF4-FFF2-40B4-BE49-F238E27FC236}">
              <a16:creationId xmlns:a16="http://schemas.microsoft.com/office/drawing/2014/main" id="{3E34AB27-A39F-3AF1-534D-B253F7349CCB}"/>
            </a:ext>
          </a:extLst>
        </xdr:cNvPr>
        <xdr:cNvCxnSpPr/>
      </xdr:nvCxnSpPr>
      <xdr:spPr>
        <a:xfrm flipV="1">
          <a:off x="19628574" y="76320087"/>
          <a:ext cx="970289" cy="282669"/>
        </a:xfrm>
        <a:prstGeom prst="line">
          <a:avLst/>
        </a:prstGeom>
        <a:ln w="25400">
          <a:solidFill>
            <a:srgbClr val="FF0000">
              <a:alpha val="47000"/>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475800</xdr:colOff>
      <xdr:row>453</xdr:row>
      <xdr:rowOff>87224</xdr:rowOff>
    </xdr:from>
    <xdr:to>
      <xdr:col>55</xdr:col>
      <xdr:colOff>50665</xdr:colOff>
      <xdr:row>456</xdr:row>
      <xdr:rowOff>47892</xdr:rowOff>
    </xdr:to>
    <xdr:sp macro="" textlink="Resumo!$J$347">
      <xdr:nvSpPr>
        <xdr:cNvPr id="86" name="Retângulo 85">
          <a:extLst>
            <a:ext uri="{FF2B5EF4-FFF2-40B4-BE49-F238E27FC236}">
              <a16:creationId xmlns:a16="http://schemas.microsoft.com/office/drawing/2014/main" id="{A488995F-4ABC-41A0-21E0-94AA54A47707}"/>
            </a:ext>
          </a:extLst>
        </xdr:cNvPr>
        <xdr:cNvSpPr/>
      </xdr:nvSpPr>
      <xdr:spPr>
        <a:xfrm>
          <a:off x="19469771" y="76388077"/>
          <a:ext cx="1356600" cy="54337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6489999-5169-4FC5-A678-47C9082BA5BD}" type="TxLink">
            <a:rPr lang="en-US" sz="1200" b="1" i="0" u="none" strike="noStrike">
              <a:solidFill>
                <a:srgbClr val="FFC000"/>
              </a:solidFill>
              <a:latin typeface="Aptos ExtraBold" panose="020F0502020204030204" pitchFamily="34" charset="0"/>
              <a:ea typeface="ADLaM Display" panose="020F0502020204030204" pitchFamily="2" charset="0"/>
              <a:cs typeface="ADLaM Display" panose="020F0502020204030204" pitchFamily="2" charset="0"/>
            </a:rPr>
            <a:pPr marL="0" indent="0" algn="ctr"/>
            <a:t> R$ 23.440,00 </a:t>
          </a:fld>
          <a:endParaRPr lang="pt-BR" sz="1200" b="1" i="0" u="none" strike="noStrike">
            <a:solidFill>
              <a:srgbClr val="FFC000"/>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56</xdr:col>
      <xdr:colOff>256872</xdr:colOff>
      <xdr:row>454</xdr:row>
      <xdr:rowOff>160849</xdr:rowOff>
    </xdr:from>
    <xdr:to>
      <xdr:col>59</xdr:col>
      <xdr:colOff>190500</xdr:colOff>
      <xdr:row>456</xdr:row>
      <xdr:rowOff>109145</xdr:rowOff>
    </xdr:to>
    <xdr:sp macro="" textlink="Resumo!K353">
      <xdr:nvSpPr>
        <xdr:cNvPr id="270635" name="Retângulo 270634">
          <a:extLst>
            <a:ext uri="{FF2B5EF4-FFF2-40B4-BE49-F238E27FC236}">
              <a16:creationId xmlns:a16="http://schemas.microsoft.com/office/drawing/2014/main" id="{5D522BC9-94A2-F0BE-AB4F-EE9EB00D4790}"/>
            </a:ext>
          </a:extLst>
        </xdr:cNvPr>
        <xdr:cNvSpPr/>
      </xdr:nvSpPr>
      <xdr:spPr>
        <a:xfrm>
          <a:off x="21626490" y="76663408"/>
          <a:ext cx="1715363" cy="32929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27FE414-A5EF-486E-B3EC-6291F059A836}" type="TxLink">
            <a:rPr lang="en-US" sz="800" b="0" i="1"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rPr>
            <a:pPr marL="0" indent="0" algn="ctr"/>
            <a:t>PayBack de 2 anos e 5 meses</a:t>
          </a:fld>
          <a:endParaRPr lang="en-US" sz="800" b="0" i="1"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60</xdr:col>
      <xdr:colOff>188092</xdr:colOff>
      <xdr:row>454</xdr:row>
      <xdr:rowOff>160849</xdr:rowOff>
    </xdr:from>
    <xdr:to>
      <xdr:col>63</xdr:col>
      <xdr:colOff>134857</xdr:colOff>
      <xdr:row>456</xdr:row>
      <xdr:rowOff>109145</xdr:rowOff>
    </xdr:to>
    <xdr:sp macro="" textlink="Resumo!K354">
      <xdr:nvSpPr>
        <xdr:cNvPr id="270642" name="Retângulo 270641">
          <a:extLst>
            <a:ext uri="{FF2B5EF4-FFF2-40B4-BE49-F238E27FC236}">
              <a16:creationId xmlns:a16="http://schemas.microsoft.com/office/drawing/2014/main" id="{B63FF84D-1F89-B179-7073-D8059BAC9CA6}"/>
            </a:ext>
          </a:extLst>
        </xdr:cNvPr>
        <xdr:cNvSpPr/>
      </xdr:nvSpPr>
      <xdr:spPr>
        <a:xfrm>
          <a:off x="23933357" y="76663408"/>
          <a:ext cx="1728500" cy="32929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0760ABF-60E7-4B52-BFD8-93AE6451D91B}" type="TxLink">
            <a:rPr lang="en-US" sz="800" b="0" i="1"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rPr>
            <a:pPr marL="0" indent="0" algn="ctr"/>
            <a:t>PayBack de 3 anos e 6 meses</a:t>
          </a:fld>
          <a:endParaRPr lang="en-US" sz="800" b="0" i="1"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52</xdr:col>
      <xdr:colOff>338018</xdr:colOff>
      <xdr:row>454</xdr:row>
      <xdr:rowOff>160849</xdr:rowOff>
    </xdr:from>
    <xdr:to>
      <xdr:col>55</xdr:col>
      <xdr:colOff>265849</xdr:colOff>
      <xdr:row>456</xdr:row>
      <xdr:rowOff>109145</xdr:rowOff>
    </xdr:to>
    <xdr:sp macro="" textlink="Resumo!K347">
      <xdr:nvSpPr>
        <xdr:cNvPr id="270645" name="Retângulo 270644">
          <a:extLst>
            <a:ext uri="{FF2B5EF4-FFF2-40B4-BE49-F238E27FC236}">
              <a16:creationId xmlns:a16="http://schemas.microsoft.com/office/drawing/2014/main" id="{4A8938CC-827C-31D4-3FB2-0A8A192B8F7E}"/>
            </a:ext>
          </a:extLst>
        </xdr:cNvPr>
        <xdr:cNvSpPr/>
      </xdr:nvSpPr>
      <xdr:spPr>
        <a:xfrm>
          <a:off x="19331989" y="76663408"/>
          <a:ext cx="1709566" cy="32929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ABC5821-4A33-4BD7-9067-381D38163F40}" type="TxLink">
            <a:rPr lang="en-US" sz="800" b="0" i="1"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rPr>
            <a:pPr marL="0" indent="0" algn="ctr"/>
            <a:t>PayBack de 2 anos e 2 meses</a:t>
          </a:fld>
          <a:endParaRPr lang="en-US" sz="800" b="0" i="1" u="none" strike="noStrike">
            <a:solidFill>
              <a:srgbClr val="92D050"/>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editAs="oneCell">
    <xdr:from>
      <xdr:col>53</xdr:col>
      <xdr:colOff>37943</xdr:colOff>
      <xdr:row>433</xdr:row>
      <xdr:rowOff>188062</xdr:rowOff>
    </xdr:from>
    <xdr:to>
      <xdr:col>55</xdr:col>
      <xdr:colOff>15286</xdr:colOff>
      <xdr:row>437</xdr:row>
      <xdr:rowOff>8769</xdr:rowOff>
    </xdr:to>
    <xdr:pic>
      <xdr:nvPicPr>
        <xdr:cNvPr id="270651" name="Imagem 270650">
          <a:extLst>
            <a:ext uri="{FF2B5EF4-FFF2-40B4-BE49-F238E27FC236}">
              <a16:creationId xmlns:a16="http://schemas.microsoft.com/office/drawing/2014/main" id="{1FEC84D6-3E17-7412-8420-263E760A3DBC}"/>
            </a:ext>
          </a:extLst>
        </xdr:cNvPr>
        <xdr:cNvPicPr>
          <a:picLocks noChangeAspect="1"/>
        </xdr:cNvPicPr>
      </xdr:nvPicPr>
      <xdr:blipFill rotWithShape="1">
        <a:blip xmlns:r="http://schemas.openxmlformats.org/officeDocument/2006/relationships" r:embed="rId43" cstate="print">
          <a:alphaModFix amt="50000"/>
          <a:extLst>
            <a:ext uri="{28A0092B-C50C-407E-A947-70E740481C1C}">
              <a14:useLocalDpi xmlns:a14="http://schemas.microsoft.com/office/drawing/2010/main" val="0"/>
            </a:ext>
          </a:extLst>
        </a:blip>
        <a:srcRect t="7924" b="44951"/>
        <a:stretch/>
      </xdr:blipFill>
      <xdr:spPr>
        <a:xfrm>
          <a:off x="19625825" y="72869415"/>
          <a:ext cx="1165167" cy="549089"/>
        </a:xfrm>
        <a:prstGeom prst="rect">
          <a:avLst/>
        </a:prstGeom>
      </xdr:spPr>
    </xdr:pic>
    <xdr:clientData/>
  </xdr:twoCellAnchor>
  <xdr:twoCellAnchor editAs="oneCell">
    <xdr:from>
      <xdr:col>7</xdr:col>
      <xdr:colOff>218626</xdr:colOff>
      <xdr:row>456</xdr:row>
      <xdr:rowOff>122295</xdr:rowOff>
    </xdr:from>
    <xdr:to>
      <xdr:col>9</xdr:col>
      <xdr:colOff>180751</xdr:colOff>
      <xdr:row>457</xdr:row>
      <xdr:rowOff>68738</xdr:rowOff>
    </xdr:to>
    <xdr:sp macro="" textlink="Resumo!$E$372">
      <xdr:nvSpPr>
        <xdr:cNvPr id="87" name="CaixaDeTexto 86">
          <a:extLst>
            <a:ext uri="{FF2B5EF4-FFF2-40B4-BE49-F238E27FC236}">
              <a16:creationId xmlns:a16="http://schemas.microsoft.com/office/drawing/2014/main" id="{DB2012C8-581B-9D3B-F6D2-3CA7FB0DFC7C}"/>
            </a:ext>
          </a:extLst>
        </xdr:cNvPr>
        <xdr:cNvSpPr txBox="1"/>
      </xdr:nvSpPr>
      <xdr:spPr>
        <a:xfrm>
          <a:off x="1977950" y="77005854"/>
          <a:ext cx="410360" cy="305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566B9D1-6A57-4D8C-BC1D-69FEC6CAD05B}" type="TxLink">
            <a:rPr lang="en-US" sz="1200" b="1" i="0" u="none" strike="noStrike">
              <a:solidFill>
                <a:schemeClr val="accent6">
                  <a:lumMod val="75000"/>
                </a:schemeClr>
              </a:solidFill>
              <a:latin typeface="Calibri"/>
              <a:cs typeface="Calibri"/>
            </a:rPr>
            <a:pPr/>
            <a:t>60x</a:t>
          </a:fld>
          <a:endParaRPr lang="pt-BR" sz="1200" b="1">
            <a:solidFill>
              <a:schemeClr val="accent6">
                <a:lumMod val="75000"/>
              </a:schemeClr>
            </a:solidFill>
          </a:endParaRPr>
        </a:p>
      </xdr:txBody>
    </xdr:sp>
    <xdr:clientData/>
  </xdr:twoCellAnchor>
  <xdr:twoCellAnchor editAs="oneCell">
    <xdr:from>
      <xdr:col>9</xdr:col>
      <xdr:colOff>100636</xdr:colOff>
      <xdr:row>456</xdr:row>
      <xdr:rowOff>95981</xdr:rowOff>
    </xdr:from>
    <xdr:to>
      <xdr:col>14</xdr:col>
      <xdr:colOff>147580</xdr:colOff>
      <xdr:row>457</xdr:row>
      <xdr:rowOff>36404</xdr:rowOff>
    </xdr:to>
    <xdr:sp macro="" textlink="Resumo!$E$374">
      <xdr:nvSpPr>
        <xdr:cNvPr id="88" name="CaixaDeTexto 87">
          <a:extLst>
            <a:ext uri="{FF2B5EF4-FFF2-40B4-BE49-F238E27FC236}">
              <a16:creationId xmlns:a16="http://schemas.microsoft.com/office/drawing/2014/main" id="{6ACAEE50-F67B-E800-8A95-016F516F4328}"/>
            </a:ext>
          </a:extLst>
        </xdr:cNvPr>
        <xdr:cNvSpPr txBox="1"/>
      </xdr:nvSpPr>
      <xdr:spPr>
        <a:xfrm>
          <a:off x="2308195" y="76979540"/>
          <a:ext cx="1167532" cy="29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8FD3242-B694-4F05-8E60-67BFBB932309}" type="TxLink">
            <a:rPr lang="en-US" sz="1400" b="1" i="0" u="none" strike="noStrike">
              <a:solidFill>
                <a:schemeClr val="accent6">
                  <a:lumMod val="75000"/>
                </a:schemeClr>
              </a:solidFill>
              <a:latin typeface="Calibri"/>
              <a:ea typeface="+mn-ea"/>
              <a:cs typeface="Calibri"/>
            </a:rPr>
            <a:pPr marL="0" indent="0"/>
            <a:t>R$844,86 </a:t>
          </a:fld>
          <a:endParaRPr lang="pt-BR" sz="1400" b="1" i="0" u="none" strike="noStrike">
            <a:solidFill>
              <a:schemeClr val="accent6">
                <a:lumMod val="75000"/>
              </a:schemeClr>
            </a:solidFill>
            <a:latin typeface="Calibri"/>
            <a:ea typeface="+mn-ea"/>
            <a:cs typeface="Calibri"/>
          </a:endParaRPr>
        </a:p>
      </xdr:txBody>
    </xdr:sp>
    <xdr:clientData/>
  </xdr:twoCellAnchor>
  <xdr:twoCellAnchor>
    <xdr:from>
      <xdr:col>0</xdr:col>
      <xdr:colOff>256839</xdr:colOff>
      <xdr:row>448</xdr:row>
      <xdr:rowOff>68401</xdr:rowOff>
    </xdr:from>
    <xdr:to>
      <xdr:col>4</xdr:col>
      <xdr:colOff>180635</xdr:colOff>
      <xdr:row>450</xdr:row>
      <xdr:rowOff>143948</xdr:rowOff>
    </xdr:to>
    <xdr:sp macro="" textlink="">
      <xdr:nvSpPr>
        <xdr:cNvPr id="89" name="Retângulo 88">
          <a:extLst>
            <a:ext uri="{FF2B5EF4-FFF2-40B4-BE49-F238E27FC236}">
              <a16:creationId xmlns:a16="http://schemas.microsoft.com/office/drawing/2014/main" id="{78F2A866-E133-4FA7-3789-34794C2962FF}"/>
            </a:ext>
          </a:extLst>
        </xdr:cNvPr>
        <xdr:cNvSpPr/>
      </xdr:nvSpPr>
      <xdr:spPr>
        <a:xfrm>
          <a:off x="256839" y="75450372"/>
          <a:ext cx="1010767" cy="43413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accent6">
                  <a:lumMod val="75000"/>
                </a:schemeClr>
              </a:solidFill>
              <a:latin typeface="Aptos ExtraBold" panose="020F0502020204030204" pitchFamily="34" charset="0"/>
              <a:ea typeface="ADLaM Display" panose="020F0502020204030204" pitchFamily="2" charset="0"/>
              <a:cs typeface="ADLaM Display" panose="020F0502020204030204" pitchFamily="2" charset="0"/>
            </a:rPr>
            <a:t>Apenas:</a:t>
          </a:r>
        </a:p>
      </xdr:txBody>
    </xdr:sp>
    <xdr:clientData/>
  </xdr:twoCellAnchor>
  <xdr:twoCellAnchor>
    <xdr:from>
      <xdr:col>1</xdr:col>
      <xdr:colOff>142098</xdr:colOff>
      <xdr:row>452</xdr:row>
      <xdr:rowOff>79330</xdr:rowOff>
    </xdr:from>
    <xdr:to>
      <xdr:col>7</xdr:col>
      <xdr:colOff>148217</xdr:colOff>
      <xdr:row>455</xdr:row>
      <xdr:rowOff>37361</xdr:rowOff>
    </xdr:to>
    <xdr:sp macro="" textlink="Resumo!$I$347">
      <xdr:nvSpPr>
        <xdr:cNvPr id="90" name="Retângulo 89">
          <a:extLst>
            <a:ext uri="{FF2B5EF4-FFF2-40B4-BE49-F238E27FC236}">
              <a16:creationId xmlns:a16="http://schemas.microsoft.com/office/drawing/2014/main" id="{3CBE4932-CC78-850F-F294-47DC3DFFDF95}"/>
            </a:ext>
          </a:extLst>
        </xdr:cNvPr>
        <xdr:cNvSpPr/>
      </xdr:nvSpPr>
      <xdr:spPr>
        <a:xfrm>
          <a:off x="556716" y="76189683"/>
          <a:ext cx="1350825" cy="54073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18E5CD8-14A9-4C22-B5BC-DD1D9BD3AF38}" type="TxLink">
            <a:rPr lang="en-US" sz="1200" b="1" i="0" u="none" strike="noStrike">
              <a:solidFill>
                <a:schemeClr val="accent6">
                  <a:lumMod val="75000"/>
                  <a:alpha val="82000"/>
                </a:schemeClr>
              </a:solidFill>
              <a:latin typeface="Aptos ExtraBold" panose="020F0502020204030204" pitchFamily="34" charset="0"/>
              <a:ea typeface="ADLaM Display" panose="020F0502020204030204" pitchFamily="2" charset="0"/>
              <a:cs typeface="ADLaM Display" panose="020F0502020204030204" pitchFamily="2" charset="0"/>
            </a:rPr>
            <a:pPr marL="0" indent="0" algn="ctr"/>
            <a:t> R$29.300,00 </a:t>
          </a:fld>
          <a:endParaRPr lang="pt-BR" sz="1200" b="1" i="0" u="none" strike="noStrike">
            <a:solidFill>
              <a:schemeClr val="accent6">
                <a:lumMod val="75000"/>
                <a:alpha val="82000"/>
              </a:schemeClr>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0</xdr:col>
      <xdr:colOff>73229</xdr:colOff>
      <xdr:row>449</xdr:row>
      <xdr:rowOff>150504</xdr:rowOff>
    </xdr:from>
    <xdr:to>
      <xdr:col>3</xdr:col>
      <xdr:colOff>79283</xdr:colOff>
      <xdr:row>452</xdr:row>
      <xdr:rowOff>108835</xdr:rowOff>
    </xdr:to>
    <xdr:sp macro="" textlink="">
      <xdr:nvSpPr>
        <xdr:cNvPr id="92" name="Retângulo 91">
          <a:extLst>
            <a:ext uri="{FF2B5EF4-FFF2-40B4-BE49-F238E27FC236}">
              <a16:creationId xmlns:a16="http://schemas.microsoft.com/office/drawing/2014/main" id="{41E9A920-8BB5-FE37-5DD0-3E80C64A6BEC}"/>
            </a:ext>
          </a:extLst>
        </xdr:cNvPr>
        <xdr:cNvSpPr/>
      </xdr:nvSpPr>
      <xdr:spPr>
        <a:xfrm>
          <a:off x="73229" y="75711769"/>
          <a:ext cx="868907" cy="50741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chemeClr val="accent6">
                  <a:lumMod val="75000"/>
                </a:schemeClr>
              </a:solidFill>
              <a:latin typeface="Aptos ExtraBold" panose="020F0502020204030204" pitchFamily="34" charset="0"/>
              <a:ea typeface="ADLaM Display" panose="020F0502020204030204" pitchFamily="2" charset="0"/>
              <a:cs typeface="ADLaM Display" panose="020F0502020204030204" pitchFamily="2" charset="0"/>
            </a:rPr>
            <a:t>18x</a:t>
          </a:r>
        </a:p>
      </xdr:txBody>
    </xdr:sp>
    <xdr:clientData/>
  </xdr:twoCellAnchor>
  <xdr:twoCellAnchor>
    <xdr:from>
      <xdr:col>1</xdr:col>
      <xdr:colOff>203609</xdr:colOff>
      <xdr:row>449</xdr:row>
      <xdr:rowOff>139877</xdr:rowOff>
    </xdr:from>
    <xdr:to>
      <xdr:col>8</xdr:col>
      <xdr:colOff>146683</xdr:colOff>
      <xdr:row>452</xdr:row>
      <xdr:rowOff>97632</xdr:rowOff>
    </xdr:to>
    <xdr:sp macro="" textlink="Resumo!$H$347">
      <xdr:nvSpPr>
        <xdr:cNvPr id="94" name="Retângulo 93">
          <a:extLst>
            <a:ext uri="{FF2B5EF4-FFF2-40B4-BE49-F238E27FC236}">
              <a16:creationId xmlns:a16="http://schemas.microsoft.com/office/drawing/2014/main" id="{44A3ED17-2598-C5D8-392E-AE0EE803CB04}"/>
            </a:ext>
          </a:extLst>
        </xdr:cNvPr>
        <xdr:cNvSpPr/>
      </xdr:nvSpPr>
      <xdr:spPr>
        <a:xfrm>
          <a:off x="618227" y="75701142"/>
          <a:ext cx="1511897" cy="5068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indent="0" algn="ctr"/>
          <a:fld id="{16CCF072-F412-480C-A6EE-DC0A3FD9C3D0}" type="TxLink">
            <a:rPr lang="en-US" sz="2000" b="1" i="0" u="none" strike="noStrike">
              <a:solidFill>
                <a:schemeClr val="accent6">
                  <a:lumMod val="50000"/>
                </a:schemeClr>
              </a:solidFill>
              <a:latin typeface="Aptos ExtraBold" panose="020F0502020204030204" pitchFamily="34" charset="0"/>
              <a:ea typeface="ADLaM Display" panose="020F0502020204030204" pitchFamily="2" charset="0"/>
              <a:cs typeface="ADLaM Display" panose="020F0502020204030204" pitchFamily="2" charset="0"/>
            </a:rPr>
            <a:pPr marL="0" indent="0" algn="ctr"/>
            <a:t> R$1.627,78 </a:t>
          </a:fld>
          <a:endParaRPr lang="pt-BR" sz="2000" b="1" i="0" u="none" strike="noStrike">
            <a:solidFill>
              <a:schemeClr val="accent6">
                <a:lumMod val="50000"/>
              </a:schemeClr>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0</xdr:col>
      <xdr:colOff>337328</xdr:colOff>
      <xdr:row>451</xdr:row>
      <xdr:rowOff>105835</xdr:rowOff>
    </xdr:from>
    <xdr:to>
      <xdr:col>4</xdr:col>
      <xdr:colOff>212540</xdr:colOff>
      <xdr:row>453</xdr:row>
      <xdr:rowOff>115946</xdr:rowOff>
    </xdr:to>
    <xdr:sp macro="" textlink="">
      <xdr:nvSpPr>
        <xdr:cNvPr id="95" name="Retângulo 94">
          <a:extLst>
            <a:ext uri="{FF2B5EF4-FFF2-40B4-BE49-F238E27FC236}">
              <a16:creationId xmlns:a16="http://schemas.microsoft.com/office/drawing/2014/main" id="{C44BFFFA-1489-AA93-9F88-25548C56B3C6}"/>
            </a:ext>
          </a:extLst>
        </xdr:cNvPr>
        <xdr:cNvSpPr/>
      </xdr:nvSpPr>
      <xdr:spPr>
        <a:xfrm>
          <a:off x="337328" y="76025688"/>
          <a:ext cx="962183" cy="39111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accent6">
                  <a:lumMod val="75000"/>
                </a:schemeClr>
              </a:solidFill>
              <a:latin typeface="Aptos ExtraBold" panose="020F0502020204030204" pitchFamily="34" charset="0"/>
              <a:ea typeface="ADLaM Display" panose="020F0502020204030204" pitchFamily="2" charset="0"/>
              <a:cs typeface="ADLaM Display" panose="020F0502020204030204" pitchFamily="2" charset="0"/>
            </a:rPr>
            <a:t>ou à vista:</a:t>
          </a:r>
        </a:p>
      </xdr:txBody>
    </xdr:sp>
    <xdr:clientData/>
  </xdr:twoCellAnchor>
  <xdr:twoCellAnchor>
    <xdr:from>
      <xdr:col>10</xdr:col>
      <xdr:colOff>141866</xdr:colOff>
      <xdr:row>448</xdr:row>
      <xdr:rowOff>74116</xdr:rowOff>
    </xdr:from>
    <xdr:to>
      <xdr:col>15</xdr:col>
      <xdr:colOff>23434</xdr:colOff>
      <xdr:row>450</xdr:row>
      <xdr:rowOff>143481</xdr:rowOff>
    </xdr:to>
    <xdr:sp macro="" textlink="">
      <xdr:nvSpPr>
        <xdr:cNvPr id="96" name="Retângulo 95">
          <a:extLst>
            <a:ext uri="{FF2B5EF4-FFF2-40B4-BE49-F238E27FC236}">
              <a16:creationId xmlns:a16="http://schemas.microsoft.com/office/drawing/2014/main" id="{D77CDD49-D7BA-2693-3DA0-ED4217948FD6}"/>
            </a:ext>
          </a:extLst>
        </xdr:cNvPr>
        <xdr:cNvSpPr/>
      </xdr:nvSpPr>
      <xdr:spPr>
        <a:xfrm>
          <a:off x="2573542" y="75456087"/>
          <a:ext cx="1002157" cy="42795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accent6">
                  <a:lumMod val="75000"/>
                </a:schemeClr>
              </a:solidFill>
              <a:latin typeface="Aptos ExtraBold" panose="020F0502020204030204" pitchFamily="34" charset="0"/>
              <a:ea typeface="ADLaM Display" panose="020F0502020204030204" pitchFamily="2" charset="0"/>
              <a:cs typeface="ADLaM Display" panose="020F0502020204030204" pitchFamily="2" charset="0"/>
            </a:rPr>
            <a:t>Apenas:</a:t>
          </a:r>
        </a:p>
      </xdr:txBody>
    </xdr:sp>
    <xdr:clientData/>
  </xdr:twoCellAnchor>
  <xdr:twoCellAnchor>
    <xdr:from>
      <xdr:col>11</xdr:col>
      <xdr:colOff>217029</xdr:colOff>
      <xdr:row>452</xdr:row>
      <xdr:rowOff>76693</xdr:rowOff>
    </xdr:from>
    <xdr:to>
      <xdr:col>17</xdr:col>
      <xdr:colOff>223446</xdr:colOff>
      <xdr:row>455</xdr:row>
      <xdr:rowOff>37361</xdr:rowOff>
    </xdr:to>
    <xdr:sp macro="" textlink="Resumo!$I$353">
      <xdr:nvSpPr>
        <xdr:cNvPr id="97" name="Retângulo 96">
          <a:extLst>
            <a:ext uri="{FF2B5EF4-FFF2-40B4-BE49-F238E27FC236}">
              <a16:creationId xmlns:a16="http://schemas.microsoft.com/office/drawing/2014/main" id="{4BAF178C-07DD-D2AF-05F7-663777780764}"/>
            </a:ext>
          </a:extLst>
        </xdr:cNvPr>
        <xdr:cNvSpPr/>
      </xdr:nvSpPr>
      <xdr:spPr>
        <a:xfrm>
          <a:off x="2872823" y="76187046"/>
          <a:ext cx="1351123" cy="54337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E08BE3B-D8F4-4A1E-85FE-4E191413F7F1}" type="TxLink">
            <a:rPr lang="en-US" sz="1200" b="1" i="0" u="none" strike="noStrike">
              <a:solidFill>
                <a:schemeClr val="accent6">
                  <a:lumMod val="75000"/>
                  <a:alpha val="82000"/>
                </a:schemeClr>
              </a:solidFill>
              <a:latin typeface="Aptos ExtraBold" panose="020F0502020204030204" pitchFamily="34" charset="0"/>
              <a:ea typeface="ADLaM Display" panose="020F0502020204030204" pitchFamily="2" charset="0"/>
              <a:cs typeface="ADLaM Display" panose="020F0502020204030204" pitchFamily="2" charset="0"/>
            </a:rPr>
            <a:pPr marL="0" indent="0" algn="ctr"/>
            <a:t> R$32.800,00 </a:t>
          </a:fld>
          <a:endParaRPr lang="pt-BR" sz="1200" b="1" i="0" u="none" strike="noStrike">
            <a:solidFill>
              <a:schemeClr val="accent6">
                <a:lumMod val="75000"/>
                <a:alpha val="82000"/>
              </a:schemeClr>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9</xdr:col>
      <xdr:colOff>154918</xdr:colOff>
      <xdr:row>449</xdr:row>
      <xdr:rowOff>154602</xdr:rowOff>
    </xdr:from>
    <xdr:to>
      <xdr:col>13</xdr:col>
      <xdr:colOff>160167</xdr:colOff>
      <xdr:row>452</xdr:row>
      <xdr:rowOff>112048</xdr:rowOff>
    </xdr:to>
    <xdr:sp macro="" textlink="">
      <xdr:nvSpPr>
        <xdr:cNvPr id="98" name="Retângulo 97">
          <a:extLst>
            <a:ext uri="{FF2B5EF4-FFF2-40B4-BE49-F238E27FC236}">
              <a16:creationId xmlns:a16="http://schemas.microsoft.com/office/drawing/2014/main" id="{A0086AD8-F642-92CE-46F2-59E886094600}"/>
            </a:ext>
          </a:extLst>
        </xdr:cNvPr>
        <xdr:cNvSpPr/>
      </xdr:nvSpPr>
      <xdr:spPr>
        <a:xfrm>
          <a:off x="2362477" y="75715867"/>
          <a:ext cx="901719" cy="50653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chemeClr val="accent6">
                  <a:lumMod val="75000"/>
                </a:schemeClr>
              </a:solidFill>
              <a:latin typeface="Aptos ExtraBold" panose="020F0502020204030204" pitchFamily="34" charset="0"/>
              <a:ea typeface="ADLaM Display" panose="020F0502020204030204" pitchFamily="2" charset="0"/>
              <a:cs typeface="ADLaM Display" panose="020F0502020204030204" pitchFamily="2" charset="0"/>
            </a:rPr>
            <a:t>18x</a:t>
          </a:r>
        </a:p>
      </xdr:txBody>
    </xdr:sp>
    <xdr:clientData/>
  </xdr:twoCellAnchor>
  <xdr:twoCellAnchor>
    <xdr:from>
      <xdr:col>12</xdr:col>
      <xdr:colOff>24316</xdr:colOff>
      <xdr:row>449</xdr:row>
      <xdr:rowOff>141348</xdr:rowOff>
    </xdr:from>
    <xdr:to>
      <xdr:col>19</xdr:col>
      <xdr:colOff>1</xdr:colOff>
      <xdr:row>452</xdr:row>
      <xdr:rowOff>96162</xdr:rowOff>
    </xdr:to>
    <xdr:sp macro="" textlink="Resumo!$G$353">
      <xdr:nvSpPr>
        <xdr:cNvPr id="106" name="Retângulo 105">
          <a:extLst>
            <a:ext uri="{FF2B5EF4-FFF2-40B4-BE49-F238E27FC236}">
              <a16:creationId xmlns:a16="http://schemas.microsoft.com/office/drawing/2014/main" id="{DB1E5BE9-19C7-0F85-1924-F5AB000C0A6E}"/>
            </a:ext>
          </a:extLst>
        </xdr:cNvPr>
        <xdr:cNvSpPr/>
      </xdr:nvSpPr>
      <xdr:spPr>
        <a:xfrm>
          <a:off x="2904228" y="75702613"/>
          <a:ext cx="1544508" cy="50390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indent="0" algn="ctr"/>
          <a:fld id="{99169B24-D24D-4544-9069-BB4E2D45A90A}" type="TxLink">
            <a:rPr lang="en-US" sz="2000" b="1" i="0" u="none" strike="noStrike">
              <a:solidFill>
                <a:schemeClr val="accent6">
                  <a:lumMod val="50000"/>
                </a:schemeClr>
              </a:solidFill>
              <a:latin typeface="Aptos ExtraBold" panose="020F0502020204030204" pitchFamily="34" charset="0"/>
              <a:ea typeface="ADLaM Display" panose="020F0502020204030204" pitchFamily="2" charset="0"/>
              <a:cs typeface="ADLaM Display" panose="020F0502020204030204" pitchFamily="2" charset="0"/>
            </a:rPr>
            <a:pPr marL="0" indent="0" algn="ctr"/>
            <a:t> R$1.823,11 </a:t>
          </a:fld>
          <a:endParaRPr lang="pt-BR" sz="2000" b="1" i="0" u="none" strike="noStrike">
            <a:solidFill>
              <a:schemeClr val="accent6">
                <a:lumMod val="50000"/>
              </a:schemeClr>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10</xdr:col>
      <xdr:colOff>222682</xdr:colOff>
      <xdr:row>451</xdr:row>
      <xdr:rowOff>116250</xdr:rowOff>
    </xdr:from>
    <xdr:to>
      <xdr:col>15</xdr:col>
      <xdr:colOff>52669</xdr:colOff>
      <xdr:row>453</xdr:row>
      <xdr:rowOff>113225</xdr:rowOff>
    </xdr:to>
    <xdr:sp macro="" textlink="">
      <xdr:nvSpPr>
        <xdr:cNvPr id="107" name="Retângulo 106">
          <a:extLst>
            <a:ext uri="{FF2B5EF4-FFF2-40B4-BE49-F238E27FC236}">
              <a16:creationId xmlns:a16="http://schemas.microsoft.com/office/drawing/2014/main" id="{6248785D-D5D4-0E97-14BD-35CB1B25DEEF}"/>
            </a:ext>
          </a:extLst>
        </xdr:cNvPr>
        <xdr:cNvSpPr/>
      </xdr:nvSpPr>
      <xdr:spPr>
        <a:xfrm>
          <a:off x="2654358" y="76036103"/>
          <a:ext cx="950576" cy="3779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accent6">
                  <a:lumMod val="75000"/>
                </a:schemeClr>
              </a:solidFill>
              <a:latin typeface="Aptos ExtraBold" panose="020F0502020204030204" pitchFamily="34" charset="0"/>
              <a:ea typeface="ADLaM Display" panose="020F0502020204030204" pitchFamily="2" charset="0"/>
              <a:cs typeface="ADLaM Display" panose="020F0502020204030204" pitchFamily="2" charset="0"/>
            </a:rPr>
            <a:t>ou à vista:</a:t>
          </a:r>
        </a:p>
      </xdr:txBody>
    </xdr:sp>
    <xdr:clientData/>
  </xdr:twoCellAnchor>
  <xdr:twoCellAnchor>
    <xdr:from>
      <xdr:col>21</xdr:col>
      <xdr:colOff>17368</xdr:colOff>
      <xdr:row>448</xdr:row>
      <xdr:rowOff>74116</xdr:rowOff>
    </xdr:from>
    <xdr:to>
      <xdr:col>25</xdr:col>
      <xdr:colOff>127536</xdr:colOff>
      <xdr:row>450</xdr:row>
      <xdr:rowOff>143481</xdr:rowOff>
    </xdr:to>
    <xdr:sp macro="" textlink="">
      <xdr:nvSpPr>
        <xdr:cNvPr id="111" name="Retângulo 110">
          <a:extLst>
            <a:ext uri="{FF2B5EF4-FFF2-40B4-BE49-F238E27FC236}">
              <a16:creationId xmlns:a16="http://schemas.microsoft.com/office/drawing/2014/main" id="{21401EB0-0449-F6AE-2246-0A40E43BF35A}"/>
            </a:ext>
          </a:extLst>
        </xdr:cNvPr>
        <xdr:cNvSpPr/>
      </xdr:nvSpPr>
      <xdr:spPr>
        <a:xfrm>
          <a:off x="4914339" y="75456087"/>
          <a:ext cx="1006638" cy="42795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accent6">
                  <a:lumMod val="75000"/>
                </a:schemeClr>
              </a:solidFill>
              <a:latin typeface="Aptos ExtraBold" panose="020F0502020204030204" pitchFamily="34" charset="0"/>
              <a:ea typeface="ADLaM Display" panose="020F0502020204030204" pitchFamily="2" charset="0"/>
              <a:cs typeface="ADLaM Display" panose="020F0502020204030204" pitchFamily="2" charset="0"/>
            </a:rPr>
            <a:t>Apenas:</a:t>
          </a:r>
        </a:p>
      </xdr:txBody>
    </xdr:sp>
    <xdr:clientData/>
  </xdr:twoCellAnchor>
  <xdr:twoCellAnchor>
    <xdr:from>
      <xdr:col>22</xdr:col>
      <xdr:colOff>80093</xdr:colOff>
      <xdr:row>452</xdr:row>
      <xdr:rowOff>76693</xdr:rowOff>
    </xdr:from>
    <xdr:to>
      <xdr:col>28</xdr:col>
      <xdr:colOff>97940</xdr:colOff>
      <xdr:row>455</xdr:row>
      <xdr:rowOff>37361</xdr:rowOff>
    </xdr:to>
    <xdr:sp macro="" textlink="Resumo!$I$354">
      <xdr:nvSpPr>
        <xdr:cNvPr id="112" name="Retângulo 111">
          <a:extLst>
            <a:ext uri="{FF2B5EF4-FFF2-40B4-BE49-F238E27FC236}">
              <a16:creationId xmlns:a16="http://schemas.microsoft.com/office/drawing/2014/main" id="{21506492-98F2-CE7C-D49C-4949492C4C22}"/>
            </a:ext>
          </a:extLst>
        </xdr:cNvPr>
        <xdr:cNvSpPr/>
      </xdr:nvSpPr>
      <xdr:spPr>
        <a:xfrm>
          <a:off x="5201181" y="76187046"/>
          <a:ext cx="1362553" cy="54337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E18666D-8E7F-416C-8C02-4E563167812B}" type="TxLink">
            <a:rPr lang="en-US" sz="1200" b="1" i="0" u="none" strike="noStrike">
              <a:solidFill>
                <a:schemeClr val="accent6">
                  <a:lumMod val="75000"/>
                  <a:alpha val="82000"/>
                </a:schemeClr>
              </a:solidFill>
              <a:latin typeface="Aptos ExtraBold" panose="020F0502020204030204" pitchFamily="34" charset="0"/>
              <a:ea typeface="ADLaM Display" panose="020F0502020204030204" pitchFamily="2" charset="0"/>
              <a:cs typeface="ADLaM Display" panose="020F0502020204030204" pitchFamily="2" charset="0"/>
            </a:rPr>
            <a:pPr marL="0" indent="0" algn="ctr"/>
            <a:t> R$48.300,00 </a:t>
          </a:fld>
          <a:endParaRPr lang="pt-BR" sz="1200" b="1" i="0" u="none" strike="noStrike">
            <a:solidFill>
              <a:schemeClr val="accent6">
                <a:lumMod val="75000"/>
                <a:alpha val="82000"/>
              </a:schemeClr>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20</xdr:col>
      <xdr:colOff>36136</xdr:colOff>
      <xdr:row>449</xdr:row>
      <xdr:rowOff>154644</xdr:rowOff>
    </xdr:from>
    <xdr:to>
      <xdr:col>24</xdr:col>
      <xdr:colOff>32742</xdr:colOff>
      <xdr:row>452</xdr:row>
      <xdr:rowOff>106304</xdr:rowOff>
    </xdr:to>
    <xdr:sp macro="" textlink="">
      <xdr:nvSpPr>
        <xdr:cNvPr id="113" name="Retângulo 112">
          <a:extLst>
            <a:ext uri="{FF2B5EF4-FFF2-40B4-BE49-F238E27FC236}">
              <a16:creationId xmlns:a16="http://schemas.microsoft.com/office/drawing/2014/main" id="{BB194F71-1A35-DE19-DE9A-5A234075FE89}"/>
            </a:ext>
          </a:extLst>
        </xdr:cNvPr>
        <xdr:cNvSpPr/>
      </xdr:nvSpPr>
      <xdr:spPr>
        <a:xfrm>
          <a:off x="4708989" y="75715909"/>
          <a:ext cx="893077" cy="50074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chemeClr val="accent6">
                  <a:lumMod val="75000"/>
                </a:schemeClr>
              </a:solidFill>
              <a:latin typeface="Aptos ExtraBold" panose="020F0502020204030204" pitchFamily="34" charset="0"/>
              <a:ea typeface="ADLaM Display" panose="020F0502020204030204" pitchFamily="2" charset="0"/>
              <a:cs typeface="ADLaM Display" panose="020F0502020204030204" pitchFamily="2" charset="0"/>
            </a:rPr>
            <a:t>18x</a:t>
          </a:r>
        </a:p>
      </xdr:txBody>
    </xdr:sp>
    <xdr:clientData/>
  </xdr:twoCellAnchor>
  <xdr:twoCellAnchor>
    <xdr:from>
      <xdr:col>21</xdr:col>
      <xdr:colOff>87651</xdr:colOff>
      <xdr:row>451</xdr:row>
      <xdr:rowOff>116250</xdr:rowOff>
    </xdr:from>
    <xdr:to>
      <xdr:col>25</xdr:col>
      <xdr:colOff>156771</xdr:colOff>
      <xdr:row>453</xdr:row>
      <xdr:rowOff>113225</xdr:rowOff>
    </xdr:to>
    <xdr:sp macro="" textlink="">
      <xdr:nvSpPr>
        <xdr:cNvPr id="114" name="Retângulo 113">
          <a:extLst>
            <a:ext uri="{FF2B5EF4-FFF2-40B4-BE49-F238E27FC236}">
              <a16:creationId xmlns:a16="http://schemas.microsoft.com/office/drawing/2014/main" id="{6E606B51-1ABD-B66A-E23B-E1B393BCC9C4}"/>
            </a:ext>
          </a:extLst>
        </xdr:cNvPr>
        <xdr:cNvSpPr/>
      </xdr:nvSpPr>
      <xdr:spPr>
        <a:xfrm>
          <a:off x="4984622" y="76036103"/>
          <a:ext cx="965590" cy="3779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accent6">
                  <a:lumMod val="75000"/>
                </a:schemeClr>
              </a:solidFill>
              <a:latin typeface="Aptos ExtraBold" panose="020F0502020204030204" pitchFamily="34" charset="0"/>
              <a:ea typeface="ADLaM Display" panose="020F0502020204030204" pitchFamily="2" charset="0"/>
              <a:cs typeface="ADLaM Display" panose="020F0502020204030204" pitchFamily="2" charset="0"/>
            </a:rPr>
            <a:t>ou à vista:</a:t>
          </a:r>
        </a:p>
      </xdr:txBody>
    </xdr:sp>
    <xdr:clientData/>
  </xdr:twoCellAnchor>
  <xdr:twoCellAnchor>
    <xdr:from>
      <xdr:col>22</xdr:col>
      <xdr:colOff>109456</xdr:colOff>
      <xdr:row>449</xdr:row>
      <xdr:rowOff>138309</xdr:rowOff>
    </xdr:from>
    <xdr:to>
      <xdr:col>28</xdr:col>
      <xdr:colOff>438189</xdr:colOff>
      <xdr:row>452</xdr:row>
      <xdr:rowOff>99200</xdr:rowOff>
    </xdr:to>
    <xdr:sp macro="" textlink="Resumo!$G$354">
      <xdr:nvSpPr>
        <xdr:cNvPr id="115" name="Retângulo 114">
          <a:extLst>
            <a:ext uri="{FF2B5EF4-FFF2-40B4-BE49-F238E27FC236}">
              <a16:creationId xmlns:a16="http://schemas.microsoft.com/office/drawing/2014/main" id="{CA10D23A-63A8-1F20-B2AB-4944A2E2633D}"/>
            </a:ext>
          </a:extLst>
        </xdr:cNvPr>
        <xdr:cNvSpPr/>
      </xdr:nvSpPr>
      <xdr:spPr>
        <a:xfrm>
          <a:off x="5230544" y="75699574"/>
          <a:ext cx="1673439" cy="50997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indent="0" algn="ctr"/>
          <a:fld id="{39BE5560-20AD-45F3-80F4-993650BA1414}" type="TxLink">
            <a:rPr lang="en-US" sz="2000" b="1" i="0" u="none" strike="noStrike">
              <a:solidFill>
                <a:schemeClr val="accent6">
                  <a:lumMod val="50000"/>
                </a:schemeClr>
              </a:solidFill>
              <a:latin typeface="Aptos ExtraBold" panose="020F0502020204030204" pitchFamily="34" charset="0"/>
              <a:ea typeface="ADLaM Display" panose="020F0502020204030204" pitchFamily="2" charset="0"/>
              <a:cs typeface="ADLaM Display" panose="020F0502020204030204" pitchFamily="2" charset="0"/>
            </a:rPr>
            <a:pPr marL="0" indent="0" algn="ctr"/>
            <a:t> R$2.685,83 </a:t>
          </a:fld>
          <a:endParaRPr lang="pt-BR" sz="2000" b="1" i="0" u="none" strike="noStrike">
            <a:solidFill>
              <a:schemeClr val="accent6">
                <a:lumMod val="50000"/>
              </a:schemeClr>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6</xdr:col>
      <xdr:colOff>106454</xdr:colOff>
      <xdr:row>451</xdr:row>
      <xdr:rowOff>83527</xdr:rowOff>
    </xdr:from>
    <xdr:to>
      <xdr:col>10</xdr:col>
      <xdr:colOff>6162</xdr:colOff>
      <xdr:row>455</xdr:row>
      <xdr:rowOff>83527</xdr:rowOff>
    </xdr:to>
    <xdr:sp macro="" textlink="Resumo!$I$344">
      <xdr:nvSpPr>
        <xdr:cNvPr id="116" name="CaixaDeTexto 115">
          <a:extLst>
            <a:ext uri="{FF2B5EF4-FFF2-40B4-BE49-F238E27FC236}">
              <a16:creationId xmlns:a16="http://schemas.microsoft.com/office/drawing/2014/main" id="{F9ACD477-DC6B-BC41-C165-177295E9ED29}"/>
            </a:ext>
          </a:extLst>
        </xdr:cNvPr>
        <xdr:cNvSpPr txBox="1"/>
      </xdr:nvSpPr>
      <xdr:spPr>
        <a:xfrm>
          <a:off x="1641660" y="76003380"/>
          <a:ext cx="796178" cy="773206"/>
        </a:xfrm>
        <a:prstGeom prst="rect">
          <a:avLst/>
        </a:prstGeom>
        <a:noFill/>
        <a:ln w="9525" cmpd="sng">
          <a:noFill/>
        </a:ln>
        <a:scene3d>
          <a:camera prst="perspectiveHeroicExtremeLeftFacing"/>
          <a:lightRig rig="threePt" dir="t"/>
        </a:scene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DAADDDC-4E09-4F68-ADCC-F1F5617D7A8C}" type="TxLink">
            <a:rPr lang="en-US" sz="1600" b="1" i="1">
              <a:solidFill>
                <a:srgbClr val="FF0000"/>
              </a:solidFill>
              <a:latin typeface="Engravers MT" panose="02090707080505020304" pitchFamily="18" charset="0"/>
              <a:ea typeface="+mn-ea"/>
              <a:cs typeface="Cavolini" panose="020B0502040204020203" pitchFamily="66" charset="0"/>
            </a:rPr>
            <a:pPr marL="0" indent="0" algn="ctr"/>
            <a:t>20%</a:t>
          </a:fld>
          <a:endParaRPr lang="pt-BR" sz="1600" b="1" i="1">
            <a:solidFill>
              <a:srgbClr val="FF0000"/>
            </a:solidFill>
            <a:latin typeface="Engravers MT" panose="02090707080505020304" pitchFamily="18" charset="0"/>
            <a:ea typeface="+mn-ea"/>
            <a:cs typeface="Cavolini" panose="020B0502040204020203" pitchFamily="66" charset="0"/>
          </a:endParaRPr>
        </a:p>
      </xdr:txBody>
    </xdr:sp>
    <xdr:clientData/>
  </xdr:twoCellAnchor>
  <xdr:twoCellAnchor>
    <xdr:from>
      <xdr:col>23</xdr:col>
      <xdr:colOff>41567</xdr:colOff>
      <xdr:row>453</xdr:row>
      <xdr:rowOff>16853</xdr:rowOff>
    </xdr:from>
    <xdr:to>
      <xdr:col>27</xdr:col>
      <xdr:colOff>133245</xdr:colOff>
      <xdr:row>454</xdr:row>
      <xdr:rowOff>72812</xdr:rowOff>
    </xdr:to>
    <xdr:cxnSp macro="">
      <xdr:nvCxnSpPr>
        <xdr:cNvPr id="117" name="Conector reto 116">
          <a:extLst>
            <a:ext uri="{FF2B5EF4-FFF2-40B4-BE49-F238E27FC236}">
              <a16:creationId xmlns:a16="http://schemas.microsoft.com/office/drawing/2014/main" id="{E2F8985A-10AE-DA13-BE00-452C102F2AE3}"/>
            </a:ext>
          </a:extLst>
        </xdr:cNvPr>
        <xdr:cNvCxnSpPr/>
      </xdr:nvCxnSpPr>
      <xdr:spPr>
        <a:xfrm>
          <a:off x="5386773" y="76317706"/>
          <a:ext cx="988148" cy="257665"/>
        </a:xfrm>
        <a:prstGeom prst="line">
          <a:avLst/>
        </a:prstGeom>
        <a:ln w="12700">
          <a:solidFill>
            <a:srgbClr val="FF0000">
              <a:alpha val="37000"/>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50497</xdr:colOff>
      <xdr:row>453</xdr:row>
      <xdr:rowOff>19234</xdr:rowOff>
    </xdr:from>
    <xdr:to>
      <xdr:col>27</xdr:col>
      <xdr:colOff>124315</xdr:colOff>
      <xdr:row>454</xdr:row>
      <xdr:rowOff>100197</xdr:rowOff>
    </xdr:to>
    <xdr:cxnSp macro="">
      <xdr:nvCxnSpPr>
        <xdr:cNvPr id="118" name="Conector reto 117">
          <a:extLst>
            <a:ext uri="{FF2B5EF4-FFF2-40B4-BE49-F238E27FC236}">
              <a16:creationId xmlns:a16="http://schemas.microsoft.com/office/drawing/2014/main" id="{FC792FD3-00C9-4F39-6B1F-DC683F6A24AB}"/>
            </a:ext>
          </a:extLst>
        </xdr:cNvPr>
        <xdr:cNvCxnSpPr/>
      </xdr:nvCxnSpPr>
      <xdr:spPr>
        <a:xfrm flipV="1">
          <a:off x="5395703" y="76320087"/>
          <a:ext cx="970288" cy="282669"/>
        </a:xfrm>
        <a:prstGeom prst="line">
          <a:avLst/>
        </a:prstGeom>
        <a:ln w="12700">
          <a:solidFill>
            <a:srgbClr val="FF0000">
              <a:alpha val="37000"/>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100289</xdr:colOff>
      <xdr:row>453</xdr:row>
      <xdr:rowOff>87224</xdr:rowOff>
    </xdr:from>
    <xdr:to>
      <xdr:col>28</xdr:col>
      <xdr:colOff>313766</xdr:colOff>
      <xdr:row>456</xdr:row>
      <xdr:rowOff>47892</xdr:rowOff>
    </xdr:to>
    <xdr:sp macro="" textlink="Resumo!$J$354">
      <xdr:nvSpPr>
        <xdr:cNvPr id="119" name="Retângulo 118">
          <a:extLst>
            <a:ext uri="{FF2B5EF4-FFF2-40B4-BE49-F238E27FC236}">
              <a16:creationId xmlns:a16="http://schemas.microsoft.com/office/drawing/2014/main" id="{59262D1D-F178-FA45-3511-89EC18860A79}"/>
            </a:ext>
          </a:extLst>
        </xdr:cNvPr>
        <xdr:cNvSpPr/>
      </xdr:nvSpPr>
      <xdr:spPr>
        <a:xfrm>
          <a:off x="4997260" y="76388077"/>
          <a:ext cx="1782300" cy="54337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44DD484-8E7B-4CC0-A060-E9BCE6D3630B}" type="TxLink">
            <a:rPr lang="en-US" sz="1200" b="1" i="0" u="none" strike="noStrike">
              <a:solidFill>
                <a:srgbClr val="AF780D"/>
              </a:solidFill>
              <a:latin typeface="Aptos ExtraBold" panose="020F0502020204030204" pitchFamily="34" charset="0"/>
              <a:ea typeface="ADLaM Display" panose="020F0502020204030204" pitchFamily="2" charset="0"/>
              <a:cs typeface="ADLaM Display" panose="020F0502020204030204" pitchFamily="2" charset="0"/>
            </a:rPr>
            <a:pPr marL="0" indent="0" algn="ctr"/>
            <a:t> R$ 38.640,00 </a:t>
          </a:fld>
          <a:endParaRPr lang="pt-BR" sz="1200" b="1" i="0" u="none" strike="noStrike">
            <a:solidFill>
              <a:srgbClr val="AF780D"/>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13</xdr:col>
      <xdr:colOff>11801</xdr:colOff>
      <xdr:row>453</xdr:row>
      <xdr:rowOff>16853</xdr:rowOff>
    </xdr:from>
    <xdr:to>
      <xdr:col>17</xdr:col>
      <xdr:colOff>103479</xdr:colOff>
      <xdr:row>454</xdr:row>
      <xdr:rowOff>72812</xdr:rowOff>
    </xdr:to>
    <xdr:cxnSp macro="">
      <xdr:nvCxnSpPr>
        <xdr:cNvPr id="120" name="Conector reto 119">
          <a:extLst>
            <a:ext uri="{FF2B5EF4-FFF2-40B4-BE49-F238E27FC236}">
              <a16:creationId xmlns:a16="http://schemas.microsoft.com/office/drawing/2014/main" id="{7D077714-E44D-8083-47FC-734C9CF71434}"/>
            </a:ext>
          </a:extLst>
        </xdr:cNvPr>
        <xdr:cNvCxnSpPr/>
      </xdr:nvCxnSpPr>
      <xdr:spPr>
        <a:xfrm>
          <a:off x="3115830" y="76317706"/>
          <a:ext cx="988149" cy="257665"/>
        </a:xfrm>
        <a:prstGeom prst="line">
          <a:avLst/>
        </a:prstGeom>
        <a:ln w="12700">
          <a:solidFill>
            <a:srgbClr val="FF0000">
              <a:alpha val="37000"/>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20731</xdr:colOff>
      <xdr:row>453</xdr:row>
      <xdr:rowOff>19234</xdr:rowOff>
    </xdr:from>
    <xdr:to>
      <xdr:col>17</xdr:col>
      <xdr:colOff>94549</xdr:colOff>
      <xdr:row>454</xdr:row>
      <xdr:rowOff>100197</xdr:rowOff>
    </xdr:to>
    <xdr:cxnSp macro="">
      <xdr:nvCxnSpPr>
        <xdr:cNvPr id="121" name="Conector reto 120">
          <a:extLst>
            <a:ext uri="{FF2B5EF4-FFF2-40B4-BE49-F238E27FC236}">
              <a16:creationId xmlns:a16="http://schemas.microsoft.com/office/drawing/2014/main" id="{3DD23C44-A0D0-8320-C4E5-7A49C6A9E8D2}"/>
            </a:ext>
          </a:extLst>
        </xdr:cNvPr>
        <xdr:cNvCxnSpPr/>
      </xdr:nvCxnSpPr>
      <xdr:spPr>
        <a:xfrm flipV="1">
          <a:off x="3124760" y="76320087"/>
          <a:ext cx="970289" cy="282669"/>
        </a:xfrm>
        <a:prstGeom prst="line">
          <a:avLst/>
        </a:prstGeom>
        <a:ln w="12700">
          <a:solidFill>
            <a:srgbClr val="FF0000">
              <a:alpha val="37000"/>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217016</xdr:colOff>
      <xdr:row>453</xdr:row>
      <xdr:rowOff>87224</xdr:rowOff>
    </xdr:from>
    <xdr:to>
      <xdr:col>18</xdr:col>
      <xdr:colOff>4791</xdr:colOff>
      <xdr:row>456</xdr:row>
      <xdr:rowOff>47892</xdr:rowOff>
    </xdr:to>
    <xdr:sp macro="" textlink="Resumo!$J$353">
      <xdr:nvSpPr>
        <xdr:cNvPr id="122" name="Retângulo 121">
          <a:extLst>
            <a:ext uri="{FF2B5EF4-FFF2-40B4-BE49-F238E27FC236}">
              <a16:creationId xmlns:a16="http://schemas.microsoft.com/office/drawing/2014/main" id="{8CC9135F-9D85-50F7-B584-F48457E8C0FC}"/>
            </a:ext>
          </a:extLst>
        </xdr:cNvPr>
        <xdr:cNvSpPr/>
      </xdr:nvSpPr>
      <xdr:spPr>
        <a:xfrm>
          <a:off x="2872810" y="76388077"/>
          <a:ext cx="1356599" cy="54337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004A0C9-CF24-4F5C-848B-524C4B0FEE90}" type="TxLink">
            <a:rPr lang="en-US" sz="1200" b="1" i="0" u="none" strike="noStrike">
              <a:solidFill>
                <a:srgbClr val="AF780D"/>
              </a:solidFill>
              <a:latin typeface="Aptos ExtraBold" panose="020F0502020204030204" pitchFamily="34" charset="0"/>
              <a:ea typeface="ADLaM Display" panose="020F0502020204030204" pitchFamily="2" charset="0"/>
              <a:cs typeface="ADLaM Display" panose="020F0502020204030204" pitchFamily="2" charset="0"/>
            </a:rPr>
            <a:pPr marL="0" indent="0" algn="ctr"/>
            <a:t> R$ 26.240,00 </a:t>
          </a:fld>
          <a:endParaRPr lang="pt-BR" sz="1200" b="1" i="0" u="none" strike="noStrike">
            <a:solidFill>
              <a:srgbClr val="AF780D"/>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2</xdr:col>
      <xdr:colOff>65379</xdr:colOff>
      <xdr:row>453</xdr:row>
      <xdr:rowOff>16853</xdr:rowOff>
    </xdr:from>
    <xdr:to>
      <xdr:col>6</xdr:col>
      <xdr:colOff>157057</xdr:colOff>
      <xdr:row>454</xdr:row>
      <xdr:rowOff>72812</xdr:rowOff>
    </xdr:to>
    <xdr:cxnSp macro="">
      <xdr:nvCxnSpPr>
        <xdr:cNvPr id="123" name="Conector reto 122">
          <a:extLst>
            <a:ext uri="{FF2B5EF4-FFF2-40B4-BE49-F238E27FC236}">
              <a16:creationId xmlns:a16="http://schemas.microsoft.com/office/drawing/2014/main" id="{44647585-EC80-719E-3DA1-E0FBA542449F}"/>
            </a:ext>
          </a:extLst>
        </xdr:cNvPr>
        <xdr:cNvCxnSpPr/>
      </xdr:nvCxnSpPr>
      <xdr:spPr>
        <a:xfrm>
          <a:off x="704114" y="76317706"/>
          <a:ext cx="988149" cy="257665"/>
        </a:xfrm>
        <a:prstGeom prst="line">
          <a:avLst/>
        </a:prstGeom>
        <a:ln w="12700">
          <a:solidFill>
            <a:srgbClr val="FF0000">
              <a:alpha val="37000"/>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74309</xdr:colOff>
      <xdr:row>453</xdr:row>
      <xdr:rowOff>19234</xdr:rowOff>
    </xdr:from>
    <xdr:to>
      <xdr:col>6</xdr:col>
      <xdr:colOff>148127</xdr:colOff>
      <xdr:row>454</xdr:row>
      <xdr:rowOff>100197</xdr:rowOff>
    </xdr:to>
    <xdr:cxnSp macro="">
      <xdr:nvCxnSpPr>
        <xdr:cNvPr id="126" name="Conector reto 125">
          <a:extLst>
            <a:ext uri="{FF2B5EF4-FFF2-40B4-BE49-F238E27FC236}">
              <a16:creationId xmlns:a16="http://schemas.microsoft.com/office/drawing/2014/main" id="{A0D8198A-68A4-3F9C-E6C2-F9575C458D24}"/>
            </a:ext>
          </a:extLst>
        </xdr:cNvPr>
        <xdr:cNvCxnSpPr/>
      </xdr:nvCxnSpPr>
      <xdr:spPr>
        <a:xfrm flipV="1">
          <a:off x="713044" y="76320087"/>
          <a:ext cx="970289" cy="282669"/>
        </a:xfrm>
        <a:prstGeom prst="line">
          <a:avLst/>
        </a:prstGeom>
        <a:ln w="12700">
          <a:solidFill>
            <a:srgbClr val="FF0000">
              <a:alpha val="37000"/>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139623</xdr:colOff>
      <xdr:row>453</xdr:row>
      <xdr:rowOff>87224</xdr:rowOff>
    </xdr:from>
    <xdr:to>
      <xdr:col>7</xdr:col>
      <xdr:colOff>151517</xdr:colOff>
      <xdr:row>456</xdr:row>
      <xdr:rowOff>47892</xdr:rowOff>
    </xdr:to>
    <xdr:sp macro="" textlink="Resumo!$J$347">
      <xdr:nvSpPr>
        <xdr:cNvPr id="270530" name="Retângulo 270529">
          <a:extLst>
            <a:ext uri="{FF2B5EF4-FFF2-40B4-BE49-F238E27FC236}">
              <a16:creationId xmlns:a16="http://schemas.microsoft.com/office/drawing/2014/main" id="{386A6ADA-E04D-8668-A898-8A54F26CB980}"/>
            </a:ext>
          </a:extLst>
        </xdr:cNvPr>
        <xdr:cNvSpPr/>
      </xdr:nvSpPr>
      <xdr:spPr>
        <a:xfrm>
          <a:off x="554241" y="76388077"/>
          <a:ext cx="1356600" cy="54337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6489999-5169-4FC5-A678-47C9082BA5BD}" type="TxLink">
            <a:rPr lang="en-US" sz="1200" b="1" i="0" u="none" strike="noStrike">
              <a:solidFill>
                <a:srgbClr val="AF780D"/>
              </a:solidFill>
              <a:latin typeface="Aptos ExtraBold" panose="020F0502020204030204" pitchFamily="34" charset="0"/>
              <a:ea typeface="ADLaM Display" panose="020F0502020204030204" pitchFamily="2" charset="0"/>
              <a:cs typeface="ADLaM Display" panose="020F0502020204030204" pitchFamily="2" charset="0"/>
            </a:rPr>
            <a:pPr marL="0" indent="0" algn="ctr"/>
            <a:t> R$ 23.440,00 </a:t>
          </a:fld>
          <a:endParaRPr lang="pt-BR" sz="1200" b="1" i="0" u="none" strike="noStrike">
            <a:solidFill>
              <a:srgbClr val="AF780D"/>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11</xdr:col>
      <xdr:colOff>55166</xdr:colOff>
      <xdr:row>454</xdr:row>
      <xdr:rowOff>160849</xdr:rowOff>
    </xdr:from>
    <xdr:to>
      <xdr:col>18</xdr:col>
      <xdr:colOff>201705</xdr:colOff>
      <xdr:row>456</xdr:row>
      <xdr:rowOff>109145</xdr:rowOff>
    </xdr:to>
    <xdr:sp macro="" textlink="Resumo!K353">
      <xdr:nvSpPr>
        <xdr:cNvPr id="270533" name="Retângulo 270532">
          <a:extLst>
            <a:ext uri="{FF2B5EF4-FFF2-40B4-BE49-F238E27FC236}">
              <a16:creationId xmlns:a16="http://schemas.microsoft.com/office/drawing/2014/main" id="{9F9FD60E-2E45-1CE1-D980-90F4E1EF3839}"/>
            </a:ext>
          </a:extLst>
        </xdr:cNvPr>
        <xdr:cNvSpPr/>
      </xdr:nvSpPr>
      <xdr:spPr>
        <a:xfrm>
          <a:off x="2710960" y="76663408"/>
          <a:ext cx="1715363" cy="32929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27FE414-A5EF-486E-B3EC-6291F059A836}" type="TxLink">
            <a:rPr lang="en-US" sz="800" b="0" i="1" u="none" strike="noStrike">
              <a:solidFill>
                <a:schemeClr val="accent6">
                  <a:lumMod val="50000"/>
                </a:schemeClr>
              </a:solidFill>
              <a:latin typeface="Aptos ExtraBold" panose="020F0502020204030204" pitchFamily="34" charset="0"/>
              <a:ea typeface="ADLaM Display" panose="020F0502020204030204" pitchFamily="2" charset="0"/>
              <a:cs typeface="ADLaM Display" panose="020F0502020204030204" pitchFamily="2" charset="0"/>
            </a:rPr>
            <a:pPr marL="0" indent="0" algn="ctr"/>
            <a:t>PayBack de 2 anos e 5 meses</a:t>
          </a:fld>
          <a:endParaRPr lang="en-US" sz="800" b="0" i="1" u="none" strike="noStrike">
            <a:solidFill>
              <a:schemeClr val="accent6">
                <a:lumMod val="50000"/>
              </a:schemeClr>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21</xdr:col>
      <xdr:colOff>120856</xdr:colOff>
      <xdr:row>454</xdr:row>
      <xdr:rowOff>160849</xdr:rowOff>
    </xdr:from>
    <xdr:to>
      <xdr:col>28</xdr:col>
      <xdr:colOff>280533</xdr:colOff>
      <xdr:row>456</xdr:row>
      <xdr:rowOff>109145</xdr:rowOff>
    </xdr:to>
    <xdr:sp macro="" textlink="Resumo!K354">
      <xdr:nvSpPr>
        <xdr:cNvPr id="270542" name="Retângulo 270541">
          <a:extLst>
            <a:ext uri="{FF2B5EF4-FFF2-40B4-BE49-F238E27FC236}">
              <a16:creationId xmlns:a16="http://schemas.microsoft.com/office/drawing/2014/main" id="{C17108A8-4CE5-6970-6E1D-68B39F662094}"/>
            </a:ext>
          </a:extLst>
        </xdr:cNvPr>
        <xdr:cNvSpPr/>
      </xdr:nvSpPr>
      <xdr:spPr>
        <a:xfrm>
          <a:off x="5017827" y="76663408"/>
          <a:ext cx="1728500" cy="32929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0760ABF-60E7-4B52-BFD8-93AE6451D91B}" type="TxLink">
            <a:rPr lang="en-US" sz="800" b="0" i="1" u="none" strike="noStrike">
              <a:solidFill>
                <a:schemeClr val="accent6">
                  <a:lumMod val="50000"/>
                </a:schemeClr>
              </a:solidFill>
              <a:latin typeface="Aptos ExtraBold" panose="020F0502020204030204" pitchFamily="34" charset="0"/>
              <a:ea typeface="ADLaM Display" panose="020F0502020204030204" pitchFamily="2" charset="0"/>
              <a:cs typeface="ADLaM Display" panose="020F0502020204030204" pitchFamily="2" charset="0"/>
            </a:rPr>
            <a:pPr marL="0" indent="0" algn="ctr"/>
            <a:t>PayBack de 3 anos e 6 meses</a:t>
          </a:fld>
          <a:endParaRPr lang="en-US" sz="800" b="0" i="1" u="none" strike="noStrike">
            <a:solidFill>
              <a:schemeClr val="accent6">
                <a:lumMod val="50000"/>
              </a:schemeClr>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1</xdr:col>
      <xdr:colOff>1841</xdr:colOff>
      <xdr:row>454</xdr:row>
      <xdr:rowOff>160849</xdr:rowOff>
    </xdr:from>
    <xdr:to>
      <xdr:col>8</xdr:col>
      <xdr:colOff>142584</xdr:colOff>
      <xdr:row>456</xdr:row>
      <xdr:rowOff>109145</xdr:rowOff>
    </xdr:to>
    <xdr:sp macro="" textlink="Resumo!K347">
      <xdr:nvSpPr>
        <xdr:cNvPr id="270543" name="Retângulo 270542">
          <a:extLst>
            <a:ext uri="{FF2B5EF4-FFF2-40B4-BE49-F238E27FC236}">
              <a16:creationId xmlns:a16="http://schemas.microsoft.com/office/drawing/2014/main" id="{09695AC9-9794-8DC7-2A00-8624CEDD0308}"/>
            </a:ext>
          </a:extLst>
        </xdr:cNvPr>
        <xdr:cNvSpPr/>
      </xdr:nvSpPr>
      <xdr:spPr>
        <a:xfrm>
          <a:off x="416459" y="76663408"/>
          <a:ext cx="1709566" cy="32929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ABC5821-4A33-4BD7-9067-381D38163F40}" type="TxLink">
            <a:rPr lang="en-US" sz="800" b="0" i="1" u="none" strike="noStrike">
              <a:solidFill>
                <a:schemeClr val="accent6">
                  <a:lumMod val="50000"/>
                </a:schemeClr>
              </a:solidFill>
              <a:latin typeface="Aptos ExtraBold" panose="020F0502020204030204" pitchFamily="34" charset="0"/>
              <a:ea typeface="ADLaM Display" panose="020F0502020204030204" pitchFamily="2" charset="0"/>
              <a:cs typeface="ADLaM Display" panose="020F0502020204030204" pitchFamily="2" charset="0"/>
            </a:rPr>
            <a:pPr marL="0" indent="0" algn="ctr"/>
            <a:t>PayBack de 2 anos e 2 meses</a:t>
          </a:fld>
          <a:endParaRPr lang="en-US" sz="800" b="0" i="1" u="none" strike="noStrike">
            <a:solidFill>
              <a:schemeClr val="accent6">
                <a:lumMod val="50000"/>
              </a:schemeClr>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16</xdr:col>
      <xdr:colOff>140072</xdr:colOff>
      <xdr:row>451</xdr:row>
      <xdr:rowOff>83527</xdr:rowOff>
    </xdr:from>
    <xdr:to>
      <xdr:col>20</xdr:col>
      <xdr:colOff>39779</xdr:colOff>
      <xdr:row>455</xdr:row>
      <xdr:rowOff>83527</xdr:rowOff>
    </xdr:to>
    <xdr:sp macro="" textlink="Resumo!$I$344">
      <xdr:nvSpPr>
        <xdr:cNvPr id="270544" name="CaixaDeTexto 270543">
          <a:extLst>
            <a:ext uri="{FF2B5EF4-FFF2-40B4-BE49-F238E27FC236}">
              <a16:creationId xmlns:a16="http://schemas.microsoft.com/office/drawing/2014/main" id="{014071FB-2E57-CB96-A96E-FFDCC8F6537E}"/>
            </a:ext>
          </a:extLst>
        </xdr:cNvPr>
        <xdr:cNvSpPr txBox="1"/>
      </xdr:nvSpPr>
      <xdr:spPr>
        <a:xfrm>
          <a:off x="3916454" y="76003380"/>
          <a:ext cx="796178" cy="773206"/>
        </a:xfrm>
        <a:prstGeom prst="rect">
          <a:avLst/>
        </a:prstGeom>
        <a:noFill/>
        <a:ln w="9525" cmpd="sng">
          <a:noFill/>
        </a:ln>
        <a:scene3d>
          <a:camera prst="perspectiveHeroicExtremeLeftFacing"/>
          <a:lightRig rig="threePt" dir="t"/>
        </a:scene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DAADDDC-4E09-4F68-ADCC-F1F5617D7A8C}" type="TxLink">
            <a:rPr lang="en-US" sz="1600" b="1" i="1">
              <a:solidFill>
                <a:srgbClr val="FF0000"/>
              </a:solidFill>
              <a:latin typeface="Engravers MT" panose="02090707080505020304" pitchFamily="18" charset="0"/>
              <a:ea typeface="+mn-ea"/>
              <a:cs typeface="Cavolini" panose="020B0502040204020203" pitchFamily="66" charset="0"/>
            </a:rPr>
            <a:pPr marL="0" indent="0" algn="ctr"/>
            <a:t>20%</a:t>
          </a:fld>
          <a:endParaRPr lang="pt-BR" sz="1600" b="1" i="1">
            <a:solidFill>
              <a:srgbClr val="FF0000"/>
            </a:solidFill>
            <a:latin typeface="Engravers MT" panose="02090707080505020304" pitchFamily="18" charset="0"/>
            <a:ea typeface="+mn-ea"/>
            <a:cs typeface="Cavolini" panose="020B0502040204020203" pitchFamily="66" charset="0"/>
          </a:endParaRPr>
        </a:p>
      </xdr:txBody>
    </xdr:sp>
    <xdr:clientData/>
  </xdr:twoCellAnchor>
  <xdr:twoCellAnchor>
    <xdr:from>
      <xdr:col>27</xdr:col>
      <xdr:colOff>5601</xdr:colOff>
      <xdr:row>451</xdr:row>
      <xdr:rowOff>83527</xdr:rowOff>
    </xdr:from>
    <xdr:to>
      <xdr:col>28</xdr:col>
      <xdr:colOff>577661</xdr:colOff>
      <xdr:row>455</xdr:row>
      <xdr:rowOff>83527</xdr:rowOff>
    </xdr:to>
    <xdr:sp macro="" textlink="Resumo!$I$344">
      <xdr:nvSpPr>
        <xdr:cNvPr id="270545" name="CaixaDeTexto 270544">
          <a:extLst>
            <a:ext uri="{FF2B5EF4-FFF2-40B4-BE49-F238E27FC236}">
              <a16:creationId xmlns:a16="http://schemas.microsoft.com/office/drawing/2014/main" id="{5CB45637-C821-175E-3636-CCC0F540010D}"/>
            </a:ext>
          </a:extLst>
        </xdr:cNvPr>
        <xdr:cNvSpPr txBox="1"/>
      </xdr:nvSpPr>
      <xdr:spPr>
        <a:xfrm>
          <a:off x="6247277" y="76003380"/>
          <a:ext cx="796178" cy="773206"/>
        </a:xfrm>
        <a:prstGeom prst="rect">
          <a:avLst/>
        </a:prstGeom>
        <a:noFill/>
        <a:ln w="9525" cmpd="sng">
          <a:noFill/>
        </a:ln>
        <a:scene3d>
          <a:camera prst="perspectiveHeroicExtremeLeftFacing"/>
          <a:lightRig rig="threePt" dir="t"/>
        </a:scene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DAADDDC-4E09-4F68-ADCC-F1F5617D7A8C}" type="TxLink">
            <a:rPr lang="en-US" sz="1600" b="1" i="1">
              <a:solidFill>
                <a:srgbClr val="FF0000"/>
              </a:solidFill>
              <a:latin typeface="Engravers MT" panose="02090707080505020304" pitchFamily="18" charset="0"/>
              <a:ea typeface="+mn-ea"/>
              <a:cs typeface="Cavolini" panose="020B0502040204020203" pitchFamily="66" charset="0"/>
            </a:rPr>
            <a:pPr marL="0" indent="0" algn="ctr"/>
            <a:t>20%</a:t>
          </a:fld>
          <a:endParaRPr lang="pt-BR" sz="1600" b="1" i="1">
            <a:solidFill>
              <a:srgbClr val="FF0000"/>
            </a:solidFill>
            <a:latin typeface="Engravers MT" panose="02090707080505020304" pitchFamily="18" charset="0"/>
            <a:ea typeface="+mn-ea"/>
            <a:cs typeface="Cavolini" panose="020B0502040204020203" pitchFamily="66" charset="0"/>
          </a:endParaRPr>
        </a:p>
      </xdr:txBody>
    </xdr:sp>
    <xdr:clientData/>
  </xdr:twoCellAnchor>
  <xdr:twoCellAnchor editAs="oneCell">
    <xdr:from>
      <xdr:col>56</xdr:col>
      <xdr:colOff>547079</xdr:colOff>
      <xdr:row>433</xdr:row>
      <xdr:rowOff>188062</xdr:rowOff>
    </xdr:from>
    <xdr:to>
      <xdr:col>58</xdr:col>
      <xdr:colOff>524422</xdr:colOff>
      <xdr:row>437</xdr:row>
      <xdr:rowOff>8769</xdr:rowOff>
    </xdr:to>
    <xdr:pic>
      <xdr:nvPicPr>
        <xdr:cNvPr id="270546" name="Imagem 270545">
          <a:extLst>
            <a:ext uri="{FF2B5EF4-FFF2-40B4-BE49-F238E27FC236}">
              <a16:creationId xmlns:a16="http://schemas.microsoft.com/office/drawing/2014/main" id="{9DFD2371-03ED-BC7E-9581-3AB0E6A42BCE}"/>
            </a:ext>
          </a:extLst>
        </xdr:cNvPr>
        <xdr:cNvPicPr>
          <a:picLocks noChangeAspect="1"/>
        </xdr:cNvPicPr>
      </xdr:nvPicPr>
      <xdr:blipFill rotWithShape="1">
        <a:blip xmlns:r="http://schemas.openxmlformats.org/officeDocument/2006/relationships" r:embed="rId43" cstate="print">
          <a:alphaModFix amt="85000"/>
          <a:extLst>
            <a:ext uri="{28A0092B-C50C-407E-A947-70E740481C1C}">
              <a14:useLocalDpi xmlns:a14="http://schemas.microsoft.com/office/drawing/2010/main" val="0"/>
            </a:ext>
          </a:extLst>
        </a:blip>
        <a:srcRect t="7924" b="44951"/>
        <a:stretch/>
      </xdr:blipFill>
      <xdr:spPr>
        <a:xfrm>
          <a:off x="21916697" y="72869415"/>
          <a:ext cx="1165166" cy="549089"/>
        </a:xfrm>
        <a:prstGeom prst="rect">
          <a:avLst/>
        </a:prstGeom>
      </xdr:spPr>
    </xdr:pic>
    <xdr:clientData/>
  </xdr:twoCellAnchor>
  <xdr:twoCellAnchor editAs="oneCell">
    <xdr:from>
      <xdr:col>60</xdr:col>
      <xdr:colOff>545130</xdr:colOff>
      <xdr:row>433</xdr:row>
      <xdr:rowOff>188062</xdr:rowOff>
    </xdr:from>
    <xdr:to>
      <xdr:col>62</xdr:col>
      <xdr:colOff>531243</xdr:colOff>
      <xdr:row>437</xdr:row>
      <xdr:rowOff>8769</xdr:rowOff>
    </xdr:to>
    <xdr:pic>
      <xdr:nvPicPr>
        <xdr:cNvPr id="270547" name="Imagem 270546">
          <a:extLst>
            <a:ext uri="{FF2B5EF4-FFF2-40B4-BE49-F238E27FC236}">
              <a16:creationId xmlns:a16="http://schemas.microsoft.com/office/drawing/2014/main" id="{C03FC453-6A02-EF3C-2FCE-325AE5D3DBA6}"/>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t="7924" b="44951"/>
        <a:stretch/>
      </xdr:blipFill>
      <xdr:spPr>
        <a:xfrm>
          <a:off x="24290395" y="72869415"/>
          <a:ext cx="1173936" cy="549089"/>
        </a:xfrm>
        <a:prstGeom prst="rect">
          <a:avLst/>
        </a:prstGeom>
      </xdr:spPr>
    </xdr:pic>
    <xdr:clientData/>
  </xdr:twoCellAnchor>
  <xdr:twoCellAnchor editAs="oneCell">
    <xdr:from>
      <xdr:col>34</xdr:col>
      <xdr:colOff>277103</xdr:colOff>
      <xdr:row>8</xdr:row>
      <xdr:rowOff>23132</xdr:rowOff>
    </xdr:from>
    <xdr:to>
      <xdr:col>43</xdr:col>
      <xdr:colOff>98242</xdr:colOff>
      <xdr:row>36</xdr:row>
      <xdr:rowOff>95250</xdr:rowOff>
    </xdr:to>
    <xdr:pic>
      <xdr:nvPicPr>
        <xdr:cNvPr id="270549" name="Imagem 270548">
          <a:extLst>
            <a:ext uri="{FF2B5EF4-FFF2-40B4-BE49-F238E27FC236}">
              <a16:creationId xmlns:a16="http://schemas.microsoft.com/office/drawing/2014/main" id="{FD38D5A6-0A0A-EA9C-9BCC-0A27CFFC2CEF}"/>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8580662" y="1547132"/>
          <a:ext cx="5166345" cy="5394912"/>
        </a:xfrm>
        <a:prstGeom prst="rect">
          <a:avLst/>
        </a:prstGeom>
      </xdr:spPr>
    </xdr:pic>
    <xdr:clientData/>
  </xdr:twoCellAnchor>
  <xdr:twoCellAnchor>
    <xdr:from>
      <xdr:col>58</xdr:col>
      <xdr:colOff>240926</xdr:colOff>
      <xdr:row>451</xdr:row>
      <xdr:rowOff>83527</xdr:rowOff>
    </xdr:from>
    <xdr:to>
      <xdr:col>59</xdr:col>
      <xdr:colOff>443192</xdr:colOff>
      <xdr:row>455</xdr:row>
      <xdr:rowOff>83527</xdr:rowOff>
    </xdr:to>
    <xdr:sp macro="" textlink="Resumo!$J$344">
      <xdr:nvSpPr>
        <xdr:cNvPr id="270550" name="CaixaDeTexto 270549">
          <a:extLst>
            <a:ext uri="{FF2B5EF4-FFF2-40B4-BE49-F238E27FC236}">
              <a16:creationId xmlns:a16="http://schemas.microsoft.com/office/drawing/2014/main" id="{8807E5A8-122B-17FA-3069-AB9F2F73FA4D}"/>
            </a:ext>
          </a:extLst>
        </xdr:cNvPr>
        <xdr:cNvSpPr txBox="1"/>
      </xdr:nvSpPr>
      <xdr:spPr>
        <a:xfrm>
          <a:off x="22798367" y="76003380"/>
          <a:ext cx="796178" cy="773206"/>
        </a:xfrm>
        <a:prstGeom prst="rect">
          <a:avLst/>
        </a:prstGeom>
        <a:noFill/>
        <a:ln w="9525" cmpd="sng">
          <a:noFill/>
        </a:ln>
        <a:scene3d>
          <a:camera prst="perspectiveHeroicExtremeLeftFacing"/>
          <a:lightRig rig="threePt" dir="t"/>
        </a:scene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6A7B934-A5DE-4912-9C4D-4D3051FE4AF7}" type="TxLink">
            <a:rPr lang="en-US" sz="1600" b="1" i="1">
              <a:solidFill>
                <a:srgbClr val="FF0000"/>
              </a:solidFill>
              <a:latin typeface="Engravers MT" panose="02090707080505020304" pitchFamily="18" charset="0"/>
              <a:ea typeface="+mn-ea"/>
              <a:cs typeface="Cavolini" panose="020B0502040204020203" pitchFamily="66" charset="0"/>
            </a:rPr>
            <a:pPr marL="0" indent="0" algn="ctr"/>
            <a:t>-20%</a:t>
          </a:fld>
          <a:endParaRPr lang="pt-BR" sz="1600" b="1" i="1">
            <a:solidFill>
              <a:srgbClr val="FF0000"/>
            </a:solidFill>
            <a:latin typeface="Engravers MT" panose="02090707080505020304" pitchFamily="18" charset="0"/>
            <a:ea typeface="+mn-ea"/>
            <a:cs typeface="Cavolini" panose="020B0502040204020203" pitchFamily="66" charset="0"/>
          </a:endParaRPr>
        </a:p>
      </xdr:txBody>
    </xdr:sp>
    <xdr:clientData/>
  </xdr:twoCellAnchor>
  <xdr:twoCellAnchor>
    <xdr:from>
      <xdr:col>62</xdr:col>
      <xdr:colOff>188099</xdr:colOff>
      <xdr:row>451</xdr:row>
      <xdr:rowOff>83527</xdr:rowOff>
    </xdr:from>
    <xdr:to>
      <xdr:col>63</xdr:col>
      <xdr:colOff>411175</xdr:colOff>
      <xdr:row>455</xdr:row>
      <xdr:rowOff>83527</xdr:rowOff>
    </xdr:to>
    <xdr:sp macro="" textlink="Resumo!$J$344">
      <xdr:nvSpPr>
        <xdr:cNvPr id="270551" name="CaixaDeTexto 270550">
          <a:extLst>
            <a:ext uri="{FF2B5EF4-FFF2-40B4-BE49-F238E27FC236}">
              <a16:creationId xmlns:a16="http://schemas.microsoft.com/office/drawing/2014/main" id="{060D061E-8EDA-0BFD-4D50-F90279BB535B}"/>
            </a:ext>
          </a:extLst>
        </xdr:cNvPr>
        <xdr:cNvSpPr txBox="1"/>
      </xdr:nvSpPr>
      <xdr:spPr>
        <a:xfrm>
          <a:off x="25121187" y="76003380"/>
          <a:ext cx="816988" cy="773206"/>
        </a:xfrm>
        <a:prstGeom prst="rect">
          <a:avLst/>
        </a:prstGeom>
        <a:noFill/>
        <a:ln w="9525" cmpd="sng">
          <a:noFill/>
        </a:ln>
        <a:scene3d>
          <a:camera prst="perspectiveHeroicExtremeLeftFacing"/>
          <a:lightRig rig="threePt" dir="t"/>
        </a:scene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6A7B934-A5DE-4912-9C4D-4D3051FE4AF7}" type="TxLink">
            <a:rPr lang="en-US" sz="1600" b="1" i="1">
              <a:solidFill>
                <a:srgbClr val="FF0000"/>
              </a:solidFill>
              <a:latin typeface="Engravers MT" panose="02090707080505020304" pitchFamily="18" charset="0"/>
              <a:ea typeface="+mn-ea"/>
              <a:cs typeface="Cavolini" panose="020B0502040204020203" pitchFamily="66" charset="0"/>
            </a:rPr>
            <a:pPr marL="0" indent="0" algn="ctr"/>
            <a:t>-20%</a:t>
          </a:fld>
          <a:endParaRPr lang="pt-BR" sz="1600" b="1" i="1">
            <a:solidFill>
              <a:srgbClr val="FF0000"/>
            </a:solidFill>
            <a:latin typeface="Engravers MT" panose="02090707080505020304" pitchFamily="18" charset="0"/>
            <a:ea typeface="+mn-ea"/>
            <a:cs typeface="Cavolini" panose="020B0502040204020203" pitchFamily="66" charset="0"/>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7</xdr:col>
      <xdr:colOff>211231</xdr:colOff>
      <xdr:row>423</xdr:row>
      <xdr:rowOff>129691</xdr:rowOff>
    </xdr:from>
    <xdr:to>
      <xdr:col>9</xdr:col>
      <xdr:colOff>179071</xdr:colOff>
      <xdr:row>425</xdr:row>
      <xdr:rowOff>56017</xdr:rowOff>
    </xdr:to>
    <xdr:sp macro="" textlink="Resumo!$E$372">
      <xdr:nvSpPr>
        <xdr:cNvPr id="79" name="CaixaDeTexto 78">
          <a:extLst>
            <a:ext uri="{FF2B5EF4-FFF2-40B4-BE49-F238E27FC236}">
              <a16:creationId xmlns:a16="http://schemas.microsoft.com/office/drawing/2014/main" id="{00000000-0008-0000-1000-00004F000000}"/>
            </a:ext>
          </a:extLst>
        </xdr:cNvPr>
        <xdr:cNvSpPr txBox="1"/>
      </xdr:nvSpPr>
      <xdr:spPr>
        <a:xfrm>
          <a:off x="1940971" y="66837076"/>
          <a:ext cx="465045" cy="288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566B9D1-6A57-4D8C-BC1D-69FEC6CAD05B}" type="TxLink">
            <a:rPr lang="en-US" sz="1200" b="1" i="0" u="none" strike="noStrike">
              <a:solidFill>
                <a:schemeClr val="accent6">
                  <a:lumMod val="75000"/>
                </a:schemeClr>
              </a:solidFill>
              <a:latin typeface="Calibri"/>
              <a:cs typeface="Calibri"/>
            </a:rPr>
            <a:pPr/>
            <a:t>60x</a:t>
          </a:fld>
          <a:endParaRPr lang="pt-BR" sz="1200" b="1">
            <a:solidFill>
              <a:schemeClr val="accent6">
                <a:lumMod val="75000"/>
              </a:schemeClr>
            </a:solidFill>
          </a:endParaRPr>
        </a:p>
      </xdr:txBody>
    </xdr:sp>
    <xdr:clientData/>
  </xdr:twoCellAnchor>
  <xdr:twoCellAnchor>
    <xdr:from>
      <xdr:col>0</xdr:col>
      <xdr:colOff>101291</xdr:colOff>
      <xdr:row>434</xdr:row>
      <xdr:rowOff>107674</xdr:rowOff>
    </xdr:from>
    <xdr:to>
      <xdr:col>9</xdr:col>
      <xdr:colOff>60636</xdr:colOff>
      <xdr:row>457</xdr:row>
      <xdr:rowOff>41413</xdr:rowOff>
    </xdr:to>
    <xdr:sp macro="" textlink="">
      <xdr:nvSpPr>
        <xdr:cNvPr id="2" name="Retângulo: Cantos Arredondados 1">
          <a:extLst>
            <a:ext uri="{FF2B5EF4-FFF2-40B4-BE49-F238E27FC236}">
              <a16:creationId xmlns:a16="http://schemas.microsoft.com/office/drawing/2014/main" id="{00000000-0008-0000-1000-000002000000}"/>
            </a:ext>
          </a:extLst>
        </xdr:cNvPr>
        <xdr:cNvSpPr/>
      </xdr:nvSpPr>
      <xdr:spPr>
        <a:xfrm>
          <a:off x="101291" y="73773196"/>
          <a:ext cx="2121106" cy="4124739"/>
        </a:xfrm>
        <a:prstGeom prst="roundRect">
          <a:avLst/>
        </a:prstGeom>
        <a:solidFill>
          <a:schemeClr val="accent6">
            <a:lumMod val="20000"/>
            <a:lumOff val="80000"/>
            <a:alpha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pt-BR"/>
        </a:p>
      </xdr:txBody>
    </xdr:sp>
    <xdr:clientData/>
  </xdr:twoCellAnchor>
  <xdr:twoCellAnchor>
    <xdr:from>
      <xdr:col>11</xdr:col>
      <xdr:colOff>91553</xdr:colOff>
      <xdr:row>229</xdr:row>
      <xdr:rowOff>123266</xdr:rowOff>
    </xdr:from>
    <xdr:to>
      <xdr:col>16</xdr:col>
      <xdr:colOff>210821</xdr:colOff>
      <xdr:row>232</xdr:row>
      <xdr:rowOff>160694</xdr:rowOff>
    </xdr:to>
    <xdr:sp macro="" textlink="">
      <xdr:nvSpPr>
        <xdr:cNvPr id="3" name="Retângulo 2">
          <a:extLst>
            <a:ext uri="{FF2B5EF4-FFF2-40B4-BE49-F238E27FC236}">
              <a16:creationId xmlns:a16="http://schemas.microsoft.com/office/drawing/2014/main" id="{00000000-0008-0000-1000-000003000000}"/>
            </a:ext>
          </a:extLst>
        </xdr:cNvPr>
        <xdr:cNvSpPr/>
      </xdr:nvSpPr>
      <xdr:spPr>
        <a:xfrm>
          <a:off x="2819513" y="29614571"/>
          <a:ext cx="1349898" cy="580353"/>
        </a:xfrm>
        <a:prstGeom prst="rect">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pt-BR"/>
        </a:p>
      </xdr:txBody>
    </xdr:sp>
    <xdr:clientData/>
  </xdr:twoCellAnchor>
  <xdr:twoCellAnchor editAs="oneCell">
    <xdr:from>
      <xdr:col>7</xdr:col>
      <xdr:colOff>149678</xdr:colOff>
      <xdr:row>10</xdr:row>
      <xdr:rowOff>38372</xdr:rowOff>
    </xdr:from>
    <xdr:to>
      <xdr:col>21</xdr:col>
      <xdr:colOff>79828</xdr:colOff>
      <xdr:row>31</xdr:row>
      <xdr:rowOff>22588</xdr:rowOff>
    </xdr:to>
    <xdr:pic>
      <xdr:nvPicPr>
        <xdr:cNvPr id="4" name="Imagem 3">
          <a:extLst>
            <a:ext uri="{FF2B5EF4-FFF2-40B4-BE49-F238E27FC236}">
              <a16:creationId xmlns:a16="http://schemas.microsoft.com/office/drawing/2014/main" id="{00000000-0008-0000-1000-000004000000}"/>
            </a:ext>
          </a:extLst>
        </xdr:cNvPr>
        <xdr:cNvPicPr/>
      </xdr:nvPicPr>
      <xdr:blipFill rotWithShape="1">
        <a:blip xmlns:r="http://schemas.openxmlformats.org/officeDocument/2006/relationships" r:embed="rId1" cstate="screen">
          <a:extLst>
            <a:ext uri="{28A0092B-C50C-407E-A947-70E740481C1C}">
              <a14:useLocalDpi xmlns:a14="http://schemas.microsoft.com/office/drawing/2010/main"/>
            </a:ext>
          </a:extLst>
        </a:blip>
        <a:srcRect/>
        <a:stretch/>
      </xdr:blipFill>
      <xdr:spPr>
        <a:xfrm>
          <a:off x="1883228" y="1848122"/>
          <a:ext cx="3397250" cy="3799931"/>
        </a:xfrm>
        <a:prstGeom prst="rect">
          <a:avLst/>
        </a:prstGeom>
      </xdr:spPr>
    </xdr:pic>
    <xdr:clientData/>
  </xdr:twoCellAnchor>
  <xdr:twoCellAnchor editAs="oneCell">
    <xdr:from>
      <xdr:col>10</xdr:col>
      <xdr:colOff>208007</xdr:colOff>
      <xdr:row>2</xdr:row>
      <xdr:rowOff>0</xdr:rowOff>
    </xdr:from>
    <xdr:to>
      <xdr:col>19</xdr:col>
      <xdr:colOff>724</xdr:colOff>
      <xdr:row>6</xdr:row>
      <xdr:rowOff>39822</xdr:rowOff>
    </xdr:to>
    <xdr:pic>
      <xdr:nvPicPr>
        <xdr:cNvPr id="5" name="Imagem 4">
          <a:extLst>
            <a:ext uri="{FF2B5EF4-FFF2-40B4-BE49-F238E27FC236}">
              <a16:creationId xmlns:a16="http://schemas.microsoft.com/office/drawing/2014/main" id="{00000000-0008-0000-1000-000005000000}"/>
            </a:ext>
          </a:extLst>
        </xdr:cNvPr>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2688317" y="361950"/>
          <a:ext cx="2017758" cy="763722"/>
        </a:xfrm>
        <a:prstGeom prst="rect">
          <a:avLst/>
        </a:prstGeom>
      </xdr:spPr>
    </xdr:pic>
    <xdr:clientData/>
  </xdr:twoCellAnchor>
  <xdr:twoCellAnchor editAs="oneCell">
    <xdr:from>
      <xdr:col>11</xdr:col>
      <xdr:colOff>168122</xdr:colOff>
      <xdr:row>221</xdr:row>
      <xdr:rowOff>152400</xdr:rowOff>
    </xdr:from>
    <xdr:to>
      <xdr:col>16</xdr:col>
      <xdr:colOff>117845</xdr:colOff>
      <xdr:row>228</xdr:row>
      <xdr:rowOff>211276</xdr:rowOff>
    </xdr:to>
    <xdr:pic>
      <xdr:nvPicPr>
        <xdr:cNvPr id="14" name="Imagem 13">
          <a:extLst>
            <a:ext uri="{FF2B5EF4-FFF2-40B4-BE49-F238E27FC236}">
              <a16:creationId xmlns:a16="http://schemas.microsoft.com/office/drawing/2014/main" id="{00000000-0008-0000-1000-00000E000000}"/>
            </a:ext>
          </a:extLst>
        </xdr:cNvPr>
        <xdr:cNvPicPr/>
      </xdr:nvPicPr>
      <xdr:blipFill>
        <a:blip xmlns:r="http://schemas.openxmlformats.org/officeDocument/2006/relationships" r:embed="rId3" cstate="screen">
          <a:extLst>
            <a:ext uri="{28A0092B-C50C-407E-A947-70E740481C1C}">
              <a14:useLocalDpi xmlns:a14="http://schemas.microsoft.com/office/drawing/2010/main"/>
            </a:ext>
          </a:extLst>
        </a:blip>
        <a:srcRect/>
        <a:stretch>
          <a:fillRect/>
        </a:stretch>
      </xdr:blipFill>
      <xdr:spPr bwMode="auto">
        <a:xfrm>
          <a:off x="2787497" y="28060650"/>
          <a:ext cx="1140348" cy="1292309"/>
        </a:xfrm>
        <a:prstGeom prst="rect">
          <a:avLst/>
        </a:prstGeom>
        <a:noFill/>
        <a:ln>
          <a:noFill/>
        </a:ln>
      </xdr:spPr>
    </xdr:pic>
    <xdr:clientData/>
  </xdr:twoCellAnchor>
  <xdr:twoCellAnchor>
    <xdr:from>
      <xdr:col>11</xdr:col>
      <xdr:colOff>93233</xdr:colOff>
      <xdr:row>229</xdr:row>
      <xdr:rowOff>43133</xdr:rowOff>
    </xdr:from>
    <xdr:to>
      <xdr:col>16</xdr:col>
      <xdr:colOff>190501</xdr:colOff>
      <xdr:row>232</xdr:row>
      <xdr:rowOff>37371</xdr:rowOff>
    </xdr:to>
    <xdr:sp macro="" textlink="Resumo!$E$189">
      <xdr:nvSpPr>
        <xdr:cNvPr id="15" name="Caixa de Texto 2">
          <a:extLst>
            <a:ext uri="{FF2B5EF4-FFF2-40B4-BE49-F238E27FC236}">
              <a16:creationId xmlns:a16="http://schemas.microsoft.com/office/drawing/2014/main" id="{00000000-0008-0000-1000-00000F000000}"/>
            </a:ext>
          </a:extLst>
        </xdr:cNvPr>
        <xdr:cNvSpPr txBox="1">
          <a:spLocks noChangeArrowheads="1"/>
        </xdr:cNvSpPr>
      </xdr:nvSpPr>
      <xdr:spPr bwMode="auto">
        <a:xfrm>
          <a:off x="2771439" y="42939251"/>
          <a:ext cx="1273886" cy="576944"/>
        </a:xfrm>
        <a:prstGeom prst="rect">
          <a:avLst/>
        </a:prstGeom>
        <a:noFill/>
        <a:ln w="9525">
          <a:noFill/>
          <a:miter lim="800000"/>
          <a:headEnd/>
          <a:tailEnd/>
        </a:ln>
      </xdr:spPr>
      <xdr:txBody>
        <a:bodyPr rot="0" vert="horz" wrap="none" lIns="0" tIns="0" rIns="0" bIns="0" anchor="t" anchorCtr="0">
          <a:noAutofit/>
        </a:bodyPr>
        <a:lstStyle/>
        <a:p>
          <a:pPr algn="ctr">
            <a:lnSpc>
              <a:spcPct val="150000"/>
            </a:lnSpc>
          </a:pPr>
          <a:fld id="{7CD5C8D2-2C05-4FC3-A166-C66060063462}" type="TxLink">
            <a:rPr lang="en-US" sz="2000" b="1" i="0" u="none" strike="noStrike">
              <a:solidFill>
                <a:schemeClr val="accent6">
                  <a:lumMod val="50000"/>
                </a:schemeClr>
              </a:solidFill>
              <a:effectLst/>
              <a:latin typeface="Calibri"/>
              <a:ea typeface="Calibri" panose="020F0502020204030204" pitchFamily="34" charset="0"/>
              <a:cs typeface="Calibri"/>
            </a:rPr>
            <a:pPr algn="ctr">
              <a:lnSpc>
                <a:spcPct val="150000"/>
              </a:lnSpc>
            </a:pPr>
            <a:t>8,19 kWp</a:t>
          </a:fld>
          <a:endParaRPr lang="pt-BR" sz="2000" b="1">
            <a:solidFill>
              <a:schemeClr val="accent6">
                <a:lumMod val="50000"/>
              </a:schemeClr>
            </a:solidFill>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9</xdr:col>
      <xdr:colOff>168421</xdr:colOff>
      <xdr:row>231</xdr:row>
      <xdr:rowOff>4632</xdr:rowOff>
    </xdr:from>
    <xdr:to>
      <xdr:col>18</xdr:col>
      <xdr:colOff>132787</xdr:colOff>
      <xdr:row>232</xdr:row>
      <xdr:rowOff>161002</xdr:rowOff>
    </xdr:to>
    <xdr:sp macro="" textlink="">
      <xdr:nvSpPr>
        <xdr:cNvPr id="16" name="Caixa de Texto 2">
          <a:extLst>
            <a:ext uri="{FF2B5EF4-FFF2-40B4-BE49-F238E27FC236}">
              <a16:creationId xmlns:a16="http://schemas.microsoft.com/office/drawing/2014/main" id="{00000000-0008-0000-1000-000010000000}"/>
            </a:ext>
          </a:extLst>
        </xdr:cNvPr>
        <xdr:cNvSpPr txBox="1">
          <a:spLocks noChangeArrowheads="1"/>
        </xdr:cNvSpPr>
      </xdr:nvSpPr>
      <xdr:spPr bwMode="auto">
        <a:xfrm>
          <a:off x="2401081" y="29857887"/>
          <a:ext cx="2193216" cy="337345"/>
        </a:xfrm>
        <a:prstGeom prst="rect">
          <a:avLst/>
        </a:prstGeom>
        <a:noFill/>
        <a:ln w="9525">
          <a:noFill/>
          <a:miter lim="800000"/>
          <a:headEnd/>
          <a:tailEnd/>
        </a:ln>
      </xdr:spPr>
      <xdr:txBody>
        <a:bodyPr rot="0" vert="horz" wrap="square" lIns="91440" tIns="45720" rIns="91440" bIns="45720" anchor="t" anchorCtr="0">
          <a:noAutofit/>
        </a:bodyPr>
        <a:lstStyle/>
        <a:p>
          <a:pPr algn="ctr">
            <a:lnSpc>
              <a:spcPct val="150000"/>
            </a:lnSpc>
          </a:pPr>
          <a:r>
            <a:rPr lang="pt-BR" sz="1200">
              <a:solidFill>
                <a:srgbClr val="385623"/>
              </a:solidFill>
              <a:effectLst/>
              <a:latin typeface="Calibri" panose="020F0502020204030204" pitchFamily="34" charset="0"/>
              <a:ea typeface="Calibri" panose="020F0502020204030204" pitchFamily="34" charset="0"/>
              <a:cs typeface="Times New Roman" panose="02020603050405020304" pitchFamily="18" charset="0"/>
            </a:rPr>
            <a:t>Potência Instalada</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6</xdr:col>
      <xdr:colOff>96669</xdr:colOff>
      <xdr:row>265</xdr:row>
      <xdr:rowOff>144696</xdr:rowOff>
    </xdr:from>
    <xdr:to>
      <xdr:col>10</xdr:col>
      <xdr:colOff>167827</xdr:colOff>
      <xdr:row>271</xdr:row>
      <xdr:rowOff>135730</xdr:rowOff>
    </xdr:to>
    <xdr:pic>
      <xdr:nvPicPr>
        <xdr:cNvPr id="21" name="Gráfico 48">
          <a:extLst>
            <a:ext uri="{FF2B5EF4-FFF2-40B4-BE49-F238E27FC236}">
              <a16:creationId xmlns:a16="http://schemas.microsoft.com/office/drawing/2014/main" id="{00000000-0008-0000-1000-000015000000}"/>
            </a:ext>
          </a:extLst>
        </xdr:cNvPr>
        <xdr:cNvPicPr/>
      </xdr:nvPicPr>
      <xdr:blipFill>
        <a:blip xmlns:r="http://schemas.openxmlformats.org/officeDocument/2006/relationships" r:embed="rId4">
          <a:extLst>
            <a:ext uri="{28A0092B-C50C-407E-A947-70E740481C1C}">
              <a14:useLocalDpi xmlns:a14="http://schemas.microsoft.com/office/drawing/2010/main"/>
            </a:ext>
            <a:ext uri="{96DAC541-7B7A-43D3-8B79-37D633B846F1}">
              <asvg:svgBlip xmlns:asvg="http://schemas.microsoft.com/office/drawing/2016/SVG/main" r:embed="rId5"/>
            </a:ext>
          </a:extLst>
        </a:blip>
        <a:stretch>
          <a:fillRect/>
        </a:stretch>
      </xdr:blipFill>
      <xdr:spPr>
        <a:xfrm>
          <a:off x="1578759" y="38033241"/>
          <a:ext cx="1069377" cy="1074980"/>
        </a:xfrm>
        <a:prstGeom prst="rect">
          <a:avLst/>
        </a:prstGeom>
      </xdr:spPr>
    </xdr:pic>
    <xdr:clientData/>
  </xdr:twoCellAnchor>
  <xdr:twoCellAnchor editAs="oneCell">
    <xdr:from>
      <xdr:col>17</xdr:col>
      <xdr:colOff>219681</xdr:colOff>
      <xdr:row>265</xdr:row>
      <xdr:rowOff>96436</xdr:rowOff>
    </xdr:from>
    <xdr:to>
      <xdr:col>22</xdr:col>
      <xdr:colOff>131939</xdr:colOff>
      <xdr:row>271</xdr:row>
      <xdr:rowOff>133190</xdr:rowOff>
    </xdr:to>
    <xdr:pic>
      <xdr:nvPicPr>
        <xdr:cNvPr id="22" name="Gráfico 49">
          <a:extLst>
            <a:ext uri="{FF2B5EF4-FFF2-40B4-BE49-F238E27FC236}">
              <a16:creationId xmlns:a16="http://schemas.microsoft.com/office/drawing/2014/main" id="{00000000-0008-0000-1000-000016000000}"/>
            </a:ext>
          </a:extLst>
        </xdr:cNvPr>
        <xdr:cNvPicPr/>
      </xdr:nvPicPr>
      <xdr:blipFill>
        <a:blip xmlns:r="http://schemas.openxmlformats.org/officeDocument/2006/relationships" r:embed="rId6">
          <a:extLst>
            <a:ext uri="{28A0092B-C50C-407E-A947-70E740481C1C}">
              <a14:useLocalDpi xmlns:a14="http://schemas.microsoft.com/office/drawing/2010/main"/>
            </a:ext>
            <a:ext uri="{96DAC541-7B7A-43D3-8B79-37D633B846F1}">
              <asvg:svgBlip xmlns:asvg="http://schemas.microsoft.com/office/drawing/2016/SVG/main" r:embed="rId7"/>
            </a:ext>
          </a:extLst>
        </a:blip>
        <a:stretch>
          <a:fillRect/>
        </a:stretch>
      </xdr:blipFill>
      <xdr:spPr>
        <a:xfrm>
          <a:off x="4427826" y="37983076"/>
          <a:ext cx="1156223" cy="1130225"/>
        </a:xfrm>
        <a:prstGeom prst="rect">
          <a:avLst/>
        </a:prstGeom>
      </xdr:spPr>
    </xdr:pic>
    <xdr:clientData/>
  </xdr:twoCellAnchor>
  <xdr:twoCellAnchor>
    <xdr:from>
      <xdr:col>4</xdr:col>
      <xdr:colOff>177612</xdr:colOff>
      <xdr:row>261</xdr:row>
      <xdr:rowOff>63677</xdr:rowOff>
    </xdr:from>
    <xdr:to>
      <xdr:col>12</xdr:col>
      <xdr:colOff>88787</xdr:colOff>
      <xdr:row>264</xdr:row>
      <xdr:rowOff>159525</xdr:rowOff>
    </xdr:to>
    <xdr:sp macro="" textlink="">
      <xdr:nvSpPr>
        <xdr:cNvPr id="23" name="Caixa de Texto 2">
          <a:extLst>
            <a:ext uri="{FF2B5EF4-FFF2-40B4-BE49-F238E27FC236}">
              <a16:creationId xmlns:a16="http://schemas.microsoft.com/office/drawing/2014/main" id="{00000000-0008-0000-1000-000017000000}"/>
            </a:ext>
          </a:extLst>
        </xdr:cNvPr>
        <xdr:cNvSpPr txBox="1">
          <a:spLocks noChangeArrowheads="1"/>
        </xdr:cNvSpPr>
      </xdr:nvSpPr>
      <xdr:spPr bwMode="auto">
        <a:xfrm>
          <a:off x="1164402" y="37226417"/>
          <a:ext cx="1899995" cy="644488"/>
        </a:xfrm>
        <a:prstGeom prst="rect">
          <a:avLst/>
        </a:prstGeom>
        <a:noFill/>
        <a:ln w="9525">
          <a:noFill/>
          <a:miter lim="800000"/>
          <a:headEnd/>
          <a:tailEnd/>
        </a:ln>
      </xdr:spPr>
      <xdr:txBody>
        <a:bodyPr rot="0" vert="horz" wrap="square" lIns="91440" tIns="45720" rIns="91440" bIns="45720" anchor="t" anchorCtr="0">
          <a:noAutofit/>
        </a:bodyPr>
        <a:lstStyle/>
        <a:p>
          <a:pPr algn="ctr">
            <a:lnSpc>
              <a:spcPct val="150000"/>
            </a:lnSpc>
          </a:pPr>
          <a:r>
            <a:rPr lang="pt-BR" sz="1400" b="1">
              <a:solidFill>
                <a:srgbClr val="538135"/>
              </a:solidFill>
              <a:effectLst/>
              <a:latin typeface="Times New Roman" panose="02020603050405020304" pitchFamily="18" charset="0"/>
              <a:ea typeface="Calibri" panose="020F0502020204030204" pitchFamily="34" charset="0"/>
              <a:cs typeface="Times New Roman" panose="02020603050405020304" pitchFamily="18" charset="0"/>
            </a:rPr>
            <a:t>REDUÇÃO NA EMISSÃO DE CO</a:t>
          </a:r>
          <a:r>
            <a:rPr lang="pt-BR" sz="1400" b="1" baseline="-25000">
              <a:solidFill>
                <a:srgbClr val="538135"/>
              </a:solidFill>
              <a:effectLst/>
              <a:latin typeface="Times New Roman" panose="02020603050405020304" pitchFamily="18" charset="0"/>
              <a:ea typeface="Calibri" panose="020F0502020204030204" pitchFamily="34" charset="0"/>
              <a:cs typeface="Times New Roman" panose="02020603050405020304" pitchFamily="18" charset="0"/>
            </a:rPr>
            <a:t>2</a:t>
          </a:r>
          <a:r>
            <a:rPr lang="pt-BR" sz="1400" b="1">
              <a:solidFill>
                <a:srgbClr val="538135"/>
              </a:solidFill>
              <a:effectLst/>
              <a:latin typeface="Times New Roman" panose="02020603050405020304" pitchFamily="18" charset="0"/>
              <a:ea typeface="Calibri" panose="020F0502020204030204" pitchFamily="34" charset="0"/>
              <a:cs typeface="Times New Roman" panose="02020603050405020304" pitchFamily="18" charset="0"/>
            </a:rPr>
            <a:t>*</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a:p>
          <a:pPr algn="ctr">
            <a:lnSpc>
              <a:spcPct val="150000"/>
            </a:lnSpc>
          </a:pPr>
          <a:r>
            <a:rPr lang="pt-BR" sz="1400" b="1" baseline="-25000">
              <a:solidFill>
                <a:srgbClr val="538135"/>
              </a:solidFill>
              <a:effectLst/>
              <a:latin typeface="Times New Roman" panose="02020603050405020304" pitchFamily="18" charset="0"/>
              <a:ea typeface="Calibri" panose="020F0502020204030204" pitchFamily="34" charset="0"/>
              <a:cs typeface="Times New Roman" panose="02020603050405020304" pitchFamily="18" charset="0"/>
            </a:rPr>
            <a:t> </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16</xdr:col>
      <xdr:colOff>67535</xdr:colOff>
      <xdr:row>261</xdr:row>
      <xdr:rowOff>60502</xdr:rowOff>
    </xdr:from>
    <xdr:to>
      <xdr:col>23</xdr:col>
      <xdr:colOff>136383</xdr:colOff>
      <xdr:row>264</xdr:row>
      <xdr:rowOff>131585</xdr:rowOff>
    </xdr:to>
    <xdr:sp macro="" textlink="">
      <xdr:nvSpPr>
        <xdr:cNvPr id="24" name="Caixa de Texto 2">
          <a:extLst>
            <a:ext uri="{FF2B5EF4-FFF2-40B4-BE49-F238E27FC236}">
              <a16:creationId xmlns:a16="http://schemas.microsoft.com/office/drawing/2014/main" id="{00000000-0008-0000-1000-000018000000}"/>
            </a:ext>
          </a:extLst>
        </xdr:cNvPr>
        <xdr:cNvSpPr txBox="1">
          <a:spLocks noChangeArrowheads="1"/>
        </xdr:cNvSpPr>
      </xdr:nvSpPr>
      <xdr:spPr bwMode="auto">
        <a:xfrm>
          <a:off x="4028030" y="37223242"/>
          <a:ext cx="1800493" cy="621628"/>
        </a:xfrm>
        <a:prstGeom prst="rect">
          <a:avLst/>
        </a:prstGeom>
        <a:noFill/>
        <a:ln w="9525">
          <a:noFill/>
          <a:miter lim="800000"/>
          <a:headEnd/>
          <a:tailEnd/>
        </a:ln>
      </xdr:spPr>
      <xdr:txBody>
        <a:bodyPr rot="0" vert="horz" wrap="square" lIns="91440" tIns="45720" rIns="91440" bIns="45720" anchor="t" anchorCtr="0">
          <a:noAutofit/>
        </a:bodyPr>
        <a:lstStyle/>
        <a:p>
          <a:pPr algn="ctr">
            <a:lnSpc>
              <a:spcPct val="150000"/>
            </a:lnSpc>
          </a:pPr>
          <a:r>
            <a:rPr lang="pt-BR" sz="1400" b="1">
              <a:solidFill>
                <a:srgbClr val="538135"/>
              </a:solidFill>
              <a:effectLst/>
              <a:latin typeface="Times New Roman" panose="02020603050405020304" pitchFamily="18" charset="0"/>
              <a:ea typeface="Calibri" panose="020F0502020204030204" pitchFamily="34" charset="0"/>
              <a:cs typeface="Times New Roman" panose="02020603050405020304" pitchFamily="18" charset="0"/>
            </a:rPr>
            <a:t>ÁRVORES EQUIVALENTES**</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a:p>
          <a:pPr algn="ctr">
            <a:lnSpc>
              <a:spcPct val="150000"/>
            </a:lnSpc>
          </a:pPr>
          <a:r>
            <a:rPr lang="pt-BR" sz="1400" b="1" baseline="-25000">
              <a:solidFill>
                <a:srgbClr val="538135"/>
              </a:solidFill>
              <a:effectLst/>
              <a:latin typeface="Times New Roman" panose="02020603050405020304" pitchFamily="18" charset="0"/>
              <a:ea typeface="Calibri" panose="020F0502020204030204" pitchFamily="34" charset="0"/>
              <a:cs typeface="Times New Roman" panose="02020603050405020304" pitchFamily="18" charset="0"/>
            </a:rPr>
            <a:t> </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oneCellAnchor>
    <xdr:from>
      <xdr:col>0</xdr:col>
      <xdr:colOff>41234</xdr:colOff>
      <xdr:row>278</xdr:row>
      <xdr:rowOff>24879</xdr:rowOff>
    </xdr:from>
    <xdr:ext cx="6925015" cy="1559184"/>
    <xdr:sp macro="" textlink="">
      <xdr:nvSpPr>
        <xdr:cNvPr id="25" name="CaixaDeTexto 24">
          <a:extLst>
            <a:ext uri="{FF2B5EF4-FFF2-40B4-BE49-F238E27FC236}">
              <a16:creationId xmlns:a16="http://schemas.microsoft.com/office/drawing/2014/main" id="{00000000-0008-0000-1000-000019000000}"/>
            </a:ext>
          </a:extLst>
        </xdr:cNvPr>
        <xdr:cNvSpPr txBox="1"/>
      </xdr:nvSpPr>
      <xdr:spPr>
        <a:xfrm>
          <a:off x="41234" y="40492794"/>
          <a:ext cx="6925015" cy="1559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000">
              <a:solidFill>
                <a:schemeClr val="bg1">
                  <a:lumMod val="50000"/>
                </a:schemeClr>
              </a:solidFill>
              <a:effectLst/>
              <a:latin typeface="Times New Roman" panose="02020603050405020304" pitchFamily="18" charset="0"/>
              <a:ea typeface="+mn-ea"/>
              <a:cs typeface="Times New Roman" panose="02020603050405020304" pitchFamily="18" charset="0"/>
            </a:rPr>
            <a:t>*A energia solar fotovoltaica é uma forma de frear a emissão de gases causadores do efeito estufa por ser uma energia limpa. Ela reduz a necessidade de geração através de geradoras térmicas.</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000">
              <a:solidFill>
                <a:schemeClr val="bg1">
                  <a:lumMod val="50000"/>
                </a:schemeClr>
              </a:solidFill>
              <a:effectLst/>
              <a:latin typeface="Times New Roman" panose="02020603050405020304" pitchFamily="18" charset="0"/>
              <a:ea typeface="+mn-ea"/>
              <a:cs typeface="Times New Roman" panose="02020603050405020304" pitchFamily="18" charset="0"/>
            </a:rPr>
            <a:t>**A neutralização de carbono por plantio de árvore acontece através do "sequestro de carbono" da atmosfera, que é retirado do meio ambiente e fixado na biomassa do planeta. Mais </a:t>
          </a:r>
          <a:r>
            <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rPr>
            <a:t>efetivo</a:t>
          </a:r>
          <a:r>
            <a:rPr lang="pt-BR" sz="1000">
              <a:solidFill>
                <a:schemeClr val="bg1">
                  <a:lumMod val="50000"/>
                </a:schemeClr>
              </a:solidFill>
              <a:effectLst/>
              <a:latin typeface="Times New Roman" panose="02020603050405020304" pitchFamily="18" charset="0"/>
              <a:ea typeface="+mn-ea"/>
              <a:cs typeface="Times New Roman" panose="02020603050405020304" pitchFamily="18" charset="0"/>
            </a:rPr>
            <a:t> que plantar árvores para melhorar a qualidade do ar que respiramos, é </a:t>
          </a:r>
          <a:r>
            <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rPr>
            <a:t>instalar sistemas fotovoltaicos</a:t>
          </a:r>
          <a:r>
            <a:rPr lang="pt-BR" sz="1000">
              <a:solidFill>
                <a:schemeClr val="bg1">
                  <a:lumMod val="50000"/>
                </a:schemeClr>
              </a:solidFill>
              <a:effectLst/>
              <a:latin typeface="Times New Roman" panose="02020603050405020304" pitchFamily="18" charset="0"/>
              <a:ea typeface="+mn-ea"/>
              <a:cs typeface="Times New Roman" panose="02020603050405020304" pitchFamily="18" charset="0"/>
            </a:rPr>
            <a:t>, que reduzem a necessidade de geração pela queima de derivados do petróleo, reduzindo assim a emissão de CO₂ no ambiente.</a:t>
          </a:r>
        </a:p>
      </xdr:txBody>
    </xdr:sp>
    <xdr:clientData/>
  </xdr:oneCellAnchor>
  <xdr:oneCellAnchor>
    <xdr:from>
      <xdr:col>0</xdr:col>
      <xdr:colOff>206403</xdr:colOff>
      <xdr:row>428</xdr:row>
      <xdr:rowOff>124499</xdr:rowOff>
    </xdr:from>
    <xdr:ext cx="6767466" cy="791806"/>
    <xdr:sp macro="" textlink="">
      <xdr:nvSpPr>
        <xdr:cNvPr id="32" name="CaixaDeTexto 31">
          <a:extLst>
            <a:ext uri="{FF2B5EF4-FFF2-40B4-BE49-F238E27FC236}">
              <a16:creationId xmlns:a16="http://schemas.microsoft.com/office/drawing/2014/main" id="{00000000-0008-0000-1000-000020000000}"/>
            </a:ext>
          </a:extLst>
        </xdr:cNvPr>
        <xdr:cNvSpPr txBox="1"/>
      </xdr:nvSpPr>
      <xdr:spPr>
        <a:xfrm>
          <a:off x="206403" y="67742474"/>
          <a:ext cx="6767466" cy="791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50000"/>
            </a:lnSpc>
            <a:spcBef>
              <a:spcPts val="0"/>
            </a:spcBef>
            <a:spcAft>
              <a:spcPts val="0"/>
            </a:spcAft>
            <a:buClr>
              <a:schemeClr val="accent6">
                <a:lumMod val="50000"/>
              </a:schemeClr>
            </a:buClr>
            <a:buSzTx/>
            <a:buFont typeface="Arial" panose="020B0604020202020204" pitchFamily="34" charset="0"/>
            <a:buNone/>
            <a:tabLst/>
            <a:defRPr/>
          </a:pPr>
          <a:r>
            <a:rPr lang="pt-BR" sz="1000" b="0">
              <a:solidFill>
                <a:schemeClr val="bg1">
                  <a:lumMod val="50000"/>
                </a:schemeClr>
              </a:solidFill>
              <a:effectLst/>
              <a:latin typeface="Times New Roman" panose="02020603050405020304" pitchFamily="18" charset="0"/>
              <a:ea typeface="+mn-ea"/>
              <a:cs typeface="Times New Roman" panose="02020603050405020304" pitchFamily="18" charset="0"/>
            </a:rPr>
            <a:t>*As condições apresentadas referem-se apenas a uma simulação e estão sujeitas reanálise de crédito, critérios de aprovação e elegibilidade da financeira e da situação cadastral no ato da solicitação. A simulação não configura oferta. </a:t>
          </a:r>
        </a:p>
        <a:p>
          <a:pPr marL="0" marR="0" lvl="0" indent="288000" algn="just" defTabSz="914400" eaLnBrk="1" fontAlgn="auto" latinLnBrk="0" hangingPunct="1">
            <a:lnSpc>
              <a:spcPct val="150000"/>
            </a:lnSpc>
            <a:spcBef>
              <a:spcPts val="0"/>
            </a:spcBef>
            <a:spcAft>
              <a:spcPts val="0"/>
            </a:spcAft>
            <a:buClr>
              <a:schemeClr val="accent6">
                <a:lumMod val="50000"/>
              </a:schemeClr>
            </a:buClr>
            <a:buSzTx/>
            <a:buFont typeface="Arial" panose="020B0604020202020204" pitchFamily="34" charset="0"/>
            <a:buNone/>
            <a:tabLst/>
            <a:defRPr/>
          </a:pPr>
          <a:r>
            <a:rPr lang="pt-BR" sz="1000" b="0">
              <a:solidFill>
                <a:schemeClr val="bg1">
                  <a:lumMod val="50000"/>
                </a:schemeClr>
              </a:solidFill>
              <a:effectLst/>
              <a:latin typeface="Times New Roman" panose="02020603050405020304" pitchFamily="18" charset="0"/>
              <a:ea typeface="+mn-ea"/>
              <a:cs typeface="Times New Roman" panose="02020603050405020304" pitchFamily="18" charset="0"/>
            </a:rPr>
            <a:t>Parcelas</a:t>
          </a:r>
          <a:r>
            <a:rPr lang="pt-BR" sz="1000" b="0" baseline="0">
              <a:solidFill>
                <a:schemeClr val="bg1">
                  <a:lumMod val="50000"/>
                </a:schemeClr>
              </a:solidFill>
              <a:effectLst/>
              <a:latin typeface="Times New Roman" panose="02020603050405020304" pitchFamily="18" charset="0"/>
              <a:ea typeface="+mn-ea"/>
              <a:cs typeface="Times New Roman" panose="02020603050405020304" pitchFamily="18" charset="0"/>
            </a:rPr>
            <a:t> de 12x, 24x, 36x, 48x, 60x, 72x, 84x, com carência de 30, 60, 90 ou 120 dias.</a:t>
          </a:r>
          <a:endParaRPr lang="pt-BR" sz="1000" b="0">
            <a:solidFill>
              <a:schemeClr val="bg1">
                <a:lumMod val="50000"/>
              </a:schemeClr>
            </a:solidFill>
            <a:effectLst/>
            <a:latin typeface="Times New Roman" panose="02020603050405020304" pitchFamily="18" charset="0"/>
            <a:ea typeface="+mn-ea"/>
            <a:cs typeface="Times New Roman" panose="02020603050405020304" pitchFamily="18" charset="0"/>
          </a:endParaRPr>
        </a:p>
      </xdr:txBody>
    </xdr:sp>
    <xdr:clientData/>
  </xdr:oneCellAnchor>
  <xdr:twoCellAnchor>
    <xdr:from>
      <xdr:col>0</xdr:col>
      <xdr:colOff>56145</xdr:colOff>
      <xdr:row>459</xdr:row>
      <xdr:rowOff>93262</xdr:rowOff>
    </xdr:from>
    <xdr:to>
      <xdr:col>28</xdr:col>
      <xdr:colOff>324252</xdr:colOff>
      <xdr:row>483</xdr:row>
      <xdr:rowOff>74054</xdr:rowOff>
    </xdr:to>
    <xdr:graphicFrame macro="">
      <xdr:nvGraphicFramePr>
        <xdr:cNvPr id="53" name="Gráfico 52">
          <a:extLst>
            <a:ext uri="{FF2B5EF4-FFF2-40B4-BE49-F238E27FC236}">
              <a16:creationId xmlns:a16="http://schemas.microsoft.com/office/drawing/2014/main" id="{00000000-0008-0000-10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17890</xdr:colOff>
          <xdr:row>483</xdr:row>
          <xdr:rowOff>140383</xdr:rowOff>
        </xdr:from>
        <xdr:to>
          <xdr:col>27</xdr:col>
          <xdr:colOff>116949</xdr:colOff>
          <xdr:row>502</xdr:row>
          <xdr:rowOff>96147</xdr:rowOff>
        </xdr:to>
        <xdr:pic>
          <xdr:nvPicPr>
            <xdr:cNvPr id="54" name="Imagem 53">
              <a:extLst>
                <a:ext uri="{FF2B5EF4-FFF2-40B4-BE49-F238E27FC236}">
                  <a16:creationId xmlns:a16="http://schemas.microsoft.com/office/drawing/2014/main" id="{00000000-0008-0000-1000-000036000000}"/>
                </a:ext>
              </a:extLst>
            </xdr:cNvPr>
            <xdr:cNvPicPr>
              <a:picLocks noChangeAspect="1" noChangeArrowheads="1"/>
              <a:extLst>
                <a:ext uri="{84589F7E-364E-4C9E-8A38-B11213B215E9}">
                  <a14:cameraTool cellRange="Financeiro!$Z$171:$AF$188" spid="_x0000_s512815"/>
                </a:ext>
              </a:extLst>
            </xdr:cNvPicPr>
          </xdr:nvPicPr>
          <xdr:blipFill>
            <a:blip xmlns:r="http://schemas.openxmlformats.org/officeDocument/2006/relationships" r:embed="rId9"/>
            <a:srcRect/>
            <a:stretch>
              <a:fillRect/>
            </a:stretch>
          </xdr:blipFill>
          <xdr:spPr bwMode="auto">
            <a:xfrm>
              <a:off x="253214" y="77292883"/>
              <a:ext cx="6217471" cy="3407175"/>
            </a:xfrm>
            <a:prstGeom prst="rect">
              <a:avLst/>
            </a:prstGeom>
            <a:noFill/>
            <a:extLst>
              <a:ext uri="{909E8E84-426E-40DD-AFC4-6F175D3DCCD1}">
                <a14:hiddenFill>
                  <a:solidFill>
                    <a:srgbClr val="FFFFFF"/>
                  </a:solidFill>
                </a14:hiddenFill>
              </a:ext>
            </a:extLst>
          </xdr:spPr>
        </xdr:pic>
        <xdr:clientData/>
      </xdr:twoCellAnchor>
    </mc:Choice>
    <mc:Fallback/>
  </mc:AlternateContent>
  <xdr:oneCellAnchor>
    <xdr:from>
      <xdr:col>0</xdr:col>
      <xdr:colOff>219075</xdr:colOff>
      <xdr:row>511</xdr:row>
      <xdr:rowOff>31115</xdr:rowOff>
    </xdr:from>
    <xdr:ext cx="6717366" cy="2268855"/>
    <xdr:sp macro="" textlink="">
      <xdr:nvSpPr>
        <xdr:cNvPr id="57" name="CaixaDeTexto 56">
          <a:extLst>
            <a:ext uri="{FF2B5EF4-FFF2-40B4-BE49-F238E27FC236}">
              <a16:creationId xmlns:a16="http://schemas.microsoft.com/office/drawing/2014/main" id="{00000000-0008-0000-1000-000039000000}"/>
            </a:ext>
          </a:extLst>
        </xdr:cNvPr>
        <xdr:cNvSpPr txBox="1"/>
      </xdr:nvSpPr>
      <xdr:spPr>
        <a:xfrm>
          <a:off x="219075" y="86697409"/>
          <a:ext cx="6717366" cy="2268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200">
              <a:solidFill>
                <a:schemeClr val="dk1"/>
              </a:solidFill>
              <a:effectLst/>
              <a:latin typeface="Times New Roman" panose="02020603050405020304" pitchFamily="18" charset="0"/>
              <a:ea typeface="+mn-ea"/>
              <a:cs typeface="Times New Roman" panose="02020603050405020304" pitchFamily="18" charset="0"/>
            </a:rPr>
            <a:t>A proposta apresentada possui validade de 5 (cinco) dias corridos contados da data de envio. A aceitação dos termos e condições presentes será oficializada pela assinatura desta via que deverá ser entregue a Cactos – Soluções em Energia em um dos canais de atendimento (Whatsapp, email ou pessoalmente).</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200">
              <a:solidFill>
                <a:schemeClr val="dk1"/>
              </a:solidFill>
              <a:effectLst/>
              <a:latin typeface="Times New Roman" panose="02020603050405020304" pitchFamily="18" charset="0"/>
              <a:ea typeface="+mn-ea"/>
              <a:cs typeface="Times New Roman" panose="02020603050405020304" pitchFamily="18" charset="0"/>
            </a:rPr>
            <a:t>A partir deste aceite, será redigido um contrato de prestação de serviço entre as partes com todas as responsabilidades vigentes das partes envolvidas.</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200">
              <a:solidFill>
                <a:schemeClr val="dk1"/>
              </a:solidFill>
              <a:effectLst/>
              <a:latin typeface="Times New Roman" panose="02020603050405020304" pitchFamily="18" charset="0"/>
              <a:ea typeface="+mn-ea"/>
              <a:cs typeface="Times New Roman" panose="02020603050405020304" pitchFamily="18" charset="0"/>
            </a:rPr>
            <a:t>A Cactos – Soluções em Energia preza pela transparência e está à disposição para sanar qualquer dúvida que tenha permanecido.</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endParaRPr lang="pt-BR" sz="1200">
            <a:solidFill>
              <a:schemeClr val="dk1"/>
            </a:solidFill>
            <a:effectLst/>
            <a:latin typeface="Times New Roman" panose="02020603050405020304" pitchFamily="18" charset="0"/>
            <a:ea typeface="+mn-ea"/>
            <a:cs typeface="Times New Roman" panose="02020603050405020304" pitchFamily="18" charset="0"/>
          </a:endParaRPr>
        </a:p>
      </xdr:txBody>
    </xdr:sp>
    <xdr:clientData/>
  </xdr:oneCellAnchor>
  <xdr:oneCellAnchor>
    <xdr:from>
      <xdr:col>4</xdr:col>
      <xdr:colOff>230278</xdr:colOff>
      <xdr:row>212</xdr:row>
      <xdr:rowOff>71381</xdr:rowOff>
    </xdr:from>
    <xdr:ext cx="1340675" cy="322729"/>
    <xdr:sp macro="" textlink="">
      <xdr:nvSpPr>
        <xdr:cNvPr id="71" name="CaixaDeTexto 70">
          <a:extLst>
            <a:ext uri="{FF2B5EF4-FFF2-40B4-BE49-F238E27FC236}">
              <a16:creationId xmlns:a16="http://schemas.microsoft.com/office/drawing/2014/main" id="{00000000-0008-0000-1000-000047000000}"/>
            </a:ext>
          </a:extLst>
        </xdr:cNvPr>
        <xdr:cNvSpPr txBox="1"/>
      </xdr:nvSpPr>
      <xdr:spPr>
        <a:xfrm>
          <a:off x="1261219" y="39773822"/>
          <a:ext cx="1340675"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0" algn="ctr"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050" b="1">
              <a:solidFill>
                <a:schemeClr val="bg2">
                  <a:lumMod val="25000"/>
                </a:schemeClr>
              </a:solidFill>
              <a:effectLst/>
              <a:latin typeface="Times New Roman" panose="02020603050405020304" pitchFamily="18" charset="0"/>
              <a:ea typeface="+mn-ea"/>
              <a:cs typeface="Times New Roman" panose="02020603050405020304" pitchFamily="18" charset="0"/>
            </a:rPr>
            <a:t>CENÁRIO</a:t>
          </a:r>
          <a:r>
            <a:rPr lang="pt-BR" sz="1050" b="1" baseline="0">
              <a:solidFill>
                <a:schemeClr val="bg2">
                  <a:lumMod val="25000"/>
                </a:schemeClr>
              </a:solidFill>
              <a:effectLst/>
              <a:latin typeface="Times New Roman" panose="02020603050405020304" pitchFamily="18" charset="0"/>
              <a:ea typeface="+mn-ea"/>
              <a:cs typeface="Times New Roman" panose="02020603050405020304" pitchFamily="18" charset="0"/>
            </a:rPr>
            <a:t> ATUAL</a:t>
          </a:r>
          <a:endParaRPr lang="pt-BR" sz="1200" b="1">
            <a:solidFill>
              <a:schemeClr val="bg2">
                <a:lumMod val="25000"/>
              </a:schemeClr>
            </a:solidFill>
            <a:effectLst/>
            <a:latin typeface="Times New Roman" panose="02020603050405020304" pitchFamily="18" charset="0"/>
            <a:ea typeface="+mn-ea"/>
            <a:cs typeface="Times New Roman" panose="02020603050405020304" pitchFamily="18" charset="0"/>
          </a:endParaRPr>
        </a:p>
      </xdr:txBody>
    </xdr:sp>
    <xdr:clientData/>
  </xdr:oneCellAnchor>
  <xdr:oneCellAnchor>
    <xdr:from>
      <xdr:col>16</xdr:col>
      <xdr:colOff>57935</xdr:colOff>
      <xdr:row>212</xdr:row>
      <xdr:rowOff>71381</xdr:rowOff>
    </xdr:from>
    <xdr:ext cx="2293395" cy="322729"/>
    <xdr:sp macro="" textlink="">
      <xdr:nvSpPr>
        <xdr:cNvPr id="72" name="CaixaDeTexto 71">
          <a:extLst>
            <a:ext uri="{FF2B5EF4-FFF2-40B4-BE49-F238E27FC236}">
              <a16:creationId xmlns:a16="http://schemas.microsoft.com/office/drawing/2014/main" id="{00000000-0008-0000-1000-000048000000}"/>
            </a:ext>
          </a:extLst>
        </xdr:cNvPr>
        <xdr:cNvSpPr txBox="1"/>
      </xdr:nvSpPr>
      <xdr:spPr>
        <a:xfrm>
          <a:off x="3912759" y="39773822"/>
          <a:ext cx="2293395"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0" algn="ctr"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050" b="1">
              <a:solidFill>
                <a:schemeClr val="bg2">
                  <a:lumMod val="25000"/>
                </a:schemeClr>
              </a:solidFill>
              <a:effectLst/>
              <a:latin typeface="Times New Roman" panose="02020603050405020304" pitchFamily="18" charset="0"/>
              <a:ea typeface="+mn-ea"/>
              <a:cs typeface="Times New Roman" panose="02020603050405020304" pitchFamily="18" charset="0"/>
            </a:rPr>
            <a:t>CENÁRIO</a:t>
          </a:r>
          <a:r>
            <a:rPr lang="pt-BR" sz="1050" b="1" baseline="0">
              <a:solidFill>
                <a:schemeClr val="bg2">
                  <a:lumMod val="25000"/>
                </a:schemeClr>
              </a:solidFill>
              <a:effectLst/>
              <a:latin typeface="Times New Roman" panose="02020603050405020304" pitchFamily="18" charset="0"/>
              <a:ea typeface="+mn-ea"/>
              <a:cs typeface="Times New Roman" panose="02020603050405020304" pitchFamily="18" charset="0"/>
            </a:rPr>
            <a:t> FUTURO PREVISTO</a:t>
          </a:r>
          <a:endParaRPr lang="pt-BR" sz="1200" b="1">
            <a:solidFill>
              <a:schemeClr val="bg2">
                <a:lumMod val="25000"/>
              </a:schemeClr>
            </a:solidFill>
            <a:effectLst/>
            <a:latin typeface="Times New Roman" panose="02020603050405020304" pitchFamily="18" charset="0"/>
            <a:ea typeface="+mn-ea"/>
            <a:cs typeface="Times New Roman" panose="02020603050405020304" pitchFamily="18" charset="0"/>
          </a:endParaRPr>
        </a:p>
      </xdr:txBody>
    </xdr:sp>
    <xdr:clientData/>
  </xdr:oneCellAnchor>
  <xdr:oneCellAnchor>
    <xdr:from>
      <xdr:col>0</xdr:col>
      <xdr:colOff>31936</xdr:colOff>
      <xdr:row>207</xdr:row>
      <xdr:rowOff>56590</xdr:rowOff>
    </xdr:from>
    <xdr:ext cx="6925015" cy="800659"/>
    <xdr:sp macro="" textlink="$B$211">
      <xdr:nvSpPr>
        <xdr:cNvPr id="18" name="CaixaDeTexto 73">
          <a:extLst>
            <a:ext uri="{FF2B5EF4-FFF2-40B4-BE49-F238E27FC236}">
              <a16:creationId xmlns:a16="http://schemas.microsoft.com/office/drawing/2014/main" id="{00000000-0008-0000-1000-000012000000}"/>
            </a:ext>
          </a:extLst>
        </xdr:cNvPr>
        <xdr:cNvSpPr txBox="1"/>
      </xdr:nvSpPr>
      <xdr:spPr>
        <a:xfrm>
          <a:off x="31936" y="38251840"/>
          <a:ext cx="6925015" cy="800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fld id="{C9BC35FA-01C6-4455-A9FC-E346962ABFDE}" type="TxLink">
            <a:rPr lang="en-US" sz="1100" b="0" i="0" u="none" strike="noStrike">
              <a:solidFill>
                <a:schemeClr val="bg2">
                  <a:lumMod val="25000"/>
                </a:schemeClr>
              </a:solidFill>
              <a:effectLst/>
              <a:latin typeface="Times New Roman" panose="02020603050405020304" pitchFamily="18" charset="0"/>
              <a:ea typeface="+mn-ea"/>
              <a:cs typeface="Times New Roman" panose="02020603050405020304" pitchFamily="18" charset="0"/>
            </a:rPr>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t>Para este estudo foi previsto um aumento no consumo de 4,4%  e todas as informações descritas nesse material estarão baseadas neste aumento.
Foi considerado um consumo diurno de 30,0% em relação ao consumo total.</a:t>
          </a:fld>
          <a:endParaRPr lang="pt-BR" sz="1100">
            <a:solidFill>
              <a:schemeClr val="bg2">
                <a:lumMod val="25000"/>
              </a:schemeClr>
            </a:solidFill>
            <a:effectLst/>
            <a:latin typeface="Times New Roman" panose="02020603050405020304" pitchFamily="18" charset="0"/>
            <a:ea typeface="+mn-ea"/>
            <a:cs typeface="Times New Roman" panose="02020603050405020304" pitchFamily="18" charset="0"/>
          </a:endParaRPr>
        </a:p>
      </xdr:txBody>
    </xdr:sp>
    <xdr:clientData/>
  </xdr:oneCellAnchor>
  <xdr:twoCellAnchor>
    <xdr:from>
      <xdr:col>9</xdr:col>
      <xdr:colOff>87526</xdr:colOff>
      <xdr:row>423</xdr:row>
      <xdr:rowOff>109092</xdr:rowOff>
    </xdr:from>
    <xdr:to>
      <xdr:col>14</xdr:col>
      <xdr:colOff>132565</xdr:colOff>
      <xdr:row>425</xdr:row>
      <xdr:rowOff>29808</xdr:rowOff>
    </xdr:to>
    <xdr:sp macro="" textlink="Resumo!$E$374">
      <xdr:nvSpPr>
        <xdr:cNvPr id="80" name="CaixaDeTexto 79">
          <a:extLst>
            <a:ext uri="{FF2B5EF4-FFF2-40B4-BE49-F238E27FC236}">
              <a16:creationId xmlns:a16="http://schemas.microsoft.com/office/drawing/2014/main" id="{00000000-0008-0000-1000-000050000000}"/>
            </a:ext>
          </a:extLst>
        </xdr:cNvPr>
        <xdr:cNvSpPr txBox="1"/>
      </xdr:nvSpPr>
      <xdr:spPr>
        <a:xfrm>
          <a:off x="2205438" y="66425504"/>
          <a:ext cx="1221656" cy="279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8FD3242-B694-4F05-8E60-67BFBB932309}" type="TxLink">
            <a:rPr lang="en-US" sz="1400" b="1" i="0" u="none" strike="noStrike">
              <a:solidFill>
                <a:schemeClr val="accent6">
                  <a:lumMod val="75000"/>
                </a:schemeClr>
              </a:solidFill>
              <a:latin typeface="Calibri"/>
              <a:ea typeface="+mn-ea"/>
              <a:cs typeface="Calibri"/>
            </a:rPr>
            <a:pPr marL="0" indent="0"/>
            <a:t>R$844,86 </a:t>
          </a:fld>
          <a:endParaRPr lang="pt-BR" sz="1400" b="1" i="0" u="none" strike="noStrike">
            <a:solidFill>
              <a:schemeClr val="accent6">
                <a:lumMod val="75000"/>
              </a:schemeClr>
            </a:solidFill>
            <a:latin typeface="Calibri"/>
            <a:ea typeface="+mn-ea"/>
            <a:cs typeface="Calibri"/>
          </a:endParaRPr>
        </a:p>
      </xdr:txBody>
    </xdr:sp>
    <xdr:clientData/>
  </xdr:twoCellAnchor>
  <xdr:twoCellAnchor>
    <xdr:from>
      <xdr:col>0</xdr:col>
      <xdr:colOff>74071</xdr:colOff>
      <xdr:row>232</xdr:row>
      <xdr:rowOff>149150</xdr:rowOff>
    </xdr:from>
    <xdr:to>
      <xdr:col>28</xdr:col>
      <xdr:colOff>300990</xdr:colOff>
      <xdr:row>250</xdr:row>
      <xdr:rowOff>124873</xdr:rowOff>
    </xdr:to>
    <xdr:grpSp>
      <xdr:nvGrpSpPr>
        <xdr:cNvPr id="70" name="Agrupar 69">
          <a:extLst>
            <a:ext uri="{FF2B5EF4-FFF2-40B4-BE49-F238E27FC236}">
              <a16:creationId xmlns:a16="http://schemas.microsoft.com/office/drawing/2014/main" id="{00000000-0008-0000-1000-000046000000}"/>
            </a:ext>
          </a:extLst>
        </xdr:cNvPr>
        <xdr:cNvGrpSpPr/>
      </xdr:nvGrpSpPr>
      <xdr:grpSpPr>
        <a:xfrm>
          <a:off x="74071" y="44373725"/>
          <a:ext cx="6703919" cy="3404723"/>
          <a:chOff x="-1886" y="31314906"/>
          <a:chExt cx="7328677" cy="3295439"/>
        </a:xfrm>
      </xdr:grpSpPr>
      <xdr:graphicFrame macro="">
        <xdr:nvGraphicFramePr>
          <xdr:cNvPr id="75" name="Gráfico 74">
            <a:extLst>
              <a:ext uri="{FF2B5EF4-FFF2-40B4-BE49-F238E27FC236}">
                <a16:creationId xmlns:a16="http://schemas.microsoft.com/office/drawing/2014/main" id="{00000000-0008-0000-1000-00004B000000}"/>
              </a:ext>
            </a:extLst>
          </xdr:cNvPr>
          <xdr:cNvGraphicFramePr>
            <a:graphicFrameLocks/>
          </xdr:cNvGraphicFramePr>
        </xdr:nvGraphicFramePr>
        <xdr:xfrm>
          <a:off x="18602" y="31314906"/>
          <a:ext cx="7305983" cy="3294524"/>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76" name="Gráfico 75">
            <a:extLst>
              <a:ext uri="{FF2B5EF4-FFF2-40B4-BE49-F238E27FC236}">
                <a16:creationId xmlns:a16="http://schemas.microsoft.com/office/drawing/2014/main" id="{00000000-0008-0000-1000-00004C000000}"/>
              </a:ext>
            </a:extLst>
          </xdr:cNvPr>
          <xdr:cNvGraphicFramePr>
            <a:graphicFrameLocks/>
          </xdr:cNvGraphicFramePr>
        </xdr:nvGraphicFramePr>
        <xdr:xfrm>
          <a:off x="-1886" y="31319197"/>
          <a:ext cx="7328677" cy="3291148"/>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oneCellAnchor>
    <xdr:from>
      <xdr:col>11</xdr:col>
      <xdr:colOff>37203</xdr:colOff>
      <xdr:row>234</xdr:row>
      <xdr:rowOff>54461</xdr:rowOff>
    </xdr:from>
    <xdr:ext cx="1412190" cy="333820"/>
    <xdr:sp macro="" textlink="">
      <xdr:nvSpPr>
        <xdr:cNvPr id="78" name="CaixaDeTexto 77">
          <a:extLst>
            <a:ext uri="{FF2B5EF4-FFF2-40B4-BE49-F238E27FC236}">
              <a16:creationId xmlns:a16="http://schemas.microsoft.com/office/drawing/2014/main" id="{00000000-0008-0000-1000-00004E000000}"/>
            </a:ext>
          </a:extLst>
        </xdr:cNvPr>
        <xdr:cNvSpPr txBox="1"/>
      </xdr:nvSpPr>
      <xdr:spPr>
        <a:xfrm>
          <a:off x="2847078" y="43650386"/>
          <a:ext cx="1412190" cy="333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0" algn="ctr"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700">
              <a:solidFill>
                <a:schemeClr val="bg1">
                  <a:lumMod val="50000"/>
                </a:schemeClr>
              </a:solidFill>
              <a:effectLst/>
              <a:latin typeface="Times New Roman" panose="02020603050405020304" pitchFamily="18" charset="0"/>
              <a:ea typeface="+mn-ea"/>
              <a:cs typeface="Times New Roman" panose="02020603050405020304" pitchFamily="18" charset="0"/>
            </a:rPr>
            <a:t>Estimativa</a:t>
          </a:r>
          <a:r>
            <a:rPr lang="pt-BR" sz="700" baseline="0">
              <a:solidFill>
                <a:schemeClr val="bg1">
                  <a:lumMod val="50000"/>
                </a:schemeClr>
              </a:solidFill>
              <a:effectLst/>
              <a:latin typeface="Times New Roman" panose="02020603050405020304" pitchFamily="18" charset="0"/>
              <a:ea typeface="+mn-ea"/>
              <a:cs typeface="Times New Roman" panose="02020603050405020304" pitchFamily="18" charset="0"/>
            </a:rPr>
            <a:t> do 2° ano</a:t>
          </a:r>
          <a:endParaRPr lang="pt-BR" sz="700">
            <a:solidFill>
              <a:schemeClr val="bg1">
                <a:lumMod val="50000"/>
              </a:schemeClr>
            </a:solidFill>
            <a:effectLst/>
            <a:latin typeface="Times New Roman" panose="02020603050405020304" pitchFamily="18" charset="0"/>
            <a:ea typeface="+mn-ea"/>
            <a:cs typeface="Times New Roman" panose="02020603050405020304" pitchFamily="18" charset="0"/>
          </a:endParaRPr>
        </a:p>
        <a:p>
          <a:pPr marL="0" marR="0" lvl="0" indent="288000" algn="ctr" defTabSz="914400" eaLnBrk="1" fontAlgn="auto" latinLnBrk="0" hangingPunct="1">
            <a:lnSpc>
              <a:spcPct val="150000"/>
            </a:lnSpc>
            <a:spcBef>
              <a:spcPts val="0"/>
            </a:spcBef>
            <a:spcAft>
              <a:spcPts val="0"/>
            </a:spcAft>
            <a:buClrTx/>
            <a:buSzTx/>
            <a:buFont typeface="Arial" panose="020B0604020202020204" pitchFamily="34" charset="0"/>
            <a:buNone/>
            <a:tabLst/>
            <a:defRPr/>
          </a:pPr>
          <a:endParaRPr lang="pt-BR" sz="900">
            <a:solidFill>
              <a:schemeClr val="dk1"/>
            </a:solidFill>
            <a:effectLst/>
            <a:latin typeface="Times New Roman" panose="02020603050405020304" pitchFamily="18" charset="0"/>
            <a:ea typeface="+mn-ea"/>
            <a:cs typeface="Times New Roman" panose="02020603050405020304" pitchFamily="18" charset="0"/>
          </a:endParaRPr>
        </a:p>
      </xdr:txBody>
    </xdr:sp>
    <xdr:clientData/>
  </xdr:oneCellAnchor>
  <xdr:twoCellAnchor>
    <xdr:from>
      <xdr:col>4</xdr:col>
      <xdr:colOff>112666</xdr:colOff>
      <xdr:row>396</xdr:row>
      <xdr:rowOff>55261</xdr:rowOff>
    </xdr:from>
    <xdr:to>
      <xdr:col>25</xdr:col>
      <xdr:colOff>127187</xdr:colOff>
      <xdr:row>403</xdr:row>
      <xdr:rowOff>97157</xdr:rowOff>
    </xdr:to>
    <xdr:grpSp>
      <xdr:nvGrpSpPr>
        <xdr:cNvPr id="97" name="Agrupar 96">
          <a:extLst>
            <a:ext uri="{FF2B5EF4-FFF2-40B4-BE49-F238E27FC236}">
              <a16:creationId xmlns:a16="http://schemas.microsoft.com/office/drawing/2014/main" id="{00000000-0008-0000-1000-000061000000}"/>
            </a:ext>
          </a:extLst>
        </xdr:cNvPr>
        <xdr:cNvGrpSpPr/>
      </xdr:nvGrpSpPr>
      <xdr:grpSpPr>
        <a:xfrm>
          <a:off x="1112791" y="76055236"/>
          <a:ext cx="4815121" cy="1375396"/>
          <a:chOff x="378728" y="55932003"/>
          <a:chExt cx="5232988" cy="1324130"/>
        </a:xfrm>
      </xdr:grpSpPr>
      <xdr:grpSp>
        <xdr:nvGrpSpPr>
          <xdr:cNvPr id="98" name="Agrupar 97">
            <a:extLst>
              <a:ext uri="{FF2B5EF4-FFF2-40B4-BE49-F238E27FC236}">
                <a16:creationId xmlns:a16="http://schemas.microsoft.com/office/drawing/2014/main" id="{00000000-0008-0000-1000-000062000000}"/>
              </a:ext>
            </a:extLst>
          </xdr:cNvPr>
          <xdr:cNvGrpSpPr/>
        </xdr:nvGrpSpPr>
        <xdr:grpSpPr>
          <a:xfrm>
            <a:off x="378728" y="55935813"/>
            <a:ext cx="1245464" cy="1240310"/>
            <a:chOff x="376739" y="54932094"/>
            <a:chExt cx="1232534" cy="1220777"/>
          </a:xfrm>
        </xdr:grpSpPr>
        <xdr:pic>
          <xdr:nvPicPr>
            <xdr:cNvPr id="108" name="Gráfico 40">
              <a:extLst>
                <a:ext uri="{FF2B5EF4-FFF2-40B4-BE49-F238E27FC236}">
                  <a16:creationId xmlns:a16="http://schemas.microsoft.com/office/drawing/2014/main" id="{00000000-0008-0000-1000-00006C000000}"/>
                </a:ext>
              </a:extLst>
            </xdr:cNvPr>
            <xdr:cNvPicPr/>
          </xdr:nvPicPr>
          <xdr:blipFill>
            <a:blip xmlns:r="http://schemas.openxmlformats.org/officeDocument/2006/relationships" r:embed="rId12">
              <a:extLst>
                <a:ext uri="{28A0092B-C50C-407E-A947-70E740481C1C}">
                  <a14:useLocalDpi xmlns:a14="http://schemas.microsoft.com/office/drawing/2010/main"/>
                </a:ext>
                <a:ext uri="{96DAC541-7B7A-43D3-8B79-37D633B846F1}">
                  <asvg:svgBlip xmlns:asvg="http://schemas.microsoft.com/office/drawing/2016/SVG/main" r:embed="rId13"/>
                </a:ext>
              </a:extLst>
            </a:blip>
            <a:stretch>
              <a:fillRect/>
            </a:stretch>
          </xdr:blipFill>
          <xdr:spPr>
            <a:xfrm>
              <a:off x="398646" y="55430875"/>
              <a:ext cx="1186814" cy="721996"/>
            </a:xfrm>
            <a:prstGeom prst="rect">
              <a:avLst/>
            </a:prstGeom>
          </xdr:spPr>
        </xdr:pic>
        <xdr:sp macro="" textlink="">
          <xdr:nvSpPr>
            <xdr:cNvPr id="109" name="Caixa de Texto 2">
              <a:extLst>
                <a:ext uri="{FF2B5EF4-FFF2-40B4-BE49-F238E27FC236}">
                  <a16:creationId xmlns:a16="http://schemas.microsoft.com/office/drawing/2014/main" id="{00000000-0008-0000-1000-00006D000000}"/>
                </a:ext>
              </a:extLst>
            </xdr:cNvPr>
            <xdr:cNvSpPr txBox="1">
              <a:spLocks noChangeArrowheads="1"/>
            </xdr:cNvSpPr>
          </xdr:nvSpPr>
          <xdr:spPr bwMode="auto">
            <a:xfrm>
              <a:off x="376739" y="54932094"/>
              <a:ext cx="1232534" cy="358140"/>
            </a:xfrm>
            <a:prstGeom prst="rect">
              <a:avLst/>
            </a:prstGeom>
            <a:noFill/>
            <a:ln w="9525">
              <a:noFill/>
              <a:miter lim="800000"/>
              <a:headEnd/>
              <a:tailEnd/>
            </a:ln>
          </xdr:spPr>
          <xdr:txBody>
            <a:bodyPr rot="0" vert="horz" wrap="square" lIns="91440" tIns="45720" rIns="91440" bIns="45720" anchor="t" anchorCtr="0">
              <a:noAutofit/>
            </a:bodyPr>
            <a:lstStyle/>
            <a:p>
              <a:pPr algn="ctr">
                <a:lnSpc>
                  <a:spcPct val="150000"/>
                </a:lnSpc>
              </a:pPr>
              <a:r>
                <a:rPr lang="pt-BR" sz="1400" b="1">
                  <a:solidFill>
                    <a:srgbClr val="538135"/>
                  </a:solidFill>
                  <a:effectLst/>
                  <a:latin typeface="Times New Roman" panose="02020603050405020304" pitchFamily="18" charset="0"/>
                  <a:ea typeface="Calibri" panose="020F0502020204030204" pitchFamily="34" charset="0"/>
                  <a:cs typeface="Times New Roman" panose="02020603050405020304" pitchFamily="18" charset="0"/>
                </a:rPr>
                <a:t>MÓDULOS</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grpSp>
        <xdr:nvGrpSpPr>
          <xdr:cNvPr id="99" name="Agrupar 98">
            <a:extLst>
              <a:ext uri="{FF2B5EF4-FFF2-40B4-BE49-F238E27FC236}">
                <a16:creationId xmlns:a16="http://schemas.microsoft.com/office/drawing/2014/main" id="{00000000-0008-0000-1000-000063000000}"/>
              </a:ext>
            </a:extLst>
          </xdr:cNvPr>
          <xdr:cNvGrpSpPr/>
        </xdr:nvGrpSpPr>
        <xdr:grpSpPr>
          <a:xfrm>
            <a:off x="2301080" y="55932003"/>
            <a:ext cx="1216211" cy="1324130"/>
            <a:chOff x="2733424" y="54935904"/>
            <a:chExt cx="1219201" cy="1289357"/>
          </a:xfrm>
        </xdr:grpSpPr>
        <xdr:pic>
          <xdr:nvPicPr>
            <xdr:cNvPr id="106" name="Gráfico 29">
              <a:extLst>
                <a:ext uri="{FF2B5EF4-FFF2-40B4-BE49-F238E27FC236}">
                  <a16:creationId xmlns:a16="http://schemas.microsoft.com/office/drawing/2014/main" id="{00000000-0008-0000-1000-00006A000000}"/>
                </a:ext>
              </a:extLst>
            </xdr:cNvPr>
            <xdr:cNvPicPr/>
          </xdr:nvPicPr>
          <xdr:blipFill>
            <a:blip xmlns:r="http://schemas.openxmlformats.org/officeDocument/2006/relationships" r:embed="rId14" cstate="email">
              <a:extLst>
                <a:ext uri="{28A0092B-C50C-407E-A947-70E740481C1C}">
                  <a14:useLocalDpi xmlns:a14="http://schemas.microsoft.com/office/drawing/2010/main"/>
                </a:ext>
                <a:ext uri="{96DAC541-7B7A-43D3-8B79-37D633B846F1}">
                  <asvg:svgBlip xmlns:asvg="http://schemas.microsoft.com/office/drawing/2016/SVG/main" r:embed="rId15"/>
                </a:ext>
              </a:extLst>
            </a:blip>
            <a:stretch>
              <a:fillRect/>
            </a:stretch>
          </xdr:blipFill>
          <xdr:spPr>
            <a:xfrm>
              <a:off x="2985838" y="55366105"/>
              <a:ext cx="714373" cy="859156"/>
            </a:xfrm>
            <a:prstGeom prst="rect">
              <a:avLst/>
            </a:prstGeom>
          </xdr:spPr>
        </xdr:pic>
        <xdr:sp macro="" textlink="">
          <xdr:nvSpPr>
            <xdr:cNvPr id="107" name="Caixa de Texto 2">
              <a:extLst>
                <a:ext uri="{FF2B5EF4-FFF2-40B4-BE49-F238E27FC236}">
                  <a16:creationId xmlns:a16="http://schemas.microsoft.com/office/drawing/2014/main" id="{00000000-0008-0000-1000-00006B000000}"/>
                </a:ext>
              </a:extLst>
            </xdr:cNvPr>
            <xdr:cNvSpPr txBox="1">
              <a:spLocks noChangeArrowheads="1"/>
            </xdr:cNvSpPr>
          </xdr:nvSpPr>
          <xdr:spPr bwMode="auto">
            <a:xfrm>
              <a:off x="2733424" y="54935904"/>
              <a:ext cx="1219201" cy="358140"/>
            </a:xfrm>
            <a:prstGeom prst="rect">
              <a:avLst/>
            </a:prstGeom>
            <a:noFill/>
            <a:ln w="9525">
              <a:noFill/>
              <a:miter lim="800000"/>
              <a:headEnd/>
              <a:tailEnd/>
            </a:ln>
          </xdr:spPr>
          <xdr:txBody>
            <a:bodyPr rot="0" vert="horz" wrap="square" lIns="91440" tIns="45720" rIns="91440" bIns="45720" anchor="ctr" anchorCtr="0">
              <a:noAutofit/>
            </a:bodyPr>
            <a:lstStyle/>
            <a:p>
              <a:pPr algn="ctr">
                <a:lnSpc>
                  <a:spcPct val="150000"/>
                </a:lnSpc>
              </a:pPr>
              <a:r>
                <a:rPr lang="pt-BR" sz="1400" b="1">
                  <a:solidFill>
                    <a:srgbClr val="538135"/>
                  </a:solidFill>
                  <a:effectLst/>
                  <a:latin typeface="Times New Roman" panose="02020603050405020304" pitchFamily="18" charset="0"/>
                  <a:ea typeface="Calibri" panose="020F0502020204030204" pitchFamily="34" charset="0"/>
                  <a:cs typeface="Times New Roman" panose="02020603050405020304" pitchFamily="18" charset="0"/>
                </a:rPr>
                <a:t>INVERSOR</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grpSp>
        <xdr:nvGrpSpPr>
          <xdr:cNvPr id="101" name="Agrupar 100">
            <a:extLst>
              <a:ext uri="{FF2B5EF4-FFF2-40B4-BE49-F238E27FC236}">
                <a16:creationId xmlns:a16="http://schemas.microsoft.com/office/drawing/2014/main" id="{00000000-0008-0000-1000-000065000000}"/>
              </a:ext>
            </a:extLst>
          </xdr:cNvPr>
          <xdr:cNvGrpSpPr/>
        </xdr:nvGrpSpPr>
        <xdr:grpSpPr>
          <a:xfrm>
            <a:off x="4011195" y="55933887"/>
            <a:ext cx="1600521" cy="1279271"/>
            <a:chOff x="3956844" y="54708481"/>
            <a:chExt cx="1581251" cy="1257945"/>
          </a:xfrm>
        </xdr:grpSpPr>
        <xdr:pic>
          <xdr:nvPicPr>
            <xdr:cNvPr id="102" name="Imagem 101">
              <a:extLst>
                <a:ext uri="{FF2B5EF4-FFF2-40B4-BE49-F238E27FC236}">
                  <a16:creationId xmlns:a16="http://schemas.microsoft.com/office/drawing/2014/main" id="{00000000-0008-0000-1000-000066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4321677" y="55171325"/>
              <a:ext cx="827268" cy="795101"/>
            </a:xfrm>
            <a:prstGeom prst="rect">
              <a:avLst/>
            </a:prstGeom>
          </xdr:spPr>
        </xdr:pic>
        <xdr:sp macro="" textlink="">
          <xdr:nvSpPr>
            <xdr:cNvPr id="103" name="Caixa de Texto 2">
              <a:extLst>
                <a:ext uri="{FF2B5EF4-FFF2-40B4-BE49-F238E27FC236}">
                  <a16:creationId xmlns:a16="http://schemas.microsoft.com/office/drawing/2014/main" id="{00000000-0008-0000-1000-000067000000}"/>
                </a:ext>
              </a:extLst>
            </xdr:cNvPr>
            <xdr:cNvSpPr txBox="1">
              <a:spLocks noChangeArrowheads="1"/>
            </xdr:cNvSpPr>
          </xdr:nvSpPr>
          <xdr:spPr bwMode="auto">
            <a:xfrm>
              <a:off x="3956844" y="54708481"/>
              <a:ext cx="1581251" cy="356739"/>
            </a:xfrm>
            <a:prstGeom prst="rect">
              <a:avLst/>
            </a:prstGeom>
            <a:noFill/>
            <a:ln w="9525">
              <a:noFill/>
              <a:miter lim="800000"/>
              <a:headEnd/>
              <a:tailEnd/>
            </a:ln>
          </xdr:spPr>
          <xdr:txBody>
            <a:bodyPr rot="0" vert="horz" wrap="square" lIns="91440" tIns="45720" rIns="91440" bIns="45720" anchor="ctr" anchorCtr="0">
              <a:noAutofit/>
            </a:bodyPr>
            <a:lstStyle/>
            <a:p>
              <a:pPr algn="ctr">
                <a:lnSpc>
                  <a:spcPct val="150000"/>
                </a:lnSpc>
              </a:pPr>
              <a:r>
                <a:rPr lang="pt-BR" sz="1400" b="1">
                  <a:solidFill>
                    <a:srgbClr val="538135"/>
                  </a:solidFill>
                  <a:effectLst/>
                  <a:latin typeface="Times New Roman" panose="02020603050405020304" pitchFamily="18" charset="0"/>
                  <a:ea typeface="Calibri" panose="020F0502020204030204" pitchFamily="34" charset="0"/>
                  <a:cs typeface="Times New Roman" panose="02020603050405020304" pitchFamily="18" charset="0"/>
                </a:rPr>
                <a:t>MÃO DE OBRA</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grpSp>
    <xdr:clientData/>
  </xdr:twoCellAnchor>
  <xdr:twoCellAnchor editAs="oneCell">
    <xdr:from>
      <xdr:col>9</xdr:col>
      <xdr:colOff>20171</xdr:colOff>
      <xdr:row>529</xdr:row>
      <xdr:rowOff>36980</xdr:rowOff>
    </xdr:from>
    <xdr:to>
      <xdr:col>19</xdr:col>
      <xdr:colOff>208131</xdr:colOff>
      <xdr:row>532</xdr:row>
      <xdr:rowOff>56885</xdr:rowOff>
    </xdr:to>
    <xdr:pic>
      <xdr:nvPicPr>
        <xdr:cNvPr id="110" name="Imagem 109">
          <a:extLst>
            <a:ext uri="{FF2B5EF4-FFF2-40B4-BE49-F238E27FC236}">
              <a16:creationId xmlns:a16="http://schemas.microsoft.com/office/drawing/2014/main" id="{00000000-0008-0000-1000-00006E000000}"/>
            </a:ext>
          </a:extLst>
        </xdr:cNvPr>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2214731" y="91355060"/>
          <a:ext cx="2664460" cy="566643"/>
        </a:xfrm>
        <a:prstGeom prst="rect">
          <a:avLst/>
        </a:prstGeom>
      </xdr:spPr>
    </xdr:pic>
    <xdr:clientData/>
  </xdr:twoCellAnchor>
  <xdr:oneCellAnchor>
    <xdr:from>
      <xdr:col>6</xdr:col>
      <xdr:colOff>20955</xdr:colOff>
      <xdr:row>530</xdr:row>
      <xdr:rowOff>97156</xdr:rowOff>
    </xdr:from>
    <xdr:ext cx="4570095" cy="407670"/>
    <xdr:sp macro="" textlink="">
      <xdr:nvSpPr>
        <xdr:cNvPr id="111" name="CaixaDeTexto 110">
          <a:extLst>
            <a:ext uri="{FF2B5EF4-FFF2-40B4-BE49-F238E27FC236}">
              <a16:creationId xmlns:a16="http://schemas.microsoft.com/office/drawing/2014/main" id="{00000000-0008-0000-1000-00006F000000}"/>
            </a:ext>
          </a:extLst>
        </xdr:cNvPr>
        <xdr:cNvSpPr txBox="1"/>
      </xdr:nvSpPr>
      <xdr:spPr>
        <a:xfrm>
          <a:off x="1432896" y="89856274"/>
          <a:ext cx="4570095" cy="407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a:solidFill>
                <a:schemeClr val="dk1"/>
              </a:solidFill>
              <a:effectLst/>
              <a:latin typeface="Times New Roman" panose="02020603050405020304" pitchFamily="18" charset="0"/>
              <a:ea typeface="+mn-ea"/>
              <a:cs typeface="Times New Roman" panose="02020603050405020304" pitchFamily="18" charset="0"/>
            </a:rPr>
            <a:t>_________________________________________________</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endParaRPr lang="pt-BR" sz="1100">
            <a:solidFill>
              <a:schemeClr val="dk1"/>
            </a:solidFill>
            <a:effectLst/>
            <a:latin typeface="Times New Roman" panose="02020603050405020304" pitchFamily="18" charset="0"/>
            <a:ea typeface="+mn-ea"/>
            <a:cs typeface="Times New Roman" panose="02020603050405020304" pitchFamily="18" charset="0"/>
          </a:endParaRPr>
        </a:p>
      </xdr:txBody>
    </xdr:sp>
    <xdr:clientData/>
  </xdr:oneCellAnchor>
  <xdr:twoCellAnchor>
    <xdr:from>
      <xdr:col>0</xdr:col>
      <xdr:colOff>219578</xdr:colOff>
      <xdr:row>438</xdr:row>
      <xdr:rowOff>130915</xdr:rowOff>
    </xdr:from>
    <xdr:to>
      <xdr:col>22</xdr:col>
      <xdr:colOff>113324</xdr:colOff>
      <xdr:row>442</xdr:row>
      <xdr:rowOff>20995</xdr:rowOff>
    </xdr:to>
    <xdr:grpSp>
      <xdr:nvGrpSpPr>
        <xdr:cNvPr id="81" name="Agrupar 80">
          <a:extLst>
            <a:ext uri="{FF2B5EF4-FFF2-40B4-BE49-F238E27FC236}">
              <a16:creationId xmlns:a16="http://schemas.microsoft.com/office/drawing/2014/main" id="{00000000-0008-0000-1000-000051000000}"/>
            </a:ext>
          </a:extLst>
        </xdr:cNvPr>
        <xdr:cNvGrpSpPr/>
      </xdr:nvGrpSpPr>
      <xdr:grpSpPr>
        <a:xfrm>
          <a:off x="219578" y="84436690"/>
          <a:ext cx="5008671" cy="652080"/>
          <a:chOff x="450838" y="69914908"/>
          <a:chExt cx="5081061" cy="614203"/>
        </a:xfrm>
      </xdr:grpSpPr>
      <xdr:sp macro="" textlink="Resumo!$E$364">
        <xdr:nvSpPr>
          <xdr:cNvPr id="82" name="Caixa de Texto 2">
            <a:extLst>
              <a:ext uri="{FF2B5EF4-FFF2-40B4-BE49-F238E27FC236}">
                <a16:creationId xmlns:a16="http://schemas.microsoft.com/office/drawing/2014/main" id="{00000000-0008-0000-1000-000052000000}"/>
              </a:ext>
            </a:extLst>
          </xdr:cNvPr>
          <xdr:cNvSpPr txBox="1">
            <a:spLocks noChangeArrowheads="1"/>
          </xdr:cNvSpPr>
        </xdr:nvSpPr>
        <xdr:spPr bwMode="auto">
          <a:xfrm>
            <a:off x="450838" y="69914908"/>
            <a:ext cx="1778552" cy="420425"/>
          </a:xfrm>
          <a:prstGeom prst="rect">
            <a:avLst/>
          </a:prstGeom>
          <a:noFill/>
          <a:ln w="9525">
            <a:noFill/>
            <a:miter lim="800000"/>
            <a:headEnd/>
            <a:tailEnd/>
          </a:ln>
        </xdr:spPr>
        <xdr:txBody>
          <a:bodyPr rot="0" vert="horz" wrap="square" lIns="91440" tIns="45720" rIns="91440" bIns="45720" anchor="b" anchorCtr="0">
            <a:noAutofit/>
          </a:bodyPr>
          <a:lstStyle/>
          <a:p>
            <a:pPr marL="0" indent="0" algn="ctr">
              <a:lnSpc>
                <a:spcPct val="150000"/>
              </a:lnSpc>
            </a:pPr>
            <a:fld id="{440E31DF-E76F-445F-A739-59BEB1C2F503}" type="TxLink">
              <a:rPr lang="en-US" sz="16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rPr>
              <a:pPr marL="0" indent="0" algn="ctr">
                <a:lnSpc>
                  <a:spcPct val="150000"/>
                </a:lnSpc>
              </a:pPr>
              <a:t>R$324.637,02 </a:t>
            </a:fld>
            <a:endParaRPr lang="pt-BR" sz="16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83" name="Caixa de Texto 2">
            <a:extLst>
              <a:ext uri="{FF2B5EF4-FFF2-40B4-BE49-F238E27FC236}">
                <a16:creationId xmlns:a16="http://schemas.microsoft.com/office/drawing/2014/main" id="{00000000-0008-0000-1000-000053000000}"/>
              </a:ext>
            </a:extLst>
          </xdr:cNvPr>
          <xdr:cNvSpPr txBox="1">
            <a:spLocks noChangeArrowheads="1"/>
          </xdr:cNvSpPr>
        </xdr:nvSpPr>
        <xdr:spPr bwMode="auto">
          <a:xfrm>
            <a:off x="2504633" y="69914908"/>
            <a:ext cx="2451266" cy="420425"/>
          </a:xfrm>
          <a:prstGeom prst="rect">
            <a:avLst/>
          </a:prstGeom>
          <a:noFill/>
          <a:ln w="9525">
            <a:noFill/>
            <a:miter lim="800000"/>
            <a:headEnd/>
            <a:tailEnd/>
          </a:ln>
        </xdr:spPr>
        <xdr:txBody>
          <a:bodyPr rot="0" vert="horz" wrap="square" lIns="91440" tIns="45720" rIns="91440" bIns="45720" anchor="t" anchorCtr="0">
            <a:noAutofit/>
          </a:bodyPr>
          <a:lstStyle/>
          <a:p>
            <a:pPr>
              <a:lnSpc>
                <a:spcPct val="150000"/>
              </a:lnSpc>
            </a:pPr>
            <a:r>
              <a:rPr lang="pt-BR" sz="14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rPr>
              <a:t>Valor Presente Líquido (VPL)</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84" name="Caixa de Texto 2">
            <a:extLst>
              <a:ext uri="{FF2B5EF4-FFF2-40B4-BE49-F238E27FC236}">
                <a16:creationId xmlns:a16="http://schemas.microsoft.com/office/drawing/2014/main" id="{00000000-0008-0000-1000-000054000000}"/>
              </a:ext>
            </a:extLst>
          </xdr:cNvPr>
          <xdr:cNvSpPr txBox="1">
            <a:spLocks noChangeArrowheads="1"/>
          </xdr:cNvSpPr>
        </xdr:nvSpPr>
        <xdr:spPr bwMode="auto">
          <a:xfrm>
            <a:off x="2578928" y="70116306"/>
            <a:ext cx="2952971" cy="412805"/>
          </a:xfrm>
          <a:prstGeom prst="rect">
            <a:avLst/>
          </a:prstGeom>
          <a:noFill/>
          <a:ln w="9525">
            <a:noFill/>
            <a:miter lim="800000"/>
            <a:headEnd/>
            <a:tailEnd/>
          </a:ln>
        </xdr:spPr>
        <xdr:txBody>
          <a:bodyPr rot="0" vert="horz" wrap="square" lIns="91440" tIns="45720" rIns="91440" bIns="45720" anchor="t" anchorCtr="0">
            <a:noAutofit/>
          </a:bodyPr>
          <a:lstStyle/>
          <a:p>
            <a:pPr>
              <a:lnSpc>
                <a:spcPct val="150000"/>
              </a:lnSpc>
            </a:pPr>
            <a:r>
              <a:rPr lang="pt-BR" sz="1000" b="1">
                <a:solidFill>
                  <a:srgbClr val="808080"/>
                </a:solidFill>
                <a:effectLst/>
                <a:latin typeface="Calibri" panose="020F0502020204030204" pitchFamily="34" charset="0"/>
                <a:ea typeface="Calibri" panose="020F0502020204030204" pitchFamily="34" charset="0"/>
                <a:cs typeface="Times New Roman" panose="02020603050405020304" pitchFamily="18" charset="0"/>
              </a:rPr>
              <a:t>Valor de economia futura trazido ao valor presente</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twoCellAnchor>
    <xdr:from>
      <xdr:col>0</xdr:col>
      <xdr:colOff>219578</xdr:colOff>
      <xdr:row>442</xdr:row>
      <xdr:rowOff>153583</xdr:rowOff>
    </xdr:from>
    <xdr:to>
      <xdr:col>28</xdr:col>
      <xdr:colOff>350886</xdr:colOff>
      <xdr:row>446</xdr:row>
      <xdr:rowOff>21463</xdr:rowOff>
    </xdr:to>
    <xdr:grpSp>
      <xdr:nvGrpSpPr>
        <xdr:cNvPr id="85" name="Agrupar 84">
          <a:extLst>
            <a:ext uri="{FF2B5EF4-FFF2-40B4-BE49-F238E27FC236}">
              <a16:creationId xmlns:a16="http://schemas.microsoft.com/office/drawing/2014/main" id="{00000000-0008-0000-1000-000055000000}"/>
            </a:ext>
          </a:extLst>
        </xdr:cNvPr>
        <xdr:cNvGrpSpPr/>
      </xdr:nvGrpSpPr>
      <xdr:grpSpPr>
        <a:xfrm>
          <a:off x="219578" y="85221358"/>
          <a:ext cx="6608308" cy="629880"/>
          <a:chOff x="450838" y="70710674"/>
          <a:chExt cx="6733253" cy="595815"/>
        </a:xfrm>
      </xdr:grpSpPr>
      <xdr:sp macro="" textlink="Resumo!$E$365">
        <xdr:nvSpPr>
          <xdr:cNvPr id="86" name="Caixa de Texto 2">
            <a:extLst>
              <a:ext uri="{FF2B5EF4-FFF2-40B4-BE49-F238E27FC236}">
                <a16:creationId xmlns:a16="http://schemas.microsoft.com/office/drawing/2014/main" id="{00000000-0008-0000-1000-000056000000}"/>
              </a:ext>
            </a:extLst>
          </xdr:cNvPr>
          <xdr:cNvSpPr txBox="1">
            <a:spLocks noChangeArrowheads="1"/>
          </xdr:cNvSpPr>
        </xdr:nvSpPr>
        <xdr:spPr bwMode="auto">
          <a:xfrm>
            <a:off x="450838" y="70710674"/>
            <a:ext cx="1778552" cy="411562"/>
          </a:xfrm>
          <a:prstGeom prst="rect">
            <a:avLst/>
          </a:prstGeom>
          <a:noFill/>
          <a:ln w="9525">
            <a:noFill/>
            <a:miter lim="800000"/>
            <a:headEnd/>
            <a:tailEnd/>
          </a:ln>
        </xdr:spPr>
        <xdr:txBody>
          <a:bodyPr rot="0" vert="horz" wrap="square" lIns="91440" tIns="45720" rIns="91440" bIns="45720" anchor="b" anchorCtr="0">
            <a:noAutofit/>
          </a:bodyPr>
          <a:lstStyle/>
          <a:p>
            <a:pPr marL="0" indent="0" algn="ctr">
              <a:lnSpc>
                <a:spcPct val="150000"/>
              </a:lnSpc>
            </a:pPr>
            <a:fld id="{D89CEA5D-E0C4-425E-B0CE-4EDD816DCD09}" type="TxLink">
              <a:rPr lang="en-US" sz="16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rPr>
              <a:pPr marL="0" indent="0" algn="ctr">
                <a:lnSpc>
                  <a:spcPct val="150000"/>
                </a:lnSpc>
              </a:pPr>
              <a:t>50%</a:t>
            </a:fld>
            <a:endParaRPr lang="pt-BR" sz="16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87" name="Caixa de Texto 2">
            <a:extLst>
              <a:ext uri="{FF2B5EF4-FFF2-40B4-BE49-F238E27FC236}">
                <a16:creationId xmlns:a16="http://schemas.microsoft.com/office/drawing/2014/main" id="{00000000-0008-0000-1000-000057000000}"/>
              </a:ext>
            </a:extLst>
          </xdr:cNvPr>
          <xdr:cNvSpPr txBox="1">
            <a:spLocks noChangeArrowheads="1"/>
          </xdr:cNvSpPr>
        </xdr:nvSpPr>
        <xdr:spPr bwMode="auto">
          <a:xfrm>
            <a:off x="2504633" y="70710674"/>
            <a:ext cx="2451266" cy="411562"/>
          </a:xfrm>
          <a:prstGeom prst="rect">
            <a:avLst/>
          </a:prstGeom>
          <a:noFill/>
          <a:ln w="9525">
            <a:noFill/>
            <a:miter lim="800000"/>
            <a:headEnd/>
            <a:tailEnd/>
          </a:ln>
        </xdr:spPr>
        <xdr:txBody>
          <a:bodyPr rot="0" vert="horz" wrap="square" lIns="91440" tIns="45720" rIns="91440" bIns="45720" anchor="t" anchorCtr="0">
            <a:noAutofit/>
          </a:bodyPr>
          <a:lstStyle/>
          <a:p>
            <a:pPr>
              <a:lnSpc>
                <a:spcPct val="150000"/>
              </a:lnSpc>
            </a:pPr>
            <a:r>
              <a:rPr lang="pt-BR" sz="14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rPr>
              <a:t>Taxa Interna de Retorno (TIR)</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88" name="Caixa de Texto 2">
            <a:extLst>
              <a:ext uri="{FF2B5EF4-FFF2-40B4-BE49-F238E27FC236}">
                <a16:creationId xmlns:a16="http://schemas.microsoft.com/office/drawing/2014/main" id="{00000000-0008-0000-1000-000058000000}"/>
              </a:ext>
            </a:extLst>
          </xdr:cNvPr>
          <xdr:cNvSpPr txBox="1">
            <a:spLocks noChangeArrowheads="1"/>
          </xdr:cNvSpPr>
        </xdr:nvSpPr>
        <xdr:spPr bwMode="auto">
          <a:xfrm>
            <a:off x="2575119" y="70894926"/>
            <a:ext cx="4608972" cy="411563"/>
          </a:xfrm>
          <a:prstGeom prst="rect">
            <a:avLst/>
          </a:prstGeom>
          <a:noFill/>
          <a:ln w="9525">
            <a:noFill/>
            <a:miter lim="800000"/>
            <a:headEnd/>
            <a:tailEnd/>
          </a:ln>
        </xdr:spPr>
        <xdr:txBody>
          <a:bodyPr rot="0" vert="horz" wrap="square" lIns="91440" tIns="45720" rIns="91440" bIns="45720" anchor="t" anchorCtr="0">
            <a:noAutofit/>
          </a:bodyPr>
          <a:lstStyle/>
          <a:p>
            <a:pPr>
              <a:lnSpc>
                <a:spcPct val="150000"/>
              </a:lnSpc>
            </a:pPr>
            <a:r>
              <a:rPr lang="pt-BR" sz="1000" b="1">
                <a:solidFill>
                  <a:srgbClr val="808080"/>
                </a:solidFill>
                <a:effectLst/>
                <a:latin typeface="Calibri" panose="020F0502020204030204" pitchFamily="34" charset="0"/>
                <a:ea typeface="Calibri" panose="020F0502020204030204" pitchFamily="34" charset="0"/>
                <a:cs typeface="Times New Roman" panose="02020603050405020304" pitchFamily="18" charset="0"/>
              </a:rPr>
              <a:t>Taxa de retorno que o sistema trará (comparar com taxas de Selic, poupança, etc)</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twoCellAnchor>
    <xdr:from>
      <xdr:col>0</xdr:col>
      <xdr:colOff>219578</xdr:colOff>
      <xdr:row>450</xdr:row>
      <xdr:rowOff>135471</xdr:rowOff>
    </xdr:from>
    <xdr:to>
      <xdr:col>22</xdr:col>
      <xdr:colOff>225719</xdr:colOff>
      <xdr:row>453</xdr:row>
      <xdr:rowOff>96669</xdr:rowOff>
    </xdr:to>
    <xdr:grpSp>
      <xdr:nvGrpSpPr>
        <xdr:cNvPr id="89" name="Agrupar 88">
          <a:extLst>
            <a:ext uri="{FF2B5EF4-FFF2-40B4-BE49-F238E27FC236}">
              <a16:creationId xmlns:a16="http://schemas.microsoft.com/office/drawing/2014/main" id="{00000000-0008-0000-1000-000059000000}"/>
            </a:ext>
          </a:extLst>
        </xdr:cNvPr>
        <xdr:cNvGrpSpPr/>
      </xdr:nvGrpSpPr>
      <xdr:grpSpPr>
        <a:xfrm>
          <a:off x="219578" y="86727246"/>
          <a:ext cx="5121066" cy="532698"/>
          <a:chOff x="458458" y="71920487"/>
          <a:chExt cx="5201076" cy="510063"/>
        </a:xfrm>
      </xdr:grpSpPr>
      <xdr:sp macro="" textlink="Resumo!$F$367">
        <xdr:nvSpPr>
          <xdr:cNvPr id="90" name="Caixa de Texto 2">
            <a:extLst>
              <a:ext uri="{FF2B5EF4-FFF2-40B4-BE49-F238E27FC236}">
                <a16:creationId xmlns:a16="http://schemas.microsoft.com/office/drawing/2014/main" id="{00000000-0008-0000-1000-00005A000000}"/>
              </a:ext>
            </a:extLst>
          </xdr:cNvPr>
          <xdr:cNvSpPr txBox="1">
            <a:spLocks noChangeArrowheads="1"/>
          </xdr:cNvSpPr>
        </xdr:nvSpPr>
        <xdr:spPr bwMode="auto">
          <a:xfrm>
            <a:off x="458458" y="71920487"/>
            <a:ext cx="1770932" cy="405185"/>
          </a:xfrm>
          <a:prstGeom prst="rect">
            <a:avLst/>
          </a:prstGeom>
          <a:noFill/>
          <a:ln w="9525">
            <a:noFill/>
            <a:miter lim="800000"/>
            <a:headEnd/>
            <a:tailEnd/>
          </a:ln>
        </xdr:spPr>
        <xdr:txBody>
          <a:bodyPr rot="0" vert="horz" wrap="square" lIns="91440" tIns="45720" rIns="91440" bIns="45720" anchor="b" anchorCtr="0">
            <a:noAutofit/>
          </a:bodyPr>
          <a:lstStyle/>
          <a:p>
            <a:pPr marL="0" indent="0" algn="ctr">
              <a:lnSpc>
                <a:spcPct val="150000"/>
              </a:lnSpc>
            </a:pPr>
            <a:fld id="{CC13059A-E6F1-4253-A6B7-C0A726E2CF34}" type="TxLink">
              <a:rPr lang="en-US" sz="16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rPr>
              <a:pPr marL="0" indent="0" algn="ctr">
                <a:lnSpc>
                  <a:spcPct val="150000"/>
                </a:lnSpc>
              </a:pPr>
              <a:t>2 anos e 2 meses</a:t>
            </a:fld>
            <a:endParaRPr lang="pt-BR" sz="16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91" name="Caixa de Texto 2">
            <a:extLst>
              <a:ext uri="{FF2B5EF4-FFF2-40B4-BE49-F238E27FC236}">
                <a16:creationId xmlns:a16="http://schemas.microsoft.com/office/drawing/2014/main" id="{00000000-0008-0000-1000-00005B000000}"/>
              </a:ext>
            </a:extLst>
          </xdr:cNvPr>
          <xdr:cNvSpPr txBox="1">
            <a:spLocks noChangeArrowheads="1"/>
          </xdr:cNvSpPr>
        </xdr:nvSpPr>
        <xdr:spPr bwMode="auto">
          <a:xfrm>
            <a:off x="2495108" y="71920487"/>
            <a:ext cx="2460791" cy="405185"/>
          </a:xfrm>
          <a:prstGeom prst="rect">
            <a:avLst/>
          </a:prstGeom>
          <a:noFill/>
          <a:ln w="9525">
            <a:noFill/>
            <a:miter lim="800000"/>
            <a:headEnd/>
            <a:tailEnd/>
          </a:ln>
        </xdr:spPr>
        <xdr:txBody>
          <a:bodyPr rot="0" vert="horz" wrap="square" lIns="91440" tIns="45720" rIns="91440" bIns="45720" anchor="t" anchorCtr="0">
            <a:noAutofit/>
          </a:bodyPr>
          <a:lstStyle/>
          <a:p>
            <a:pPr>
              <a:lnSpc>
                <a:spcPct val="150000"/>
              </a:lnSpc>
            </a:pPr>
            <a:r>
              <a:rPr lang="pt-BR" sz="14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rPr>
              <a:t>Payback</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92" name="Caixa de Texto 2">
            <a:extLst>
              <a:ext uri="{FF2B5EF4-FFF2-40B4-BE49-F238E27FC236}">
                <a16:creationId xmlns:a16="http://schemas.microsoft.com/office/drawing/2014/main" id="{00000000-0008-0000-1000-00005C000000}"/>
              </a:ext>
            </a:extLst>
          </xdr:cNvPr>
          <xdr:cNvSpPr txBox="1">
            <a:spLocks noChangeArrowheads="1"/>
          </xdr:cNvSpPr>
        </xdr:nvSpPr>
        <xdr:spPr bwMode="auto">
          <a:xfrm>
            <a:off x="2573848" y="72102199"/>
            <a:ext cx="3085686" cy="328351"/>
          </a:xfrm>
          <a:prstGeom prst="rect">
            <a:avLst/>
          </a:prstGeom>
          <a:noFill/>
          <a:ln w="9525">
            <a:noFill/>
            <a:miter lim="800000"/>
            <a:headEnd/>
            <a:tailEnd/>
          </a:ln>
        </xdr:spPr>
        <xdr:txBody>
          <a:bodyPr rot="0" vert="horz" wrap="square" lIns="91440" tIns="45720" rIns="91440" bIns="45720" anchor="t" anchorCtr="0">
            <a:noAutofit/>
          </a:bodyPr>
          <a:lstStyle/>
          <a:p>
            <a:pPr>
              <a:lnSpc>
                <a:spcPct val="150000"/>
              </a:lnSpc>
            </a:pPr>
            <a:r>
              <a:rPr lang="pt-BR" sz="1000" b="1">
                <a:solidFill>
                  <a:srgbClr val="808080"/>
                </a:solidFill>
                <a:effectLst/>
                <a:latin typeface="Calibri" panose="020F0502020204030204" pitchFamily="34" charset="0"/>
                <a:ea typeface="Calibri" panose="020F0502020204030204" pitchFamily="34" charset="0"/>
                <a:cs typeface="Times New Roman" panose="02020603050405020304" pitchFamily="18" charset="0"/>
              </a:rPr>
              <a:t>Tempo em que a economia pagará o valor investido</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twoCellAnchor>
    <xdr:from>
      <xdr:col>0</xdr:col>
      <xdr:colOff>224340</xdr:colOff>
      <xdr:row>454</xdr:row>
      <xdr:rowOff>57581</xdr:rowOff>
    </xdr:from>
    <xdr:to>
      <xdr:col>28</xdr:col>
      <xdr:colOff>316371</xdr:colOff>
      <xdr:row>457</xdr:row>
      <xdr:rowOff>58487</xdr:rowOff>
    </xdr:to>
    <xdr:grpSp>
      <xdr:nvGrpSpPr>
        <xdr:cNvPr id="93" name="Agrupar 92">
          <a:extLst>
            <a:ext uri="{FF2B5EF4-FFF2-40B4-BE49-F238E27FC236}">
              <a16:creationId xmlns:a16="http://schemas.microsoft.com/office/drawing/2014/main" id="{00000000-0008-0000-1000-00005D000000}"/>
            </a:ext>
          </a:extLst>
        </xdr:cNvPr>
        <xdr:cNvGrpSpPr/>
      </xdr:nvGrpSpPr>
      <xdr:grpSpPr>
        <a:xfrm>
          <a:off x="224340" y="87411356"/>
          <a:ext cx="6569031" cy="572406"/>
          <a:chOff x="455600" y="72686930"/>
          <a:chExt cx="6705406" cy="543830"/>
        </a:xfrm>
      </xdr:grpSpPr>
      <xdr:sp macro="" textlink="Resumo!$I$377">
        <xdr:nvSpPr>
          <xdr:cNvPr id="94" name="Caixa de Texto 2">
            <a:extLst>
              <a:ext uri="{FF2B5EF4-FFF2-40B4-BE49-F238E27FC236}">
                <a16:creationId xmlns:a16="http://schemas.microsoft.com/office/drawing/2014/main" id="{00000000-0008-0000-1000-00005E000000}"/>
              </a:ext>
            </a:extLst>
          </xdr:cNvPr>
          <xdr:cNvSpPr txBox="1">
            <a:spLocks noChangeArrowheads="1"/>
          </xdr:cNvSpPr>
        </xdr:nvSpPr>
        <xdr:spPr bwMode="auto">
          <a:xfrm>
            <a:off x="455600" y="72686930"/>
            <a:ext cx="1774742" cy="424235"/>
          </a:xfrm>
          <a:prstGeom prst="rect">
            <a:avLst/>
          </a:prstGeom>
          <a:noFill/>
          <a:ln w="9525">
            <a:noFill/>
            <a:miter lim="800000"/>
            <a:headEnd/>
            <a:tailEnd/>
          </a:ln>
        </xdr:spPr>
        <xdr:txBody>
          <a:bodyPr rot="0" vert="horz" wrap="square" lIns="91440" tIns="45720" rIns="91440" bIns="45720" anchor="b" anchorCtr="0">
            <a:noAutofit/>
          </a:bodyPr>
          <a:lstStyle/>
          <a:p>
            <a:pPr marL="0" indent="0" algn="ctr">
              <a:lnSpc>
                <a:spcPct val="150000"/>
              </a:lnSpc>
            </a:pPr>
            <a:fld id="{C7C0DB91-28C4-44D4-9B48-E0CFCD7E61A7}" type="TxLink">
              <a:rPr lang="en-US" sz="16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rPr>
              <a:pPr marL="0" indent="0" algn="ctr">
                <a:lnSpc>
                  <a:spcPct val="150000"/>
                </a:lnSpc>
              </a:pPr>
              <a:t>0 anos e 0 meses</a:t>
            </a:fld>
            <a:endParaRPr lang="pt-BR" sz="16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95" name="Caixa de Texto 2">
            <a:extLst>
              <a:ext uri="{FF2B5EF4-FFF2-40B4-BE49-F238E27FC236}">
                <a16:creationId xmlns:a16="http://schemas.microsoft.com/office/drawing/2014/main" id="{00000000-0008-0000-1000-00005F000000}"/>
              </a:ext>
            </a:extLst>
          </xdr:cNvPr>
          <xdr:cNvSpPr txBox="1">
            <a:spLocks noChangeArrowheads="1"/>
          </xdr:cNvSpPr>
        </xdr:nvSpPr>
        <xdr:spPr bwMode="auto">
          <a:xfrm>
            <a:off x="2495108" y="72721967"/>
            <a:ext cx="2460791" cy="414710"/>
          </a:xfrm>
          <a:prstGeom prst="rect">
            <a:avLst/>
          </a:prstGeom>
          <a:noFill/>
          <a:ln w="9525">
            <a:noFill/>
            <a:miter lim="800000"/>
            <a:headEnd/>
            <a:tailEnd/>
          </a:ln>
        </xdr:spPr>
        <xdr:txBody>
          <a:bodyPr rot="0" vert="horz" wrap="square" lIns="91440" tIns="45720" rIns="91440" bIns="45720" anchor="t" anchorCtr="0">
            <a:noAutofit/>
          </a:bodyPr>
          <a:lstStyle/>
          <a:p>
            <a:pPr>
              <a:lnSpc>
                <a:spcPct val="150000"/>
              </a:lnSpc>
            </a:pPr>
            <a:r>
              <a:rPr lang="pt-BR" sz="14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rPr>
              <a:t>Payback – (FINANCIAMENTO)</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96" name="Caixa de Texto 2">
            <a:extLst>
              <a:ext uri="{FF2B5EF4-FFF2-40B4-BE49-F238E27FC236}">
                <a16:creationId xmlns:a16="http://schemas.microsoft.com/office/drawing/2014/main" id="{00000000-0008-0000-1000-000060000000}"/>
              </a:ext>
            </a:extLst>
          </xdr:cNvPr>
          <xdr:cNvSpPr txBox="1">
            <a:spLocks noChangeArrowheads="1"/>
          </xdr:cNvSpPr>
        </xdr:nvSpPr>
        <xdr:spPr bwMode="auto">
          <a:xfrm>
            <a:off x="2570037" y="72902410"/>
            <a:ext cx="4590969" cy="328350"/>
          </a:xfrm>
          <a:prstGeom prst="rect">
            <a:avLst/>
          </a:prstGeom>
          <a:noFill/>
          <a:ln w="9525">
            <a:noFill/>
            <a:miter lim="800000"/>
            <a:headEnd/>
            <a:tailEnd/>
          </a:ln>
        </xdr:spPr>
        <xdr:txBody>
          <a:bodyPr rot="0" vert="horz" wrap="square" lIns="91440" tIns="45720" rIns="91440" bIns="45720" anchor="t" anchorCtr="0">
            <a:noAutofit/>
          </a:bodyPr>
          <a:lstStyle/>
          <a:p>
            <a:pPr>
              <a:lnSpc>
                <a:spcPct val="150000"/>
              </a:lnSpc>
            </a:pPr>
            <a:r>
              <a:rPr lang="pt-BR" sz="1000" b="1">
                <a:solidFill>
                  <a:srgbClr val="808080"/>
                </a:solidFill>
                <a:effectLst/>
                <a:latin typeface="Calibri" panose="020F0502020204030204" pitchFamily="34" charset="0"/>
                <a:ea typeface="Calibri" panose="020F0502020204030204" pitchFamily="34" charset="0"/>
                <a:cs typeface="Times New Roman" panose="02020603050405020304" pitchFamily="18" charset="0"/>
              </a:rPr>
              <a:t>Tempo em que a economia pagará o valor investido ao optar pelo financiamento</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twoCellAnchor>
    <xdr:from>
      <xdr:col>0</xdr:col>
      <xdr:colOff>224340</xdr:colOff>
      <xdr:row>434</xdr:row>
      <xdr:rowOff>112059</xdr:rowOff>
    </xdr:from>
    <xdr:to>
      <xdr:col>20</xdr:col>
      <xdr:colOff>45579</xdr:colOff>
      <xdr:row>437</xdr:row>
      <xdr:rowOff>173811</xdr:rowOff>
    </xdr:to>
    <xdr:grpSp>
      <xdr:nvGrpSpPr>
        <xdr:cNvPr id="112" name="Agrupar 111">
          <a:extLst>
            <a:ext uri="{FF2B5EF4-FFF2-40B4-BE49-F238E27FC236}">
              <a16:creationId xmlns:a16="http://schemas.microsoft.com/office/drawing/2014/main" id="{00000000-0008-0000-1000-000070000000}"/>
            </a:ext>
          </a:extLst>
        </xdr:cNvPr>
        <xdr:cNvGrpSpPr/>
      </xdr:nvGrpSpPr>
      <xdr:grpSpPr>
        <a:xfrm>
          <a:off x="224340" y="83655834"/>
          <a:ext cx="4478964" cy="633252"/>
          <a:chOff x="446075" y="69129303"/>
          <a:chExt cx="4571861" cy="604678"/>
        </a:xfrm>
      </xdr:grpSpPr>
      <xdr:sp macro="" textlink="">
        <xdr:nvSpPr>
          <xdr:cNvPr id="113" name="Caixa de Texto 2">
            <a:extLst>
              <a:ext uri="{FF2B5EF4-FFF2-40B4-BE49-F238E27FC236}">
                <a16:creationId xmlns:a16="http://schemas.microsoft.com/office/drawing/2014/main" id="{00000000-0008-0000-1000-000071000000}"/>
              </a:ext>
            </a:extLst>
          </xdr:cNvPr>
          <xdr:cNvSpPr txBox="1">
            <a:spLocks noChangeArrowheads="1"/>
          </xdr:cNvSpPr>
        </xdr:nvSpPr>
        <xdr:spPr bwMode="auto">
          <a:xfrm>
            <a:off x="2504633" y="69129303"/>
            <a:ext cx="2451266" cy="410900"/>
          </a:xfrm>
          <a:prstGeom prst="rect">
            <a:avLst/>
          </a:prstGeom>
          <a:noFill/>
          <a:ln w="9525">
            <a:noFill/>
            <a:miter lim="800000"/>
            <a:headEnd/>
            <a:tailEnd/>
          </a:ln>
        </xdr:spPr>
        <xdr:txBody>
          <a:bodyPr rot="0" vert="horz" wrap="square" lIns="91440" tIns="45720" rIns="91440" bIns="45720" anchor="t" anchorCtr="0">
            <a:noAutofit/>
          </a:bodyPr>
          <a:lstStyle/>
          <a:p>
            <a:pPr>
              <a:lnSpc>
                <a:spcPct val="150000"/>
              </a:lnSpc>
            </a:pPr>
            <a:r>
              <a:rPr lang="pt-BR" sz="14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rPr>
              <a:t>Economia Bruta em 25 anos</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14" name="Caixa de Texto 2">
            <a:extLst>
              <a:ext uri="{FF2B5EF4-FFF2-40B4-BE49-F238E27FC236}">
                <a16:creationId xmlns:a16="http://schemas.microsoft.com/office/drawing/2014/main" id="{00000000-0008-0000-1000-000072000000}"/>
              </a:ext>
            </a:extLst>
          </xdr:cNvPr>
          <xdr:cNvSpPr txBox="1">
            <a:spLocks noChangeArrowheads="1"/>
          </xdr:cNvSpPr>
        </xdr:nvSpPr>
        <xdr:spPr bwMode="auto">
          <a:xfrm>
            <a:off x="2578928" y="69315460"/>
            <a:ext cx="2439008" cy="418521"/>
          </a:xfrm>
          <a:prstGeom prst="rect">
            <a:avLst/>
          </a:prstGeom>
          <a:noFill/>
          <a:ln w="9525">
            <a:noFill/>
            <a:miter lim="800000"/>
            <a:headEnd/>
            <a:tailEnd/>
          </a:ln>
        </xdr:spPr>
        <xdr:txBody>
          <a:bodyPr rot="0" vert="horz" wrap="square" lIns="91440" tIns="45720" rIns="91440" bIns="45720" anchor="t" anchorCtr="0">
            <a:noAutofit/>
          </a:bodyPr>
          <a:lstStyle/>
          <a:p>
            <a:pPr>
              <a:lnSpc>
                <a:spcPct val="150000"/>
              </a:lnSpc>
            </a:pPr>
            <a:r>
              <a:rPr lang="pt-BR" sz="1000" b="1">
                <a:solidFill>
                  <a:srgbClr val="808080"/>
                </a:solidFill>
                <a:effectLst/>
                <a:latin typeface="Calibri" panose="020F0502020204030204" pitchFamily="34" charset="0"/>
                <a:ea typeface="Calibri" panose="020F0502020204030204" pitchFamily="34" charset="0"/>
                <a:cs typeface="Times New Roman" panose="02020603050405020304" pitchFamily="18" charset="0"/>
              </a:rPr>
              <a:t>Valor total economizado no período</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Resumo!$E$363">
        <xdr:nvSpPr>
          <xdr:cNvPr id="115" name="Caixa de Texto 2">
            <a:extLst>
              <a:ext uri="{FF2B5EF4-FFF2-40B4-BE49-F238E27FC236}">
                <a16:creationId xmlns:a16="http://schemas.microsoft.com/office/drawing/2014/main" id="{00000000-0008-0000-1000-000073000000}"/>
              </a:ext>
            </a:extLst>
          </xdr:cNvPr>
          <xdr:cNvSpPr txBox="1">
            <a:spLocks noChangeArrowheads="1"/>
          </xdr:cNvSpPr>
        </xdr:nvSpPr>
        <xdr:spPr bwMode="auto">
          <a:xfrm>
            <a:off x="446075" y="69154813"/>
            <a:ext cx="1783439" cy="412805"/>
          </a:xfrm>
          <a:prstGeom prst="rect">
            <a:avLst/>
          </a:prstGeom>
          <a:noFill/>
          <a:ln w="9525">
            <a:noFill/>
            <a:miter lim="800000"/>
            <a:headEnd/>
            <a:tailEnd/>
          </a:ln>
        </xdr:spPr>
        <xdr:txBody>
          <a:bodyPr rot="0" vert="horz" wrap="square" lIns="91440" tIns="45720" rIns="91440" bIns="45720" anchor="b" anchorCtr="0">
            <a:noAutofit/>
          </a:bodyPr>
          <a:lstStyle/>
          <a:p>
            <a:pPr marL="0" indent="0" algn="ctr">
              <a:lnSpc>
                <a:spcPct val="150000"/>
              </a:lnSpc>
            </a:pPr>
            <a:fld id="{567DD5C9-0E3D-4E4E-B8EB-56F846268ED5}" type="TxLink">
              <a:rPr lang="en-US" sz="16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rPr>
              <a:pPr marL="0" indent="0" algn="ctr">
                <a:lnSpc>
                  <a:spcPct val="150000"/>
                </a:lnSpc>
              </a:pPr>
              <a:t>R$ 432.926,36</a:t>
            </a:fld>
            <a:endParaRPr lang="pt-BR" sz="16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twoCellAnchor>
    <xdr:from>
      <xdr:col>0</xdr:col>
      <xdr:colOff>219578</xdr:colOff>
      <xdr:row>446</xdr:row>
      <xdr:rowOff>155956</xdr:rowOff>
    </xdr:from>
    <xdr:to>
      <xdr:col>28</xdr:col>
      <xdr:colOff>417224</xdr:colOff>
      <xdr:row>450</xdr:row>
      <xdr:rowOff>16218</xdr:rowOff>
    </xdr:to>
    <xdr:grpSp>
      <xdr:nvGrpSpPr>
        <xdr:cNvPr id="116" name="Agrupar 115">
          <a:extLst>
            <a:ext uri="{FF2B5EF4-FFF2-40B4-BE49-F238E27FC236}">
              <a16:creationId xmlns:a16="http://schemas.microsoft.com/office/drawing/2014/main" id="{00000000-0008-0000-1000-000074000000}"/>
            </a:ext>
          </a:extLst>
        </xdr:cNvPr>
        <xdr:cNvGrpSpPr/>
      </xdr:nvGrpSpPr>
      <xdr:grpSpPr>
        <a:xfrm>
          <a:off x="219578" y="85985731"/>
          <a:ext cx="6674646" cy="622262"/>
          <a:chOff x="450838" y="70710674"/>
          <a:chExt cx="6807253" cy="605655"/>
        </a:xfrm>
      </xdr:grpSpPr>
      <xdr:sp macro="" textlink="Resumo!$G$365">
        <xdr:nvSpPr>
          <xdr:cNvPr id="117" name="Caixa de Texto 2">
            <a:extLst>
              <a:ext uri="{FF2B5EF4-FFF2-40B4-BE49-F238E27FC236}">
                <a16:creationId xmlns:a16="http://schemas.microsoft.com/office/drawing/2014/main" id="{00000000-0008-0000-1000-000075000000}"/>
              </a:ext>
            </a:extLst>
          </xdr:cNvPr>
          <xdr:cNvSpPr txBox="1">
            <a:spLocks noChangeArrowheads="1"/>
          </xdr:cNvSpPr>
        </xdr:nvSpPr>
        <xdr:spPr bwMode="auto">
          <a:xfrm>
            <a:off x="450838" y="70710674"/>
            <a:ext cx="1778552" cy="411562"/>
          </a:xfrm>
          <a:prstGeom prst="rect">
            <a:avLst/>
          </a:prstGeom>
          <a:noFill/>
          <a:ln w="9525">
            <a:noFill/>
            <a:miter lim="800000"/>
            <a:headEnd/>
            <a:tailEnd/>
          </a:ln>
        </xdr:spPr>
        <xdr:txBody>
          <a:bodyPr rot="0" vert="horz" wrap="square" lIns="91440" tIns="45720" rIns="91440" bIns="45720" anchor="b" anchorCtr="0">
            <a:noAutofit/>
          </a:bodyPr>
          <a:lstStyle/>
          <a:p>
            <a:pPr marL="0" indent="0" algn="ctr">
              <a:lnSpc>
                <a:spcPct val="150000"/>
              </a:lnSpc>
            </a:pPr>
            <a:fld id="{42970467-B854-4C43-AABD-92E1F9D9119A}" type="TxLink">
              <a:rPr lang="en-US" sz="1600" b="1" i="0" u="none" strike="noStrike">
                <a:solidFill>
                  <a:srgbClr val="538135"/>
                </a:solidFill>
                <a:effectLst/>
                <a:latin typeface="Calibri"/>
                <a:ea typeface="Calibri" panose="020F0502020204030204" pitchFamily="34" charset="0"/>
                <a:cs typeface="Calibri"/>
              </a:rPr>
              <a:pPr marL="0" indent="0" algn="ctr">
                <a:lnSpc>
                  <a:spcPct val="150000"/>
                </a:lnSpc>
              </a:pPr>
              <a:t>3,9% a.m.</a:t>
            </a:fld>
            <a:endParaRPr lang="pt-BR" sz="24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18" name="Caixa de Texto 2">
            <a:extLst>
              <a:ext uri="{FF2B5EF4-FFF2-40B4-BE49-F238E27FC236}">
                <a16:creationId xmlns:a16="http://schemas.microsoft.com/office/drawing/2014/main" id="{00000000-0008-0000-1000-000076000000}"/>
              </a:ext>
            </a:extLst>
          </xdr:cNvPr>
          <xdr:cNvSpPr txBox="1">
            <a:spLocks noChangeArrowheads="1"/>
          </xdr:cNvSpPr>
        </xdr:nvSpPr>
        <xdr:spPr bwMode="auto">
          <a:xfrm>
            <a:off x="2504633" y="70710674"/>
            <a:ext cx="2451266" cy="411562"/>
          </a:xfrm>
          <a:prstGeom prst="rect">
            <a:avLst/>
          </a:prstGeom>
          <a:noFill/>
          <a:ln w="9525">
            <a:noFill/>
            <a:miter lim="800000"/>
            <a:headEnd/>
            <a:tailEnd/>
          </a:ln>
        </xdr:spPr>
        <xdr:txBody>
          <a:bodyPr rot="0" vert="horz" wrap="square" lIns="91440" tIns="45720" rIns="91440" bIns="45720" anchor="t" anchorCtr="0">
            <a:noAutofit/>
          </a:bodyPr>
          <a:lstStyle/>
          <a:p>
            <a:pPr>
              <a:lnSpc>
                <a:spcPct val="150000"/>
              </a:lnSpc>
            </a:pPr>
            <a:r>
              <a:rPr lang="pt-BR" sz="1400" b="1">
                <a:solidFill>
                  <a:srgbClr val="538135"/>
                </a:solidFill>
                <a:effectLst/>
                <a:latin typeface="Calibri" panose="020F0502020204030204" pitchFamily="34" charset="0"/>
                <a:ea typeface="Calibri" panose="020F0502020204030204" pitchFamily="34" charset="0"/>
                <a:cs typeface="Times New Roman" panose="02020603050405020304" pitchFamily="18" charset="0"/>
              </a:rPr>
              <a:t>Rentabilidade Mensal</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19" name="Caixa de Texto 2">
            <a:extLst>
              <a:ext uri="{FF2B5EF4-FFF2-40B4-BE49-F238E27FC236}">
                <a16:creationId xmlns:a16="http://schemas.microsoft.com/office/drawing/2014/main" id="{00000000-0008-0000-1000-000077000000}"/>
              </a:ext>
            </a:extLst>
          </xdr:cNvPr>
          <xdr:cNvSpPr txBox="1">
            <a:spLocks noChangeArrowheads="1"/>
          </xdr:cNvSpPr>
        </xdr:nvSpPr>
        <xdr:spPr bwMode="auto">
          <a:xfrm>
            <a:off x="2575118" y="70904766"/>
            <a:ext cx="4682973" cy="411563"/>
          </a:xfrm>
          <a:prstGeom prst="rect">
            <a:avLst/>
          </a:prstGeom>
          <a:noFill/>
          <a:ln w="9525">
            <a:noFill/>
            <a:miter lim="800000"/>
            <a:headEnd/>
            <a:tailEnd/>
          </a:ln>
        </xdr:spPr>
        <xdr:txBody>
          <a:bodyPr rot="0" vert="horz" wrap="square" lIns="91440" tIns="45720" rIns="91440" bIns="45720" anchor="t" anchorCtr="0">
            <a:noAutofit/>
          </a:bodyPr>
          <a:lstStyle/>
          <a:p>
            <a:pPr>
              <a:lnSpc>
                <a:spcPct val="150000"/>
              </a:lnSpc>
            </a:pPr>
            <a:r>
              <a:rPr lang="pt-BR" sz="1000" b="1">
                <a:solidFill>
                  <a:srgbClr val="808080"/>
                </a:solidFill>
                <a:effectLst/>
                <a:latin typeface="Calibri" panose="020F0502020204030204" pitchFamily="34" charset="0"/>
                <a:ea typeface="Calibri" panose="020F0502020204030204" pitchFamily="34" charset="0"/>
                <a:cs typeface="Times New Roman" panose="02020603050405020304" pitchFamily="18" charset="0"/>
              </a:rPr>
              <a:t>Rentabilidade que a economia mensal gera comparado com o valor do investimento</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twoCellAnchor>
    <xdr:from>
      <xdr:col>34</xdr:col>
      <xdr:colOff>483646</xdr:colOff>
      <xdr:row>1</xdr:row>
      <xdr:rowOff>124273</xdr:rowOff>
    </xdr:from>
    <xdr:to>
      <xdr:col>37</xdr:col>
      <xdr:colOff>257623</xdr:colOff>
      <xdr:row>3</xdr:row>
      <xdr:rowOff>170217</xdr:rowOff>
    </xdr:to>
    <xdr:sp macro="[0]!Gerar_Proposta_Comercial" textlink="">
      <xdr:nvSpPr>
        <xdr:cNvPr id="26" name="Retângulo: Cantos Arredondados 25">
          <a:extLst>
            <a:ext uri="{FF2B5EF4-FFF2-40B4-BE49-F238E27FC236}">
              <a16:creationId xmlns:a16="http://schemas.microsoft.com/office/drawing/2014/main" id="{00000000-0008-0000-1000-00001A000000}"/>
            </a:ext>
          </a:extLst>
        </xdr:cNvPr>
        <xdr:cNvSpPr/>
      </xdr:nvSpPr>
      <xdr:spPr>
        <a:xfrm>
          <a:off x="8675146" y="303567"/>
          <a:ext cx="1589330" cy="404532"/>
        </a:xfrm>
        <a:prstGeom prst="roundRect">
          <a:avLst/>
        </a:prstGeom>
        <a:noFill/>
        <a:ln w="28575">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pt-BR" sz="1100">
              <a:ln>
                <a:noFill/>
              </a:ln>
              <a:solidFill>
                <a:schemeClr val="bg1"/>
              </a:solidFill>
            </a:rPr>
            <a:t>GERAR PROPOSTA</a:t>
          </a:r>
        </a:p>
      </xdr:txBody>
    </xdr:sp>
    <xdr:clientData/>
  </xdr:twoCellAnchor>
  <xdr:twoCellAnchor>
    <xdr:from>
      <xdr:col>22</xdr:col>
      <xdr:colOff>168088</xdr:colOff>
      <xdr:row>10</xdr:row>
      <xdr:rowOff>0</xdr:rowOff>
    </xdr:from>
    <xdr:to>
      <xdr:col>28</xdr:col>
      <xdr:colOff>291353</xdr:colOff>
      <xdr:row>13</xdr:row>
      <xdr:rowOff>11205</xdr:rowOff>
    </xdr:to>
    <xdr:sp macro="[0]!Gerar_Proposta_Comercial" textlink="">
      <xdr:nvSpPr>
        <xdr:cNvPr id="27" name="Retângulo: Cantos Arredondados 26">
          <a:extLst>
            <a:ext uri="{FF2B5EF4-FFF2-40B4-BE49-F238E27FC236}">
              <a16:creationId xmlns:a16="http://schemas.microsoft.com/office/drawing/2014/main" id="{00000000-0008-0000-1000-00001B000000}"/>
            </a:ext>
          </a:extLst>
        </xdr:cNvPr>
        <xdr:cNvSpPr/>
      </xdr:nvSpPr>
      <xdr:spPr>
        <a:xfrm>
          <a:off x="5345206" y="1792941"/>
          <a:ext cx="1524000" cy="549088"/>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mc:AlternateContent xmlns:mc="http://schemas.openxmlformats.org/markup-compatibility/2006">
    <mc:Choice xmlns:a14="http://schemas.microsoft.com/office/drawing/2010/main" Requires="a14">
      <xdr:twoCellAnchor>
        <xdr:from>
          <xdr:col>40</xdr:col>
          <xdr:colOff>66675</xdr:colOff>
          <xdr:row>0</xdr:row>
          <xdr:rowOff>161925</xdr:rowOff>
        </xdr:from>
        <xdr:to>
          <xdr:col>40</xdr:col>
          <xdr:colOff>447675</xdr:colOff>
          <xdr:row>4</xdr:row>
          <xdr:rowOff>19050</xdr:rowOff>
        </xdr:to>
        <xdr:sp macro="" textlink="">
          <xdr:nvSpPr>
            <xdr:cNvPr id="76579" name="Spinner 1827" hidden="1">
              <a:extLst>
                <a:ext uri="{63B3BB69-23CF-44E3-9099-C40C66FF867C}">
                  <a14:compatExt spid="_x0000_s76579"/>
                </a:ext>
                <a:ext uri="{FF2B5EF4-FFF2-40B4-BE49-F238E27FC236}">
                  <a16:creationId xmlns:a16="http://schemas.microsoft.com/office/drawing/2014/main" id="{00000000-0008-0000-1000-0000232B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15</xdr:col>
      <xdr:colOff>120241</xdr:colOff>
      <xdr:row>225</xdr:row>
      <xdr:rowOff>169210</xdr:rowOff>
    </xdr:from>
    <xdr:to>
      <xdr:col>18</xdr:col>
      <xdr:colOff>164094</xdr:colOff>
      <xdr:row>226</xdr:row>
      <xdr:rowOff>169211</xdr:rowOff>
    </xdr:to>
    <xdr:sp macro="" textlink="">
      <xdr:nvSpPr>
        <xdr:cNvPr id="100" name="Forma Livre: Forma 99">
          <a:extLst>
            <a:ext uri="{FF2B5EF4-FFF2-40B4-BE49-F238E27FC236}">
              <a16:creationId xmlns:a16="http://schemas.microsoft.com/office/drawing/2014/main" id="{00000000-0008-0000-1000-000064000000}"/>
            </a:ext>
          </a:extLst>
        </xdr:cNvPr>
        <xdr:cNvSpPr/>
      </xdr:nvSpPr>
      <xdr:spPr>
        <a:xfrm rot="1928361">
          <a:off x="3650094" y="28609739"/>
          <a:ext cx="749824" cy="179296"/>
        </a:xfrm>
        <a:custGeom>
          <a:avLst/>
          <a:gdLst>
            <a:gd name="connsiteX0" fmla="*/ 0 w 795867"/>
            <a:gd name="connsiteY0" fmla="*/ 194733 h 194733"/>
            <a:gd name="connsiteX1" fmla="*/ 228600 w 795867"/>
            <a:gd name="connsiteY1" fmla="*/ 33867 h 194733"/>
            <a:gd name="connsiteX2" fmla="*/ 795867 w 795867"/>
            <a:gd name="connsiteY2" fmla="*/ 0 h 194733"/>
            <a:gd name="connsiteX0" fmla="*/ 0 w 795867"/>
            <a:gd name="connsiteY0" fmla="*/ 171430 h 171430"/>
            <a:gd name="connsiteX1" fmla="*/ 228600 w 795867"/>
            <a:gd name="connsiteY1" fmla="*/ 10564 h 171430"/>
            <a:gd name="connsiteX2" fmla="*/ 795867 w 795867"/>
            <a:gd name="connsiteY2" fmla="*/ 4832 h 171430"/>
            <a:gd name="connsiteX0" fmla="*/ 0 w 795867"/>
            <a:gd name="connsiteY0" fmla="*/ 186848 h 186848"/>
            <a:gd name="connsiteX1" fmla="*/ 228600 w 795867"/>
            <a:gd name="connsiteY1" fmla="*/ 25982 h 186848"/>
            <a:gd name="connsiteX2" fmla="*/ 795867 w 795867"/>
            <a:gd name="connsiteY2" fmla="*/ 20250 h 186848"/>
          </a:gdLst>
          <a:ahLst/>
          <a:cxnLst>
            <a:cxn ang="0">
              <a:pos x="connsiteX0" y="connsiteY0"/>
            </a:cxn>
            <a:cxn ang="0">
              <a:pos x="connsiteX1" y="connsiteY1"/>
            </a:cxn>
            <a:cxn ang="0">
              <a:pos x="connsiteX2" y="connsiteY2"/>
            </a:cxn>
          </a:cxnLst>
          <a:rect l="l" t="t" r="r" b="b"/>
          <a:pathLst>
            <a:path w="795867" h="186848">
              <a:moveTo>
                <a:pt x="0" y="186848"/>
              </a:moveTo>
              <a:cubicBezTo>
                <a:pt x="47978" y="122642"/>
                <a:pt x="95956" y="53748"/>
                <a:pt x="228600" y="25982"/>
              </a:cubicBezTo>
              <a:cubicBezTo>
                <a:pt x="361244" y="-1784"/>
                <a:pt x="693966" y="-12528"/>
                <a:pt x="795867" y="20250"/>
              </a:cubicBezTo>
            </a:path>
          </a:pathLst>
        </a:custGeom>
        <a:noFill/>
        <a:ln>
          <a:solidFill>
            <a:schemeClr val="accent6">
              <a:lumMod val="75000"/>
            </a:schemeClr>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pt-BR"/>
        </a:p>
      </xdr:txBody>
    </xdr:sp>
    <xdr:clientData/>
  </xdr:twoCellAnchor>
  <xdr:twoCellAnchor>
    <xdr:from>
      <xdr:col>9</xdr:col>
      <xdr:colOff>93127</xdr:colOff>
      <xdr:row>225</xdr:row>
      <xdr:rowOff>136719</xdr:rowOff>
    </xdr:from>
    <xdr:to>
      <xdr:col>12</xdr:col>
      <xdr:colOff>146504</xdr:colOff>
      <xdr:row>226</xdr:row>
      <xdr:rowOff>169398</xdr:rowOff>
    </xdr:to>
    <xdr:sp macro="" textlink="">
      <xdr:nvSpPr>
        <xdr:cNvPr id="104" name="Forma Livre: Forma 103">
          <a:extLst>
            <a:ext uri="{FF2B5EF4-FFF2-40B4-BE49-F238E27FC236}">
              <a16:creationId xmlns:a16="http://schemas.microsoft.com/office/drawing/2014/main" id="{00000000-0008-0000-1000-000068000000}"/>
            </a:ext>
          </a:extLst>
        </xdr:cNvPr>
        <xdr:cNvSpPr/>
      </xdr:nvSpPr>
      <xdr:spPr>
        <a:xfrm rot="19772961" flipV="1">
          <a:off x="2211039" y="28577248"/>
          <a:ext cx="759347" cy="211974"/>
        </a:xfrm>
        <a:custGeom>
          <a:avLst/>
          <a:gdLst>
            <a:gd name="connsiteX0" fmla="*/ 770467 w 770467"/>
            <a:gd name="connsiteY0" fmla="*/ 0 h 186267"/>
            <a:gd name="connsiteX1" fmla="*/ 508000 w 770467"/>
            <a:gd name="connsiteY1" fmla="*/ 169333 h 186267"/>
            <a:gd name="connsiteX2" fmla="*/ 0 w 770467"/>
            <a:gd name="connsiteY2" fmla="*/ 186267 h 186267"/>
            <a:gd name="connsiteX0" fmla="*/ 790525 w 790525"/>
            <a:gd name="connsiteY0" fmla="*/ 0 h 206342"/>
            <a:gd name="connsiteX1" fmla="*/ 528058 w 790525"/>
            <a:gd name="connsiteY1" fmla="*/ 169333 h 206342"/>
            <a:gd name="connsiteX2" fmla="*/ 0 w 790525"/>
            <a:gd name="connsiteY2" fmla="*/ 206342 h 206342"/>
            <a:gd name="connsiteX0" fmla="*/ 790525 w 790525"/>
            <a:gd name="connsiteY0" fmla="*/ 0 h 206342"/>
            <a:gd name="connsiteX1" fmla="*/ 528058 w 790525"/>
            <a:gd name="connsiteY1" fmla="*/ 169333 h 206342"/>
            <a:gd name="connsiteX2" fmla="*/ 0 w 790525"/>
            <a:gd name="connsiteY2" fmla="*/ 206342 h 206342"/>
            <a:gd name="connsiteX0" fmla="*/ 790525 w 790525"/>
            <a:gd name="connsiteY0" fmla="*/ 0 h 207998"/>
            <a:gd name="connsiteX1" fmla="*/ 528058 w 790525"/>
            <a:gd name="connsiteY1" fmla="*/ 169333 h 207998"/>
            <a:gd name="connsiteX2" fmla="*/ 0 w 790525"/>
            <a:gd name="connsiteY2" fmla="*/ 206342 h 207998"/>
          </a:gdLst>
          <a:ahLst/>
          <a:cxnLst>
            <a:cxn ang="0">
              <a:pos x="connsiteX0" y="connsiteY0"/>
            </a:cxn>
            <a:cxn ang="0">
              <a:pos x="connsiteX1" y="connsiteY1"/>
            </a:cxn>
            <a:cxn ang="0">
              <a:pos x="connsiteX2" y="connsiteY2"/>
            </a:cxn>
          </a:cxnLst>
          <a:rect l="l" t="t" r="r" b="b"/>
          <a:pathLst>
            <a:path w="790525" h="207998">
              <a:moveTo>
                <a:pt x="790525" y="0"/>
              </a:moveTo>
              <a:cubicBezTo>
                <a:pt x="723497" y="69144"/>
                <a:pt x="659812" y="134943"/>
                <a:pt x="528058" y="169333"/>
              </a:cubicBezTo>
              <a:cubicBezTo>
                <a:pt x="396304" y="203723"/>
                <a:pt x="266247" y="212064"/>
                <a:pt x="0" y="206342"/>
              </a:cubicBezTo>
            </a:path>
          </a:pathLst>
        </a:custGeom>
        <a:noFill/>
        <a:ln>
          <a:solidFill>
            <a:schemeClr val="accent6">
              <a:lumMod val="75000"/>
            </a:schemeClr>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pt-BR"/>
        </a:p>
      </xdr:txBody>
    </xdr:sp>
    <xdr:clientData/>
  </xdr:twoCellAnchor>
  <xdr:twoCellAnchor>
    <xdr:from>
      <xdr:col>0</xdr:col>
      <xdr:colOff>233419</xdr:colOff>
      <xdr:row>227</xdr:row>
      <xdr:rowOff>162597</xdr:rowOff>
    </xdr:from>
    <xdr:to>
      <xdr:col>10</xdr:col>
      <xdr:colOff>28801</xdr:colOff>
      <xdr:row>230</xdr:row>
      <xdr:rowOff>38437</xdr:rowOff>
    </xdr:to>
    <xdr:sp macro="" textlink="">
      <xdr:nvSpPr>
        <xdr:cNvPr id="122" name="Retângulo: Cantos Arredondados 121">
          <a:extLst>
            <a:ext uri="{FF2B5EF4-FFF2-40B4-BE49-F238E27FC236}">
              <a16:creationId xmlns:a16="http://schemas.microsoft.com/office/drawing/2014/main" id="{00000000-0008-0000-1000-00007A000000}"/>
            </a:ext>
          </a:extLst>
        </xdr:cNvPr>
        <xdr:cNvSpPr/>
      </xdr:nvSpPr>
      <xdr:spPr>
        <a:xfrm>
          <a:off x="233419" y="28961715"/>
          <a:ext cx="2148617" cy="503369"/>
        </a:xfrm>
        <a:prstGeom prst="roundRect">
          <a:avLst/>
        </a:prstGeom>
        <a:noFill/>
        <a:ln w="28575">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pt-BR" sz="1100"/>
        </a:p>
      </xdr:txBody>
    </xdr:sp>
    <xdr:clientData/>
  </xdr:twoCellAnchor>
  <xdr:twoCellAnchor>
    <xdr:from>
      <xdr:col>17</xdr:col>
      <xdr:colOff>212912</xdr:colOff>
      <xdr:row>227</xdr:row>
      <xdr:rowOff>164502</xdr:rowOff>
    </xdr:from>
    <xdr:to>
      <xdr:col>27</xdr:col>
      <xdr:colOff>4484</xdr:colOff>
      <xdr:row>230</xdr:row>
      <xdr:rowOff>38437</xdr:rowOff>
    </xdr:to>
    <xdr:sp macro="" textlink="">
      <xdr:nvSpPr>
        <xdr:cNvPr id="123" name="Retângulo: Cantos Arredondados 122">
          <a:extLst>
            <a:ext uri="{FF2B5EF4-FFF2-40B4-BE49-F238E27FC236}">
              <a16:creationId xmlns:a16="http://schemas.microsoft.com/office/drawing/2014/main" id="{00000000-0008-0000-1000-00007B000000}"/>
            </a:ext>
          </a:extLst>
        </xdr:cNvPr>
        <xdr:cNvSpPr/>
      </xdr:nvSpPr>
      <xdr:spPr>
        <a:xfrm>
          <a:off x="4213412" y="28963620"/>
          <a:ext cx="2144807" cy="501464"/>
        </a:xfrm>
        <a:prstGeom prst="roundRect">
          <a:avLst/>
        </a:prstGeom>
        <a:noFill/>
        <a:ln w="28575">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pt-BR" sz="1100"/>
        </a:p>
      </xdr:txBody>
    </xdr:sp>
    <xdr:clientData/>
  </xdr:twoCellAnchor>
  <xdr:oneCellAnchor>
    <xdr:from>
      <xdr:col>0</xdr:col>
      <xdr:colOff>41414</xdr:colOff>
      <xdr:row>390</xdr:row>
      <xdr:rowOff>29841</xdr:rowOff>
    </xdr:from>
    <xdr:ext cx="7089912" cy="512860"/>
    <xdr:sp macro="" textlink="">
      <xdr:nvSpPr>
        <xdr:cNvPr id="105" name="CaixaDeTexto 104">
          <a:extLst>
            <a:ext uri="{FF2B5EF4-FFF2-40B4-BE49-F238E27FC236}">
              <a16:creationId xmlns:a16="http://schemas.microsoft.com/office/drawing/2014/main" id="{00000000-0008-0000-1000-000069000000}"/>
            </a:ext>
          </a:extLst>
        </xdr:cNvPr>
        <xdr:cNvSpPr txBox="1"/>
      </xdr:nvSpPr>
      <xdr:spPr>
        <a:xfrm>
          <a:off x="41414" y="73943841"/>
          <a:ext cx="7089912" cy="512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72000" algn="l"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900" baseline="0">
              <a:solidFill>
                <a:schemeClr val="bg2">
                  <a:lumMod val="50000"/>
                </a:schemeClr>
              </a:solidFill>
              <a:effectLst/>
              <a:latin typeface="Times New Roman" panose="02020603050405020304" pitchFamily="18" charset="0"/>
              <a:ea typeface="+mn-ea"/>
              <a:cs typeface="Times New Roman" panose="02020603050405020304" pitchFamily="18" charset="0"/>
            </a:rPr>
            <a:t>¹ Cobertura a danos de força maior (incêndio, raio, vendaval), roubo/furto, danos elétricos e tempo sem geração. Valor: 0,99%/ano (opcional).</a:t>
          </a:r>
        </a:p>
        <a:p>
          <a:pPr marL="0" marR="0" lvl="0" indent="72000" algn="l"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900" baseline="0">
              <a:solidFill>
                <a:schemeClr val="bg2">
                  <a:lumMod val="50000"/>
                </a:schemeClr>
              </a:solidFill>
              <a:effectLst/>
              <a:latin typeface="Times New Roman" panose="02020603050405020304" pitchFamily="18" charset="0"/>
              <a:ea typeface="+mn-ea"/>
              <a:cs typeface="Times New Roman" panose="02020603050405020304" pitchFamily="18" charset="0"/>
            </a:rPr>
            <a:t>² A plataforma SolarZ simplifica as informações de geração e consumo, gerando relatórios explicativos que facilitam a compreensão.</a:t>
          </a:r>
          <a:endParaRPr lang="pt-BR" sz="900">
            <a:solidFill>
              <a:schemeClr val="bg2">
                <a:lumMod val="50000"/>
              </a:schemeClr>
            </a:solidFill>
            <a:effectLst/>
            <a:latin typeface="Times New Roman" panose="02020603050405020304" pitchFamily="18" charset="0"/>
            <a:ea typeface="+mn-ea"/>
            <a:cs typeface="Times New Roman" panose="02020603050405020304" pitchFamily="18" charset="0"/>
          </a:endParaRPr>
        </a:p>
      </xdr:txBody>
    </xdr:sp>
    <xdr:clientData/>
  </xdr:oneCellAnchor>
  <xdr:twoCellAnchor>
    <xdr:from>
      <xdr:col>10</xdr:col>
      <xdr:colOff>200274</xdr:colOff>
      <xdr:row>417</xdr:row>
      <xdr:rowOff>159737</xdr:rowOff>
    </xdr:from>
    <xdr:to>
      <xdr:col>18</xdr:col>
      <xdr:colOff>60340</xdr:colOff>
      <xdr:row>419</xdr:row>
      <xdr:rowOff>229569</xdr:rowOff>
    </xdr:to>
    <xdr:sp macro="" textlink="">
      <xdr:nvSpPr>
        <xdr:cNvPr id="13" name="Retângulo 12">
          <a:extLst>
            <a:ext uri="{FF2B5EF4-FFF2-40B4-BE49-F238E27FC236}">
              <a16:creationId xmlns:a16="http://schemas.microsoft.com/office/drawing/2014/main" id="{00000000-0008-0000-1000-00000D000000}"/>
            </a:ext>
          </a:extLst>
        </xdr:cNvPr>
        <xdr:cNvSpPr/>
      </xdr:nvSpPr>
      <xdr:spPr>
        <a:xfrm>
          <a:off x="2799238" y="64494308"/>
          <a:ext cx="1819495" cy="42361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accent6"/>
              </a:solidFill>
              <a:latin typeface="Aptos ExtraBold" panose="020F0502020204030204" pitchFamily="34" charset="0"/>
              <a:ea typeface="ADLaM Display" panose="020F0502020204030204" pitchFamily="2" charset="0"/>
              <a:cs typeface="ADLaM Display" panose="020F0502020204030204" pitchFamily="2" charset="0"/>
            </a:rPr>
            <a:t>ou</a:t>
          </a:r>
          <a:r>
            <a:rPr lang="en-US" sz="1400" b="1" i="0" u="none" strike="noStrike" baseline="0">
              <a:solidFill>
                <a:schemeClr val="accent6"/>
              </a:solidFill>
              <a:latin typeface="Aptos ExtraBold" panose="020F0502020204030204" pitchFamily="34" charset="0"/>
              <a:ea typeface="ADLaM Display" panose="020F0502020204030204" pitchFamily="2" charset="0"/>
              <a:cs typeface="ADLaM Display" panose="020F0502020204030204" pitchFamily="2" charset="0"/>
            </a:rPr>
            <a:t> a vista:</a:t>
          </a:r>
          <a:endParaRPr lang="en-US" sz="1400" b="1" i="0" u="none" strike="noStrike">
            <a:solidFill>
              <a:schemeClr val="accent6"/>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10</xdr:col>
      <xdr:colOff>127265</xdr:colOff>
      <xdr:row>419</xdr:row>
      <xdr:rowOff>76763</xdr:rowOff>
    </xdr:from>
    <xdr:to>
      <xdr:col>18</xdr:col>
      <xdr:colOff>133351</xdr:colOff>
      <xdr:row>421</xdr:row>
      <xdr:rowOff>122983</xdr:rowOff>
    </xdr:to>
    <xdr:sp macro="" textlink="Resumo!$F$347">
      <xdr:nvSpPr>
        <xdr:cNvPr id="28" name="Retângulo 27">
          <a:extLst>
            <a:ext uri="{FF2B5EF4-FFF2-40B4-BE49-F238E27FC236}">
              <a16:creationId xmlns:a16="http://schemas.microsoft.com/office/drawing/2014/main" id="{00000000-0008-0000-1000-00001C000000}"/>
            </a:ext>
          </a:extLst>
        </xdr:cNvPr>
        <xdr:cNvSpPr/>
      </xdr:nvSpPr>
      <xdr:spPr>
        <a:xfrm>
          <a:off x="2498990" y="80591588"/>
          <a:ext cx="1834886" cy="53199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7ED607E-BA17-4CBE-94FC-6E9A6AC684B4}" type="TxLink">
            <a:rPr lang="en-US" sz="1800" b="1" i="0" u="none" strike="noStrike">
              <a:solidFill>
                <a:schemeClr val="accent6">
                  <a:lumMod val="50000"/>
                </a:schemeClr>
              </a:solidFill>
              <a:latin typeface="Aptos ExtraBold" panose="020F0502020204030204" pitchFamily="34" charset="0"/>
              <a:ea typeface="ADLaM Display" panose="020F0502020204030204" pitchFamily="2" charset="0"/>
              <a:cs typeface="ADLaM Display" panose="020F0502020204030204" pitchFamily="2" charset="0"/>
            </a:rPr>
            <a:pPr marL="0" indent="0" algn="ctr"/>
            <a:t> R$23.440,00 </a:t>
          </a:fld>
          <a:endParaRPr lang="pt-BR" sz="1800" b="1" i="0" u="none" strike="noStrike">
            <a:solidFill>
              <a:schemeClr val="accent6">
                <a:lumMod val="50000"/>
              </a:schemeClr>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7</xdr:col>
      <xdr:colOff>224475</xdr:colOff>
      <xdr:row>415</xdr:row>
      <xdr:rowOff>168665</xdr:rowOff>
    </xdr:from>
    <xdr:to>
      <xdr:col>11</xdr:col>
      <xdr:colOff>237925</xdr:colOff>
      <xdr:row>418</xdr:row>
      <xdr:rowOff>57408</xdr:rowOff>
    </xdr:to>
    <xdr:sp macro="" textlink="">
      <xdr:nvSpPr>
        <xdr:cNvPr id="30" name="Retângulo 29">
          <a:extLst>
            <a:ext uri="{FF2B5EF4-FFF2-40B4-BE49-F238E27FC236}">
              <a16:creationId xmlns:a16="http://schemas.microsoft.com/office/drawing/2014/main" id="{00000000-0008-0000-1000-00001E000000}"/>
            </a:ext>
          </a:extLst>
        </xdr:cNvPr>
        <xdr:cNvSpPr/>
      </xdr:nvSpPr>
      <xdr:spPr>
        <a:xfrm>
          <a:off x="2088654" y="64095022"/>
          <a:ext cx="993164" cy="4738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1" i="0" u="none" strike="noStrike">
              <a:solidFill>
                <a:schemeClr val="accent6">
                  <a:lumMod val="75000"/>
                </a:schemeClr>
              </a:solidFill>
              <a:latin typeface="Aptos ExtraBold" panose="020F0502020204030204" pitchFamily="34" charset="0"/>
              <a:ea typeface="ADLaM Display" panose="020F0502020204030204" pitchFamily="2" charset="0"/>
              <a:cs typeface="ADLaM Display" panose="020F0502020204030204" pitchFamily="2" charset="0"/>
            </a:rPr>
            <a:t>18x</a:t>
          </a:r>
        </a:p>
      </xdr:txBody>
    </xdr:sp>
    <xdr:clientData/>
  </xdr:twoCellAnchor>
  <xdr:twoCellAnchor>
    <xdr:from>
      <xdr:col>9</xdr:col>
      <xdr:colOff>189456</xdr:colOff>
      <xdr:row>414</xdr:row>
      <xdr:rowOff>152534</xdr:rowOff>
    </xdr:from>
    <xdr:to>
      <xdr:col>20</xdr:col>
      <xdr:colOff>0</xdr:colOff>
      <xdr:row>418</xdr:row>
      <xdr:rowOff>72951</xdr:rowOff>
    </xdr:to>
    <xdr:sp macro="" textlink="Resumo!$H$347">
      <xdr:nvSpPr>
        <xdr:cNvPr id="33" name="Retângulo 32">
          <a:extLst>
            <a:ext uri="{FF2B5EF4-FFF2-40B4-BE49-F238E27FC236}">
              <a16:creationId xmlns:a16="http://schemas.microsoft.com/office/drawing/2014/main" id="{00000000-0008-0000-1000-000021000000}"/>
            </a:ext>
          </a:extLst>
        </xdr:cNvPr>
        <xdr:cNvSpPr/>
      </xdr:nvSpPr>
      <xdr:spPr>
        <a:xfrm>
          <a:off x="2332581" y="79667234"/>
          <a:ext cx="2325144" cy="73004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523E314-F180-45C4-A879-927E364BA9C4}" type="TxLink">
            <a:rPr lang="en-US" sz="2800" b="1" i="0" u="none" strike="noStrike">
              <a:solidFill>
                <a:schemeClr val="accent6">
                  <a:lumMod val="50000"/>
                </a:schemeClr>
              </a:solidFill>
              <a:latin typeface="Aptos ExtraBold" panose="020F0502020204030204" pitchFamily="34" charset="0"/>
              <a:ea typeface="ADLaM Display" panose="020F0502020204030204" pitchFamily="2" charset="0"/>
              <a:cs typeface="ADLaM Display" panose="020F0502020204030204" pitchFamily="2" charset="0"/>
            </a:rPr>
            <a:pPr marL="0" indent="0" algn="ctr"/>
            <a:t> R$1.627,78 </a:t>
          </a:fld>
          <a:endParaRPr lang="pt-BR" sz="2800" b="1" i="0" u="none" strike="noStrike">
            <a:solidFill>
              <a:schemeClr val="accent6">
                <a:lumMod val="50000"/>
              </a:schemeClr>
            </a:solidFill>
            <a:latin typeface="Aptos ExtraBold" panose="020F0502020204030204" pitchFamily="34" charset="0"/>
            <a:ea typeface="ADLaM Display" panose="020F0502020204030204" pitchFamily="2" charset="0"/>
            <a:cs typeface="ADLaM Display" panose="020F0502020204030204" pitchFamily="2" charset="0"/>
          </a:endParaRPr>
        </a:p>
      </xdr:txBody>
    </xdr:sp>
    <xdr:clientData/>
  </xdr:twoCellAnchor>
  <xdr:twoCellAnchor>
    <xdr:from>
      <xdr:col>11</xdr:col>
      <xdr:colOff>83539</xdr:colOff>
      <xdr:row>412</xdr:row>
      <xdr:rowOff>60124</xdr:rowOff>
    </xdr:from>
    <xdr:to>
      <xdr:col>17</xdr:col>
      <xdr:colOff>169456</xdr:colOff>
      <xdr:row>415</xdr:row>
      <xdr:rowOff>72951</xdr:rowOff>
    </xdr:to>
    <xdr:sp macro="" textlink="">
      <xdr:nvSpPr>
        <xdr:cNvPr id="35" name="Retângulo 34">
          <a:extLst>
            <a:ext uri="{FF2B5EF4-FFF2-40B4-BE49-F238E27FC236}">
              <a16:creationId xmlns:a16="http://schemas.microsoft.com/office/drawing/2014/main" id="{00000000-0008-0000-1000-000023000000}"/>
            </a:ext>
          </a:extLst>
        </xdr:cNvPr>
        <xdr:cNvSpPr/>
      </xdr:nvSpPr>
      <xdr:spPr>
        <a:xfrm>
          <a:off x="2927432" y="63455803"/>
          <a:ext cx="1555488" cy="54350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accent6"/>
              </a:solidFill>
              <a:latin typeface="Aptos ExtraBold" panose="020F0502020204030204" pitchFamily="34" charset="0"/>
              <a:ea typeface="ADLaM Display" panose="020F0502020204030204" pitchFamily="2" charset="0"/>
              <a:cs typeface="ADLaM Display" panose="020F0502020204030204" pitchFamily="2" charset="0"/>
            </a:rPr>
            <a:t>Valor do investimento:</a:t>
          </a:r>
        </a:p>
      </xdr:txBody>
    </xdr:sp>
    <xdr:clientData/>
  </xdr:twoCellAnchor>
  <xdr:twoCellAnchor>
    <xdr:from>
      <xdr:col>0</xdr:col>
      <xdr:colOff>257872</xdr:colOff>
      <xdr:row>100</xdr:row>
      <xdr:rowOff>94834</xdr:rowOff>
    </xdr:from>
    <xdr:to>
      <xdr:col>16</xdr:col>
      <xdr:colOff>105024</xdr:colOff>
      <xdr:row>110</xdr:row>
      <xdr:rowOff>30112</xdr:rowOff>
    </xdr:to>
    <xdr:grpSp>
      <xdr:nvGrpSpPr>
        <xdr:cNvPr id="44" name="Agrupar 43">
          <a:extLst>
            <a:ext uri="{FF2B5EF4-FFF2-40B4-BE49-F238E27FC236}">
              <a16:creationId xmlns:a16="http://schemas.microsoft.com/office/drawing/2014/main" id="{00000000-0008-0000-1000-00002C000000}"/>
            </a:ext>
          </a:extLst>
        </xdr:cNvPr>
        <xdr:cNvGrpSpPr/>
      </xdr:nvGrpSpPr>
      <xdr:grpSpPr>
        <a:xfrm>
          <a:off x="257872" y="19582984"/>
          <a:ext cx="3590477" cy="1840278"/>
          <a:chOff x="0" y="20415100"/>
          <a:chExt cx="3827369" cy="1731533"/>
        </a:xfrm>
      </xdr:grpSpPr>
      <xdr:sp macro="" textlink="">
        <xdr:nvSpPr>
          <xdr:cNvPr id="45" name="CaixaDeTexto 44">
            <a:extLst>
              <a:ext uri="{FF2B5EF4-FFF2-40B4-BE49-F238E27FC236}">
                <a16:creationId xmlns:a16="http://schemas.microsoft.com/office/drawing/2014/main" id="{00000000-0008-0000-1000-00002D000000}"/>
              </a:ext>
            </a:extLst>
          </xdr:cNvPr>
          <xdr:cNvSpPr txBox="1"/>
        </xdr:nvSpPr>
        <xdr:spPr>
          <a:xfrm>
            <a:off x="1136444" y="20415100"/>
            <a:ext cx="1554480" cy="371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400" b="1">
                <a:solidFill>
                  <a:schemeClr val="accent6">
                    <a:lumMod val="50000"/>
                  </a:schemeClr>
                </a:solidFill>
                <a:effectLst/>
                <a:latin typeface="Times New Roman" panose="02020603050405020304" pitchFamily="18" charset="0"/>
                <a:ea typeface="+mn-ea"/>
                <a:cs typeface="Times New Roman" panose="02020603050405020304" pitchFamily="18" charset="0"/>
              </a:rPr>
              <a:t>CONHECIMENTO</a:t>
            </a:r>
          </a:p>
        </xdr:txBody>
      </xdr:sp>
      <xdr:sp macro="" textlink="">
        <xdr:nvSpPr>
          <xdr:cNvPr id="46" name="CaixaDeTexto 45">
            <a:extLst>
              <a:ext uri="{FF2B5EF4-FFF2-40B4-BE49-F238E27FC236}">
                <a16:creationId xmlns:a16="http://schemas.microsoft.com/office/drawing/2014/main" id="{00000000-0008-0000-1000-00002E000000}"/>
              </a:ext>
            </a:extLst>
          </xdr:cNvPr>
          <xdr:cNvSpPr txBox="1"/>
        </xdr:nvSpPr>
        <xdr:spPr>
          <a:xfrm>
            <a:off x="0" y="20710040"/>
            <a:ext cx="3827369" cy="1436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a:solidFill>
                  <a:schemeClr val="dk1"/>
                </a:solidFill>
                <a:effectLst/>
                <a:latin typeface="Times New Roman" panose="02020603050405020304" pitchFamily="18" charset="0"/>
                <a:ea typeface="+mn-ea"/>
                <a:cs typeface="Times New Roman" panose="02020603050405020304" pitchFamily="18" charset="0"/>
              </a:rPr>
              <a:t>A </a:t>
            </a:r>
            <a:r>
              <a:rPr lang="pt-BR" sz="1100" b="1">
                <a:solidFill>
                  <a:schemeClr val="accent6">
                    <a:lumMod val="50000"/>
                  </a:schemeClr>
                </a:solidFill>
                <a:effectLst/>
                <a:latin typeface="Times New Roman" panose="02020603050405020304" pitchFamily="18" charset="0"/>
                <a:ea typeface="+mn-ea"/>
                <a:cs typeface="Times New Roman" panose="02020603050405020304" pitchFamily="18" charset="0"/>
              </a:rPr>
              <a:t>CACTOS</a:t>
            </a:r>
            <a:r>
              <a:rPr lang="pt-BR" sz="1100">
                <a:solidFill>
                  <a:schemeClr val="dk1"/>
                </a:solidFill>
                <a:effectLst/>
                <a:latin typeface="Times New Roman" panose="02020603050405020304" pitchFamily="18" charset="0"/>
                <a:ea typeface="+mn-ea"/>
                <a:cs typeface="Times New Roman" panose="02020603050405020304" pitchFamily="18" charset="0"/>
              </a:rPr>
              <a:t> possui</a:t>
            </a:r>
            <a:r>
              <a:rPr lang="pt-BR" sz="1100" baseline="0">
                <a:solidFill>
                  <a:schemeClr val="dk1"/>
                </a:solidFill>
                <a:effectLst/>
                <a:latin typeface="Times New Roman" panose="02020603050405020304" pitchFamily="18" charset="0"/>
                <a:ea typeface="+mn-ea"/>
                <a:cs typeface="Times New Roman" panose="02020603050405020304" pitchFamily="18" charset="0"/>
              </a:rPr>
              <a:t> mais de </a:t>
            </a:r>
            <a:r>
              <a:rPr lang="pt-BR" sz="1100" baseline="0">
                <a:solidFill>
                  <a:schemeClr val="accent6">
                    <a:lumMod val="50000"/>
                  </a:schemeClr>
                </a:solidFill>
                <a:effectLst/>
                <a:latin typeface="Times New Roman" panose="02020603050405020304" pitchFamily="18" charset="0"/>
                <a:ea typeface="+mn-ea"/>
                <a:cs typeface="Times New Roman" panose="02020603050405020304" pitchFamily="18" charset="0"/>
              </a:rPr>
              <a:t>7 anos </a:t>
            </a:r>
            <a:r>
              <a:rPr lang="pt-BR" sz="1100" baseline="0">
                <a:solidFill>
                  <a:schemeClr val="dk1"/>
                </a:solidFill>
                <a:effectLst/>
                <a:latin typeface="Times New Roman" panose="02020603050405020304" pitchFamily="18" charset="0"/>
                <a:ea typeface="+mn-ea"/>
                <a:cs typeface="Times New Roman" panose="02020603050405020304" pitchFamily="18" charset="0"/>
              </a:rPr>
              <a:t>de experiência com Energia Solar e está sempre se atualizando nesse mercado dinâmico, seja com treinamentos, consultorias, eventos, e utilizando os melhores programas existentes no mercado, para entregar o melhor que você pode ter!</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endParaRPr lang="pt-BR" sz="1100">
              <a:solidFill>
                <a:schemeClr val="dk1"/>
              </a:solidFill>
              <a:effectLst/>
              <a:latin typeface="Times New Roman" panose="02020603050405020304" pitchFamily="18" charset="0"/>
              <a:ea typeface="+mn-ea"/>
              <a:cs typeface="Times New Roman" panose="02020603050405020304" pitchFamily="18" charset="0"/>
            </a:endParaRPr>
          </a:p>
        </xdr:txBody>
      </xdr:sp>
    </xdr:grpSp>
    <xdr:clientData/>
  </xdr:twoCellAnchor>
  <xdr:twoCellAnchor>
    <xdr:from>
      <xdr:col>0</xdr:col>
      <xdr:colOff>249783</xdr:colOff>
      <xdr:row>113</xdr:row>
      <xdr:rowOff>39973</xdr:rowOff>
    </xdr:from>
    <xdr:to>
      <xdr:col>16</xdr:col>
      <xdr:colOff>116924</xdr:colOff>
      <xdr:row>123</xdr:row>
      <xdr:rowOff>92817</xdr:rowOff>
    </xdr:to>
    <xdr:grpSp>
      <xdr:nvGrpSpPr>
        <xdr:cNvPr id="47" name="Agrupar 46">
          <a:extLst>
            <a:ext uri="{FF2B5EF4-FFF2-40B4-BE49-F238E27FC236}">
              <a16:creationId xmlns:a16="http://schemas.microsoft.com/office/drawing/2014/main" id="{00000000-0008-0000-1000-00002F000000}"/>
            </a:ext>
          </a:extLst>
        </xdr:cNvPr>
        <xdr:cNvGrpSpPr/>
      </xdr:nvGrpSpPr>
      <xdr:grpSpPr>
        <a:xfrm>
          <a:off x="249783" y="22004623"/>
          <a:ext cx="3610466" cy="1957844"/>
          <a:chOff x="0" y="22245697"/>
          <a:chExt cx="3826403" cy="1826337"/>
        </a:xfrm>
      </xdr:grpSpPr>
      <xdr:sp macro="" textlink="">
        <xdr:nvSpPr>
          <xdr:cNvPr id="48" name="CaixaDeTexto 47">
            <a:extLst>
              <a:ext uri="{FF2B5EF4-FFF2-40B4-BE49-F238E27FC236}">
                <a16:creationId xmlns:a16="http://schemas.microsoft.com/office/drawing/2014/main" id="{00000000-0008-0000-1000-000030000000}"/>
              </a:ext>
            </a:extLst>
          </xdr:cNvPr>
          <xdr:cNvSpPr txBox="1"/>
        </xdr:nvSpPr>
        <xdr:spPr>
          <a:xfrm>
            <a:off x="0" y="22525619"/>
            <a:ext cx="3826403" cy="1546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a:solidFill>
                  <a:schemeClr val="dk1"/>
                </a:solidFill>
                <a:effectLst/>
                <a:latin typeface="Times New Roman" panose="02020603050405020304" pitchFamily="18" charset="0"/>
                <a:ea typeface="+mn-ea"/>
                <a:cs typeface="Times New Roman" panose="02020603050405020304" pitchFamily="18" charset="0"/>
              </a:rPr>
              <a:t>Nossa</a:t>
            </a:r>
            <a:r>
              <a:rPr lang="pt-BR" sz="1100" baseline="0">
                <a:solidFill>
                  <a:schemeClr val="dk1"/>
                </a:solidFill>
                <a:effectLst/>
                <a:latin typeface="Times New Roman" panose="02020603050405020304" pitchFamily="18" charset="0"/>
                <a:ea typeface="+mn-ea"/>
                <a:cs typeface="Times New Roman" panose="02020603050405020304" pitchFamily="18" charset="0"/>
              </a:rPr>
              <a:t> equipe de instalação possui todas as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certificações</a:t>
            </a:r>
            <a:r>
              <a:rPr lang="pt-BR" sz="1100" baseline="0">
                <a:solidFill>
                  <a:schemeClr val="dk1"/>
                </a:solidFill>
                <a:effectLst/>
                <a:latin typeface="Times New Roman" panose="02020603050405020304" pitchFamily="18" charset="0"/>
                <a:ea typeface="+mn-ea"/>
                <a:cs typeface="Times New Roman" panose="02020603050405020304" pitchFamily="18" charset="0"/>
              </a:rPr>
              <a:t> necessárias para realização do trabalho, seja relacionado a instalações elétricas assim como trabalho em altura.</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baseline="0">
                <a:solidFill>
                  <a:schemeClr val="dk1"/>
                </a:solidFill>
                <a:effectLst/>
                <a:latin typeface="Times New Roman" panose="02020603050405020304" pitchFamily="18" charset="0"/>
                <a:ea typeface="+mn-ea"/>
                <a:cs typeface="Times New Roman" panose="02020603050405020304" pitchFamily="18" charset="0"/>
              </a:rPr>
              <a:t>Todos os nossos sistemas possuem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seguro</a:t>
            </a:r>
            <a:r>
              <a:rPr lang="pt-BR" sz="1100" baseline="0">
                <a:solidFill>
                  <a:schemeClr val="dk1"/>
                </a:solidFill>
                <a:effectLst/>
                <a:latin typeface="Times New Roman" panose="02020603050405020304" pitchFamily="18" charset="0"/>
                <a:ea typeface="+mn-ea"/>
                <a:cs typeface="Times New Roman" panose="02020603050405020304" pitchFamily="18" charset="0"/>
              </a:rPr>
              <a:t> de instalação e responsabilidade civil e ofertamos também o seguro do sistema que pode ser renovado anualmente.</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endParaRPr lang="pt-BR" sz="1100">
              <a:solidFill>
                <a:schemeClr val="dk1"/>
              </a:solidFill>
              <a:effectLst/>
              <a:latin typeface="Times New Roman" panose="02020603050405020304" pitchFamily="18" charset="0"/>
              <a:ea typeface="+mn-ea"/>
              <a:cs typeface="Times New Roman" panose="02020603050405020304" pitchFamily="18" charset="0"/>
            </a:endParaRPr>
          </a:p>
        </xdr:txBody>
      </xdr:sp>
      <xdr:sp macro="" textlink="">
        <xdr:nvSpPr>
          <xdr:cNvPr id="49" name="CaixaDeTexto 48">
            <a:extLst>
              <a:ext uri="{FF2B5EF4-FFF2-40B4-BE49-F238E27FC236}">
                <a16:creationId xmlns:a16="http://schemas.microsoft.com/office/drawing/2014/main" id="{00000000-0008-0000-1000-000031000000}"/>
              </a:ext>
            </a:extLst>
          </xdr:cNvPr>
          <xdr:cNvSpPr txBox="1"/>
        </xdr:nvSpPr>
        <xdr:spPr>
          <a:xfrm>
            <a:off x="1153106" y="22245697"/>
            <a:ext cx="1527810" cy="3641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400" b="1">
                <a:solidFill>
                  <a:schemeClr val="accent6">
                    <a:lumMod val="50000"/>
                  </a:schemeClr>
                </a:solidFill>
                <a:effectLst/>
                <a:latin typeface="Times New Roman" panose="02020603050405020304" pitchFamily="18" charset="0"/>
                <a:ea typeface="+mn-ea"/>
                <a:cs typeface="Times New Roman" panose="02020603050405020304" pitchFamily="18" charset="0"/>
              </a:rPr>
              <a:t>SEGURANÇA</a:t>
            </a:r>
          </a:p>
        </xdr:txBody>
      </xdr:sp>
    </xdr:grpSp>
    <xdr:clientData/>
  </xdr:twoCellAnchor>
  <xdr:twoCellAnchor>
    <xdr:from>
      <xdr:col>0</xdr:col>
      <xdr:colOff>231740</xdr:colOff>
      <xdr:row>126</xdr:row>
      <xdr:rowOff>104583</xdr:rowOff>
    </xdr:from>
    <xdr:to>
      <xdr:col>16</xdr:col>
      <xdr:colOff>134967</xdr:colOff>
      <xdr:row>134</xdr:row>
      <xdr:rowOff>143657</xdr:rowOff>
    </xdr:to>
    <xdr:grpSp>
      <xdr:nvGrpSpPr>
        <xdr:cNvPr id="50" name="Agrupar 49">
          <a:extLst>
            <a:ext uri="{FF2B5EF4-FFF2-40B4-BE49-F238E27FC236}">
              <a16:creationId xmlns:a16="http://schemas.microsoft.com/office/drawing/2014/main" id="{00000000-0008-0000-1000-000032000000}"/>
            </a:ext>
          </a:extLst>
        </xdr:cNvPr>
        <xdr:cNvGrpSpPr/>
      </xdr:nvGrpSpPr>
      <xdr:grpSpPr>
        <a:xfrm>
          <a:off x="231740" y="24545733"/>
          <a:ext cx="3646552" cy="1563074"/>
          <a:chOff x="0" y="24475664"/>
          <a:chExt cx="3862489" cy="1456281"/>
        </a:xfrm>
      </xdr:grpSpPr>
      <xdr:sp macro="" textlink="">
        <xdr:nvSpPr>
          <xdr:cNvPr id="51" name="CaixaDeTexto 50">
            <a:extLst>
              <a:ext uri="{FF2B5EF4-FFF2-40B4-BE49-F238E27FC236}">
                <a16:creationId xmlns:a16="http://schemas.microsoft.com/office/drawing/2014/main" id="{00000000-0008-0000-1000-000033000000}"/>
              </a:ext>
            </a:extLst>
          </xdr:cNvPr>
          <xdr:cNvSpPr txBox="1"/>
        </xdr:nvSpPr>
        <xdr:spPr>
          <a:xfrm>
            <a:off x="0" y="24789430"/>
            <a:ext cx="3862489" cy="114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a:solidFill>
                  <a:schemeClr val="dk1"/>
                </a:solidFill>
                <a:effectLst/>
                <a:latin typeface="Times New Roman" panose="02020603050405020304" pitchFamily="18" charset="0"/>
                <a:ea typeface="+mn-ea"/>
                <a:cs typeface="Times New Roman" panose="02020603050405020304" pitchFamily="18" charset="0"/>
              </a:rPr>
              <a:t>Já</a:t>
            </a:r>
            <a:r>
              <a:rPr lang="pt-BR" sz="1100" baseline="0">
                <a:solidFill>
                  <a:schemeClr val="dk1"/>
                </a:solidFill>
                <a:effectLst/>
                <a:latin typeface="Times New Roman" panose="02020603050405020304" pitchFamily="18" charset="0"/>
                <a:ea typeface="+mn-ea"/>
                <a:cs typeface="Times New Roman" panose="02020603050405020304" pitchFamily="18" charset="0"/>
              </a:rPr>
              <a:t> atendemos diversas cidades do Rio de Janeiro, desde residências pequenas até grandes comércios.</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baseline="0">
                <a:solidFill>
                  <a:schemeClr val="dk1"/>
                </a:solidFill>
                <a:effectLst/>
                <a:latin typeface="Times New Roman" panose="02020603050405020304" pitchFamily="18" charset="0"/>
                <a:ea typeface="+mn-ea"/>
                <a:cs typeface="Times New Roman" panose="02020603050405020304" pitchFamily="18" charset="0"/>
              </a:rPr>
              <a:t>Temos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100% de aprovação </a:t>
            </a:r>
            <a:r>
              <a:rPr lang="pt-BR" sz="1100" baseline="0">
                <a:solidFill>
                  <a:schemeClr val="dk1"/>
                </a:solidFill>
                <a:effectLst/>
                <a:latin typeface="Times New Roman" panose="02020603050405020304" pitchFamily="18" charset="0"/>
                <a:ea typeface="+mn-ea"/>
                <a:cs typeface="Times New Roman" panose="02020603050405020304" pitchFamily="18" charset="0"/>
              </a:rPr>
              <a:t>dos nossos clientes, a sua satisfação é o que nos motiva!</a:t>
            </a:r>
            <a:endParaRPr lang="pt-BR" sz="1100">
              <a:solidFill>
                <a:schemeClr val="dk1"/>
              </a:solidFill>
              <a:effectLst/>
              <a:latin typeface="Times New Roman" panose="02020603050405020304" pitchFamily="18" charset="0"/>
              <a:ea typeface="+mn-ea"/>
              <a:cs typeface="Times New Roman" panose="02020603050405020304" pitchFamily="18" charset="0"/>
            </a:endParaRPr>
          </a:p>
        </xdr:txBody>
      </xdr:sp>
      <xdr:sp macro="" textlink="">
        <xdr:nvSpPr>
          <xdr:cNvPr id="52" name="CaixaDeTexto 51">
            <a:extLst>
              <a:ext uri="{FF2B5EF4-FFF2-40B4-BE49-F238E27FC236}">
                <a16:creationId xmlns:a16="http://schemas.microsoft.com/office/drawing/2014/main" id="{00000000-0008-0000-1000-000034000000}"/>
              </a:ext>
            </a:extLst>
          </xdr:cNvPr>
          <xdr:cNvSpPr txBox="1"/>
        </xdr:nvSpPr>
        <xdr:spPr>
          <a:xfrm>
            <a:off x="1051583" y="24475664"/>
            <a:ext cx="1757418" cy="358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400" b="1">
                <a:solidFill>
                  <a:schemeClr val="accent6">
                    <a:lumMod val="50000"/>
                  </a:schemeClr>
                </a:solidFill>
                <a:effectLst/>
                <a:latin typeface="Times New Roman" panose="02020603050405020304" pitchFamily="18" charset="0"/>
                <a:ea typeface="+mn-ea"/>
                <a:cs typeface="Times New Roman" panose="02020603050405020304" pitchFamily="18" charset="0"/>
              </a:rPr>
              <a:t>CONFIABILIDADE</a:t>
            </a:r>
          </a:p>
        </xdr:txBody>
      </xdr:sp>
    </xdr:grpSp>
    <xdr:clientData/>
  </xdr:twoCellAnchor>
  <xdr:twoCellAnchor>
    <xdr:from>
      <xdr:col>0</xdr:col>
      <xdr:colOff>249891</xdr:colOff>
      <xdr:row>137</xdr:row>
      <xdr:rowOff>155425</xdr:rowOff>
    </xdr:from>
    <xdr:to>
      <xdr:col>16</xdr:col>
      <xdr:colOff>103481</xdr:colOff>
      <xdr:row>151</xdr:row>
      <xdr:rowOff>19210</xdr:rowOff>
    </xdr:to>
    <xdr:grpSp>
      <xdr:nvGrpSpPr>
        <xdr:cNvPr id="55" name="Agrupar 54">
          <a:extLst>
            <a:ext uri="{FF2B5EF4-FFF2-40B4-BE49-F238E27FC236}">
              <a16:creationId xmlns:a16="http://schemas.microsoft.com/office/drawing/2014/main" id="{00000000-0008-0000-1000-000037000000}"/>
            </a:ext>
          </a:extLst>
        </xdr:cNvPr>
        <xdr:cNvGrpSpPr/>
      </xdr:nvGrpSpPr>
      <xdr:grpSpPr>
        <a:xfrm>
          <a:off x="249891" y="26663500"/>
          <a:ext cx="3596915" cy="2397435"/>
          <a:chOff x="0" y="26872041"/>
          <a:chExt cx="3829997" cy="2375312"/>
        </a:xfrm>
      </xdr:grpSpPr>
      <xdr:sp macro="" textlink="">
        <xdr:nvSpPr>
          <xdr:cNvPr id="56" name="CaixaDeTexto 55">
            <a:extLst>
              <a:ext uri="{FF2B5EF4-FFF2-40B4-BE49-F238E27FC236}">
                <a16:creationId xmlns:a16="http://schemas.microsoft.com/office/drawing/2014/main" id="{00000000-0008-0000-1000-000038000000}"/>
              </a:ext>
            </a:extLst>
          </xdr:cNvPr>
          <xdr:cNvSpPr txBox="1"/>
        </xdr:nvSpPr>
        <xdr:spPr>
          <a:xfrm>
            <a:off x="0" y="27167205"/>
            <a:ext cx="3829997" cy="2080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b="1">
                <a:solidFill>
                  <a:schemeClr val="accent6">
                    <a:lumMod val="50000"/>
                  </a:schemeClr>
                </a:solidFill>
                <a:effectLst/>
                <a:latin typeface="Times New Roman" panose="02020603050405020304" pitchFamily="18" charset="0"/>
                <a:ea typeface="+mn-ea"/>
                <a:cs typeface="Times New Roman" panose="02020603050405020304" pitchFamily="18" charset="0"/>
              </a:rPr>
              <a:t>Toda</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 proposta é diferente!</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baseline="0">
                <a:solidFill>
                  <a:schemeClr val="dk1"/>
                </a:solidFill>
                <a:effectLst/>
                <a:latin typeface="Times New Roman" panose="02020603050405020304" pitchFamily="18" charset="0"/>
                <a:ea typeface="+mn-ea"/>
                <a:cs typeface="Times New Roman" panose="02020603050405020304" pitchFamily="18" charset="0"/>
              </a:rPr>
              <a:t>Um sistema de Energia Solar não é um monte de placa no telhado; é a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economia</a:t>
            </a:r>
            <a:r>
              <a:rPr lang="pt-BR" sz="1100" baseline="0">
                <a:solidFill>
                  <a:schemeClr val="dk1"/>
                </a:solidFill>
                <a:effectLst/>
                <a:latin typeface="Times New Roman" panose="02020603050405020304" pitchFamily="18" charset="0"/>
                <a:ea typeface="+mn-ea"/>
                <a:cs typeface="Times New Roman" panose="02020603050405020304" pitchFamily="18" charset="0"/>
              </a:rPr>
              <a:t> que almeja com a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segurança</a:t>
            </a:r>
            <a:r>
              <a:rPr lang="pt-BR" sz="1100" baseline="0">
                <a:solidFill>
                  <a:schemeClr val="dk1"/>
                </a:solidFill>
                <a:effectLst/>
                <a:latin typeface="Times New Roman" panose="02020603050405020304" pitchFamily="18" charset="0"/>
                <a:ea typeface="+mn-ea"/>
                <a:cs typeface="Times New Roman" panose="02020603050405020304" pitchFamily="18" charset="0"/>
              </a:rPr>
              <a:t> e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qualidade</a:t>
            </a:r>
            <a:r>
              <a:rPr lang="pt-BR" sz="1100" baseline="0">
                <a:solidFill>
                  <a:schemeClr val="dk1"/>
                </a:solidFill>
                <a:effectLst/>
                <a:latin typeface="Times New Roman" panose="02020603050405020304" pitchFamily="18" charset="0"/>
                <a:ea typeface="+mn-ea"/>
                <a:cs typeface="Times New Roman" panose="02020603050405020304" pitchFamily="18" charset="0"/>
              </a:rPr>
              <a:t> que precisa.</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baseline="0">
                <a:solidFill>
                  <a:schemeClr val="dk1"/>
                </a:solidFill>
                <a:effectLst/>
                <a:latin typeface="Times New Roman" panose="02020603050405020304" pitchFamily="18" charset="0"/>
                <a:ea typeface="+mn-ea"/>
                <a:cs typeface="Times New Roman" panose="02020603050405020304" pitchFamily="18" charset="0"/>
              </a:rPr>
              <a:t>Hoje temos um leque de produtos para todos os bolsos, mas sem abrir mão desses 3 pilares.</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baseline="0">
                <a:solidFill>
                  <a:schemeClr val="dk1"/>
                </a:solidFill>
                <a:effectLst/>
                <a:latin typeface="Times New Roman" panose="02020603050405020304" pitchFamily="18" charset="0"/>
                <a:ea typeface="+mn-ea"/>
                <a:cs typeface="Times New Roman" panose="02020603050405020304" pitchFamily="18" charset="0"/>
              </a:rPr>
              <a:t>Por isso, somos afirmativos: </a:t>
            </a:r>
            <a:r>
              <a:rPr lang="pt-BR" sz="1100" b="1" i="1" baseline="0">
                <a:solidFill>
                  <a:schemeClr val="accent6">
                    <a:lumMod val="50000"/>
                  </a:schemeClr>
                </a:solidFill>
                <a:effectLst/>
                <a:latin typeface="Times New Roman" panose="02020603050405020304" pitchFamily="18" charset="0"/>
                <a:ea typeface="+mn-ea"/>
                <a:cs typeface="Times New Roman" panose="02020603050405020304" pitchFamily="18" charset="0"/>
              </a:rPr>
              <a:t>Cobrimos qualquer proposta com os mesmos entregáveis nossos!</a:t>
            </a:r>
            <a:endParaRPr lang="pt-BR" sz="1100" b="1" i="1">
              <a:solidFill>
                <a:schemeClr val="accent6">
                  <a:lumMod val="50000"/>
                </a:schemeClr>
              </a:solidFill>
              <a:effectLst/>
              <a:latin typeface="Times New Roman" panose="02020603050405020304" pitchFamily="18" charset="0"/>
              <a:ea typeface="+mn-ea"/>
              <a:cs typeface="Times New Roman" panose="02020603050405020304" pitchFamily="18" charset="0"/>
            </a:endParaRPr>
          </a:p>
        </xdr:txBody>
      </xdr:sp>
      <xdr:sp macro="" textlink="">
        <xdr:nvSpPr>
          <xdr:cNvPr id="58" name="CaixaDeTexto 57">
            <a:extLst>
              <a:ext uri="{FF2B5EF4-FFF2-40B4-BE49-F238E27FC236}">
                <a16:creationId xmlns:a16="http://schemas.microsoft.com/office/drawing/2014/main" id="{00000000-0008-0000-1000-00003A000000}"/>
              </a:ext>
            </a:extLst>
          </xdr:cNvPr>
          <xdr:cNvSpPr txBox="1"/>
        </xdr:nvSpPr>
        <xdr:spPr>
          <a:xfrm>
            <a:off x="872517" y="26872041"/>
            <a:ext cx="1993466" cy="358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400" b="1">
                <a:solidFill>
                  <a:schemeClr val="accent6">
                    <a:lumMod val="50000"/>
                  </a:schemeClr>
                </a:solidFill>
                <a:effectLst/>
                <a:latin typeface="Times New Roman" panose="02020603050405020304" pitchFamily="18" charset="0"/>
                <a:ea typeface="+mn-ea"/>
                <a:cs typeface="Times New Roman" panose="02020603050405020304" pitchFamily="18" charset="0"/>
              </a:rPr>
              <a:t>PONHA NA BALANÇA</a:t>
            </a:r>
          </a:p>
        </xdr:txBody>
      </xdr:sp>
    </xdr:grpSp>
    <xdr:clientData/>
  </xdr:twoCellAnchor>
  <xdr:twoCellAnchor>
    <xdr:from>
      <xdr:col>11</xdr:col>
      <xdr:colOff>60025</xdr:colOff>
      <xdr:row>179</xdr:row>
      <xdr:rowOff>132129</xdr:rowOff>
    </xdr:from>
    <xdr:to>
      <xdr:col>28</xdr:col>
      <xdr:colOff>293077</xdr:colOff>
      <xdr:row>193</xdr:row>
      <xdr:rowOff>146539</xdr:rowOff>
    </xdr:to>
    <xdr:grpSp>
      <xdr:nvGrpSpPr>
        <xdr:cNvPr id="59" name="Agrupar 58">
          <a:extLst>
            <a:ext uri="{FF2B5EF4-FFF2-40B4-BE49-F238E27FC236}">
              <a16:creationId xmlns:a16="http://schemas.microsoft.com/office/drawing/2014/main" id="{00000000-0008-0000-1000-00003B000000}"/>
            </a:ext>
          </a:extLst>
        </xdr:cNvPr>
        <xdr:cNvGrpSpPr/>
      </xdr:nvGrpSpPr>
      <xdr:grpSpPr>
        <a:xfrm>
          <a:off x="2660350" y="34317354"/>
          <a:ext cx="4109727" cy="2548060"/>
          <a:chOff x="8039484" y="22580150"/>
          <a:chExt cx="4050313" cy="2371389"/>
        </a:xfrm>
      </xdr:grpSpPr>
      <xdr:sp macro="" textlink="">
        <xdr:nvSpPr>
          <xdr:cNvPr id="60" name="CaixaDeTexto 59">
            <a:extLst>
              <a:ext uri="{FF2B5EF4-FFF2-40B4-BE49-F238E27FC236}">
                <a16:creationId xmlns:a16="http://schemas.microsoft.com/office/drawing/2014/main" id="{00000000-0008-0000-1000-00003C000000}"/>
              </a:ext>
            </a:extLst>
          </xdr:cNvPr>
          <xdr:cNvSpPr txBox="1"/>
        </xdr:nvSpPr>
        <xdr:spPr>
          <a:xfrm>
            <a:off x="8039484" y="22893956"/>
            <a:ext cx="4050313" cy="2057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a:solidFill>
                  <a:schemeClr val="dk1"/>
                </a:solidFill>
                <a:effectLst/>
                <a:latin typeface="Times New Roman" panose="02020603050405020304" pitchFamily="18" charset="0"/>
                <a:ea typeface="+mn-ea"/>
                <a:cs typeface="Times New Roman" panose="02020603050405020304" pitchFamily="18" charset="0"/>
              </a:rPr>
              <a:t>Temos um time de pós-venda que te dará todo o suporte </a:t>
            </a:r>
            <a:r>
              <a:rPr lang="pt-BR" sz="1100" b="1">
                <a:solidFill>
                  <a:schemeClr val="accent6">
                    <a:lumMod val="50000"/>
                  </a:schemeClr>
                </a:solidFill>
                <a:effectLst/>
                <a:latin typeface="Times New Roman" panose="02020603050405020304" pitchFamily="18" charset="0"/>
                <a:ea typeface="+mn-ea"/>
                <a:cs typeface="Times New Roman" panose="02020603050405020304" pitchFamily="18" charset="0"/>
              </a:rPr>
              <a:t>mesmo depois da conclusão da instalação</a:t>
            </a:r>
            <a:r>
              <a:rPr lang="pt-BR" sz="1100">
                <a:solidFill>
                  <a:schemeClr val="dk1"/>
                </a:solidFill>
                <a:effectLst/>
                <a:latin typeface="Times New Roman" panose="02020603050405020304" pitchFamily="18" charset="0"/>
                <a:ea typeface="+mn-ea"/>
                <a:cs typeface="Times New Roman" panose="02020603050405020304" pitchFamily="18" charset="0"/>
              </a:rPr>
              <a:t>, para garantir a melhor experiência para você</a:t>
            </a:r>
            <a:r>
              <a:rPr lang="pt-BR" sz="1100" baseline="0">
                <a:solidFill>
                  <a:schemeClr val="dk1"/>
                </a:solidFill>
                <a:effectLst/>
                <a:latin typeface="Times New Roman" panose="02020603050405020304" pitchFamily="18" charset="0"/>
                <a:ea typeface="+mn-ea"/>
                <a:cs typeface="Times New Roman" panose="02020603050405020304" pitchFamily="18" charset="0"/>
              </a:rPr>
              <a:t>, além de materiais em PDF e vídeos explicativos.</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Acompanhamento semanal e remoto do sistema</a:t>
            </a:r>
            <a:r>
              <a:rPr lang="pt-BR" sz="1100" b="1" baseline="0">
                <a:solidFill>
                  <a:schemeClr val="bg1">
                    <a:lumMod val="50000"/>
                  </a:schemeClr>
                </a:solidFill>
                <a:effectLst/>
                <a:latin typeface="Times New Roman" panose="02020603050405020304" pitchFamily="18" charset="0"/>
                <a:ea typeface="+mn-ea"/>
                <a:cs typeface="Times New Roman" panose="02020603050405020304" pitchFamily="18" charset="0"/>
              </a:rPr>
              <a:t>*</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 </a:t>
            </a:r>
            <a:r>
              <a:rPr lang="pt-BR" sz="1100" baseline="0">
                <a:solidFill>
                  <a:schemeClr val="dk1"/>
                </a:solidFill>
                <a:effectLst/>
                <a:latin typeface="Times New Roman" panose="02020603050405020304" pitchFamily="18" charset="0"/>
                <a:ea typeface="+mn-ea"/>
                <a:cs typeface="Times New Roman" panose="02020603050405020304" pitchFamily="18" charset="0"/>
              </a:rPr>
              <a:t>para uma rápida identificação de problema, minimizando o tempo sem geração.</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baseline="0">
                <a:solidFill>
                  <a:schemeClr val="dk1"/>
                </a:solidFill>
                <a:effectLst/>
                <a:latin typeface="Times New Roman" panose="02020603050405020304" pitchFamily="18" charset="0"/>
                <a:ea typeface="+mn-ea"/>
                <a:cs typeface="Times New Roman" panose="02020603050405020304" pitchFamily="18" charset="0"/>
              </a:rPr>
              <a:t>Acesso a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plataforma parceira SolarZ</a:t>
            </a:r>
            <a:r>
              <a:rPr lang="pt-BR" sz="1100" b="1" baseline="0">
                <a:solidFill>
                  <a:schemeClr val="bg1">
                    <a:lumMod val="50000"/>
                  </a:schemeClr>
                </a:solidFill>
                <a:effectLst/>
                <a:latin typeface="Times New Roman" panose="02020603050405020304" pitchFamily="18" charset="0"/>
                <a:ea typeface="+mn-ea"/>
                <a:cs typeface="Times New Roman" panose="02020603050405020304" pitchFamily="18" charset="0"/>
              </a:rPr>
              <a:t>*</a:t>
            </a:r>
            <a:r>
              <a:rPr lang="pt-BR" sz="1100" baseline="0">
                <a:solidFill>
                  <a:schemeClr val="dk1"/>
                </a:solidFill>
                <a:effectLst/>
                <a:latin typeface="Times New Roman" panose="02020603050405020304" pitchFamily="18" charset="0"/>
                <a:ea typeface="+mn-ea"/>
                <a:cs typeface="Times New Roman" panose="02020603050405020304" pitchFamily="18" charset="0"/>
              </a:rPr>
              <a:t>, que simplifica e consolida as informações da fatura e da geração de energia.</a:t>
            </a:r>
            <a:endParaRPr lang="pt-BR" sz="1100">
              <a:solidFill>
                <a:schemeClr val="dk1"/>
              </a:solidFill>
              <a:effectLst/>
              <a:latin typeface="Times New Roman" panose="02020603050405020304" pitchFamily="18" charset="0"/>
              <a:ea typeface="+mn-ea"/>
              <a:cs typeface="Times New Roman" panose="02020603050405020304" pitchFamily="18" charset="0"/>
            </a:endParaRPr>
          </a:p>
        </xdr:txBody>
      </xdr:sp>
      <xdr:sp macro="" textlink="">
        <xdr:nvSpPr>
          <xdr:cNvPr id="61" name="CaixaDeTexto 60">
            <a:extLst>
              <a:ext uri="{FF2B5EF4-FFF2-40B4-BE49-F238E27FC236}">
                <a16:creationId xmlns:a16="http://schemas.microsoft.com/office/drawing/2014/main" id="{00000000-0008-0000-1000-00003D000000}"/>
              </a:ext>
            </a:extLst>
          </xdr:cNvPr>
          <xdr:cNvSpPr txBox="1"/>
        </xdr:nvSpPr>
        <xdr:spPr>
          <a:xfrm>
            <a:off x="9293115" y="22580150"/>
            <a:ext cx="1543050" cy="362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400" b="1">
                <a:solidFill>
                  <a:schemeClr val="accent6">
                    <a:lumMod val="50000"/>
                  </a:schemeClr>
                </a:solidFill>
                <a:effectLst/>
                <a:latin typeface="Times New Roman" panose="02020603050405020304" pitchFamily="18" charset="0"/>
                <a:ea typeface="+mn-ea"/>
                <a:cs typeface="Times New Roman" panose="02020603050405020304" pitchFamily="18" charset="0"/>
              </a:rPr>
              <a:t>PÓS-VENDA</a:t>
            </a:r>
          </a:p>
        </xdr:txBody>
      </xdr:sp>
    </xdr:grpSp>
    <xdr:clientData/>
  </xdr:twoCellAnchor>
  <xdr:twoCellAnchor>
    <xdr:from>
      <xdr:col>11</xdr:col>
      <xdr:colOff>55445</xdr:colOff>
      <xdr:row>154</xdr:row>
      <xdr:rowOff>55132</xdr:rowOff>
    </xdr:from>
    <xdr:to>
      <xdr:col>28</xdr:col>
      <xdr:colOff>300403</xdr:colOff>
      <xdr:row>167</xdr:row>
      <xdr:rowOff>51289</xdr:rowOff>
    </xdr:to>
    <xdr:grpSp>
      <xdr:nvGrpSpPr>
        <xdr:cNvPr id="62" name="Agrupar 61">
          <a:extLst>
            <a:ext uri="{FF2B5EF4-FFF2-40B4-BE49-F238E27FC236}">
              <a16:creationId xmlns:a16="http://schemas.microsoft.com/office/drawing/2014/main" id="{00000000-0008-0000-1000-00003E000000}"/>
            </a:ext>
          </a:extLst>
        </xdr:cNvPr>
        <xdr:cNvGrpSpPr/>
      </xdr:nvGrpSpPr>
      <xdr:grpSpPr>
        <a:xfrm>
          <a:off x="2655770" y="29715982"/>
          <a:ext cx="4121633" cy="2348832"/>
          <a:chOff x="12519484" y="22559315"/>
          <a:chExt cx="4056474" cy="2011403"/>
        </a:xfrm>
      </xdr:grpSpPr>
      <xdr:sp macro="" textlink="">
        <xdr:nvSpPr>
          <xdr:cNvPr id="63" name="CaixaDeTexto 62">
            <a:extLst>
              <a:ext uri="{FF2B5EF4-FFF2-40B4-BE49-F238E27FC236}">
                <a16:creationId xmlns:a16="http://schemas.microsoft.com/office/drawing/2014/main" id="{00000000-0008-0000-1000-00003F000000}"/>
              </a:ext>
            </a:extLst>
          </xdr:cNvPr>
          <xdr:cNvSpPr txBox="1"/>
        </xdr:nvSpPr>
        <xdr:spPr>
          <a:xfrm>
            <a:off x="12519484" y="22893956"/>
            <a:ext cx="4056474" cy="1676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a:solidFill>
                  <a:schemeClr val="dk1"/>
                </a:solidFill>
                <a:effectLst/>
                <a:latin typeface="Times New Roman" panose="02020603050405020304" pitchFamily="18" charset="0"/>
                <a:ea typeface="+mn-ea"/>
                <a:cs typeface="Times New Roman" panose="02020603050405020304" pitchFamily="18" charset="0"/>
              </a:rPr>
              <a:t>Realizamos uma</a:t>
            </a:r>
            <a:r>
              <a:rPr lang="pt-BR" sz="1100" baseline="0">
                <a:solidFill>
                  <a:schemeClr val="dk1"/>
                </a:solidFill>
                <a:effectLst/>
                <a:latin typeface="Times New Roman" panose="02020603050405020304" pitchFamily="18" charset="0"/>
                <a:ea typeface="+mn-ea"/>
                <a:cs typeface="Times New Roman" panose="02020603050405020304" pitchFamily="18" charset="0"/>
              </a:rPr>
              <a:t> análise com drone, gerando uma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maquete em 3D</a:t>
            </a:r>
            <a:r>
              <a:rPr lang="pt-BR" sz="1100" b="1" baseline="0">
                <a:solidFill>
                  <a:schemeClr val="bg1">
                    <a:lumMod val="50000"/>
                  </a:schemeClr>
                </a:solidFill>
                <a:effectLst/>
                <a:latin typeface="Times New Roman" panose="02020603050405020304" pitchFamily="18" charset="0"/>
                <a:ea typeface="+mn-ea"/>
                <a:cs typeface="Times New Roman" panose="02020603050405020304" pitchFamily="18" charset="0"/>
              </a:rPr>
              <a:t>*</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 </a:t>
            </a:r>
            <a:r>
              <a:rPr lang="pt-BR" sz="1100" baseline="0">
                <a:solidFill>
                  <a:schemeClr val="dk1"/>
                </a:solidFill>
                <a:effectLst/>
                <a:latin typeface="Times New Roman" panose="02020603050405020304" pitchFamily="18" charset="0"/>
                <a:ea typeface="+mn-ea"/>
                <a:cs typeface="Times New Roman" panose="02020603050405020304" pitchFamily="18" charset="0"/>
              </a:rPr>
              <a:t>do estabelecimento. Na sequência utilizamos esse modelo no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melhor</a:t>
            </a:r>
            <a:r>
              <a:rPr lang="pt-BR" sz="1100" baseline="0">
                <a:solidFill>
                  <a:schemeClr val="dk1"/>
                </a:solidFill>
                <a:effectLst/>
                <a:latin typeface="Times New Roman" panose="02020603050405020304" pitchFamily="18" charset="0"/>
                <a:ea typeface="+mn-ea"/>
                <a:cs typeface="Times New Roman" panose="02020603050405020304" pitchFamily="18" charset="0"/>
              </a:rPr>
              <a:t> software do mercado - PV*Sol</a:t>
            </a:r>
            <a:r>
              <a:rPr lang="pt-BR" sz="1100" baseline="0">
                <a:solidFill>
                  <a:schemeClr val="bg1">
                    <a:lumMod val="50000"/>
                  </a:schemeClr>
                </a:solidFill>
                <a:effectLst/>
                <a:latin typeface="Times New Roman" panose="02020603050405020304" pitchFamily="18" charset="0"/>
                <a:ea typeface="+mn-ea"/>
                <a:cs typeface="Times New Roman" panose="02020603050405020304" pitchFamily="18" charset="0"/>
              </a:rPr>
              <a:t>*</a:t>
            </a:r>
            <a:r>
              <a:rPr lang="pt-BR" sz="1100" baseline="0">
                <a:solidFill>
                  <a:schemeClr val="dk1"/>
                </a:solidFill>
                <a:effectLst/>
                <a:latin typeface="Times New Roman" panose="02020603050405020304" pitchFamily="18" charset="0"/>
                <a:ea typeface="+mn-ea"/>
                <a:cs typeface="Times New Roman" panose="02020603050405020304" pitchFamily="18" charset="0"/>
              </a:rPr>
              <a:t> - para calcular de maneira assertiva sua geração, de hora em hora, para todos os dias do ano.</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Resultado:</a:t>
            </a:r>
            <a:r>
              <a:rPr lang="pt-BR" sz="1100" baseline="0">
                <a:solidFill>
                  <a:schemeClr val="dk1"/>
                </a:solidFill>
                <a:effectLst/>
                <a:latin typeface="Times New Roman" panose="02020603050405020304" pitchFamily="18" charset="0"/>
                <a:ea typeface="+mn-ea"/>
                <a:cs typeface="Times New Roman" panose="02020603050405020304" pitchFamily="18" charset="0"/>
              </a:rPr>
              <a:t> Precisão das medidas, visibilidade do sistema antes mesmo da isntalação e assertividade &gt;90% na estimativa de geração.</a:t>
            </a:r>
            <a:endParaRPr lang="pt-BR" sz="1100">
              <a:solidFill>
                <a:schemeClr val="dk1"/>
              </a:solidFill>
              <a:effectLst/>
              <a:latin typeface="Times New Roman" panose="02020603050405020304" pitchFamily="18" charset="0"/>
              <a:ea typeface="+mn-ea"/>
              <a:cs typeface="Times New Roman" panose="02020603050405020304" pitchFamily="18" charset="0"/>
            </a:endParaRPr>
          </a:p>
        </xdr:txBody>
      </xdr:sp>
      <xdr:sp macro="" textlink="">
        <xdr:nvSpPr>
          <xdr:cNvPr id="64" name="CaixaDeTexto 63">
            <a:extLst>
              <a:ext uri="{FF2B5EF4-FFF2-40B4-BE49-F238E27FC236}">
                <a16:creationId xmlns:a16="http://schemas.microsoft.com/office/drawing/2014/main" id="{00000000-0008-0000-1000-000040000000}"/>
              </a:ext>
            </a:extLst>
          </xdr:cNvPr>
          <xdr:cNvSpPr txBox="1"/>
        </xdr:nvSpPr>
        <xdr:spPr>
          <a:xfrm>
            <a:off x="13775243" y="22559315"/>
            <a:ext cx="1544955" cy="341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400" b="1">
                <a:solidFill>
                  <a:schemeClr val="accent6">
                    <a:lumMod val="50000"/>
                  </a:schemeClr>
                </a:solidFill>
                <a:effectLst/>
                <a:latin typeface="Times New Roman" panose="02020603050405020304" pitchFamily="18" charset="0"/>
                <a:ea typeface="+mn-ea"/>
                <a:cs typeface="Times New Roman" panose="02020603050405020304" pitchFamily="18" charset="0"/>
              </a:rPr>
              <a:t>PROJETO</a:t>
            </a:r>
          </a:p>
        </xdr:txBody>
      </xdr:sp>
    </xdr:grpSp>
    <xdr:clientData/>
  </xdr:twoCellAnchor>
  <xdr:twoCellAnchor>
    <xdr:from>
      <xdr:col>11</xdr:col>
      <xdr:colOff>54084</xdr:colOff>
      <xdr:row>166</xdr:row>
      <xdr:rowOff>29030</xdr:rowOff>
    </xdr:from>
    <xdr:to>
      <xdr:col>28</xdr:col>
      <xdr:colOff>271096</xdr:colOff>
      <xdr:row>178</xdr:row>
      <xdr:rowOff>65943</xdr:rowOff>
    </xdr:to>
    <xdr:grpSp>
      <xdr:nvGrpSpPr>
        <xdr:cNvPr id="65" name="Agrupar 64">
          <a:extLst>
            <a:ext uri="{FF2B5EF4-FFF2-40B4-BE49-F238E27FC236}">
              <a16:creationId xmlns:a16="http://schemas.microsoft.com/office/drawing/2014/main" id="{00000000-0008-0000-1000-000041000000}"/>
            </a:ext>
          </a:extLst>
        </xdr:cNvPr>
        <xdr:cNvGrpSpPr/>
      </xdr:nvGrpSpPr>
      <xdr:grpSpPr>
        <a:xfrm>
          <a:off x="2654409" y="31861580"/>
          <a:ext cx="4093687" cy="2208613"/>
          <a:chOff x="8103132" y="25409406"/>
          <a:chExt cx="4040342" cy="2094997"/>
        </a:xfrm>
      </xdr:grpSpPr>
      <xdr:sp macro="" textlink="">
        <xdr:nvSpPr>
          <xdr:cNvPr id="66" name="CaixaDeTexto 65">
            <a:extLst>
              <a:ext uri="{FF2B5EF4-FFF2-40B4-BE49-F238E27FC236}">
                <a16:creationId xmlns:a16="http://schemas.microsoft.com/office/drawing/2014/main" id="{00000000-0008-0000-1000-000042000000}"/>
              </a:ext>
            </a:extLst>
          </xdr:cNvPr>
          <xdr:cNvSpPr txBox="1"/>
        </xdr:nvSpPr>
        <xdr:spPr>
          <a:xfrm>
            <a:off x="8103132" y="25732855"/>
            <a:ext cx="4040342" cy="1771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a:solidFill>
                  <a:schemeClr val="dk1"/>
                </a:solidFill>
                <a:effectLst/>
                <a:latin typeface="Times New Roman" panose="02020603050405020304" pitchFamily="18" charset="0"/>
                <a:ea typeface="+mn-ea"/>
                <a:cs typeface="Times New Roman" panose="02020603050405020304" pitchFamily="18" charset="0"/>
              </a:rPr>
              <a:t>Nosso</a:t>
            </a:r>
            <a:r>
              <a:rPr lang="pt-BR" sz="1100" baseline="0">
                <a:solidFill>
                  <a:schemeClr val="dk1"/>
                </a:solidFill>
                <a:effectLst/>
                <a:latin typeface="Times New Roman" panose="02020603050405020304" pitchFamily="18" charset="0"/>
                <a:ea typeface="+mn-ea"/>
                <a:cs typeface="Times New Roman" panose="02020603050405020304" pitchFamily="18" charset="0"/>
              </a:rPr>
              <a:t> time de engenharia estará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presente em todas as etapas</a:t>
            </a:r>
            <a:r>
              <a:rPr lang="pt-BR" sz="1100" baseline="0">
                <a:solidFill>
                  <a:schemeClr val="dk1"/>
                </a:solidFill>
                <a:effectLst/>
                <a:latin typeface="Times New Roman" panose="02020603050405020304" pitchFamily="18" charset="0"/>
                <a:ea typeface="+mn-ea"/>
                <a:cs typeface="Times New Roman" panose="02020603050405020304" pitchFamily="18" charset="0"/>
              </a:rPr>
              <a:t>: Visita Técnica, Projeto, Layout, Instalação, Acompanhamentos pós-instalação.</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baseline="0">
                <a:solidFill>
                  <a:schemeClr val="dk1"/>
                </a:solidFill>
                <a:effectLst/>
                <a:latin typeface="Times New Roman" panose="02020603050405020304" pitchFamily="18" charset="0"/>
                <a:ea typeface="+mn-ea"/>
                <a:cs typeface="Times New Roman" panose="02020603050405020304" pitchFamily="18" charset="0"/>
              </a:rPr>
              <a:t>Será preparado um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projeto detalhado</a:t>
            </a:r>
            <a:r>
              <a:rPr lang="pt-BR" sz="1100" baseline="0">
                <a:solidFill>
                  <a:schemeClr val="dk1"/>
                </a:solidFill>
                <a:effectLst/>
                <a:latin typeface="Times New Roman" panose="02020603050405020304" pitchFamily="18" charset="0"/>
                <a:ea typeface="+mn-ea"/>
                <a:cs typeface="Times New Roman" panose="02020603050405020304" pitchFamily="18" charset="0"/>
              </a:rPr>
              <a:t>, evitando erros na instalação, além da realização de todos os testes após a instalação, para garantir que seu sistema está funcionando da melhor forma.</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baseline="0">
                <a:solidFill>
                  <a:schemeClr val="dk1"/>
                </a:solidFill>
                <a:effectLst/>
                <a:latin typeface="Times New Roman" panose="02020603050405020304" pitchFamily="18" charset="0"/>
                <a:ea typeface="+mn-ea"/>
                <a:cs typeface="Times New Roman" panose="02020603050405020304" pitchFamily="18" charset="0"/>
              </a:rPr>
              <a:t>E o melhor: Nosso time de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engenharia é próprio</a:t>
            </a:r>
            <a:r>
              <a:rPr lang="pt-BR" sz="1100" baseline="0">
                <a:solidFill>
                  <a:schemeClr val="dk1"/>
                </a:solidFill>
                <a:effectLst/>
                <a:latin typeface="Times New Roman" panose="02020603050405020304" pitchFamily="18" charset="0"/>
                <a:ea typeface="+mn-ea"/>
                <a:cs typeface="Times New Roman" panose="02020603050405020304" pitchFamily="18" charset="0"/>
              </a:rPr>
              <a:t>!</a:t>
            </a:r>
            <a:endParaRPr lang="pt-BR" sz="1100">
              <a:solidFill>
                <a:schemeClr val="dk1"/>
              </a:solidFill>
              <a:effectLst/>
              <a:latin typeface="Times New Roman" panose="02020603050405020304" pitchFamily="18" charset="0"/>
              <a:ea typeface="+mn-ea"/>
              <a:cs typeface="Times New Roman" panose="02020603050405020304" pitchFamily="18" charset="0"/>
            </a:endParaRPr>
          </a:p>
        </xdr:txBody>
      </xdr:sp>
      <xdr:sp macro="" textlink="">
        <xdr:nvSpPr>
          <xdr:cNvPr id="67" name="CaixaDeTexto 66">
            <a:extLst>
              <a:ext uri="{FF2B5EF4-FFF2-40B4-BE49-F238E27FC236}">
                <a16:creationId xmlns:a16="http://schemas.microsoft.com/office/drawing/2014/main" id="{00000000-0008-0000-1000-000043000000}"/>
              </a:ext>
            </a:extLst>
          </xdr:cNvPr>
          <xdr:cNvSpPr txBox="1"/>
        </xdr:nvSpPr>
        <xdr:spPr>
          <a:xfrm>
            <a:off x="9345110" y="25409406"/>
            <a:ext cx="1556385" cy="341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400" b="1">
                <a:solidFill>
                  <a:schemeClr val="accent6">
                    <a:lumMod val="50000"/>
                  </a:schemeClr>
                </a:solidFill>
                <a:effectLst/>
                <a:latin typeface="Times New Roman" panose="02020603050405020304" pitchFamily="18" charset="0"/>
                <a:ea typeface="+mn-ea"/>
                <a:cs typeface="Times New Roman" panose="02020603050405020304" pitchFamily="18" charset="0"/>
              </a:rPr>
              <a:t>ENGENHARIA</a:t>
            </a:r>
          </a:p>
        </xdr:txBody>
      </xdr:sp>
    </xdr:grpSp>
    <xdr:clientData/>
  </xdr:twoCellAnchor>
  <xdr:twoCellAnchor>
    <xdr:from>
      <xdr:col>11</xdr:col>
      <xdr:colOff>83055</xdr:colOff>
      <xdr:row>194</xdr:row>
      <xdr:rowOff>140212</xdr:rowOff>
    </xdr:from>
    <xdr:to>
      <xdr:col>28</xdr:col>
      <xdr:colOff>205154</xdr:colOff>
      <xdr:row>207</xdr:row>
      <xdr:rowOff>186378</xdr:rowOff>
    </xdr:to>
    <xdr:grpSp>
      <xdr:nvGrpSpPr>
        <xdr:cNvPr id="68" name="Agrupar 67">
          <a:extLst>
            <a:ext uri="{FF2B5EF4-FFF2-40B4-BE49-F238E27FC236}">
              <a16:creationId xmlns:a16="http://schemas.microsoft.com/office/drawing/2014/main" id="{00000000-0008-0000-1000-000044000000}"/>
            </a:ext>
          </a:extLst>
        </xdr:cNvPr>
        <xdr:cNvGrpSpPr/>
      </xdr:nvGrpSpPr>
      <xdr:grpSpPr>
        <a:xfrm>
          <a:off x="2683380" y="37040062"/>
          <a:ext cx="3998774" cy="2475041"/>
          <a:chOff x="12628251" y="24639795"/>
          <a:chExt cx="4101455" cy="1787415"/>
        </a:xfrm>
      </xdr:grpSpPr>
      <xdr:sp macro="" textlink="">
        <xdr:nvSpPr>
          <xdr:cNvPr id="69" name="CaixaDeTexto 68">
            <a:extLst>
              <a:ext uri="{FF2B5EF4-FFF2-40B4-BE49-F238E27FC236}">
                <a16:creationId xmlns:a16="http://schemas.microsoft.com/office/drawing/2014/main" id="{00000000-0008-0000-1000-000045000000}"/>
              </a:ext>
            </a:extLst>
          </xdr:cNvPr>
          <xdr:cNvSpPr txBox="1"/>
        </xdr:nvSpPr>
        <xdr:spPr>
          <a:xfrm>
            <a:off x="12628251" y="24934496"/>
            <a:ext cx="4101455" cy="1492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a:solidFill>
                  <a:schemeClr val="dk1"/>
                </a:solidFill>
                <a:effectLst/>
                <a:latin typeface="Times New Roman" panose="02020603050405020304" pitchFamily="18" charset="0"/>
                <a:ea typeface="+mn-ea"/>
                <a:cs typeface="Times New Roman" panose="02020603050405020304" pitchFamily="18" charset="0"/>
              </a:rPr>
              <a:t>Com a CACTOS</a:t>
            </a:r>
            <a:r>
              <a:rPr lang="pt-BR" sz="1100" baseline="0">
                <a:solidFill>
                  <a:schemeClr val="dk1"/>
                </a:solidFill>
                <a:effectLst/>
                <a:latin typeface="Times New Roman" panose="02020603050405020304" pitchFamily="18" charset="0"/>
                <a:ea typeface="+mn-ea"/>
                <a:cs typeface="Times New Roman" panose="02020603050405020304" pitchFamily="18" charset="0"/>
              </a:rPr>
              <a:t> a qualidade da sua entrega é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garantida</a:t>
            </a:r>
            <a:r>
              <a:rPr lang="pt-BR" sz="1100" baseline="0">
                <a:solidFill>
                  <a:schemeClr val="dk1"/>
                </a:solidFill>
                <a:effectLst/>
                <a:latin typeface="Times New Roman" panose="02020603050405020304" pitchFamily="18" charset="0"/>
                <a:ea typeface="+mn-ea"/>
                <a:cs typeface="Times New Roman" panose="02020603050405020304" pitchFamily="18" charset="0"/>
              </a:rPr>
              <a:t>. O nosso objetivo é solucionar suas dores e não gerar mais problema.</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100" baseline="0">
                <a:solidFill>
                  <a:schemeClr val="dk1"/>
                </a:solidFill>
                <a:effectLst/>
                <a:latin typeface="Times New Roman" panose="02020603050405020304" pitchFamily="18" charset="0"/>
                <a:ea typeface="+mn-ea"/>
                <a:cs typeface="Times New Roman" panose="02020603050405020304" pitchFamily="18" charset="0"/>
              </a:rPr>
              <a:t>Somos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peritos</a:t>
            </a:r>
            <a:r>
              <a:rPr lang="pt-BR" sz="1100" baseline="0">
                <a:solidFill>
                  <a:schemeClr val="dk1"/>
                </a:solidFill>
                <a:effectLst/>
                <a:latin typeface="Times New Roman" panose="02020603050405020304" pitchFamily="18" charset="0"/>
                <a:ea typeface="+mn-ea"/>
                <a:cs typeface="Times New Roman" panose="02020603050405020304" pitchFamily="18" charset="0"/>
              </a:rPr>
              <a:t> nas áreas da Elétrica e Energia Solar e nesses mais de 7 anos, já realizamos diversos </a:t>
            </a:r>
            <a:r>
              <a:rPr lang="pt-BR" sz="1100" b="1" baseline="0">
                <a:solidFill>
                  <a:schemeClr val="accent6">
                    <a:lumMod val="50000"/>
                  </a:schemeClr>
                </a:solidFill>
                <a:effectLst/>
                <a:latin typeface="Times New Roman" panose="02020603050405020304" pitchFamily="18" charset="0"/>
                <a:ea typeface="+mn-ea"/>
                <a:cs typeface="Times New Roman" panose="02020603050405020304" pitchFamily="18" charset="0"/>
              </a:rPr>
              <a:t>laudos e manuteções corretivas</a:t>
            </a:r>
            <a:r>
              <a:rPr lang="pt-BR" sz="1100" baseline="0">
                <a:solidFill>
                  <a:schemeClr val="dk1"/>
                </a:solidFill>
                <a:effectLst/>
                <a:latin typeface="Times New Roman" panose="02020603050405020304" pitchFamily="18" charset="0"/>
                <a:ea typeface="+mn-ea"/>
                <a:cs typeface="Times New Roman" panose="02020603050405020304" pitchFamily="18" charset="0"/>
              </a:rPr>
              <a:t> de sistemas existentes; alguns que inclusive acarretaram em perda da garantia, resultante de erros no processo de instalação.</a:t>
            </a:r>
            <a:endParaRPr lang="pt-BR" sz="1100">
              <a:solidFill>
                <a:schemeClr val="dk1"/>
              </a:solidFill>
              <a:effectLst/>
              <a:latin typeface="Times New Roman" panose="02020603050405020304" pitchFamily="18" charset="0"/>
              <a:ea typeface="+mn-ea"/>
              <a:cs typeface="Times New Roman" panose="02020603050405020304" pitchFamily="18" charset="0"/>
            </a:endParaRPr>
          </a:p>
        </xdr:txBody>
      </xdr:sp>
      <xdr:sp macro="" textlink="">
        <xdr:nvSpPr>
          <xdr:cNvPr id="74" name="CaixaDeTexto 73">
            <a:extLst>
              <a:ext uri="{FF2B5EF4-FFF2-40B4-BE49-F238E27FC236}">
                <a16:creationId xmlns:a16="http://schemas.microsoft.com/office/drawing/2014/main" id="{00000000-0008-0000-1000-00004A000000}"/>
              </a:ext>
            </a:extLst>
          </xdr:cNvPr>
          <xdr:cNvSpPr txBox="1"/>
        </xdr:nvSpPr>
        <xdr:spPr>
          <a:xfrm>
            <a:off x="13912215" y="24639795"/>
            <a:ext cx="1533525" cy="3508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1400" b="1">
                <a:solidFill>
                  <a:schemeClr val="accent6">
                    <a:lumMod val="50000"/>
                  </a:schemeClr>
                </a:solidFill>
                <a:effectLst/>
                <a:latin typeface="Times New Roman" panose="02020603050405020304" pitchFamily="18" charset="0"/>
                <a:ea typeface="+mn-ea"/>
                <a:cs typeface="Times New Roman" panose="02020603050405020304" pitchFamily="18" charset="0"/>
              </a:rPr>
              <a:t>QUALIDADE</a:t>
            </a:r>
          </a:p>
        </xdr:txBody>
      </xdr:sp>
    </xdr:grpSp>
    <xdr:clientData/>
  </xdr:twoCellAnchor>
  <xdr:oneCellAnchor>
    <xdr:from>
      <xdr:col>2</xdr:col>
      <xdr:colOff>139440</xdr:colOff>
      <xdr:row>126</xdr:row>
      <xdr:rowOff>10486</xdr:rowOff>
    </xdr:from>
    <xdr:ext cx="447400" cy="420463"/>
    <xdr:pic>
      <xdr:nvPicPr>
        <xdr:cNvPr id="124" name="Imagem 123">
          <a:extLst>
            <a:ext uri="{FF2B5EF4-FFF2-40B4-BE49-F238E27FC236}">
              <a16:creationId xmlns:a16="http://schemas.microsoft.com/office/drawing/2014/main" id="{00000000-0008-0000-1000-00007C000000}"/>
            </a:ext>
          </a:extLst>
        </xdr:cNvPr>
        <xdr:cNvPicPr>
          <a:picLocks noChangeAspect="1"/>
        </xdr:cNvPicPr>
      </xdr:nvPicPr>
      <xdr:blipFill>
        <a:blip xmlns:r="http://schemas.openxmlformats.org/officeDocument/2006/relationships" r:embed="rId18"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710940" y="22965736"/>
          <a:ext cx="447400" cy="420463"/>
        </a:xfrm>
        <a:prstGeom prst="rect">
          <a:avLst/>
        </a:prstGeom>
      </xdr:spPr>
    </xdr:pic>
    <xdr:clientData/>
  </xdr:oneCellAnchor>
  <xdr:oneCellAnchor>
    <xdr:from>
      <xdr:col>15</xdr:col>
      <xdr:colOff>30854</xdr:colOff>
      <xdr:row>179</xdr:row>
      <xdr:rowOff>54560</xdr:rowOff>
    </xdr:from>
    <xdr:ext cx="445495" cy="421577"/>
    <xdr:pic>
      <xdr:nvPicPr>
        <xdr:cNvPr id="125" name="Imagem 124">
          <a:extLst>
            <a:ext uri="{FF2B5EF4-FFF2-40B4-BE49-F238E27FC236}">
              <a16:creationId xmlns:a16="http://schemas.microsoft.com/office/drawing/2014/main" id="{00000000-0008-0000-1000-00007D000000}"/>
            </a:ext>
          </a:extLst>
        </xdr:cNvPr>
        <xdr:cNvPicPr>
          <a:picLocks noChangeAspect="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3525796" y="34322579"/>
          <a:ext cx="445495" cy="421577"/>
        </a:xfrm>
        <a:prstGeom prst="rect">
          <a:avLst/>
        </a:prstGeom>
      </xdr:spPr>
    </xdr:pic>
    <xdr:clientData/>
  </xdr:oneCellAnchor>
  <xdr:oneCellAnchor>
    <xdr:from>
      <xdr:col>15</xdr:col>
      <xdr:colOff>18471</xdr:colOff>
      <xdr:row>194</xdr:row>
      <xdr:rowOff>29771</xdr:rowOff>
    </xdr:from>
    <xdr:ext cx="466450" cy="450266"/>
    <xdr:pic>
      <xdr:nvPicPr>
        <xdr:cNvPr id="126" name="Imagem 125">
          <a:extLst>
            <a:ext uri="{FF2B5EF4-FFF2-40B4-BE49-F238E27FC236}">
              <a16:creationId xmlns:a16="http://schemas.microsoft.com/office/drawing/2014/main" id="{00000000-0008-0000-1000-00007E000000}"/>
            </a:ext>
          </a:extLst>
        </xdr:cNvPr>
        <xdr:cNvPicPr>
          <a:picLocks noChangeAspect="1"/>
        </xdr:cNvPicPr>
      </xdr:nvPicPr>
      <xdr:blipFill>
        <a:blip xmlns:r="http://schemas.openxmlformats.org/officeDocument/2006/relationships" r:embed="rId20"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3513413" y="37045386"/>
          <a:ext cx="466450" cy="450266"/>
        </a:xfrm>
        <a:prstGeom prst="rect">
          <a:avLst/>
        </a:prstGeom>
      </xdr:spPr>
    </xdr:pic>
    <xdr:clientData/>
  </xdr:oneCellAnchor>
  <xdr:oneCellAnchor>
    <xdr:from>
      <xdr:col>14</xdr:col>
      <xdr:colOff>205401</xdr:colOff>
      <xdr:row>165</xdr:row>
      <xdr:rowOff>109653</xdr:rowOff>
    </xdr:from>
    <xdr:ext cx="441685" cy="465349"/>
    <xdr:pic>
      <xdr:nvPicPr>
        <xdr:cNvPr id="127" name="Imagem 126">
          <a:extLst>
            <a:ext uri="{FF2B5EF4-FFF2-40B4-BE49-F238E27FC236}">
              <a16:creationId xmlns:a16="http://schemas.microsoft.com/office/drawing/2014/main" id="{00000000-0008-0000-1000-00007F000000}"/>
            </a:ext>
          </a:extLst>
        </xdr:cNvPr>
        <xdr:cNvPicPr>
          <a:picLocks noChangeAspect="1"/>
        </xdr:cNvPicPr>
      </xdr:nvPicPr>
      <xdr:blipFill>
        <a:blip xmlns:r="http://schemas.openxmlformats.org/officeDocument/2006/relationships" r:embed="rId21"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3473209" y="31813249"/>
          <a:ext cx="441685" cy="465349"/>
        </a:xfrm>
        <a:prstGeom prst="rect">
          <a:avLst/>
        </a:prstGeom>
      </xdr:spPr>
    </xdr:pic>
    <xdr:clientData/>
  </xdr:oneCellAnchor>
  <xdr:oneCellAnchor>
    <xdr:from>
      <xdr:col>15</xdr:col>
      <xdr:colOff>18471</xdr:colOff>
      <xdr:row>154</xdr:row>
      <xdr:rowOff>56546</xdr:rowOff>
    </xdr:from>
    <xdr:ext cx="466450" cy="409461"/>
    <xdr:pic>
      <xdr:nvPicPr>
        <xdr:cNvPr id="76544" name="Imagem 76543">
          <a:extLst>
            <a:ext uri="{FF2B5EF4-FFF2-40B4-BE49-F238E27FC236}">
              <a16:creationId xmlns:a16="http://schemas.microsoft.com/office/drawing/2014/main" id="{00000000-0008-0000-1000-0000002B0100}"/>
            </a:ext>
          </a:extLst>
        </xdr:cNvPr>
        <xdr:cNvPicPr>
          <a:picLocks noChangeAspect="1"/>
        </xdr:cNvPicPr>
      </xdr:nvPicPr>
      <xdr:blipFill>
        <a:blip xmlns:r="http://schemas.openxmlformats.org/officeDocument/2006/relationships" r:embed="rId22"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3774042" y="28223332"/>
          <a:ext cx="466450" cy="409461"/>
        </a:xfrm>
        <a:prstGeom prst="rect">
          <a:avLst/>
        </a:prstGeom>
      </xdr:spPr>
    </xdr:pic>
    <xdr:clientData/>
  </xdr:oneCellAnchor>
  <xdr:oneCellAnchor>
    <xdr:from>
      <xdr:col>2</xdr:col>
      <xdr:colOff>11413</xdr:colOff>
      <xdr:row>137</xdr:row>
      <xdr:rowOff>117780</xdr:rowOff>
    </xdr:from>
    <xdr:ext cx="464545" cy="412715"/>
    <xdr:pic>
      <xdr:nvPicPr>
        <xdr:cNvPr id="76545" name="Imagem 76544">
          <a:extLst>
            <a:ext uri="{FF2B5EF4-FFF2-40B4-BE49-F238E27FC236}">
              <a16:creationId xmlns:a16="http://schemas.microsoft.com/office/drawing/2014/main" id="{00000000-0008-0000-1000-0000012B0100}"/>
            </a:ext>
          </a:extLst>
        </xdr:cNvPr>
        <xdr:cNvPicPr>
          <a:picLocks noChangeAspect="1"/>
        </xdr:cNvPicPr>
      </xdr:nvPicPr>
      <xdr:blipFill>
        <a:blip xmlns:r="http://schemas.openxmlformats.org/officeDocument/2006/relationships" r:embed="rId23"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571707" y="25319809"/>
          <a:ext cx="464545" cy="412715"/>
        </a:xfrm>
        <a:prstGeom prst="rect">
          <a:avLst/>
        </a:prstGeom>
      </xdr:spPr>
    </xdr:pic>
    <xdr:clientData/>
  </xdr:oneCellAnchor>
  <xdr:oneCellAnchor>
    <xdr:from>
      <xdr:col>2</xdr:col>
      <xdr:colOff>133725</xdr:colOff>
      <xdr:row>112</xdr:row>
      <xdr:rowOff>167723</xdr:rowOff>
    </xdr:from>
    <xdr:ext cx="458830" cy="416361"/>
    <xdr:pic>
      <xdr:nvPicPr>
        <xdr:cNvPr id="76546" name="Imagem 76545">
          <a:extLst>
            <a:ext uri="{FF2B5EF4-FFF2-40B4-BE49-F238E27FC236}">
              <a16:creationId xmlns:a16="http://schemas.microsoft.com/office/drawing/2014/main" id="{00000000-0008-0000-1000-0000022B0100}"/>
            </a:ext>
          </a:extLst>
        </xdr:cNvPr>
        <xdr:cNvPicPr>
          <a:picLocks noChangeAspect="1"/>
        </xdr:cNvPicPr>
      </xdr:nvPicPr>
      <xdr:blipFill>
        <a:blip xmlns:r="http://schemas.openxmlformats.org/officeDocument/2006/relationships" r:embed="rId24"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705225" y="20646473"/>
          <a:ext cx="458830" cy="416361"/>
        </a:xfrm>
        <a:prstGeom prst="rect">
          <a:avLst/>
        </a:prstGeom>
      </xdr:spPr>
    </xdr:pic>
    <xdr:clientData/>
  </xdr:oneCellAnchor>
  <xdr:oneCellAnchor>
    <xdr:from>
      <xdr:col>2</xdr:col>
      <xdr:colOff>130868</xdr:colOff>
      <xdr:row>100</xdr:row>
      <xdr:rowOff>20881</xdr:rowOff>
    </xdr:from>
    <xdr:ext cx="464545" cy="411605"/>
    <xdr:pic>
      <xdr:nvPicPr>
        <xdr:cNvPr id="76547" name="Imagem 76546">
          <a:extLst>
            <a:ext uri="{FF2B5EF4-FFF2-40B4-BE49-F238E27FC236}">
              <a16:creationId xmlns:a16="http://schemas.microsoft.com/office/drawing/2014/main" id="{00000000-0008-0000-1000-0000032B0100}"/>
            </a:ext>
          </a:extLst>
        </xdr:cNvPr>
        <xdr:cNvPicPr>
          <a:picLocks noChangeAspect="1"/>
        </xdr:cNvPicPr>
      </xdr:nvPicPr>
      <xdr:blipFill>
        <a:blip xmlns:r="http://schemas.openxmlformats.org/officeDocument/2006/relationships" r:embed="rId25"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702368" y="18376917"/>
          <a:ext cx="464545" cy="411605"/>
        </a:xfrm>
        <a:prstGeom prst="rect">
          <a:avLst/>
        </a:prstGeom>
      </xdr:spPr>
    </xdr:pic>
    <xdr:clientData/>
  </xdr:oneCellAnchor>
  <xdr:twoCellAnchor>
    <xdr:from>
      <xdr:col>1</xdr:col>
      <xdr:colOff>15240</xdr:colOff>
      <xdr:row>295</xdr:row>
      <xdr:rowOff>170779</xdr:rowOff>
    </xdr:from>
    <xdr:to>
      <xdr:col>3</xdr:col>
      <xdr:colOff>84285</xdr:colOff>
      <xdr:row>298</xdr:row>
      <xdr:rowOff>175054</xdr:rowOff>
    </xdr:to>
    <xdr:grpSp>
      <xdr:nvGrpSpPr>
        <xdr:cNvPr id="76597" name="Agrupar 76596">
          <a:extLst>
            <a:ext uri="{FF2B5EF4-FFF2-40B4-BE49-F238E27FC236}">
              <a16:creationId xmlns:a16="http://schemas.microsoft.com/office/drawing/2014/main" id="{00000000-0008-0000-1000-0000352B0100}"/>
            </a:ext>
          </a:extLst>
        </xdr:cNvPr>
        <xdr:cNvGrpSpPr/>
      </xdr:nvGrpSpPr>
      <xdr:grpSpPr>
        <a:xfrm>
          <a:off x="329565" y="56730229"/>
          <a:ext cx="526245" cy="575775"/>
          <a:chOff x="607695" y="57800557"/>
          <a:chExt cx="523875" cy="521970"/>
        </a:xfrm>
      </xdr:grpSpPr>
      <xdr:pic>
        <xdr:nvPicPr>
          <xdr:cNvPr id="76598" name="Imagem 76597">
            <a:extLst>
              <a:ext uri="{FF2B5EF4-FFF2-40B4-BE49-F238E27FC236}">
                <a16:creationId xmlns:a16="http://schemas.microsoft.com/office/drawing/2014/main" id="{00000000-0008-0000-1000-0000362B0100}"/>
              </a:ext>
            </a:extLst>
          </xdr:cNvPr>
          <xdr:cNvPicPr>
            <a:picLocks noChangeAspect="1"/>
          </xdr:cNvPicPr>
        </xdr:nvPicPr>
        <xdr:blipFill>
          <a:blip xmlns:r="http://schemas.openxmlformats.org/officeDocument/2006/relationships" r:embed="rId26"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692677" y="57891843"/>
            <a:ext cx="357721" cy="347076"/>
          </a:xfrm>
          <a:prstGeom prst="rect">
            <a:avLst/>
          </a:prstGeom>
        </xdr:spPr>
      </xdr:pic>
      <xdr:sp macro="" textlink="">
        <xdr:nvSpPr>
          <xdr:cNvPr id="76599" name="Elipse 76598">
            <a:extLst>
              <a:ext uri="{FF2B5EF4-FFF2-40B4-BE49-F238E27FC236}">
                <a16:creationId xmlns:a16="http://schemas.microsoft.com/office/drawing/2014/main" id="{00000000-0008-0000-1000-0000372B0100}"/>
              </a:ext>
            </a:extLst>
          </xdr:cNvPr>
          <xdr:cNvSpPr/>
        </xdr:nvSpPr>
        <xdr:spPr>
          <a:xfrm>
            <a:off x="607695" y="57800557"/>
            <a:ext cx="523875" cy="521970"/>
          </a:xfrm>
          <a:prstGeom prst="ellipse">
            <a:avLst/>
          </a:prstGeom>
          <a:noFill/>
          <a:ln w="28575">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twoCellAnchor>
    <xdr:from>
      <xdr:col>0</xdr:col>
      <xdr:colOff>363855</xdr:colOff>
      <xdr:row>293</xdr:row>
      <xdr:rowOff>133360</xdr:rowOff>
    </xdr:from>
    <xdr:to>
      <xdr:col>3</xdr:col>
      <xdr:colOff>161925</xdr:colOff>
      <xdr:row>296</xdr:row>
      <xdr:rowOff>59065</xdr:rowOff>
    </xdr:to>
    <xdr:sp macro="" textlink="">
      <xdr:nvSpPr>
        <xdr:cNvPr id="76600" name="CaixaDeTexto 76599">
          <a:extLst>
            <a:ext uri="{FF2B5EF4-FFF2-40B4-BE49-F238E27FC236}">
              <a16:creationId xmlns:a16="http://schemas.microsoft.com/office/drawing/2014/main" id="{00000000-0008-0000-1000-0000382B0100}"/>
            </a:ext>
          </a:extLst>
        </xdr:cNvPr>
        <xdr:cNvSpPr txBox="1"/>
      </xdr:nvSpPr>
      <xdr:spPr>
        <a:xfrm>
          <a:off x="360045" y="57403375"/>
          <a:ext cx="718185" cy="46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rPr>
            <a:t>Aceite da Proposta</a:t>
          </a:r>
        </a:p>
      </xdr:txBody>
    </xdr:sp>
    <xdr:clientData/>
  </xdr:twoCellAnchor>
  <xdr:twoCellAnchor>
    <xdr:from>
      <xdr:col>7</xdr:col>
      <xdr:colOff>135952</xdr:colOff>
      <xdr:row>296</xdr:row>
      <xdr:rowOff>15694</xdr:rowOff>
    </xdr:from>
    <xdr:to>
      <xdr:col>9</xdr:col>
      <xdr:colOff>196223</xdr:colOff>
      <xdr:row>299</xdr:row>
      <xdr:rowOff>19969</xdr:rowOff>
    </xdr:to>
    <xdr:grpSp>
      <xdr:nvGrpSpPr>
        <xdr:cNvPr id="76601" name="Agrupar 76600">
          <a:extLst>
            <a:ext uri="{FF2B5EF4-FFF2-40B4-BE49-F238E27FC236}">
              <a16:creationId xmlns:a16="http://schemas.microsoft.com/office/drawing/2014/main" id="{00000000-0008-0000-1000-0000392B0100}"/>
            </a:ext>
          </a:extLst>
        </xdr:cNvPr>
        <xdr:cNvGrpSpPr/>
      </xdr:nvGrpSpPr>
      <xdr:grpSpPr>
        <a:xfrm>
          <a:off x="1821877" y="56765644"/>
          <a:ext cx="517471" cy="575775"/>
          <a:chOff x="2763542" y="57806618"/>
          <a:chExt cx="525091" cy="508289"/>
        </a:xfrm>
      </xdr:grpSpPr>
      <xdr:pic>
        <xdr:nvPicPr>
          <xdr:cNvPr id="76602" name="Imagem 76601">
            <a:extLst>
              <a:ext uri="{FF2B5EF4-FFF2-40B4-BE49-F238E27FC236}">
                <a16:creationId xmlns:a16="http://schemas.microsoft.com/office/drawing/2014/main" id="{00000000-0008-0000-1000-00003A2B0100}"/>
              </a:ext>
            </a:extLst>
          </xdr:cNvPr>
          <xdr:cNvPicPr>
            <a:picLocks noChangeAspect="1"/>
          </xdr:cNvPicPr>
        </xdr:nvPicPr>
        <xdr:blipFill>
          <a:blip xmlns:r="http://schemas.openxmlformats.org/officeDocument/2006/relationships" r:embed="rId27"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2857342" y="57898772"/>
            <a:ext cx="344649" cy="359857"/>
          </a:xfrm>
          <a:prstGeom prst="rect">
            <a:avLst/>
          </a:prstGeom>
        </xdr:spPr>
      </xdr:pic>
      <xdr:sp macro="" textlink="">
        <xdr:nvSpPr>
          <xdr:cNvPr id="76603" name="Elipse 76602">
            <a:extLst>
              <a:ext uri="{FF2B5EF4-FFF2-40B4-BE49-F238E27FC236}">
                <a16:creationId xmlns:a16="http://schemas.microsoft.com/office/drawing/2014/main" id="{00000000-0008-0000-1000-00003B2B0100}"/>
              </a:ext>
            </a:extLst>
          </xdr:cNvPr>
          <xdr:cNvSpPr/>
        </xdr:nvSpPr>
        <xdr:spPr>
          <a:xfrm>
            <a:off x="2763542" y="57806618"/>
            <a:ext cx="525091" cy="508289"/>
          </a:xfrm>
          <a:prstGeom prst="ellipse">
            <a:avLst/>
          </a:prstGeom>
          <a:noFill/>
          <a:ln w="28575">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twoCellAnchor>
    <xdr:from>
      <xdr:col>4</xdr:col>
      <xdr:colOff>64659</xdr:colOff>
      <xdr:row>299</xdr:row>
      <xdr:rowOff>93405</xdr:rowOff>
    </xdr:from>
    <xdr:to>
      <xdr:col>6</xdr:col>
      <xdr:colOff>149863</xdr:colOff>
      <xdr:row>302</xdr:row>
      <xdr:rowOff>97680</xdr:rowOff>
    </xdr:to>
    <xdr:grpSp>
      <xdr:nvGrpSpPr>
        <xdr:cNvPr id="76604" name="Agrupar 76603">
          <a:extLst>
            <a:ext uri="{FF2B5EF4-FFF2-40B4-BE49-F238E27FC236}">
              <a16:creationId xmlns:a16="http://schemas.microsoft.com/office/drawing/2014/main" id="{00000000-0008-0000-1000-00003C2B0100}"/>
            </a:ext>
          </a:extLst>
        </xdr:cNvPr>
        <xdr:cNvGrpSpPr/>
      </xdr:nvGrpSpPr>
      <xdr:grpSpPr>
        <a:xfrm>
          <a:off x="1064784" y="57414855"/>
          <a:ext cx="542404" cy="575775"/>
          <a:chOff x="1489005" y="58399416"/>
          <a:chExt cx="542404" cy="522234"/>
        </a:xfrm>
      </xdr:grpSpPr>
      <xdr:pic>
        <xdr:nvPicPr>
          <xdr:cNvPr id="76605" name="Imagem 76604">
            <a:extLst>
              <a:ext uri="{FF2B5EF4-FFF2-40B4-BE49-F238E27FC236}">
                <a16:creationId xmlns:a16="http://schemas.microsoft.com/office/drawing/2014/main" id="{00000000-0008-0000-1000-00003D2B0100}"/>
              </a:ext>
            </a:extLst>
          </xdr:cNvPr>
          <xdr:cNvPicPr>
            <a:picLocks noChangeAspect="1"/>
          </xdr:cNvPicPr>
        </xdr:nvPicPr>
        <xdr:blipFill>
          <a:blip xmlns:r="http://schemas.openxmlformats.org/officeDocument/2006/relationships" r:embed="rId28" cstate="print">
            <a:duotone>
              <a:schemeClr val="accent6">
                <a:shade val="45000"/>
                <a:satMod val="135000"/>
              </a:schemeClr>
              <a:prstClr val="white"/>
            </a:duotone>
            <a:alphaModFix/>
            <a:extLst>
              <a:ext uri="{28A0092B-C50C-407E-A947-70E740481C1C}">
                <a14:useLocalDpi xmlns:a14="http://schemas.microsoft.com/office/drawing/2010/main" val="0"/>
              </a:ext>
            </a:extLst>
          </a:blip>
          <a:stretch>
            <a:fillRect/>
          </a:stretch>
        </xdr:blipFill>
        <xdr:spPr>
          <a:xfrm>
            <a:off x="1587833" y="58509936"/>
            <a:ext cx="348583" cy="363399"/>
          </a:xfrm>
          <a:prstGeom prst="rect">
            <a:avLst/>
          </a:prstGeom>
        </xdr:spPr>
      </xdr:pic>
      <xdr:sp macro="" textlink="">
        <xdr:nvSpPr>
          <xdr:cNvPr id="76606" name="Elipse 76605">
            <a:extLst>
              <a:ext uri="{FF2B5EF4-FFF2-40B4-BE49-F238E27FC236}">
                <a16:creationId xmlns:a16="http://schemas.microsoft.com/office/drawing/2014/main" id="{00000000-0008-0000-1000-00003E2B0100}"/>
              </a:ext>
            </a:extLst>
          </xdr:cNvPr>
          <xdr:cNvSpPr/>
        </xdr:nvSpPr>
        <xdr:spPr>
          <a:xfrm>
            <a:off x="1489005" y="58399416"/>
            <a:ext cx="542404" cy="522234"/>
          </a:xfrm>
          <a:prstGeom prst="ellipse">
            <a:avLst/>
          </a:prstGeom>
          <a:noFill/>
          <a:ln w="28575">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twoCellAnchor>
    <xdr:from>
      <xdr:col>3</xdr:col>
      <xdr:colOff>220980</xdr:colOff>
      <xdr:row>302</xdr:row>
      <xdr:rowOff>40005</xdr:rowOff>
    </xdr:from>
    <xdr:to>
      <xdr:col>6</xdr:col>
      <xdr:colOff>220980</xdr:colOff>
      <xdr:row>304</xdr:row>
      <xdr:rowOff>140895</xdr:rowOff>
    </xdr:to>
    <xdr:sp macro="" textlink="">
      <xdr:nvSpPr>
        <xdr:cNvPr id="76607" name="CaixaDeTexto 76606">
          <a:extLst>
            <a:ext uri="{FF2B5EF4-FFF2-40B4-BE49-F238E27FC236}">
              <a16:creationId xmlns:a16="http://schemas.microsoft.com/office/drawing/2014/main" id="{00000000-0008-0000-1000-00003F2B0100}"/>
            </a:ext>
          </a:extLst>
        </xdr:cNvPr>
        <xdr:cNvSpPr txBox="1"/>
      </xdr:nvSpPr>
      <xdr:spPr>
        <a:xfrm>
          <a:off x="1133475" y="58942605"/>
          <a:ext cx="714375" cy="459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rPr>
            <a:t>Visita Técnica</a:t>
          </a:r>
        </a:p>
      </xdr:txBody>
    </xdr:sp>
    <xdr:clientData/>
  </xdr:twoCellAnchor>
  <xdr:twoCellAnchor>
    <xdr:from>
      <xdr:col>20</xdr:col>
      <xdr:colOff>113278</xdr:colOff>
      <xdr:row>295</xdr:row>
      <xdr:rowOff>169256</xdr:rowOff>
    </xdr:from>
    <xdr:to>
      <xdr:col>22</xdr:col>
      <xdr:colOff>191848</xdr:colOff>
      <xdr:row>298</xdr:row>
      <xdr:rowOff>172302</xdr:rowOff>
    </xdr:to>
    <xdr:grpSp>
      <xdr:nvGrpSpPr>
        <xdr:cNvPr id="76608" name="Agrupar 76607">
          <a:extLst>
            <a:ext uri="{FF2B5EF4-FFF2-40B4-BE49-F238E27FC236}">
              <a16:creationId xmlns:a16="http://schemas.microsoft.com/office/drawing/2014/main" id="{00000000-0008-0000-1000-0000402B0100}"/>
            </a:ext>
          </a:extLst>
        </xdr:cNvPr>
        <xdr:cNvGrpSpPr/>
      </xdr:nvGrpSpPr>
      <xdr:grpSpPr>
        <a:xfrm>
          <a:off x="4771003" y="56728706"/>
          <a:ext cx="535770" cy="574546"/>
          <a:chOff x="4974386" y="57795606"/>
          <a:chExt cx="519211" cy="528826"/>
        </a:xfrm>
      </xdr:grpSpPr>
      <xdr:pic>
        <xdr:nvPicPr>
          <xdr:cNvPr id="76609" name="Imagem 76608">
            <a:extLst>
              <a:ext uri="{FF2B5EF4-FFF2-40B4-BE49-F238E27FC236}">
                <a16:creationId xmlns:a16="http://schemas.microsoft.com/office/drawing/2014/main" id="{00000000-0008-0000-1000-0000412B0100}"/>
              </a:ext>
            </a:extLst>
          </xdr:cNvPr>
          <xdr:cNvPicPr>
            <a:picLocks noChangeAspect="1"/>
          </xdr:cNvPicPr>
        </xdr:nvPicPr>
        <xdr:blipFill>
          <a:blip xmlns:r="http://schemas.openxmlformats.org/officeDocument/2006/relationships" r:embed="rId29"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5057056" y="57844703"/>
            <a:ext cx="355776" cy="359142"/>
          </a:xfrm>
          <a:prstGeom prst="rect">
            <a:avLst/>
          </a:prstGeom>
        </xdr:spPr>
      </xdr:pic>
      <xdr:sp macro="" textlink="">
        <xdr:nvSpPr>
          <xdr:cNvPr id="76610" name="Elipse 76609">
            <a:extLst>
              <a:ext uri="{FF2B5EF4-FFF2-40B4-BE49-F238E27FC236}">
                <a16:creationId xmlns:a16="http://schemas.microsoft.com/office/drawing/2014/main" id="{00000000-0008-0000-1000-0000422B0100}"/>
              </a:ext>
            </a:extLst>
          </xdr:cNvPr>
          <xdr:cNvSpPr/>
        </xdr:nvSpPr>
        <xdr:spPr>
          <a:xfrm>
            <a:off x="4974386" y="57795606"/>
            <a:ext cx="519211" cy="528826"/>
          </a:xfrm>
          <a:prstGeom prst="ellipse">
            <a:avLst/>
          </a:prstGeom>
          <a:noFill/>
          <a:ln w="28575">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twoCellAnchor>
    <xdr:from>
      <xdr:col>20</xdr:col>
      <xdr:colOff>28574</xdr:colOff>
      <xdr:row>294</xdr:row>
      <xdr:rowOff>133332</xdr:rowOff>
    </xdr:from>
    <xdr:to>
      <xdr:col>23</xdr:col>
      <xdr:colOff>28574</xdr:colOff>
      <xdr:row>296</xdr:row>
      <xdr:rowOff>11440</xdr:rowOff>
    </xdr:to>
    <xdr:sp macro="" textlink="">
      <xdr:nvSpPr>
        <xdr:cNvPr id="76611" name="CaixaDeTexto 76610">
          <a:extLst>
            <a:ext uri="{FF2B5EF4-FFF2-40B4-BE49-F238E27FC236}">
              <a16:creationId xmlns:a16="http://schemas.microsoft.com/office/drawing/2014/main" id="{00000000-0008-0000-1000-0000432B0100}"/>
            </a:ext>
          </a:extLst>
        </xdr:cNvPr>
        <xdr:cNvSpPr txBox="1"/>
      </xdr:nvSpPr>
      <xdr:spPr>
        <a:xfrm>
          <a:off x="4989194" y="57591942"/>
          <a:ext cx="714375" cy="2400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rPr>
            <a:t>Instalação</a:t>
          </a:r>
        </a:p>
      </xdr:txBody>
    </xdr:sp>
    <xdr:clientData/>
  </xdr:twoCellAnchor>
  <xdr:twoCellAnchor>
    <xdr:from>
      <xdr:col>13</xdr:col>
      <xdr:colOff>135254</xdr:colOff>
      <xdr:row>293</xdr:row>
      <xdr:rowOff>156075</xdr:rowOff>
    </xdr:from>
    <xdr:to>
      <xdr:col>16</xdr:col>
      <xdr:colOff>222884</xdr:colOff>
      <xdr:row>296</xdr:row>
      <xdr:rowOff>30490</xdr:rowOff>
    </xdr:to>
    <xdr:sp macro="" textlink="">
      <xdr:nvSpPr>
        <xdr:cNvPr id="76612" name="CaixaDeTexto 76611">
          <a:extLst>
            <a:ext uri="{FF2B5EF4-FFF2-40B4-BE49-F238E27FC236}">
              <a16:creationId xmlns:a16="http://schemas.microsoft.com/office/drawing/2014/main" id="{00000000-0008-0000-1000-0000442B0100}"/>
            </a:ext>
          </a:extLst>
        </xdr:cNvPr>
        <xdr:cNvSpPr txBox="1"/>
      </xdr:nvSpPr>
      <xdr:spPr>
        <a:xfrm>
          <a:off x="3427094" y="57429900"/>
          <a:ext cx="803910" cy="415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rPr>
            <a:t>Processo de Homologação</a:t>
          </a:r>
        </a:p>
      </xdr:txBody>
    </xdr:sp>
    <xdr:clientData/>
  </xdr:twoCellAnchor>
  <xdr:twoCellAnchor>
    <xdr:from>
      <xdr:col>23</xdr:col>
      <xdr:colOff>174128</xdr:colOff>
      <xdr:row>299</xdr:row>
      <xdr:rowOff>98817</xdr:rowOff>
    </xdr:from>
    <xdr:to>
      <xdr:col>26</xdr:col>
      <xdr:colOff>1117</xdr:colOff>
      <xdr:row>302</xdr:row>
      <xdr:rowOff>95472</xdr:rowOff>
    </xdr:to>
    <xdr:grpSp>
      <xdr:nvGrpSpPr>
        <xdr:cNvPr id="76613" name="Agrupar 76612">
          <a:extLst>
            <a:ext uri="{FF2B5EF4-FFF2-40B4-BE49-F238E27FC236}">
              <a16:creationId xmlns:a16="http://schemas.microsoft.com/office/drawing/2014/main" id="{00000000-0008-0000-1000-0000452B0100}"/>
            </a:ext>
          </a:extLst>
        </xdr:cNvPr>
        <xdr:cNvGrpSpPr/>
      </xdr:nvGrpSpPr>
      <xdr:grpSpPr>
        <a:xfrm>
          <a:off x="5517653" y="57420267"/>
          <a:ext cx="512789" cy="568155"/>
          <a:chOff x="5858648" y="58398810"/>
          <a:chExt cx="529934" cy="522840"/>
        </a:xfrm>
      </xdr:grpSpPr>
      <xdr:pic>
        <xdr:nvPicPr>
          <xdr:cNvPr id="76614" name="Imagem 76613">
            <a:extLst>
              <a:ext uri="{FF2B5EF4-FFF2-40B4-BE49-F238E27FC236}">
                <a16:creationId xmlns:a16="http://schemas.microsoft.com/office/drawing/2014/main" id="{00000000-0008-0000-1000-0000462B0100}"/>
              </a:ext>
            </a:extLst>
          </xdr:cNvPr>
          <xdr:cNvPicPr>
            <a:picLocks noChangeAspect="1"/>
          </xdr:cNvPicPr>
        </xdr:nvPicPr>
        <xdr:blipFill>
          <a:blip xmlns:r="http://schemas.openxmlformats.org/officeDocument/2006/relationships" r:embed="rId30"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5943149" y="58504611"/>
            <a:ext cx="359026" cy="353495"/>
          </a:xfrm>
          <a:prstGeom prst="rect">
            <a:avLst/>
          </a:prstGeom>
        </xdr:spPr>
      </xdr:pic>
      <xdr:sp macro="" textlink="">
        <xdr:nvSpPr>
          <xdr:cNvPr id="76615" name="Elipse 76614">
            <a:extLst>
              <a:ext uri="{FF2B5EF4-FFF2-40B4-BE49-F238E27FC236}">
                <a16:creationId xmlns:a16="http://schemas.microsoft.com/office/drawing/2014/main" id="{00000000-0008-0000-1000-0000472B0100}"/>
              </a:ext>
            </a:extLst>
          </xdr:cNvPr>
          <xdr:cNvSpPr/>
        </xdr:nvSpPr>
        <xdr:spPr>
          <a:xfrm>
            <a:off x="5858648" y="58398810"/>
            <a:ext cx="529934" cy="522840"/>
          </a:xfrm>
          <a:prstGeom prst="ellipse">
            <a:avLst/>
          </a:prstGeom>
          <a:noFill/>
          <a:ln w="28575">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twoCellAnchor>
    <xdr:from>
      <xdr:col>23</xdr:col>
      <xdr:colOff>102870</xdr:colOff>
      <xdr:row>302</xdr:row>
      <xdr:rowOff>40005</xdr:rowOff>
    </xdr:from>
    <xdr:to>
      <xdr:col>26</xdr:col>
      <xdr:colOff>106680</xdr:colOff>
      <xdr:row>304</xdr:row>
      <xdr:rowOff>124830</xdr:rowOff>
    </xdr:to>
    <xdr:sp macro="" textlink="">
      <xdr:nvSpPr>
        <xdr:cNvPr id="76616" name="CaixaDeTexto 76615">
          <a:extLst>
            <a:ext uri="{FF2B5EF4-FFF2-40B4-BE49-F238E27FC236}">
              <a16:creationId xmlns:a16="http://schemas.microsoft.com/office/drawing/2014/main" id="{00000000-0008-0000-1000-0000482B0100}"/>
            </a:ext>
          </a:extLst>
        </xdr:cNvPr>
        <xdr:cNvSpPr txBox="1"/>
      </xdr:nvSpPr>
      <xdr:spPr>
        <a:xfrm>
          <a:off x="5777865" y="58942605"/>
          <a:ext cx="718185" cy="448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rPr>
            <a:t>Troca</a:t>
          </a:r>
          <a:r>
            <a:rPr lang="pt-BR" sz="1000" b="1" baseline="0">
              <a:solidFill>
                <a:schemeClr val="bg1">
                  <a:lumMod val="50000"/>
                </a:schemeClr>
              </a:solidFill>
              <a:effectLst/>
              <a:latin typeface="Times New Roman" panose="02020603050405020304" pitchFamily="18" charset="0"/>
              <a:ea typeface="+mn-ea"/>
              <a:cs typeface="Times New Roman" panose="02020603050405020304" pitchFamily="18" charset="0"/>
            </a:rPr>
            <a:t> do Relógio</a:t>
          </a:r>
          <a:endPar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9</xdr:col>
      <xdr:colOff>115467</xdr:colOff>
      <xdr:row>298</xdr:row>
      <xdr:rowOff>120019</xdr:rowOff>
    </xdr:from>
    <xdr:to>
      <xdr:col>11</xdr:col>
      <xdr:colOff>16175</xdr:colOff>
      <xdr:row>299</xdr:row>
      <xdr:rowOff>168092</xdr:rowOff>
    </xdr:to>
    <xdr:cxnSp macro="">
      <xdr:nvCxnSpPr>
        <xdr:cNvPr id="76617" name="Conector reto 76616">
          <a:extLst>
            <a:ext uri="{FF2B5EF4-FFF2-40B4-BE49-F238E27FC236}">
              <a16:creationId xmlns:a16="http://schemas.microsoft.com/office/drawing/2014/main" id="{00000000-0008-0000-1000-0000492B0100}"/>
            </a:ext>
          </a:extLst>
        </xdr:cNvPr>
        <xdr:cNvCxnSpPr>
          <a:cxnSpLocks/>
          <a:stCxn id="76603" idx="5"/>
          <a:endCxn id="76638" idx="1"/>
        </xdr:cNvCxnSpPr>
      </xdr:nvCxnSpPr>
      <xdr:spPr>
        <a:xfrm>
          <a:off x="2458617" y="58300624"/>
          <a:ext cx="380768" cy="230953"/>
        </a:xfrm>
        <a:prstGeom prst="line">
          <a:avLst/>
        </a:prstGeom>
        <a:ln>
          <a:solidFill>
            <a:schemeClr val="accent6">
              <a:lumMod val="50000"/>
            </a:schemeClr>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19</xdr:col>
      <xdr:colOff>49747</xdr:colOff>
      <xdr:row>298</xdr:row>
      <xdr:rowOff>89652</xdr:rowOff>
    </xdr:from>
    <xdr:to>
      <xdr:col>20</xdr:col>
      <xdr:colOff>194530</xdr:colOff>
      <xdr:row>299</xdr:row>
      <xdr:rowOff>176175</xdr:rowOff>
    </xdr:to>
    <xdr:cxnSp macro="">
      <xdr:nvCxnSpPr>
        <xdr:cNvPr id="76618" name="Conector reto 76617">
          <a:extLst>
            <a:ext uri="{FF2B5EF4-FFF2-40B4-BE49-F238E27FC236}">
              <a16:creationId xmlns:a16="http://schemas.microsoft.com/office/drawing/2014/main" id="{00000000-0008-0000-1000-00004A2B0100}"/>
            </a:ext>
          </a:extLst>
        </xdr:cNvPr>
        <xdr:cNvCxnSpPr>
          <a:stCxn id="76634" idx="7"/>
          <a:endCxn id="76610" idx="3"/>
        </xdr:cNvCxnSpPr>
      </xdr:nvCxnSpPr>
      <xdr:spPr>
        <a:xfrm flipV="1">
          <a:off x="4777957" y="58272162"/>
          <a:ext cx="381003" cy="259878"/>
        </a:xfrm>
        <a:prstGeom prst="line">
          <a:avLst/>
        </a:prstGeom>
        <a:ln>
          <a:solidFill>
            <a:schemeClr val="accent6">
              <a:lumMod val="50000"/>
            </a:schemeClr>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22</xdr:col>
      <xdr:colOff>110596</xdr:colOff>
      <xdr:row>298</xdr:row>
      <xdr:rowOff>89652</xdr:rowOff>
    </xdr:from>
    <xdr:to>
      <xdr:col>24</xdr:col>
      <xdr:colOff>15284</xdr:colOff>
      <xdr:row>299</xdr:row>
      <xdr:rowOff>177837</xdr:rowOff>
    </xdr:to>
    <xdr:cxnSp macro="">
      <xdr:nvCxnSpPr>
        <xdr:cNvPr id="76619" name="Conector reto 76618">
          <a:extLst>
            <a:ext uri="{FF2B5EF4-FFF2-40B4-BE49-F238E27FC236}">
              <a16:creationId xmlns:a16="http://schemas.microsoft.com/office/drawing/2014/main" id="{00000000-0008-0000-1000-00004B2B0100}"/>
            </a:ext>
          </a:extLst>
        </xdr:cNvPr>
        <xdr:cNvCxnSpPr>
          <a:stCxn id="76610" idx="5"/>
          <a:endCxn id="76615" idx="1"/>
        </xdr:cNvCxnSpPr>
      </xdr:nvCxnSpPr>
      <xdr:spPr>
        <a:xfrm>
          <a:off x="5549371" y="58272162"/>
          <a:ext cx="384748" cy="261540"/>
        </a:xfrm>
        <a:prstGeom prst="line">
          <a:avLst/>
        </a:prstGeom>
        <a:ln>
          <a:solidFill>
            <a:schemeClr val="accent6">
              <a:lumMod val="50000"/>
            </a:schemeClr>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26</xdr:col>
      <xdr:colOff>123825</xdr:colOff>
      <xdr:row>300</xdr:row>
      <xdr:rowOff>15240</xdr:rowOff>
    </xdr:from>
    <xdr:to>
      <xdr:col>28</xdr:col>
      <xdr:colOff>691515</xdr:colOff>
      <xdr:row>302</xdr:row>
      <xdr:rowOff>96213</xdr:rowOff>
    </xdr:to>
    <xdr:sp macro="" textlink="">
      <xdr:nvSpPr>
        <xdr:cNvPr id="76620" name="CaixaDeTexto 76619">
          <a:extLst>
            <a:ext uri="{FF2B5EF4-FFF2-40B4-BE49-F238E27FC236}">
              <a16:creationId xmlns:a16="http://schemas.microsoft.com/office/drawing/2014/main" id="{00000000-0008-0000-1000-00004C2B0100}"/>
            </a:ext>
          </a:extLst>
        </xdr:cNvPr>
        <xdr:cNvSpPr txBox="1"/>
      </xdr:nvSpPr>
      <xdr:spPr>
        <a:xfrm>
          <a:off x="6517005" y="58559700"/>
          <a:ext cx="1034415" cy="435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rPr>
            <a:t>Prazo aproximado</a:t>
          </a:r>
        </a:p>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rPr>
            <a:t>50 dias</a:t>
          </a:r>
        </a:p>
      </xdr:txBody>
    </xdr:sp>
    <xdr:clientData/>
  </xdr:twoCellAnchor>
  <xdr:twoCellAnchor>
    <xdr:from>
      <xdr:col>14</xdr:col>
      <xdr:colOff>15240</xdr:colOff>
      <xdr:row>298</xdr:row>
      <xdr:rowOff>131446</xdr:rowOff>
    </xdr:from>
    <xdr:to>
      <xdr:col>16</xdr:col>
      <xdr:colOff>36196</xdr:colOff>
      <xdr:row>300</xdr:row>
      <xdr:rowOff>97156</xdr:rowOff>
    </xdr:to>
    <xdr:sp macro="" textlink="">
      <xdr:nvSpPr>
        <xdr:cNvPr id="76621" name="CaixaDeTexto 76620">
          <a:extLst>
            <a:ext uri="{FF2B5EF4-FFF2-40B4-BE49-F238E27FC236}">
              <a16:creationId xmlns:a16="http://schemas.microsoft.com/office/drawing/2014/main" id="{00000000-0008-0000-1000-00004D2B0100}"/>
            </a:ext>
          </a:extLst>
        </xdr:cNvPr>
        <xdr:cNvSpPr txBox="1"/>
      </xdr:nvSpPr>
      <xdr:spPr>
        <a:xfrm>
          <a:off x="3552825" y="58313956"/>
          <a:ext cx="493396"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800" b="0" i="1">
              <a:solidFill>
                <a:schemeClr val="bg1">
                  <a:lumMod val="50000"/>
                </a:schemeClr>
              </a:solidFill>
              <a:effectLst/>
              <a:latin typeface="Times New Roman" panose="02020603050405020304" pitchFamily="18" charset="0"/>
              <a:ea typeface="+mn-ea"/>
              <a:cs typeface="Times New Roman" panose="02020603050405020304" pitchFamily="18" charset="0"/>
            </a:rPr>
            <a:t>15-30d</a:t>
          </a:r>
        </a:p>
      </xdr:txBody>
    </xdr:sp>
    <xdr:clientData/>
  </xdr:twoCellAnchor>
  <xdr:twoCellAnchor>
    <xdr:from>
      <xdr:col>23</xdr:col>
      <xdr:colOff>201930</xdr:colOff>
      <xdr:row>297</xdr:row>
      <xdr:rowOff>177166</xdr:rowOff>
    </xdr:from>
    <xdr:to>
      <xdr:col>25</xdr:col>
      <xdr:colOff>215266</xdr:colOff>
      <xdr:row>299</xdr:row>
      <xdr:rowOff>135256</xdr:rowOff>
    </xdr:to>
    <xdr:sp macro="" textlink="">
      <xdr:nvSpPr>
        <xdr:cNvPr id="76622" name="CaixaDeTexto 76621">
          <a:extLst>
            <a:ext uri="{FF2B5EF4-FFF2-40B4-BE49-F238E27FC236}">
              <a16:creationId xmlns:a16="http://schemas.microsoft.com/office/drawing/2014/main" id="{00000000-0008-0000-1000-00004E2B0100}"/>
            </a:ext>
          </a:extLst>
        </xdr:cNvPr>
        <xdr:cNvSpPr txBox="1"/>
      </xdr:nvSpPr>
      <xdr:spPr>
        <a:xfrm>
          <a:off x="5882640" y="58171081"/>
          <a:ext cx="481966"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800" b="0" i="1">
              <a:solidFill>
                <a:schemeClr val="bg1">
                  <a:lumMod val="50000"/>
                </a:schemeClr>
              </a:solidFill>
              <a:effectLst/>
              <a:latin typeface="Times New Roman" panose="02020603050405020304" pitchFamily="18" charset="0"/>
              <a:ea typeface="+mn-ea"/>
              <a:cs typeface="Times New Roman" panose="02020603050405020304" pitchFamily="18" charset="0"/>
            </a:rPr>
            <a:t>7d</a:t>
          </a:r>
        </a:p>
      </xdr:txBody>
    </xdr:sp>
    <xdr:clientData/>
  </xdr:twoCellAnchor>
  <xdr:twoCellAnchor>
    <xdr:from>
      <xdr:col>16</xdr:col>
      <xdr:colOff>207644</xdr:colOff>
      <xdr:row>302</xdr:row>
      <xdr:rowOff>40005</xdr:rowOff>
    </xdr:from>
    <xdr:to>
      <xdr:col>19</xdr:col>
      <xdr:colOff>207644</xdr:colOff>
      <xdr:row>304</xdr:row>
      <xdr:rowOff>130503</xdr:rowOff>
    </xdr:to>
    <xdr:sp macro="" textlink="">
      <xdr:nvSpPr>
        <xdr:cNvPr id="76623" name="CaixaDeTexto 76622">
          <a:extLst>
            <a:ext uri="{FF2B5EF4-FFF2-40B4-BE49-F238E27FC236}">
              <a16:creationId xmlns:a16="http://schemas.microsoft.com/office/drawing/2014/main" id="{00000000-0008-0000-1000-00004F2B0100}"/>
            </a:ext>
          </a:extLst>
        </xdr:cNvPr>
        <xdr:cNvSpPr txBox="1"/>
      </xdr:nvSpPr>
      <xdr:spPr>
        <a:xfrm>
          <a:off x="4156856" y="59058370"/>
          <a:ext cx="725365" cy="456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rPr>
            <a:t>Recebimento do Material</a:t>
          </a:r>
        </a:p>
      </xdr:txBody>
    </xdr:sp>
    <xdr:clientData/>
  </xdr:twoCellAnchor>
  <xdr:twoCellAnchor>
    <xdr:from>
      <xdr:col>14</xdr:col>
      <xdr:colOff>1105</xdr:colOff>
      <xdr:row>295</xdr:row>
      <xdr:rowOff>174635</xdr:rowOff>
    </xdr:from>
    <xdr:to>
      <xdr:col>16</xdr:col>
      <xdr:colOff>68245</xdr:colOff>
      <xdr:row>298</xdr:row>
      <xdr:rowOff>171290</xdr:rowOff>
    </xdr:to>
    <xdr:grpSp>
      <xdr:nvGrpSpPr>
        <xdr:cNvPr id="76624" name="Agrupar 76623">
          <a:extLst>
            <a:ext uri="{FF2B5EF4-FFF2-40B4-BE49-F238E27FC236}">
              <a16:creationId xmlns:a16="http://schemas.microsoft.com/office/drawing/2014/main" id="{00000000-0008-0000-1000-0000502B0100}"/>
            </a:ext>
          </a:extLst>
        </xdr:cNvPr>
        <xdr:cNvGrpSpPr/>
      </xdr:nvGrpSpPr>
      <xdr:grpSpPr>
        <a:xfrm>
          <a:off x="3287230" y="56734085"/>
          <a:ext cx="524340" cy="568155"/>
          <a:chOff x="4049049" y="58409298"/>
          <a:chExt cx="523875" cy="510447"/>
        </a:xfrm>
      </xdr:grpSpPr>
      <xdr:pic>
        <xdr:nvPicPr>
          <xdr:cNvPr id="76625" name="Imagem 76624">
            <a:extLst>
              <a:ext uri="{FF2B5EF4-FFF2-40B4-BE49-F238E27FC236}">
                <a16:creationId xmlns:a16="http://schemas.microsoft.com/office/drawing/2014/main" id="{00000000-0008-0000-1000-0000512B0100}"/>
              </a:ext>
            </a:extLst>
          </xdr:cNvPr>
          <xdr:cNvPicPr>
            <a:picLocks noChangeAspect="1"/>
          </xdr:cNvPicPr>
        </xdr:nvPicPr>
        <xdr:blipFill>
          <a:blip xmlns:r="http://schemas.openxmlformats.org/officeDocument/2006/relationships" r:embed="rId31"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4141213" y="58500282"/>
            <a:ext cx="343356" cy="352106"/>
          </a:xfrm>
          <a:prstGeom prst="rect">
            <a:avLst/>
          </a:prstGeom>
        </xdr:spPr>
      </xdr:pic>
      <xdr:sp macro="" textlink="">
        <xdr:nvSpPr>
          <xdr:cNvPr id="76626" name="Elipse 76625">
            <a:extLst>
              <a:ext uri="{FF2B5EF4-FFF2-40B4-BE49-F238E27FC236}">
                <a16:creationId xmlns:a16="http://schemas.microsoft.com/office/drawing/2014/main" id="{00000000-0008-0000-1000-0000522B0100}"/>
              </a:ext>
            </a:extLst>
          </xdr:cNvPr>
          <xdr:cNvSpPr/>
        </xdr:nvSpPr>
        <xdr:spPr>
          <a:xfrm>
            <a:off x="4049049" y="58409298"/>
            <a:ext cx="523875" cy="510447"/>
          </a:xfrm>
          <a:prstGeom prst="ellipse">
            <a:avLst/>
          </a:prstGeom>
          <a:noFill/>
          <a:ln w="28575">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twoCellAnchor>
    <xdr:from>
      <xdr:col>10</xdr:col>
      <xdr:colOff>55244</xdr:colOff>
      <xdr:row>302</xdr:row>
      <xdr:rowOff>40005</xdr:rowOff>
    </xdr:from>
    <xdr:to>
      <xdr:col>13</xdr:col>
      <xdr:colOff>131444</xdr:colOff>
      <xdr:row>304</xdr:row>
      <xdr:rowOff>131590</xdr:rowOff>
    </xdr:to>
    <xdr:sp macro="" textlink="">
      <xdr:nvSpPr>
        <xdr:cNvPr id="76627" name="CaixaDeTexto 76626">
          <a:extLst>
            <a:ext uri="{FF2B5EF4-FFF2-40B4-BE49-F238E27FC236}">
              <a16:creationId xmlns:a16="http://schemas.microsoft.com/office/drawing/2014/main" id="{00000000-0008-0000-1000-0000532B0100}"/>
            </a:ext>
          </a:extLst>
        </xdr:cNvPr>
        <xdr:cNvSpPr txBox="1"/>
      </xdr:nvSpPr>
      <xdr:spPr>
        <a:xfrm>
          <a:off x="2640329" y="58942605"/>
          <a:ext cx="790575" cy="457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rPr>
            <a:t>Realização do Projeto</a:t>
          </a:r>
        </a:p>
      </xdr:txBody>
    </xdr:sp>
    <xdr:clientData/>
  </xdr:twoCellAnchor>
  <xdr:twoCellAnchor>
    <xdr:from>
      <xdr:col>12</xdr:col>
      <xdr:colOff>171628</xdr:colOff>
      <xdr:row>298</xdr:row>
      <xdr:rowOff>98774</xdr:rowOff>
    </xdr:from>
    <xdr:to>
      <xdr:col>14</xdr:col>
      <xdr:colOff>82867</xdr:colOff>
      <xdr:row>299</xdr:row>
      <xdr:rowOff>168092</xdr:rowOff>
    </xdr:to>
    <xdr:cxnSp macro="">
      <xdr:nvCxnSpPr>
        <xdr:cNvPr id="76628" name="Conector reto 76627">
          <a:extLst>
            <a:ext uri="{FF2B5EF4-FFF2-40B4-BE49-F238E27FC236}">
              <a16:creationId xmlns:a16="http://schemas.microsoft.com/office/drawing/2014/main" id="{00000000-0008-0000-1000-0000542B0100}"/>
            </a:ext>
          </a:extLst>
        </xdr:cNvPr>
        <xdr:cNvCxnSpPr>
          <a:cxnSpLocks/>
          <a:stCxn id="76638" idx="7"/>
          <a:endCxn id="76626" idx="3"/>
        </xdr:cNvCxnSpPr>
      </xdr:nvCxnSpPr>
      <xdr:spPr>
        <a:xfrm flipV="1">
          <a:off x="3225343" y="58273664"/>
          <a:ext cx="393204" cy="257913"/>
        </a:xfrm>
        <a:prstGeom prst="line">
          <a:avLst/>
        </a:prstGeom>
        <a:ln>
          <a:solidFill>
            <a:schemeClr val="accent6">
              <a:lumMod val="50000"/>
            </a:schemeClr>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15</xdr:col>
      <xdr:colOff>228418</xdr:colOff>
      <xdr:row>298</xdr:row>
      <xdr:rowOff>94964</xdr:rowOff>
    </xdr:from>
    <xdr:to>
      <xdr:col>17</xdr:col>
      <xdr:colOff>133681</xdr:colOff>
      <xdr:row>299</xdr:row>
      <xdr:rowOff>176175</xdr:rowOff>
    </xdr:to>
    <xdr:cxnSp macro="">
      <xdr:nvCxnSpPr>
        <xdr:cNvPr id="76629" name="Conector reto 76628">
          <a:extLst>
            <a:ext uri="{FF2B5EF4-FFF2-40B4-BE49-F238E27FC236}">
              <a16:creationId xmlns:a16="http://schemas.microsoft.com/office/drawing/2014/main" id="{00000000-0008-0000-1000-0000552B0100}"/>
            </a:ext>
          </a:extLst>
        </xdr:cNvPr>
        <xdr:cNvCxnSpPr>
          <a:stCxn id="76626" idx="5"/>
          <a:endCxn id="76634" idx="1"/>
        </xdr:cNvCxnSpPr>
      </xdr:nvCxnSpPr>
      <xdr:spPr>
        <a:xfrm>
          <a:off x="4000318" y="58277474"/>
          <a:ext cx="377703" cy="254566"/>
        </a:xfrm>
        <a:prstGeom prst="line">
          <a:avLst/>
        </a:prstGeom>
        <a:ln>
          <a:solidFill>
            <a:schemeClr val="accent6">
              <a:lumMod val="50000"/>
            </a:schemeClr>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17</xdr:col>
      <xdr:colOff>106680</xdr:colOff>
      <xdr:row>297</xdr:row>
      <xdr:rowOff>169546</xdr:rowOff>
    </xdr:from>
    <xdr:to>
      <xdr:col>19</xdr:col>
      <xdr:colOff>120016</xdr:colOff>
      <xdr:row>299</xdr:row>
      <xdr:rowOff>135256</xdr:rowOff>
    </xdr:to>
    <xdr:sp macro="" textlink="">
      <xdr:nvSpPr>
        <xdr:cNvPr id="76630" name="CaixaDeTexto 76629">
          <a:extLst>
            <a:ext uri="{FF2B5EF4-FFF2-40B4-BE49-F238E27FC236}">
              <a16:creationId xmlns:a16="http://schemas.microsoft.com/office/drawing/2014/main" id="{00000000-0008-0000-1000-0000562B0100}"/>
            </a:ext>
          </a:extLst>
        </xdr:cNvPr>
        <xdr:cNvSpPr txBox="1"/>
      </xdr:nvSpPr>
      <xdr:spPr>
        <a:xfrm>
          <a:off x="4352925" y="58171081"/>
          <a:ext cx="493396"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800" b="0" i="1">
              <a:solidFill>
                <a:schemeClr val="bg1">
                  <a:lumMod val="50000"/>
                </a:schemeClr>
              </a:solidFill>
              <a:effectLst/>
              <a:latin typeface="Times New Roman" panose="02020603050405020304" pitchFamily="18" charset="0"/>
              <a:ea typeface="+mn-ea"/>
              <a:cs typeface="Times New Roman" panose="02020603050405020304" pitchFamily="18" charset="0"/>
            </a:rPr>
            <a:t>13d</a:t>
          </a:r>
        </a:p>
      </xdr:txBody>
    </xdr:sp>
    <xdr:clientData/>
  </xdr:twoCellAnchor>
  <xdr:twoCellAnchor>
    <xdr:from>
      <xdr:col>10</xdr:col>
      <xdr:colOff>219075</xdr:colOff>
      <xdr:row>298</xdr:row>
      <xdr:rowOff>1906</xdr:rowOff>
    </xdr:from>
    <xdr:to>
      <xdr:col>12</xdr:col>
      <xdr:colOff>228601</xdr:colOff>
      <xdr:row>299</xdr:row>
      <xdr:rowOff>131446</xdr:rowOff>
    </xdr:to>
    <xdr:sp macro="" textlink="">
      <xdr:nvSpPr>
        <xdr:cNvPr id="76631" name="CaixaDeTexto 76630">
          <a:extLst>
            <a:ext uri="{FF2B5EF4-FFF2-40B4-BE49-F238E27FC236}">
              <a16:creationId xmlns:a16="http://schemas.microsoft.com/office/drawing/2014/main" id="{00000000-0008-0000-1000-0000572B0100}"/>
            </a:ext>
          </a:extLst>
        </xdr:cNvPr>
        <xdr:cNvSpPr txBox="1"/>
      </xdr:nvSpPr>
      <xdr:spPr>
        <a:xfrm>
          <a:off x="2798445" y="58180606"/>
          <a:ext cx="487681"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800" b="0" i="1">
              <a:solidFill>
                <a:schemeClr val="bg1">
                  <a:lumMod val="50000"/>
                </a:schemeClr>
              </a:solidFill>
              <a:effectLst/>
              <a:latin typeface="Times New Roman" panose="02020603050405020304" pitchFamily="18" charset="0"/>
              <a:ea typeface="+mn-ea"/>
              <a:cs typeface="Times New Roman" panose="02020603050405020304" pitchFamily="18" charset="0"/>
            </a:rPr>
            <a:t>3d</a:t>
          </a:r>
        </a:p>
      </xdr:txBody>
    </xdr:sp>
    <xdr:clientData/>
  </xdr:twoCellAnchor>
  <xdr:twoCellAnchor>
    <xdr:from>
      <xdr:col>20</xdr:col>
      <xdr:colOff>150495</xdr:colOff>
      <xdr:row>298</xdr:row>
      <xdr:rowOff>140971</xdr:rowOff>
    </xdr:from>
    <xdr:to>
      <xdr:col>22</xdr:col>
      <xdr:colOff>171451</xdr:colOff>
      <xdr:row>300</xdr:row>
      <xdr:rowOff>93346</xdr:rowOff>
    </xdr:to>
    <xdr:sp macro="" textlink="Resumo!$F$389">
      <xdr:nvSpPr>
        <xdr:cNvPr id="76632" name="CaixaDeTexto 76631">
          <a:extLst>
            <a:ext uri="{FF2B5EF4-FFF2-40B4-BE49-F238E27FC236}">
              <a16:creationId xmlns:a16="http://schemas.microsoft.com/office/drawing/2014/main" id="{00000000-0008-0000-1000-0000582B0100}"/>
            </a:ext>
          </a:extLst>
        </xdr:cNvPr>
        <xdr:cNvSpPr txBox="1"/>
      </xdr:nvSpPr>
      <xdr:spPr>
        <a:xfrm>
          <a:off x="5113020" y="58317766"/>
          <a:ext cx="493396"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fld id="{F9B53BBA-71F4-46FC-BB2E-4C69A11A3302}" type="TxLink">
            <a:rPr lang="en-US" sz="800" b="0" i="1">
              <a:solidFill>
                <a:schemeClr val="bg1">
                  <a:lumMod val="50000"/>
                </a:schemeClr>
              </a:solidFill>
              <a:effectLst/>
              <a:latin typeface="Times New Roman" panose="02020603050405020304" pitchFamily="18" charset="0"/>
              <a:ea typeface="+mn-ea"/>
              <a:cs typeface="Times New Roman" panose="02020603050405020304" pitchFamily="18" charset="0"/>
            </a:rPr>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t>4d</a:t>
          </a:fld>
          <a:endParaRPr lang="pt-BR" sz="800" b="0" i="1">
            <a:solidFill>
              <a:schemeClr val="bg1">
                <a:lumMod val="50000"/>
              </a:schemeClr>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17</xdr:col>
      <xdr:colOff>56239</xdr:colOff>
      <xdr:row>299</xdr:row>
      <xdr:rowOff>92967</xdr:rowOff>
    </xdr:from>
    <xdr:to>
      <xdr:col>19</xdr:col>
      <xdr:colOff>134809</xdr:colOff>
      <xdr:row>302</xdr:row>
      <xdr:rowOff>92203</xdr:rowOff>
    </xdr:to>
    <xdr:grpSp>
      <xdr:nvGrpSpPr>
        <xdr:cNvPr id="76633" name="Agrupar 76632">
          <a:extLst>
            <a:ext uri="{FF2B5EF4-FFF2-40B4-BE49-F238E27FC236}">
              <a16:creationId xmlns:a16="http://schemas.microsoft.com/office/drawing/2014/main" id="{00000000-0008-0000-1000-0000592B0100}"/>
            </a:ext>
          </a:extLst>
        </xdr:cNvPr>
        <xdr:cNvGrpSpPr/>
      </xdr:nvGrpSpPr>
      <xdr:grpSpPr>
        <a:xfrm>
          <a:off x="4028164" y="57414417"/>
          <a:ext cx="535770" cy="570736"/>
          <a:chOff x="4339654" y="58452642"/>
          <a:chExt cx="554820" cy="542161"/>
        </a:xfrm>
      </xdr:grpSpPr>
      <xdr:sp macro="" textlink="">
        <xdr:nvSpPr>
          <xdr:cNvPr id="76634" name="Elipse 76633">
            <a:extLst>
              <a:ext uri="{FF2B5EF4-FFF2-40B4-BE49-F238E27FC236}">
                <a16:creationId xmlns:a16="http://schemas.microsoft.com/office/drawing/2014/main" id="{00000000-0008-0000-1000-00005A2B0100}"/>
              </a:ext>
            </a:extLst>
          </xdr:cNvPr>
          <xdr:cNvSpPr/>
        </xdr:nvSpPr>
        <xdr:spPr>
          <a:xfrm>
            <a:off x="4339654" y="58452642"/>
            <a:ext cx="554820" cy="542161"/>
          </a:xfrm>
          <a:prstGeom prst="ellipse">
            <a:avLst/>
          </a:prstGeom>
          <a:noFill/>
          <a:ln w="28575">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76635" name="Imagem 76634">
            <a:extLst>
              <a:ext uri="{FF2B5EF4-FFF2-40B4-BE49-F238E27FC236}">
                <a16:creationId xmlns:a16="http://schemas.microsoft.com/office/drawing/2014/main" id="{00000000-0008-0000-1000-00005B2B0100}"/>
              </a:ext>
            </a:extLst>
          </xdr:cNvPr>
          <xdr:cNvPicPr>
            <a:picLocks noChangeAspect="1"/>
          </xdr:cNvPicPr>
        </xdr:nvPicPr>
        <xdr:blipFill>
          <a:blip xmlns:r="http://schemas.openxmlformats.org/officeDocument/2006/relationships" r:embed="rId32"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4398646" y="58523854"/>
            <a:ext cx="437374" cy="433905"/>
          </a:xfrm>
          <a:prstGeom prst="rect">
            <a:avLst/>
          </a:prstGeom>
        </xdr:spPr>
      </xdr:pic>
    </xdr:grpSp>
    <xdr:clientData/>
  </xdr:twoCellAnchor>
  <xdr:twoCellAnchor>
    <xdr:from>
      <xdr:col>10</xdr:col>
      <xdr:colOff>168977</xdr:colOff>
      <xdr:row>299</xdr:row>
      <xdr:rowOff>93102</xdr:rowOff>
    </xdr:from>
    <xdr:to>
      <xdr:col>13</xdr:col>
      <xdr:colOff>18826</xdr:colOff>
      <xdr:row>302</xdr:row>
      <xdr:rowOff>95877</xdr:rowOff>
    </xdr:to>
    <xdr:grpSp>
      <xdr:nvGrpSpPr>
        <xdr:cNvPr id="76636" name="Agrupar 76635">
          <a:extLst>
            <a:ext uri="{FF2B5EF4-FFF2-40B4-BE49-F238E27FC236}">
              <a16:creationId xmlns:a16="http://schemas.microsoft.com/office/drawing/2014/main" id="{00000000-0008-0000-1000-00005C2B0100}"/>
            </a:ext>
          </a:extLst>
        </xdr:cNvPr>
        <xdr:cNvGrpSpPr/>
      </xdr:nvGrpSpPr>
      <xdr:grpSpPr>
        <a:xfrm>
          <a:off x="2540702" y="57414552"/>
          <a:ext cx="535649" cy="574275"/>
          <a:chOff x="2801123" y="58448967"/>
          <a:chExt cx="558509" cy="539985"/>
        </a:xfrm>
      </xdr:grpSpPr>
      <xdr:pic>
        <xdr:nvPicPr>
          <xdr:cNvPr id="76637" name="Imagem 76636">
            <a:extLst>
              <a:ext uri="{FF2B5EF4-FFF2-40B4-BE49-F238E27FC236}">
                <a16:creationId xmlns:a16="http://schemas.microsoft.com/office/drawing/2014/main" id="{00000000-0008-0000-1000-00005D2B0100}"/>
              </a:ext>
            </a:extLst>
          </xdr:cNvPr>
          <xdr:cNvPicPr>
            <a:picLocks noChangeAspect="1"/>
          </xdr:cNvPicPr>
        </xdr:nvPicPr>
        <xdr:blipFill>
          <a:blip xmlns:r="http://schemas.openxmlformats.org/officeDocument/2006/relationships" r:embed="rId33"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2860818" y="58491049"/>
            <a:ext cx="434274" cy="433905"/>
          </a:xfrm>
          <a:prstGeom prst="rect">
            <a:avLst/>
          </a:prstGeom>
        </xdr:spPr>
      </xdr:pic>
      <xdr:sp macro="" textlink="">
        <xdr:nvSpPr>
          <xdr:cNvPr id="76638" name="Elipse 76637">
            <a:extLst>
              <a:ext uri="{FF2B5EF4-FFF2-40B4-BE49-F238E27FC236}">
                <a16:creationId xmlns:a16="http://schemas.microsoft.com/office/drawing/2014/main" id="{00000000-0008-0000-1000-00005E2B0100}"/>
              </a:ext>
            </a:extLst>
          </xdr:cNvPr>
          <xdr:cNvSpPr/>
        </xdr:nvSpPr>
        <xdr:spPr>
          <a:xfrm>
            <a:off x="2801123" y="58448967"/>
            <a:ext cx="558509" cy="539985"/>
          </a:xfrm>
          <a:prstGeom prst="ellipse">
            <a:avLst/>
          </a:prstGeom>
          <a:noFill/>
          <a:ln w="28575">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twoCellAnchor>
    <xdr:from>
      <xdr:col>1</xdr:col>
      <xdr:colOff>0</xdr:colOff>
      <xdr:row>293</xdr:row>
      <xdr:rowOff>163830</xdr:rowOff>
    </xdr:from>
    <xdr:to>
      <xdr:col>7</xdr:col>
      <xdr:colOff>93344</xdr:colOff>
      <xdr:row>304</xdr:row>
      <xdr:rowOff>78105</xdr:rowOff>
    </xdr:to>
    <xdr:sp macro="" textlink="">
      <xdr:nvSpPr>
        <xdr:cNvPr id="76639" name="Retângulo 76638">
          <a:extLst>
            <a:ext uri="{FF2B5EF4-FFF2-40B4-BE49-F238E27FC236}">
              <a16:creationId xmlns:a16="http://schemas.microsoft.com/office/drawing/2014/main" id="{00000000-0008-0000-1000-00005F2B0100}"/>
            </a:ext>
          </a:extLst>
        </xdr:cNvPr>
        <xdr:cNvSpPr/>
      </xdr:nvSpPr>
      <xdr:spPr>
        <a:xfrm>
          <a:off x="322385" y="57533638"/>
          <a:ext cx="1544074" cy="1929179"/>
        </a:xfrm>
        <a:prstGeom prst="rect">
          <a:avLst/>
        </a:prstGeom>
        <a:solidFill>
          <a:schemeClr val="bg1">
            <a:alpha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5</xdr:col>
      <xdr:colOff>158115</xdr:colOff>
      <xdr:row>293</xdr:row>
      <xdr:rowOff>131417</xdr:rowOff>
    </xdr:from>
    <xdr:to>
      <xdr:col>11</xdr:col>
      <xdr:colOff>160019</xdr:colOff>
      <xdr:row>296</xdr:row>
      <xdr:rowOff>59065</xdr:rowOff>
    </xdr:to>
    <xdr:sp macro="" textlink="">
      <xdr:nvSpPr>
        <xdr:cNvPr id="76640" name="CaixaDeTexto 76639">
          <a:extLst>
            <a:ext uri="{FF2B5EF4-FFF2-40B4-BE49-F238E27FC236}">
              <a16:creationId xmlns:a16="http://schemas.microsoft.com/office/drawing/2014/main" id="{00000000-0008-0000-1000-0000602B0100}"/>
            </a:ext>
          </a:extLst>
        </xdr:cNvPr>
        <xdr:cNvSpPr txBox="1"/>
      </xdr:nvSpPr>
      <xdr:spPr>
        <a:xfrm>
          <a:off x="1550670" y="57409052"/>
          <a:ext cx="1430654" cy="462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marL="0" marR="0" lvl="0" indent="0" algn="ctr"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pt-BR" sz="1000" b="1">
              <a:solidFill>
                <a:schemeClr val="bg1">
                  <a:lumMod val="50000"/>
                </a:schemeClr>
              </a:solidFill>
              <a:effectLst/>
              <a:latin typeface="Times New Roman" panose="02020603050405020304" pitchFamily="18" charset="0"/>
              <a:ea typeface="+mn-ea"/>
              <a:cs typeface="Times New Roman" panose="02020603050405020304" pitchFamily="18" charset="0"/>
            </a:rPr>
            <a:t>Aceite da Proposta Final e Assinatura do Contrato</a:t>
          </a:r>
        </a:p>
      </xdr:txBody>
    </xdr:sp>
    <xdr:clientData/>
  </xdr:twoCellAnchor>
  <xdr:twoCellAnchor>
    <xdr:from>
      <xdr:col>3</xdr:col>
      <xdr:colOff>4428</xdr:colOff>
      <xdr:row>298</xdr:row>
      <xdr:rowOff>94918</xdr:rowOff>
    </xdr:from>
    <xdr:to>
      <xdr:col>4</xdr:col>
      <xdr:colOff>148508</xdr:colOff>
      <xdr:row>299</xdr:row>
      <xdr:rowOff>176235</xdr:rowOff>
    </xdr:to>
    <xdr:cxnSp macro="">
      <xdr:nvCxnSpPr>
        <xdr:cNvPr id="76641" name="Conector reto 76640">
          <a:extLst>
            <a:ext uri="{FF2B5EF4-FFF2-40B4-BE49-F238E27FC236}">
              <a16:creationId xmlns:a16="http://schemas.microsoft.com/office/drawing/2014/main" id="{00000000-0008-0000-1000-0000612B0100}"/>
            </a:ext>
          </a:extLst>
        </xdr:cNvPr>
        <xdr:cNvCxnSpPr>
          <a:stCxn id="76599" idx="5"/>
          <a:endCxn id="76606" idx="1"/>
        </xdr:cNvCxnSpPr>
      </xdr:nvCxnSpPr>
      <xdr:spPr>
        <a:xfrm>
          <a:off x="920733" y="58277428"/>
          <a:ext cx="378395" cy="254672"/>
        </a:xfrm>
        <a:prstGeom prst="line">
          <a:avLst/>
        </a:prstGeom>
        <a:ln>
          <a:solidFill>
            <a:schemeClr val="bg1">
              <a:lumMod val="50000"/>
            </a:schemeClr>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6</xdr:col>
      <xdr:colOff>67919</xdr:colOff>
      <xdr:row>298</xdr:row>
      <xdr:rowOff>118114</xdr:rowOff>
    </xdr:from>
    <xdr:to>
      <xdr:col>7</xdr:col>
      <xdr:colOff>210993</xdr:colOff>
      <xdr:row>299</xdr:row>
      <xdr:rowOff>176235</xdr:rowOff>
    </xdr:to>
    <xdr:cxnSp macro="">
      <xdr:nvCxnSpPr>
        <xdr:cNvPr id="76642" name="Conector reto 76641">
          <a:extLst>
            <a:ext uri="{FF2B5EF4-FFF2-40B4-BE49-F238E27FC236}">
              <a16:creationId xmlns:a16="http://schemas.microsoft.com/office/drawing/2014/main" id="{00000000-0008-0000-1000-0000622B0100}"/>
            </a:ext>
          </a:extLst>
        </xdr:cNvPr>
        <xdr:cNvCxnSpPr>
          <a:stCxn id="76606" idx="7"/>
          <a:endCxn id="76603" idx="3"/>
        </xdr:cNvCxnSpPr>
      </xdr:nvCxnSpPr>
      <xdr:spPr>
        <a:xfrm flipV="1">
          <a:off x="1694789" y="58298719"/>
          <a:ext cx="379294" cy="233381"/>
        </a:xfrm>
        <a:prstGeom prst="line">
          <a:avLst/>
        </a:prstGeom>
        <a:ln>
          <a:solidFill>
            <a:schemeClr val="bg1">
              <a:lumMod val="50000"/>
            </a:schemeClr>
          </a:solidFill>
        </a:ln>
      </xdr:spPr>
      <xdr:style>
        <a:lnRef idx="1">
          <a:schemeClr val="accent6"/>
        </a:lnRef>
        <a:fillRef idx="0">
          <a:schemeClr val="accent6"/>
        </a:fillRef>
        <a:effectRef idx="0">
          <a:schemeClr val="accent6"/>
        </a:effectRef>
        <a:fontRef idx="minor">
          <a:schemeClr val="tx1"/>
        </a:fontRef>
      </xdr:style>
    </xdr:cxnSp>
    <xdr:clientData/>
  </xdr:twoCellAnchor>
  <xdr:oneCellAnchor>
    <xdr:from>
      <xdr:col>0</xdr:col>
      <xdr:colOff>0</xdr:colOff>
      <xdr:row>250</xdr:row>
      <xdr:rowOff>116656</xdr:rowOff>
    </xdr:from>
    <xdr:ext cx="6925015" cy="1592130"/>
    <xdr:sp macro="" textlink="">
      <xdr:nvSpPr>
        <xdr:cNvPr id="20" name="CaixaDeTexto 19">
          <a:extLst>
            <a:ext uri="{FF2B5EF4-FFF2-40B4-BE49-F238E27FC236}">
              <a16:creationId xmlns:a16="http://schemas.microsoft.com/office/drawing/2014/main" id="{00000000-0008-0000-1000-000014000000}"/>
            </a:ext>
          </a:extLst>
        </xdr:cNvPr>
        <xdr:cNvSpPr txBox="1"/>
      </xdr:nvSpPr>
      <xdr:spPr>
        <a:xfrm>
          <a:off x="0" y="46274806"/>
          <a:ext cx="6925015" cy="1592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r>
            <a:rPr lang="pt-BR" sz="900">
              <a:solidFill>
                <a:schemeClr val="bg1">
                  <a:lumMod val="50000"/>
                </a:schemeClr>
              </a:solidFill>
              <a:effectLst/>
              <a:latin typeface="Times New Roman" panose="02020603050405020304" pitchFamily="18" charset="0"/>
              <a:ea typeface="+mn-ea"/>
              <a:cs typeface="Times New Roman" panose="02020603050405020304" pitchFamily="18" charset="0"/>
            </a:rPr>
            <a:t>Parâmetros:</a:t>
          </a:r>
        </a:p>
        <a:p>
          <a:pPr marL="685800" marR="0" lvl="1" indent="-228600" algn="just" defTabSz="914400" eaLnBrk="1" fontAlgn="auto" latinLnBrk="0" hangingPunct="1">
            <a:lnSpc>
              <a:spcPct val="150000"/>
            </a:lnSpc>
            <a:spcBef>
              <a:spcPts val="0"/>
            </a:spcBef>
            <a:spcAft>
              <a:spcPts val="0"/>
            </a:spcAft>
            <a:buClrTx/>
            <a:buSzTx/>
            <a:buFont typeface="+mj-lt"/>
            <a:buAutoNum type="arabicParenR"/>
            <a:tabLst/>
            <a:defRPr/>
          </a:pPr>
          <a:r>
            <a:rPr lang="pt-BR" sz="900">
              <a:solidFill>
                <a:schemeClr val="bg1">
                  <a:lumMod val="50000"/>
                </a:schemeClr>
              </a:solidFill>
              <a:effectLst/>
              <a:latin typeface="Times New Roman" panose="02020603050405020304" pitchFamily="18" charset="0"/>
              <a:ea typeface="+mn-ea"/>
              <a:cs typeface="Times New Roman" panose="02020603050405020304" pitchFamily="18" charset="0"/>
            </a:rPr>
            <a:t>Para estudo de geração foi considerado diversos fatores de perda, como temperatura, inclinação, orientação, mismatch, sombreamento, sujidade, entre outros;</a:t>
          </a:r>
        </a:p>
        <a:p>
          <a:pPr marL="685800" marR="0" lvl="1" indent="-228600" algn="just" defTabSz="914400" eaLnBrk="1" fontAlgn="auto" latinLnBrk="0" hangingPunct="1">
            <a:lnSpc>
              <a:spcPct val="150000"/>
            </a:lnSpc>
            <a:spcBef>
              <a:spcPts val="0"/>
            </a:spcBef>
            <a:spcAft>
              <a:spcPts val="0"/>
            </a:spcAft>
            <a:buClrTx/>
            <a:buSzTx/>
            <a:buFont typeface="+mj-lt"/>
            <a:buAutoNum type="arabicParenR"/>
            <a:tabLst/>
            <a:defRPr/>
          </a:pPr>
          <a:r>
            <a:rPr lang="pt-BR" sz="900">
              <a:solidFill>
                <a:schemeClr val="bg1">
                  <a:lumMod val="50000"/>
                </a:schemeClr>
              </a:solidFill>
              <a:effectLst/>
              <a:latin typeface="Times New Roman" panose="02020603050405020304" pitchFamily="18" charset="0"/>
              <a:ea typeface="+mn-ea"/>
              <a:cs typeface="Times New Roman" panose="02020603050405020304" pitchFamily="18" charset="0"/>
            </a:rPr>
            <a:t>Para estudo de sombreamento e irradiação foi utilizado software específico para maior assertividade (caso tenha sido contratado);</a:t>
          </a:r>
        </a:p>
        <a:p>
          <a:pPr marL="685800" marR="0" lvl="1" indent="-228600" algn="just" defTabSz="914400" eaLnBrk="1" fontAlgn="auto" latinLnBrk="0" hangingPunct="1">
            <a:lnSpc>
              <a:spcPct val="150000"/>
            </a:lnSpc>
            <a:spcBef>
              <a:spcPts val="0"/>
            </a:spcBef>
            <a:spcAft>
              <a:spcPts val="0"/>
            </a:spcAft>
            <a:buClrTx/>
            <a:buSzTx/>
            <a:buFont typeface="+mj-lt"/>
            <a:buAutoNum type="arabicParenR"/>
            <a:tabLst/>
            <a:defRPr/>
          </a:pPr>
          <a:r>
            <a:rPr lang="pt-BR" sz="900">
              <a:solidFill>
                <a:schemeClr val="bg1">
                  <a:lumMod val="50000"/>
                </a:schemeClr>
              </a:solidFill>
              <a:effectLst/>
              <a:latin typeface="Times New Roman" panose="02020603050405020304" pitchFamily="18" charset="0"/>
              <a:ea typeface="+mn-ea"/>
              <a:cs typeface="Times New Roman" panose="02020603050405020304" pitchFamily="18" charset="0"/>
            </a:rPr>
            <a:t>A geração prevista foi baseada em histórico de irradiância para o local onde será instalada a usina e poderá apresentar divergências para períodos climáticos atípicos.</a:t>
          </a:r>
        </a:p>
        <a:p>
          <a:pPr marL="685800" marR="0" lvl="1" indent="-228600" algn="just" defTabSz="914400" eaLnBrk="1" fontAlgn="auto" latinLnBrk="0" hangingPunct="1">
            <a:lnSpc>
              <a:spcPct val="150000"/>
            </a:lnSpc>
            <a:spcBef>
              <a:spcPts val="0"/>
            </a:spcBef>
            <a:spcAft>
              <a:spcPts val="0"/>
            </a:spcAft>
            <a:buClrTx/>
            <a:buSzTx/>
            <a:buFont typeface="+mj-lt"/>
            <a:buAutoNum type="arabicParenR"/>
            <a:tabLst/>
            <a:defRPr/>
          </a:pPr>
          <a:r>
            <a:rPr lang="pt-BR" sz="900">
              <a:solidFill>
                <a:schemeClr val="bg1">
                  <a:lumMod val="50000"/>
                </a:schemeClr>
              </a:solidFill>
              <a:effectLst/>
              <a:latin typeface="Times New Roman" panose="02020603050405020304" pitchFamily="18" charset="0"/>
              <a:ea typeface="+mn-ea"/>
              <a:cs typeface="Times New Roman" panose="02020603050405020304" pitchFamily="18" charset="0"/>
            </a:rPr>
            <a:t>Todos os cuidados foram tomados e cálculos realizados para se obter a maior taxa de assertividade dos valores. </a:t>
          </a:r>
        </a:p>
        <a:p>
          <a:pPr marL="0" marR="0" lvl="0" indent="288000" algn="just" defTabSz="914400" eaLnBrk="1" fontAlgn="auto" latinLnBrk="0" hangingPunct="1">
            <a:lnSpc>
              <a:spcPct val="150000"/>
            </a:lnSpc>
            <a:spcBef>
              <a:spcPts val="0"/>
            </a:spcBef>
            <a:spcAft>
              <a:spcPts val="0"/>
            </a:spcAft>
            <a:buClrTx/>
            <a:buSzTx/>
            <a:buFont typeface="Arial" panose="020B0604020202020204" pitchFamily="34" charset="0"/>
            <a:buNone/>
            <a:tabLst/>
            <a:defRPr/>
          </a:pPr>
          <a:endParaRPr lang="pt-BR" sz="1050">
            <a:solidFill>
              <a:schemeClr val="bg1">
                <a:lumMod val="50000"/>
              </a:schemeClr>
            </a:solidFill>
            <a:effectLst/>
            <a:latin typeface="Times New Roman" panose="02020603050405020304" pitchFamily="18" charset="0"/>
            <a:ea typeface="+mn-ea"/>
            <a:cs typeface="Times New Roman" panose="02020603050405020304" pitchFamily="18" charset="0"/>
          </a:endParaRPr>
        </a:p>
      </xdr:txBody>
    </xdr:sp>
    <xdr:clientData/>
  </xdr:oneCellAnchor>
  <xdr:twoCellAnchor editAs="oneCell">
    <xdr:from>
      <xdr:col>0</xdr:col>
      <xdr:colOff>0</xdr:colOff>
      <xdr:row>154</xdr:row>
      <xdr:rowOff>56447</xdr:rowOff>
    </xdr:from>
    <xdr:to>
      <xdr:col>10</xdr:col>
      <xdr:colOff>56851</xdr:colOff>
      <xdr:row>205</xdr:row>
      <xdr:rowOff>173181</xdr:rowOff>
    </xdr:to>
    <xdr:pic>
      <xdr:nvPicPr>
        <xdr:cNvPr id="6" name="Imagem 5">
          <a:extLst>
            <a:ext uri="{FF2B5EF4-FFF2-40B4-BE49-F238E27FC236}">
              <a16:creationId xmlns:a16="http://schemas.microsoft.com/office/drawing/2014/main" id="{00000000-0008-0000-1000-000006000000}"/>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58820" t="5073" r="5632" b="4359"/>
        <a:stretch/>
      </xdr:blipFill>
      <xdr:spPr>
        <a:xfrm>
          <a:off x="0" y="27592356"/>
          <a:ext cx="2571797" cy="8945197"/>
        </a:xfrm>
        <a:prstGeom prst="rect">
          <a:avLst/>
        </a:prstGeom>
      </xdr:spPr>
    </xdr:pic>
    <xdr:clientData/>
  </xdr:twoCellAnchor>
  <xdr:twoCellAnchor editAs="oneCell">
    <xdr:from>
      <xdr:col>17</xdr:col>
      <xdr:colOff>165524</xdr:colOff>
      <xdr:row>100</xdr:row>
      <xdr:rowOff>115512</xdr:rowOff>
    </xdr:from>
    <xdr:to>
      <xdr:col>28</xdr:col>
      <xdr:colOff>381461</xdr:colOff>
      <xdr:row>152</xdr:row>
      <xdr:rowOff>16142</xdr:rowOff>
    </xdr:to>
    <xdr:pic>
      <xdr:nvPicPr>
        <xdr:cNvPr id="7" name="Imagem 6">
          <a:extLst>
            <a:ext uri="{FF2B5EF4-FFF2-40B4-BE49-F238E27FC236}">
              <a16:creationId xmlns:a16="http://schemas.microsoft.com/office/drawing/2014/main" id="{00000000-0008-0000-1000-000007000000}"/>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2022" t="4925" r="58004" b="3787"/>
        <a:stretch/>
      </xdr:blipFill>
      <xdr:spPr>
        <a:xfrm>
          <a:off x="4373842" y="18213012"/>
          <a:ext cx="2865619" cy="8909895"/>
        </a:xfrm>
        <a:prstGeom prst="rect">
          <a:avLst/>
        </a:prstGeom>
      </xdr:spPr>
    </xdr:pic>
    <xdr:clientData/>
  </xdr:twoCellAnchor>
  <xdr:twoCellAnchor editAs="oneCell">
    <xdr:from>
      <xdr:col>1</xdr:col>
      <xdr:colOff>133350</xdr:colOff>
      <xdr:row>51</xdr:row>
      <xdr:rowOff>112621</xdr:rowOff>
    </xdr:from>
    <xdr:to>
      <xdr:col>26</xdr:col>
      <xdr:colOff>93456</xdr:colOff>
      <xdr:row>70</xdr:row>
      <xdr:rowOff>112059</xdr:rowOff>
    </xdr:to>
    <xdr:sp macro="" textlink="">
      <xdr:nvSpPr>
        <xdr:cNvPr id="19" name="CaixaDeTexto 18">
          <a:extLst>
            <a:ext uri="{FF2B5EF4-FFF2-40B4-BE49-F238E27FC236}">
              <a16:creationId xmlns:a16="http://schemas.microsoft.com/office/drawing/2014/main" id="{00000000-0008-0000-1000-000013000000}"/>
            </a:ext>
          </a:extLst>
        </xdr:cNvPr>
        <xdr:cNvSpPr txBox="1"/>
      </xdr:nvSpPr>
      <xdr:spPr>
        <a:xfrm>
          <a:off x="567690" y="10599646"/>
          <a:ext cx="5920851" cy="3437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396000" algn="just" defTabSz="914400" eaLnBrk="1" fontAlgn="auto" latinLnBrk="0" hangingPunct="1">
            <a:lnSpc>
              <a:spcPct val="150000"/>
            </a:lnSpc>
            <a:spcBef>
              <a:spcPts val="300"/>
            </a:spcBef>
            <a:spcAft>
              <a:spcPts val="0"/>
            </a:spcAft>
            <a:buClr>
              <a:schemeClr val="accent6">
                <a:lumMod val="50000"/>
              </a:schemeClr>
            </a:buClr>
            <a:buSzPct val="150000"/>
            <a:buFont typeface="+mj-lt"/>
            <a:buAutoNum type="arabicPeriod"/>
            <a:tabLst/>
            <a:defRPr/>
          </a:pPr>
          <a:r>
            <a:rPr lang="pt-BR" sz="1200">
              <a:solidFill>
                <a:schemeClr val="dk1"/>
              </a:solidFill>
              <a:effectLst/>
              <a:latin typeface="Times New Roman" panose="02020603050405020304" pitchFamily="18" charset="0"/>
              <a:ea typeface="+mn-ea"/>
              <a:cs typeface="Times New Roman" panose="02020603050405020304" pitchFamily="18" charset="0"/>
            </a:rPr>
            <a:t>Redução significativa na fatura de energia;</a:t>
          </a:r>
        </a:p>
        <a:p>
          <a:pPr marL="0" marR="0" lvl="0" indent="-396000" algn="just" defTabSz="914400" eaLnBrk="1" fontAlgn="auto" latinLnBrk="0" hangingPunct="1">
            <a:lnSpc>
              <a:spcPct val="150000"/>
            </a:lnSpc>
            <a:spcBef>
              <a:spcPts val="300"/>
            </a:spcBef>
            <a:spcAft>
              <a:spcPts val="0"/>
            </a:spcAft>
            <a:buClr>
              <a:schemeClr val="accent6">
                <a:lumMod val="50000"/>
              </a:schemeClr>
            </a:buClr>
            <a:buSzPct val="150000"/>
            <a:buFont typeface="+mj-lt"/>
            <a:buAutoNum type="arabicPeriod"/>
            <a:tabLst/>
            <a:defRPr/>
          </a:pPr>
          <a:r>
            <a:rPr lang="pt-BR" sz="1200">
              <a:solidFill>
                <a:schemeClr val="dk1"/>
              </a:solidFill>
              <a:effectLst/>
              <a:latin typeface="Times New Roman" panose="02020603050405020304" pitchFamily="18" charset="0"/>
              <a:ea typeface="+mn-ea"/>
              <a:cs typeface="Times New Roman" panose="02020603050405020304" pitchFamily="18" charset="0"/>
            </a:rPr>
            <a:t>Mais</a:t>
          </a:r>
          <a:r>
            <a:rPr lang="pt-BR" sz="1200" baseline="0">
              <a:solidFill>
                <a:schemeClr val="dk1"/>
              </a:solidFill>
              <a:effectLst/>
              <a:latin typeface="Times New Roman" panose="02020603050405020304" pitchFamily="18" charset="0"/>
              <a:ea typeface="+mn-ea"/>
              <a:cs typeface="Times New Roman" panose="02020603050405020304" pitchFamily="18" charset="0"/>
            </a:rPr>
            <a:t> conforto;</a:t>
          </a:r>
        </a:p>
        <a:p>
          <a:pPr marL="0" marR="0" lvl="0" indent="-396000" algn="just" defTabSz="914400" eaLnBrk="1" fontAlgn="auto" latinLnBrk="0" hangingPunct="1">
            <a:lnSpc>
              <a:spcPct val="150000"/>
            </a:lnSpc>
            <a:spcBef>
              <a:spcPts val="300"/>
            </a:spcBef>
            <a:spcAft>
              <a:spcPts val="0"/>
            </a:spcAft>
            <a:buClr>
              <a:schemeClr val="accent6">
                <a:lumMod val="50000"/>
              </a:schemeClr>
            </a:buClr>
            <a:buSzPct val="150000"/>
            <a:buFont typeface="+mj-lt"/>
            <a:buAutoNum type="arabicPeriod"/>
            <a:tabLst/>
            <a:defRPr/>
          </a:pPr>
          <a:r>
            <a:rPr lang="pt-BR" sz="1200" baseline="0">
              <a:solidFill>
                <a:schemeClr val="dk1"/>
              </a:solidFill>
              <a:effectLst/>
              <a:latin typeface="Times New Roman" panose="02020603050405020304" pitchFamily="18" charset="0"/>
              <a:ea typeface="+mn-ea"/>
              <a:cs typeface="Times New Roman" panose="02020603050405020304" pitchFamily="18" charset="0"/>
            </a:rPr>
            <a:t>Reinvestir na empresa;</a:t>
          </a:r>
        </a:p>
        <a:p>
          <a:pPr marL="0" marR="0" lvl="0" indent="-396000" algn="just" defTabSz="914400" eaLnBrk="1" fontAlgn="auto" latinLnBrk="0" hangingPunct="1">
            <a:lnSpc>
              <a:spcPct val="150000"/>
            </a:lnSpc>
            <a:spcBef>
              <a:spcPts val="300"/>
            </a:spcBef>
            <a:spcAft>
              <a:spcPts val="0"/>
            </a:spcAft>
            <a:buClr>
              <a:schemeClr val="accent6">
                <a:lumMod val="50000"/>
              </a:schemeClr>
            </a:buClr>
            <a:buSzPct val="150000"/>
            <a:buFont typeface="+mj-lt"/>
            <a:buAutoNum type="arabicPeriod"/>
            <a:tabLst/>
            <a:defRPr/>
          </a:pPr>
          <a:r>
            <a:rPr lang="pt-BR" sz="1200" baseline="0">
              <a:solidFill>
                <a:schemeClr val="dk1"/>
              </a:solidFill>
              <a:effectLst/>
              <a:latin typeface="Times New Roman" panose="02020603050405020304" pitchFamily="18" charset="0"/>
              <a:ea typeface="+mn-ea"/>
              <a:cs typeface="Times New Roman" panose="02020603050405020304" pitchFamily="18" charset="0"/>
            </a:rPr>
            <a:t>Viajar mais;</a:t>
          </a:r>
        </a:p>
        <a:p>
          <a:pPr marL="0" marR="0" lvl="0" indent="-396000" algn="just" defTabSz="914400" eaLnBrk="1" fontAlgn="auto" latinLnBrk="0" hangingPunct="1">
            <a:lnSpc>
              <a:spcPct val="150000"/>
            </a:lnSpc>
            <a:spcBef>
              <a:spcPts val="300"/>
            </a:spcBef>
            <a:spcAft>
              <a:spcPts val="0"/>
            </a:spcAft>
            <a:buClr>
              <a:schemeClr val="accent6">
                <a:lumMod val="50000"/>
              </a:schemeClr>
            </a:buClr>
            <a:buSzPct val="150000"/>
            <a:buFont typeface="+mj-lt"/>
            <a:buAutoNum type="arabicPeriod"/>
            <a:tabLst/>
            <a:defRPr/>
          </a:pPr>
          <a:r>
            <a:rPr lang="pt-BR" sz="1200" baseline="0">
              <a:solidFill>
                <a:schemeClr val="dk1"/>
              </a:solidFill>
              <a:effectLst/>
              <a:latin typeface="Times New Roman" panose="02020603050405020304" pitchFamily="18" charset="0"/>
              <a:ea typeface="+mn-ea"/>
              <a:cs typeface="Times New Roman" panose="02020603050405020304" pitchFamily="18" charset="0"/>
            </a:rPr>
            <a:t>Aumentar poder de compra;</a:t>
          </a:r>
          <a:endParaRPr lang="pt-BR" sz="1200">
            <a:solidFill>
              <a:schemeClr val="dk1"/>
            </a:solidFill>
            <a:effectLst/>
            <a:latin typeface="Times New Roman" panose="02020603050405020304" pitchFamily="18" charset="0"/>
            <a:ea typeface="+mn-ea"/>
            <a:cs typeface="Times New Roman" panose="02020603050405020304" pitchFamily="18" charset="0"/>
          </a:endParaRPr>
        </a:p>
        <a:p>
          <a:pPr marL="0" marR="0" lvl="0" indent="-396000" algn="just" defTabSz="914400" eaLnBrk="1" fontAlgn="auto" latinLnBrk="0" hangingPunct="1">
            <a:lnSpc>
              <a:spcPct val="150000"/>
            </a:lnSpc>
            <a:spcBef>
              <a:spcPts val="300"/>
            </a:spcBef>
            <a:spcAft>
              <a:spcPts val="0"/>
            </a:spcAft>
            <a:buClr>
              <a:schemeClr val="accent6">
                <a:lumMod val="50000"/>
              </a:schemeClr>
            </a:buClr>
            <a:buSzPct val="150000"/>
            <a:buFont typeface="+mj-lt"/>
            <a:buAutoNum type="arabicPeriod"/>
            <a:tabLst/>
            <a:defRPr/>
          </a:pPr>
          <a:r>
            <a:rPr lang="pt-BR" sz="1200">
              <a:solidFill>
                <a:schemeClr val="dk1"/>
              </a:solidFill>
              <a:effectLst/>
              <a:latin typeface="Times New Roman" panose="02020603050405020304" pitchFamily="18" charset="0"/>
              <a:ea typeface="+mn-ea"/>
              <a:cs typeface="Times New Roman" panose="02020603050405020304" pitchFamily="18" charset="0"/>
            </a:rPr>
            <a:t>Proteção contra a inflação;</a:t>
          </a:r>
        </a:p>
        <a:p>
          <a:pPr marL="0" marR="0" lvl="0" indent="-396000" algn="just" defTabSz="914400" eaLnBrk="1" fontAlgn="auto" latinLnBrk="0" hangingPunct="1">
            <a:lnSpc>
              <a:spcPct val="150000"/>
            </a:lnSpc>
            <a:spcBef>
              <a:spcPts val="300"/>
            </a:spcBef>
            <a:spcAft>
              <a:spcPts val="0"/>
            </a:spcAft>
            <a:buClr>
              <a:schemeClr val="accent6">
                <a:lumMod val="50000"/>
              </a:schemeClr>
            </a:buClr>
            <a:buSzPct val="150000"/>
            <a:buFont typeface="+mj-lt"/>
            <a:buAutoNum type="arabicPeriod"/>
            <a:tabLst/>
            <a:defRPr/>
          </a:pPr>
          <a:r>
            <a:rPr lang="pt-BR" sz="1200">
              <a:solidFill>
                <a:schemeClr val="dk1"/>
              </a:solidFill>
              <a:effectLst/>
              <a:latin typeface="Times New Roman" panose="02020603050405020304" pitchFamily="18" charset="0"/>
              <a:ea typeface="+mn-ea"/>
              <a:cs typeface="Times New Roman" panose="02020603050405020304" pitchFamily="18" charset="0"/>
            </a:rPr>
            <a:t>Investimento com um melhor custo/benefício;</a:t>
          </a:r>
        </a:p>
        <a:p>
          <a:pPr marL="0" marR="0" lvl="0" indent="-396000" algn="just" defTabSz="914400" eaLnBrk="1" fontAlgn="auto" latinLnBrk="0" hangingPunct="1">
            <a:lnSpc>
              <a:spcPct val="150000"/>
            </a:lnSpc>
            <a:spcBef>
              <a:spcPts val="300"/>
            </a:spcBef>
            <a:spcAft>
              <a:spcPts val="0"/>
            </a:spcAft>
            <a:buClr>
              <a:schemeClr val="accent6">
                <a:lumMod val="50000"/>
              </a:schemeClr>
            </a:buClr>
            <a:buSzPct val="150000"/>
            <a:buFont typeface="+mj-lt"/>
            <a:buAutoNum type="arabicPeriod"/>
            <a:tabLst/>
            <a:defRPr/>
          </a:pPr>
          <a:r>
            <a:rPr lang="pt-BR" sz="1200">
              <a:solidFill>
                <a:schemeClr val="dk1"/>
              </a:solidFill>
              <a:effectLst/>
              <a:latin typeface="Times New Roman" panose="02020603050405020304" pitchFamily="18" charset="0"/>
              <a:ea typeface="+mn-ea"/>
              <a:cs typeface="Times New Roman" panose="02020603050405020304" pitchFamily="18" charset="0"/>
            </a:rPr>
            <a:t>Baixa manutenção;</a:t>
          </a:r>
        </a:p>
        <a:p>
          <a:pPr marL="0" marR="0" lvl="0" indent="-396000" algn="just" defTabSz="914400" eaLnBrk="1" fontAlgn="auto" latinLnBrk="0" hangingPunct="1">
            <a:lnSpc>
              <a:spcPct val="150000"/>
            </a:lnSpc>
            <a:spcBef>
              <a:spcPts val="300"/>
            </a:spcBef>
            <a:spcAft>
              <a:spcPts val="0"/>
            </a:spcAft>
            <a:buClr>
              <a:schemeClr val="accent6">
                <a:lumMod val="50000"/>
              </a:schemeClr>
            </a:buClr>
            <a:buSzPct val="150000"/>
            <a:buFont typeface="+mj-lt"/>
            <a:buAutoNum type="arabicPeriod"/>
            <a:tabLst/>
            <a:defRPr/>
          </a:pPr>
          <a:r>
            <a:rPr lang="pt-BR" sz="1200">
              <a:solidFill>
                <a:schemeClr val="dk1"/>
              </a:solidFill>
              <a:effectLst/>
              <a:latin typeface="Times New Roman" panose="02020603050405020304" pitchFamily="18" charset="0"/>
              <a:ea typeface="+mn-ea"/>
              <a:cs typeface="Times New Roman" panose="02020603050405020304" pitchFamily="18" charset="0"/>
            </a:rPr>
            <a:t>Valorização do imóvel;</a:t>
          </a:r>
        </a:p>
        <a:p>
          <a:pPr marL="0" marR="0" lvl="0" indent="-396000" algn="just" defTabSz="914400" eaLnBrk="1" fontAlgn="auto" latinLnBrk="0" hangingPunct="1">
            <a:lnSpc>
              <a:spcPct val="150000"/>
            </a:lnSpc>
            <a:spcBef>
              <a:spcPts val="300"/>
            </a:spcBef>
            <a:spcAft>
              <a:spcPts val="0"/>
            </a:spcAft>
            <a:buClr>
              <a:schemeClr val="accent6">
                <a:lumMod val="50000"/>
              </a:schemeClr>
            </a:buClr>
            <a:buSzPct val="150000"/>
            <a:buFont typeface="+mj-lt"/>
            <a:buAutoNum type="arabicPeriod"/>
            <a:tabLst/>
            <a:defRPr/>
          </a:pPr>
          <a:r>
            <a:rPr lang="pt-BR" sz="1200">
              <a:solidFill>
                <a:schemeClr val="dk1"/>
              </a:solidFill>
              <a:effectLst/>
              <a:latin typeface="Times New Roman" panose="02020603050405020304" pitchFamily="18" charset="0"/>
              <a:ea typeface="+mn-ea"/>
              <a:cs typeface="Times New Roman" panose="02020603050405020304" pitchFamily="18" charset="0"/>
            </a:rPr>
            <a:t>Escolha</a:t>
          </a:r>
          <a:r>
            <a:rPr lang="pt-BR" sz="1200" baseline="0">
              <a:solidFill>
                <a:schemeClr val="dk1"/>
              </a:solidFill>
              <a:effectLst/>
              <a:latin typeface="Times New Roman" panose="02020603050405020304" pitchFamily="18" charset="0"/>
              <a:ea typeface="+mn-ea"/>
              <a:cs typeface="Times New Roman" panose="02020603050405020304" pitchFamily="18" charset="0"/>
            </a:rPr>
            <a:t> de</a:t>
          </a:r>
          <a:r>
            <a:rPr lang="pt-BR" sz="1200">
              <a:solidFill>
                <a:schemeClr val="dk1"/>
              </a:solidFill>
              <a:effectLst/>
              <a:latin typeface="Times New Roman" panose="02020603050405020304" pitchFamily="18" charset="0"/>
              <a:ea typeface="+mn-ea"/>
              <a:cs typeface="Times New Roman" panose="02020603050405020304" pitchFamily="18" charset="0"/>
            </a:rPr>
            <a:t> uma energia limpa,</a:t>
          </a:r>
          <a:r>
            <a:rPr lang="pt-BR" sz="1200" baseline="0">
              <a:solidFill>
                <a:schemeClr val="dk1"/>
              </a:solidFill>
              <a:effectLst/>
              <a:latin typeface="Times New Roman" panose="02020603050405020304" pitchFamily="18" charset="0"/>
              <a:ea typeface="+mn-ea"/>
              <a:cs typeface="Times New Roman" panose="02020603050405020304" pitchFamily="18" charset="0"/>
            </a:rPr>
            <a:t> que ajudará na r</a:t>
          </a:r>
          <a:r>
            <a:rPr lang="pt-BR" sz="1200">
              <a:solidFill>
                <a:schemeClr val="dk1"/>
              </a:solidFill>
              <a:effectLst/>
              <a:latin typeface="Times New Roman" panose="02020603050405020304" pitchFamily="18" charset="0"/>
              <a:ea typeface="+mn-ea"/>
              <a:cs typeface="Times New Roman" panose="02020603050405020304" pitchFamily="18" charset="0"/>
            </a:rPr>
            <a:t>edução de emissão de CO₂.</a:t>
          </a:r>
        </a:p>
      </xdr:txBody>
    </xdr:sp>
    <xdr:clientData/>
  </xdr:twoCellAnchor>
  <xdr:twoCellAnchor editAs="oneCell">
    <xdr:from>
      <xdr:col>12</xdr:col>
      <xdr:colOff>92721</xdr:colOff>
      <xdr:row>81</xdr:row>
      <xdr:rowOff>57887</xdr:rowOff>
    </xdr:from>
    <xdr:to>
      <xdr:col>28</xdr:col>
      <xdr:colOff>133996</xdr:colOff>
      <xdr:row>97</xdr:row>
      <xdr:rowOff>54166</xdr:rowOff>
    </xdr:to>
    <xdr:pic>
      <xdr:nvPicPr>
        <xdr:cNvPr id="76643" name="Imagem 76642" descr="Resultado de imagem para COMO FUNCIONA ENERGIA SOLAR ON GRID">
          <a:extLst>
            <a:ext uri="{FF2B5EF4-FFF2-40B4-BE49-F238E27FC236}">
              <a16:creationId xmlns:a16="http://schemas.microsoft.com/office/drawing/2014/main" id="{00000000-0008-0000-1000-0000632B0100}"/>
            </a:ext>
          </a:extLst>
        </xdr:cNvPr>
        <xdr:cNvPicPr/>
      </xdr:nvPicPr>
      <xdr:blipFill>
        <a:blip xmlns:r="http://schemas.openxmlformats.org/officeDocument/2006/relationships" r:embed="rId35">
          <a:duotone>
            <a:schemeClr val="accent6">
              <a:shade val="45000"/>
              <a:satMod val="135000"/>
            </a:schemeClr>
            <a:prstClr val="white"/>
          </a:duotone>
          <a:extLst>
            <a:ext uri="{BEBA8EAE-BF5A-486C-A8C5-ECC9F3942E4B}">
              <a14:imgProps xmlns:a14="http://schemas.microsoft.com/office/drawing/2010/main">
                <a14:imgLayer r:embed="rId36">
                  <a14:imgEffect>
                    <a14:saturation sat="0"/>
                  </a14:imgEffect>
                </a14:imgLayer>
              </a14:imgProps>
            </a:ext>
            <a:ext uri="{28A0092B-C50C-407E-A947-70E740481C1C}">
              <a14:useLocalDpi xmlns:a14="http://schemas.microsoft.com/office/drawing/2010/main"/>
            </a:ext>
          </a:extLst>
        </a:blip>
        <a:srcRect/>
        <a:stretch>
          <a:fillRect/>
        </a:stretch>
      </xdr:blipFill>
      <xdr:spPr bwMode="auto">
        <a:xfrm>
          <a:off x="3154056" y="15865577"/>
          <a:ext cx="3834130" cy="2899499"/>
        </a:xfrm>
        <a:prstGeom prst="rect">
          <a:avLst/>
        </a:prstGeom>
        <a:noFill/>
      </xdr:spPr>
    </xdr:pic>
    <xdr:clientData/>
  </xdr:twoCellAnchor>
  <xdr:twoCellAnchor editAs="oneCell">
    <xdr:from>
      <xdr:col>0</xdr:col>
      <xdr:colOff>169544</xdr:colOff>
      <xdr:row>77</xdr:row>
      <xdr:rowOff>34792</xdr:rowOff>
    </xdr:from>
    <xdr:to>
      <xdr:col>28</xdr:col>
      <xdr:colOff>358169</xdr:colOff>
      <xdr:row>82</xdr:row>
      <xdr:rowOff>96987</xdr:rowOff>
    </xdr:to>
    <xdr:sp macro="" textlink="">
      <xdr:nvSpPr>
        <xdr:cNvPr id="76644" name="CaixaDeTexto 76643">
          <a:extLst>
            <a:ext uri="{FF2B5EF4-FFF2-40B4-BE49-F238E27FC236}">
              <a16:creationId xmlns:a16="http://schemas.microsoft.com/office/drawing/2014/main" id="{00000000-0008-0000-1000-0000642B0100}"/>
            </a:ext>
          </a:extLst>
        </xdr:cNvPr>
        <xdr:cNvSpPr txBox="1"/>
      </xdr:nvSpPr>
      <xdr:spPr>
        <a:xfrm>
          <a:off x="173354" y="15122392"/>
          <a:ext cx="6932325" cy="963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171450" algn="just" defTabSz="914400" eaLnBrk="1" fontAlgn="auto" latinLnBrk="0" hangingPunct="1">
            <a:lnSpc>
              <a:spcPct val="150000"/>
            </a:lnSpc>
            <a:spcBef>
              <a:spcPts val="0"/>
            </a:spcBef>
            <a:spcAft>
              <a:spcPts val="0"/>
            </a:spcAft>
            <a:buClr>
              <a:schemeClr val="accent6">
                <a:lumMod val="50000"/>
              </a:schemeClr>
            </a:buClr>
            <a:buSzTx/>
            <a:buFont typeface="Arial" panose="020B0604020202020204" pitchFamily="34" charset="0"/>
            <a:buChar char="•"/>
            <a:tabLst/>
            <a:defRPr/>
          </a:pPr>
          <a:r>
            <a:rPr lang="pt-BR" sz="1200">
              <a:solidFill>
                <a:schemeClr val="dk1"/>
              </a:solidFill>
              <a:effectLst/>
              <a:latin typeface="Times New Roman" panose="02020603050405020304" pitchFamily="18" charset="0"/>
              <a:ea typeface="+mn-ea"/>
              <a:cs typeface="Times New Roman" panose="02020603050405020304" pitchFamily="18" charset="0"/>
            </a:rPr>
            <a:t>Na Geração Distribuída (GD), a energia gerada pelo Sistema Fotovoltaico pode ser consumida instantaneamente pelos equipamentos da Unidade Consumidora (residência) e seu excedente injetado na rede da concessionária local para utilização posterior.</a:t>
          </a:r>
          <a:endParaRPr lang="pt-BR" sz="1200">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171450</xdr:colOff>
      <xdr:row>81</xdr:row>
      <xdr:rowOff>124524</xdr:rowOff>
    </xdr:from>
    <xdr:to>
      <xdr:col>12</xdr:col>
      <xdr:colOff>91776</xdr:colOff>
      <xdr:row>88</xdr:row>
      <xdr:rowOff>93707</xdr:rowOff>
    </xdr:to>
    <xdr:sp macro="" textlink="">
      <xdr:nvSpPr>
        <xdr:cNvPr id="76645" name="CaixaDeTexto 76644">
          <a:extLst>
            <a:ext uri="{FF2B5EF4-FFF2-40B4-BE49-F238E27FC236}">
              <a16:creationId xmlns:a16="http://schemas.microsoft.com/office/drawing/2014/main" id="{00000000-0008-0000-1000-0000652B0100}"/>
            </a:ext>
          </a:extLst>
        </xdr:cNvPr>
        <xdr:cNvSpPr txBox="1"/>
      </xdr:nvSpPr>
      <xdr:spPr>
        <a:xfrm>
          <a:off x="167640" y="15937929"/>
          <a:ext cx="2863551" cy="1237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171450" algn="just" defTabSz="914400" eaLnBrk="1" fontAlgn="auto" latinLnBrk="0" hangingPunct="1">
            <a:lnSpc>
              <a:spcPct val="150000"/>
            </a:lnSpc>
            <a:spcBef>
              <a:spcPts val="0"/>
            </a:spcBef>
            <a:spcAft>
              <a:spcPts val="0"/>
            </a:spcAft>
            <a:buClr>
              <a:schemeClr val="accent6">
                <a:lumMod val="50000"/>
              </a:schemeClr>
            </a:buClr>
            <a:buSzTx/>
            <a:buFont typeface="Arial" panose="020B0604020202020204" pitchFamily="34" charset="0"/>
            <a:buChar char="•"/>
            <a:tabLst/>
            <a:defRPr/>
          </a:pPr>
          <a:r>
            <a:rPr lang="pt-BR" sz="1200">
              <a:solidFill>
                <a:schemeClr val="dk1"/>
              </a:solidFill>
              <a:effectLst/>
              <a:latin typeface="Times New Roman" panose="02020603050405020304" pitchFamily="18" charset="0"/>
              <a:ea typeface="+mn-ea"/>
              <a:cs typeface="Times New Roman" panose="02020603050405020304" pitchFamily="18" charset="0"/>
            </a:rPr>
            <a:t>A rede da concessionária funciona como uma "grande bateria" armazenando o excedente de energia para ser consumida a noite, por exemplo.</a:t>
          </a:r>
        </a:p>
      </xdr:txBody>
    </xdr:sp>
    <xdr:clientData/>
  </xdr:twoCellAnchor>
  <xdr:twoCellAnchor editAs="oneCell">
    <xdr:from>
      <xdr:col>0</xdr:col>
      <xdr:colOff>167640</xdr:colOff>
      <xdr:row>87</xdr:row>
      <xdr:rowOff>108259</xdr:rowOff>
    </xdr:from>
    <xdr:to>
      <xdr:col>12</xdr:col>
      <xdr:colOff>86061</xdr:colOff>
      <xdr:row>94</xdr:row>
      <xdr:rowOff>39229</xdr:rowOff>
    </xdr:to>
    <xdr:sp macro="" textlink="">
      <xdr:nvSpPr>
        <xdr:cNvPr id="76646" name="CaixaDeTexto 76645">
          <a:extLst>
            <a:ext uri="{FF2B5EF4-FFF2-40B4-BE49-F238E27FC236}">
              <a16:creationId xmlns:a16="http://schemas.microsoft.com/office/drawing/2014/main" id="{00000000-0008-0000-1000-0000662B0100}"/>
            </a:ext>
          </a:extLst>
        </xdr:cNvPr>
        <xdr:cNvSpPr txBox="1"/>
      </xdr:nvSpPr>
      <xdr:spPr>
        <a:xfrm>
          <a:off x="171450" y="17003704"/>
          <a:ext cx="2855931" cy="119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171450" algn="just" defTabSz="914400" eaLnBrk="1" fontAlgn="auto" latinLnBrk="0" hangingPunct="1">
            <a:lnSpc>
              <a:spcPct val="150000"/>
            </a:lnSpc>
            <a:spcBef>
              <a:spcPts val="0"/>
            </a:spcBef>
            <a:spcAft>
              <a:spcPts val="0"/>
            </a:spcAft>
            <a:buClr>
              <a:schemeClr val="accent6">
                <a:lumMod val="50000"/>
              </a:schemeClr>
            </a:buClr>
            <a:buSzTx/>
            <a:buFont typeface="Arial" panose="020B0604020202020204" pitchFamily="34" charset="0"/>
            <a:buChar char="•"/>
            <a:tabLst/>
            <a:defRPr/>
          </a:pPr>
          <a:r>
            <a:rPr lang="pt-BR" sz="1200">
              <a:solidFill>
                <a:schemeClr val="dk1"/>
              </a:solidFill>
              <a:effectLst/>
              <a:latin typeface="Times New Roman" panose="02020603050405020304" pitchFamily="18" charset="0"/>
              <a:ea typeface="+mn-ea"/>
              <a:cs typeface="Times New Roman" panose="02020603050405020304" pitchFamily="18" charset="0"/>
            </a:rPr>
            <a:t>Caso haja no mês uma geração maior que o consumo, essa diferença fica armazenada na forma de </a:t>
          </a:r>
          <a:r>
            <a:rPr lang="pt-BR" sz="1200" b="1">
              <a:solidFill>
                <a:schemeClr val="accent6">
                  <a:lumMod val="50000"/>
                </a:schemeClr>
              </a:solidFill>
              <a:effectLst/>
              <a:latin typeface="Times New Roman" panose="02020603050405020304" pitchFamily="18" charset="0"/>
              <a:ea typeface="+mn-ea"/>
              <a:cs typeface="Times New Roman" panose="02020603050405020304" pitchFamily="18" charset="0"/>
            </a:rPr>
            <a:t>créditos</a:t>
          </a:r>
          <a:r>
            <a:rPr lang="pt-BR" sz="1200">
              <a:solidFill>
                <a:schemeClr val="dk1"/>
              </a:solidFill>
              <a:effectLst/>
              <a:latin typeface="Times New Roman" panose="02020603050405020304" pitchFamily="18" charset="0"/>
              <a:ea typeface="+mn-ea"/>
              <a:cs typeface="Times New Roman" panose="02020603050405020304" pitchFamily="18" charset="0"/>
            </a:rPr>
            <a:t> que podem ser utilizados em até </a:t>
          </a:r>
          <a:r>
            <a:rPr lang="pt-BR" sz="1200" b="1">
              <a:solidFill>
                <a:schemeClr val="accent6">
                  <a:lumMod val="50000"/>
                </a:schemeClr>
              </a:solidFill>
              <a:effectLst/>
              <a:latin typeface="Times New Roman" panose="02020603050405020304" pitchFamily="18" charset="0"/>
              <a:ea typeface="+mn-ea"/>
              <a:cs typeface="Times New Roman" panose="02020603050405020304" pitchFamily="18" charset="0"/>
            </a:rPr>
            <a:t>60 meses</a:t>
          </a:r>
          <a:r>
            <a:rPr lang="pt-BR" sz="1200">
              <a:solidFill>
                <a:schemeClr val="dk1"/>
              </a:solidFill>
              <a:effectLst/>
              <a:latin typeface="Times New Roman" panose="02020603050405020304" pitchFamily="18" charset="0"/>
              <a:ea typeface="+mn-ea"/>
              <a:cs typeface="Times New Roman" panose="02020603050405020304" pitchFamily="18" charset="0"/>
            </a:rPr>
            <a:t>.</a:t>
          </a:r>
        </a:p>
      </xdr:txBody>
    </xdr:sp>
    <xdr:clientData/>
  </xdr:twoCellAnchor>
  <xdr:twoCellAnchor editAs="oneCell">
    <xdr:from>
      <xdr:col>0</xdr:col>
      <xdr:colOff>167640</xdr:colOff>
      <xdr:row>93</xdr:row>
      <xdr:rowOff>141746</xdr:rowOff>
    </xdr:from>
    <xdr:to>
      <xdr:col>12</xdr:col>
      <xdr:colOff>86061</xdr:colOff>
      <xdr:row>97</xdr:row>
      <xdr:rowOff>136140</xdr:rowOff>
    </xdr:to>
    <xdr:sp macro="" textlink="">
      <xdr:nvSpPr>
        <xdr:cNvPr id="76647" name="CaixaDeTexto 76646">
          <a:extLst>
            <a:ext uri="{FF2B5EF4-FFF2-40B4-BE49-F238E27FC236}">
              <a16:creationId xmlns:a16="http://schemas.microsoft.com/office/drawing/2014/main" id="{00000000-0008-0000-1000-0000672B0100}"/>
            </a:ext>
          </a:extLst>
        </xdr:cNvPr>
        <xdr:cNvSpPr txBox="1"/>
      </xdr:nvSpPr>
      <xdr:spPr>
        <a:xfrm>
          <a:off x="171450" y="18123041"/>
          <a:ext cx="2855931" cy="716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171450" algn="just" defTabSz="914400" eaLnBrk="1" fontAlgn="auto" latinLnBrk="0" hangingPunct="1">
            <a:lnSpc>
              <a:spcPct val="150000"/>
            </a:lnSpc>
            <a:spcBef>
              <a:spcPts val="0"/>
            </a:spcBef>
            <a:spcAft>
              <a:spcPts val="0"/>
            </a:spcAft>
            <a:buClr>
              <a:schemeClr val="accent6">
                <a:lumMod val="50000"/>
              </a:schemeClr>
            </a:buClr>
            <a:buSzTx/>
            <a:buFont typeface="Arial" panose="020B0604020202020204" pitchFamily="34" charset="0"/>
            <a:buChar char="•"/>
            <a:tabLst/>
            <a:defRPr/>
          </a:pPr>
          <a:r>
            <a:rPr lang="pt-BR" sz="1200">
              <a:solidFill>
                <a:schemeClr val="dk1"/>
              </a:solidFill>
              <a:effectLst/>
              <a:latin typeface="Times New Roman" panose="02020603050405020304" pitchFamily="18" charset="0"/>
              <a:ea typeface="+mn-ea"/>
              <a:cs typeface="Times New Roman" panose="02020603050405020304" pitchFamily="18" charset="0"/>
            </a:rPr>
            <a:t>O Medidor Bidirecional contabiliza os valores de energia consumidos e injetados.</a:t>
          </a:r>
        </a:p>
      </xdr:txBody>
    </xdr:sp>
    <xdr:clientData/>
  </xdr:twoCellAnchor>
  <xdr:twoCellAnchor editAs="oneCell">
    <xdr:from>
      <xdr:col>22</xdr:col>
      <xdr:colOff>123264</xdr:colOff>
      <xdr:row>194</xdr:row>
      <xdr:rowOff>106590</xdr:rowOff>
    </xdr:from>
    <xdr:to>
      <xdr:col>27</xdr:col>
      <xdr:colOff>33127</xdr:colOff>
      <xdr:row>197</xdr:row>
      <xdr:rowOff>60969</xdr:rowOff>
    </xdr:to>
    <xdr:pic>
      <xdr:nvPicPr>
        <xdr:cNvPr id="8" name="Imagem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5208149" y="37122205"/>
          <a:ext cx="1045536" cy="503899"/>
        </a:xfrm>
        <a:prstGeom prst="rect">
          <a:avLst/>
        </a:prstGeom>
        <a:ln w="9525">
          <a:solidFill>
            <a:schemeClr val="accent6">
              <a:lumMod val="40000"/>
              <a:lumOff val="60000"/>
            </a:schemeClr>
          </a:solidFill>
        </a:ln>
        <a:effectLst>
          <a:innerShdw blurRad="63500" dist="50800" dir="13500000">
            <a:prstClr val="black">
              <a:alpha val="50000"/>
            </a:prstClr>
          </a:innerShdw>
        </a:effectLst>
      </xdr:spPr>
    </xdr:pic>
    <xdr:clientData/>
  </xdr:twoCellAnchor>
</xdr:wsDr>
</file>

<file path=xl/drawings/drawing13.xml><?xml version="1.0" encoding="utf-8"?>
<xdr:wsDr xmlns:xdr="http://schemas.openxmlformats.org/drawingml/2006/spreadsheetDrawing" xmlns:a="http://schemas.openxmlformats.org/drawingml/2006/main">
  <xdr:oneCellAnchor>
    <xdr:from>
      <xdr:col>14</xdr:col>
      <xdr:colOff>571500</xdr:colOff>
      <xdr:row>0</xdr:row>
      <xdr:rowOff>83820</xdr:rowOff>
    </xdr:from>
    <xdr:ext cx="838200" cy="588645"/>
    <xdr:pic>
      <xdr:nvPicPr>
        <xdr:cNvPr id="2" name="Imagem 1" descr="logo_inmet.gif">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a:fillRect/>
        </a:stretch>
      </xdr:blipFill>
      <xdr:spPr bwMode="auto">
        <a:xfrm>
          <a:off x="15830550" y="85725"/>
          <a:ext cx="838200"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14</xdr:col>
      <xdr:colOff>327660</xdr:colOff>
      <xdr:row>0</xdr:row>
      <xdr:rowOff>83820</xdr:rowOff>
    </xdr:from>
    <xdr:to>
      <xdr:col>15</xdr:col>
      <xdr:colOff>175260</xdr:colOff>
      <xdr:row>2</xdr:row>
      <xdr:rowOff>213360</xdr:rowOff>
    </xdr:to>
    <xdr:sp macro="" textlink="">
      <xdr:nvSpPr>
        <xdr:cNvPr id="76802" name="Imagem 1" descr="logo_inmet.gif">
          <a:extLst>
            <a:ext uri="{FF2B5EF4-FFF2-40B4-BE49-F238E27FC236}">
              <a16:creationId xmlns:a16="http://schemas.microsoft.com/office/drawing/2014/main" id="{00000000-0008-0000-1300-0000022C0100}"/>
            </a:ext>
          </a:extLst>
        </xdr:cNvPr>
        <xdr:cNvSpPr>
          <a:spLocks noChangeAspect="1"/>
        </xdr:cNvSpPr>
      </xdr:nvSpPr>
      <xdr:spPr bwMode="auto">
        <a:xfrm>
          <a:off x="15834360" y="83820"/>
          <a:ext cx="838200" cy="60198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30079</xdr:colOff>
      <xdr:row>18</xdr:row>
      <xdr:rowOff>30079</xdr:rowOff>
    </xdr:from>
    <xdr:to>
      <xdr:col>1</xdr:col>
      <xdr:colOff>163143</xdr:colOff>
      <xdr:row>18</xdr:row>
      <xdr:rowOff>160421</xdr:rowOff>
    </xdr:to>
    <xdr:sp macro="" textlink="">
      <xdr:nvSpPr>
        <xdr:cNvPr id="4" name="Retângulo 3">
          <a:extLst>
            <a:ext uri="{FF2B5EF4-FFF2-40B4-BE49-F238E27FC236}">
              <a16:creationId xmlns:a16="http://schemas.microsoft.com/office/drawing/2014/main" id="{00000000-0008-0000-1500-000004000000}"/>
            </a:ext>
          </a:extLst>
        </xdr:cNvPr>
        <xdr:cNvSpPr/>
      </xdr:nvSpPr>
      <xdr:spPr>
        <a:xfrm>
          <a:off x="662539" y="2590399"/>
          <a:ext cx="133064" cy="130342"/>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s-ES" sz="1100"/>
        </a:p>
      </xdr:txBody>
    </xdr:sp>
    <xdr:clientData/>
  </xdr:twoCellAnchor>
  <xdr:twoCellAnchor>
    <xdr:from>
      <xdr:col>2</xdr:col>
      <xdr:colOff>406066</xdr:colOff>
      <xdr:row>18</xdr:row>
      <xdr:rowOff>30079</xdr:rowOff>
    </xdr:from>
    <xdr:to>
      <xdr:col>2</xdr:col>
      <xdr:colOff>539130</xdr:colOff>
      <xdr:row>18</xdr:row>
      <xdr:rowOff>160421</xdr:rowOff>
    </xdr:to>
    <xdr:sp macro="" textlink="">
      <xdr:nvSpPr>
        <xdr:cNvPr id="5" name="Retângulo 4">
          <a:extLst>
            <a:ext uri="{FF2B5EF4-FFF2-40B4-BE49-F238E27FC236}">
              <a16:creationId xmlns:a16="http://schemas.microsoft.com/office/drawing/2014/main" id="{00000000-0008-0000-1500-000005000000}"/>
            </a:ext>
          </a:extLst>
        </xdr:cNvPr>
        <xdr:cNvSpPr/>
      </xdr:nvSpPr>
      <xdr:spPr>
        <a:xfrm>
          <a:off x="1670986" y="2590399"/>
          <a:ext cx="133064" cy="130342"/>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S" sz="1100">
              <a:solidFill>
                <a:sysClr val="windowText" lastClr="000000"/>
              </a:solidFill>
            </a:rPr>
            <a:t>X</a:t>
          </a:r>
        </a:p>
      </xdr:txBody>
    </xdr:sp>
    <xdr:clientData/>
  </xdr:twoCellAnchor>
  <xdr:twoCellAnchor>
    <xdr:from>
      <xdr:col>4</xdr:col>
      <xdr:colOff>70184</xdr:colOff>
      <xdr:row>18</xdr:row>
      <xdr:rowOff>30079</xdr:rowOff>
    </xdr:from>
    <xdr:to>
      <xdr:col>4</xdr:col>
      <xdr:colOff>203248</xdr:colOff>
      <xdr:row>18</xdr:row>
      <xdr:rowOff>160421</xdr:rowOff>
    </xdr:to>
    <xdr:sp macro="" textlink="">
      <xdr:nvSpPr>
        <xdr:cNvPr id="6" name="Retângulo 5">
          <a:extLst>
            <a:ext uri="{FF2B5EF4-FFF2-40B4-BE49-F238E27FC236}">
              <a16:creationId xmlns:a16="http://schemas.microsoft.com/office/drawing/2014/main" id="{00000000-0008-0000-1500-000006000000}"/>
            </a:ext>
          </a:extLst>
        </xdr:cNvPr>
        <xdr:cNvSpPr/>
      </xdr:nvSpPr>
      <xdr:spPr>
        <a:xfrm>
          <a:off x="2600024" y="2590399"/>
          <a:ext cx="133064" cy="130342"/>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s-ES" sz="1100"/>
        </a:p>
      </xdr:txBody>
    </xdr:sp>
    <xdr:clientData/>
  </xdr:twoCellAnchor>
  <xdr:twoCellAnchor>
    <xdr:from>
      <xdr:col>6</xdr:col>
      <xdr:colOff>40105</xdr:colOff>
      <xdr:row>18</xdr:row>
      <xdr:rowOff>25066</xdr:rowOff>
    </xdr:from>
    <xdr:to>
      <xdr:col>6</xdr:col>
      <xdr:colOff>173169</xdr:colOff>
      <xdr:row>18</xdr:row>
      <xdr:rowOff>155408</xdr:rowOff>
    </xdr:to>
    <xdr:sp macro="" textlink="">
      <xdr:nvSpPr>
        <xdr:cNvPr id="7" name="Retângulo 6">
          <a:extLst>
            <a:ext uri="{FF2B5EF4-FFF2-40B4-BE49-F238E27FC236}">
              <a16:creationId xmlns:a16="http://schemas.microsoft.com/office/drawing/2014/main" id="{00000000-0008-0000-1500-000007000000}"/>
            </a:ext>
          </a:extLst>
        </xdr:cNvPr>
        <xdr:cNvSpPr/>
      </xdr:nvSpPr>
      <xdr:spPr>
        <a:xfrm>
          <a:off x="3834865" y="2585386"/>
          <a:ext cx="133064" cy="130342"/>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s-ES" sz="1100"/>
        </a:p>
      </xdr:txBody>
    </xdr:sp>
    <xdr:clientData/>
  </xdr:twoCellAnchor>
  <xdr:twoCellAnchor>
    <xdr:from>
      <xdr:col>9</xdr:col>
      <xdr:colOff>60158</xdr:colOff>
      <xdr:row>18</xdr:row>
      <xdr:rowOff>30079</xdr:rowOff>
    </xdr:from>
    <xdr:to>
      <xdr:col>9</xdr:col>
      <xdr:colOff>193222</xdr:colOff>
      <xdr:row>18</xdr:row>
      <xdr:rowOff>160421</xdr:rowOff>
    </xdr:to>
    <xdr:sp macro="" textlink="">
      <xdr:nvSpPr>
        <xdr:cNvPr id="8" name="Retângulo 7">
          <a:extLst>
            <a:ext uri="{FF2B5EF4-FFF2-40B4-BE49-F238E27FC236}">
              <a16:creationId xmlns:a16="http://schemas.microsoft.com/office/drawing/2014/main" id="{00000000-0008-0000-1500-000008000000}"/>
            </a:ext>
          </a:extLst>
        </xdr:cNvPr>
        <xdr:cNvSpPr/>
      </xdr:nvSpPr>
      <xdr:spPr>
        <a:xfrm>
          <a:off x="5767538" y="2590399"/>
          <a:ext cx="133064" cy="130342"/>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s-ES" sz="1100"/>
        </a:p>
      </xdr:txBody>
    </xdr:sp>
    <xdr:clientData/>
  </xdr:twoCellAnchor>
  <xdr:twoCellAnchor>
    <xdr:from>
      <xdr:col>9</xdr:col>
      <xdr:colOff>342900</xdr:colOff>
      <xdr:row>21</xdr:row>
      <xdr:rowOff>27215</xdr:rowOff>
    </xdr:from>
    <xdr:to>
      <xdr:col>9</xdr:col>
      <xdr:colOff>475964</xdr:colOff>
      <xdr:row>21</xdr:row>
      <xdr:rowOff>157557</xdr:rowOff>
    </xdr:to>
    <xdr:sp macro="" textlink="">
      <xdr:nvSpPr>
        <xdr:cNvPr id="9" name="Retângulo 8">
          <a:extLst>
            <a:ext uri="{FF2B5EF4-FFF2-40B4-BE49-F238E27FC236}">
              <a16:creationId xmlns:a16="http://schemas.microsoft.com/office/drawing/2014/main" id="{00000000-0008-0000-1500-000009000000}"/>
            </a:ext>
          </a:extLst>
        </xdr:cNvPr>
        <xdr:cNvSpPr/>
      </xdr:nvSpPr>
      <xdr:spPr>
        <a:xfrm>
          <a:off x="6050280" y="3136175"/>
          <a:ext cx="133064" cy="130342"/>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S" sz="1100">
              <a:solidFill>
                <a:sysClr val="windowText" lastClr="000000"/>
              </a:solidFill>
            </a:rPr>
            <a:t>X</a:t>
          </a:r>
        </a:p>
      </xdr:txBody>
    </xdr:sp>
    <xdr:clientData/>
  </xdr:twoCellAnchor>
  <xdr:twoCellAnchor>
    <xdr:from>
      <xdr:col>9</xdr:col>
      <xdr:colOff>342900</xdr:colOff>
      <xdr:row>22</xdr:row>
      <xdr:rowOff>114300</xdr:rowOff>
    </xdr:from>
    <xdr:to>
      <xdr:col>9</xdr:col>
      <xdr:colOff>475964</xdr:colOff>
      <xdr:row>23</xdr:row>
      <xdr:rowOff>54142</xdr:rowOff>
    </xdr:to>
    <xdr:sp macro="" textlink="">
      <xdr:nvSpPr>
        <xdr:cNvPr id="10" name="Retângulo 9">
          <a:extLst>
            <a:ext uri="{FF2B5EF4-FFF2-40B4-BE49-F238E27FC236}">
              <a16:creationId xmlns:a16="http://schemas.microsoft.com/office/drawing/2014/main" id="{00000000-0008-0000-1500-00000A000000}"/>
            </a:ext>
          </a:extLst>
        </xdr:cNvPr>
        <xdr:cNvSpPr/>
      </xdr:nvSpPr>
      <xdr:spPr>
        <a:xfrm>
          <a:off x="6050280" y="3406140"/>
          <a:ext cx="133064" cy="122722"/>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S" sz="1100">
              <a:solidFill>
                <a:sysClr val="windowText" lastClr="000000"/>
              </a:solidFill>
            </a:rPr>
            <a:t>X</a:t>
          </a:r>
        </a:p>
      </xdr:txBody>
    </xdr:sp>
    <xdr:clientData/>
  </xdr:twoCellAnchor>
  <xdr:twoCellAnchor>
    <xdr:from>
      <xdr:col>9</xdr:col>
      <xdr:colOff>348343</xdr:colOff>
      <xdr:row>24</xdr:row>
      <xdr:rowOff>125186</xdr:rowOff>
    </xdr:from>
    <xdr:to>
      <xdr:col>9</xdr:col>
      <xdr:colOff>481407</xdr:colOff>
      <xdr:row>25</xdr:row>
      <xdr:rowOff>65028</xdr:rowOff>
    </xdr:to>
    <xdr:sp macro="" textlink="">
      <xdr:nvSpPr>
        <xdr:cNvPr id="11" name="Retângulo 10">
          <a:extLst>
            <a:ext uri="{FF2B5EF4-FFF2-40B4-BE49-F238E27FC236}">
              <a16:creationId xmlns:a16="http://schemas.microsoft.com/office/drawing/2014/main" id="{00000000-0008-0000-1500-00000B000000}"/>
            </a:ext>
          </a:extLst>
        </xdr:cNvPr>
        <xdr:cNvSpPr/>
      </xdr:nvSpPr>
      <xdr:spPr>
        <a:xfrm>
          <a:off x="6055723" y="3782786"/>
          <a:ext cx="133064" cy="122722"/>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S" sz="1100">
              <a:solidFill>
                <a:sysClr val="windowText" lastClr="000000"/>
              </a:solidFill>
            </a:rPr>
            <a:t>X</a:t>
          </a:r>
        </a:p>
      </xdr:txBody>
    </xdr:sp>
    <xdr:clientData/>
  </xdr:twoCellAnchor>
  <xdr:twoCellAnchor>
    <xdr:from>
      <xdr:col>9</xdr:col>
      <xdr:colOff>353786</xdr:colOff>
      <xdr:row>26</xdr:row>
      <xdr:rowOff>125186</xdr:rowOff>
    </xdr:from>
    <xdr:to>
      <xdr:col>9</xdr:col>
      <xdr:colOff>486850</xdr:colOff>
      <xdr:row>27</xdr:row>
      <xdr:rowOff>65028</xdr:rowOff>
    </xdr:to>
    <xdr:sp macro="" textlink="">
      <xdr:nvSpPr>
        <xdr:cNvPr id="12" name="Retângulo 11">
          <a:extLst>
            <a:ext uri="{FF2B5EF4-FFF2-40B4-BE49-F238E27FC236}">
              <a16:creationId xmlns:a16="http://schemas.microsoft.com/office/drawing/2014/main" id="{00000000-0008-0000-1500-00000C000000}"/>
            </a:ext>
          </a:extLst>
        </xdr:cNvPr>
        <xdr:cNvSpPr/>
      </xdr:nvSpPr>
      <xdr:spPr>
        <a:xfrm>
          <a:off x="6061166" y="4148546"/>
          <a:ext cx="133064" cy="122722"/>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S" sz="1100">
              <a:solidFill>
                <a:sysClr val="windowText" lastClr="000000"/>
              </a:solidFill>
            </a:rPr>
            <a:t>X</a:t>
          </a:r>
        </a:p>
      </xdr:txBody>
    </xdr:sp>
    <xdr:clientData/>
  </xdr:twoCellAnchor>
  <xdr:twoCellAnchor>
    <xdr:from>
      <xdr:col>9</xdr:col>
      <xdr:colOff>353786</xdr:colOff>
      <xdr:row>29</xdr:row>
      <xdr:rowOff>27214</xdr:rowOff>
    </xdr:from>
    <xdr:to>
      <xdr:col>9</xdr:col>
      <xdr:colOff>486850</xdr:colOff>
      <xdr:row>29</xdr:row>
      <xdr:rowOff>157556</xdr:rowOff>
    </xdr:to>
    <xdr:sp macro="" textlink="">
      <xdr:nvSpPr>
        <xdr:cNvPr id="13" name="Retângulo 12">
          <a:extLst>
            <a:ext uri="{FF2B5EF4-FFF2-40B4-BE49-F238E27FC236}">
              <a16:creationId xmlns:a16="http://schemas.microsoft.com/office/drawing/2014/main" id="{00000000-0008-0000-1500-00000D000000}"/>
            </a:ext>
          </a:extLst>
        </xdr:cNvPr>
        <xdr:cNvSpPr/>
      </xdr:nvSpPr>
      <xdr:spPr>
        <a:xfrm>
          <a:off x="6061166" y="4599214"/>
          <a:ext cx="133064" cy="130342"/>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s-ES" sz="1100"/>
        </a:p>
      </xdr:txBody>
    </xdr:sp>
    <xdr:clientData/>
  </xdr:twoCellAnchor>
  <xdr:twoCellAnchor>
    <xdr:from>
      <xdr:col>9</xdr:col>
      <xdr:colOff>348343</xdr:colOff>
      <xdr:row>31</xdr:row>
      <xdr:rowOff>119743</xdr:rowOff>
    </xdr:from>
    <xdr:to>
      <xdr:col>9</xdr:col>
      <xdr:colOff>481407</xdr:colOff>
      <xdr:row>32</xdr:row>
      <xdr:rowOff>59585</xdr:rowOff>
    </xdr:to>
    <xdr:sp macro="" textlink="">
      <xdr:nvSpPr>
        <xdr:cNvPr id="14" name="Retângulo 13">
          <a:extLst>
            <a:ext uri="{FF2B5EF4-FFF2-40B4-BE49-F238E27FC236}">
              <a16:creationId xmlns:a16="http://schemas.microsoft.com/office/drawing/2014/main" id="{00000000-0008-0000-1500-00000E000000}"/>
            </a:ext>
          </a:extLst>
        </xdr:cNvPr>
        <xdr:cNvSpPr/>
      </xdr:nvSpPr>
      <xdr:spPr>
        <a:xfrm>
          <a:off x="6055723" y="5057503"/>
          <a:ext cx="133064" cy="122722"/>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s-ES" sz="1100"/>
        </a:p>
      </xdr:txBody>
    </xdr:sp>
    <xdr:clientData/>
  </xdr:twoCellAnchor>
  <xdr:twoCellAnchor>
    <xdr:from>
      <xdr:col>9</xdr:col>
      <xdr:colOff>353785</xdr:colOff>
      <xdr:row>33</xdr:row>
      <xdr:rowOff>27214</xdr:rowOff>
    </xdr:from>
    <xdr:to>
      <xdr:col>9</xdr:col>
      <xdr:colOff>486849</xdr:colOff>
      <xdr:row>33</xdr:row>
      <xdr:rowOff>157556</xdr:rowOff>
    </xdr:to>
    <xdr:sp macro="" textlink="">
      <xdr:nvSpPr>
        <xdr:cNvPr id="15" name="Retângulo 14">
          <a:extLst>
            <a:ext uri="{FF2B5EF4-FFF2-40B4-BE49-F238E27FC236}">
              <a16:creationId xmlns:a16="http://schemas.microsoft.com/office/drawing/2014/main" id="{00000000-0008-0000-1500-00000F000000}"/>
            </a:ext>
          </a:extLst>
        </xdr:cNvPr>
        <xdr:cNvSpPr/>
      </xdr:nvSpPr>
      <xdr:spPr>
        <a:xfrm>
          <a:off x="6061165" y="5330734"/>
          <a:ext cx="133064" cy="130342"/>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s-ES" sz="1100"/>
        </a:p>
      </xdr:txBody>
    </xdr:sp>
    <xdr:clientData/>
  </xdr:twoCellAnchor>
  <xdr:twoCellAnchor>
    <xdr:from>
      <xdr:col>10</xdr:col>
      <xdr:colOff>55391</xdr:colOff>
      <xdr:row>7</xdr:row>
      <xdr:rowOff>55100</xdr:rowOff>
    </xdr:from>
    <xdr:to>
      <xdr:col>10</xdr:col>
      <xdr:colOff>293077</xdr:colOff>
      <xdr:row>7</xdr:row>
      <xdr:rowOff>117232</xdr:rowOff>
    </xdr:to>
    <xdr:sp macro="" textlink="">
      <xdr:nvSpPr>
        <xdr:cNvPr id="17" name="Retângulo 16">
          <a:extLst>
            <a:ext uri="{FF2B5EF4-FFF2-40B4-BE49-F238E27FC236}">
              <a16:creationId xmlns:a16="http://schemas.microsoft.com/office/drawing/2014/main" id="{00000000-0008-0000-1500-000011000000}"/>
            </a:ext>
          </a:extLst>
        </xdr:cNvPr>
        <xdr:cNvSpPr/>
      </xdr:nvSpPr>
      <xdr:spPr>
        <a:xfrm>
          <a:off x="6371199" y="421446"/>
          <a:ext cx="237686" cy="6213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pt-BR" sz="1100"/>
        </a:p>
      </xdr:txBody>
    </xdr:sp>
    <xdr:clientData/>
  </xdr:twoCellAnchor>
  <xdr:twoCellAnchor>
    <xdr:from>
      <xdr:col>10</xdr:col>
      <xdr:colOff>59201</xdr:colOff>
      <xdr:row>16</xdr:row>
      <xdr:rowOff>80891</xdr:rowOff>
    </xdr:from>
    <xdr:to>
      <xdr:col>10</xdr:col>
      <xdr:colOff>289267</xdr:colOff>
      <xdr:row>16</xdr:row>
      <xdr:rowOff>139213</xdr:rowOff>
    </xdr:to>
    <xdr:sp macro="" textlink="">
      <xdr:nvSpPr>
        <xdr:cNvPr id="18" name="Retângulo 17">
          <a:extLst>
            <a:ext uri="{FF2B5EF4-FFF2-40B4-BE49-F238E27FC236}">
              <a16:creationId xmlns:a16="http://schemas.microsoft.com/office/drawing/2014/main" id="{00000000-0008-0000-1500-000012000000}"/>
            </a:ext>
          </a:extLst>
        </xdr:cNvPr>
        <xdr:cNvSpPr/>
      </xdr:nvSpPr>
      <xdr:spPr>
        <a:xfrm>
          <a:off x="6375009" y="2095795"/>
          <a:ext cx="230066" cy="5832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pt-BR" sz="1100"/>
        </a:p>
      </xdr:txBody>
    </xdr:sp>
    <xdr:clientData/>
  </xdr:twoCellAnchor>
  <xdr:twoCellAnchor>
    <xdr:from>
      <xdr:col>10</xdr:col>
      <xdr:colOff>55391</xdr:colOff>
      <xdr:row>23</xdr:row>
      <xdr:rowOff>82796</xdr:rowOff>
    </xdr:from>
    <xdr:to>
      <xdr:col>10</xdr:col>
      <xdr:colOff>285457</xdr:colOff>
      <xdr:row>23</xdr:row>
      <xdr:rowOff>135403</xdr:rowOff>
    </xdr:to>
    <xdr:sp macro="" textlink="">
      <xdr:nvSpPr>
        <xdr:cNvPr id="19" name="Retângulo 18">
          <a:extLst>
            <a:ext uri="{FF2B5EF4-FFF2-40B4-BE49-F238E27FC236}">
              <a16:creationId xmlns:a16="http://schemas.microsoft.com/office/drawing/2014/main" id="{00000000-0008-0000-1500-000013000000}"/>
            </a:ext>
          </a:extLst>
        </xdr:cNvPr>
        <xdr:cNvSpPr/>
      </xdr:nvSpPr>
      <xdr:spPr>
        <a:xfrm>
          <a:off x="6371199" y="3379911"/>
          <a:ext cx="230066" cy="526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pt-BR" sz="1100"/>
        </a:p>
      </xdr:txBody>
    </xdr:sp>
    <xdr:clientData/>
  </xdr:twoCellAnchor>
  <xdr:twoCellAnchor>
    <xdr:from>
      <xdr:col>10</xdr:col>
      <xdr:colOff>59201</xdr:colOff>
      <xdr:row>29</xdr:row>
      <xdr:rowOff>77374</xdr:rowOff>
    </xdr:from>
    <xdr:to>
      <xdr:col>10</xdr:col>
      <xdr:colOff>289267</xdr:colOff>
      <xdr:row>29</xdr:row>
      <xdr:rowOff>124266</xdr:rowOff>
    </xdr:to>
    <xdr:sp macro="" textlink="">
      <xdr:nvSpPr>
        <xdr:cNvPr id="20" name="Retângulo 19">
          <a:extLst>
            <a:ext uri="{FF2B5EF4-FFF2-40B4-BE49-F238E27FC236}">
              <a16:creationId xmlns:a16="http://schemas.microsoft.com/office/drawing/2014/main" id="{00000000-0008-0000-1500-000014000000}"/>
            </a:ext>
          </a:extLst>
        </xdr:cNvPr>
        <xdr:cNvSpPr/>
      </xdr:nvSpPr>
      <xdr:spPr>
        <a:xfrm>
          <a:off x="6375009" y="4473528"/>
          <a:ext cx="230066" cy="4689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pt-BR" sz="1100"/>
        </a:p>
      </xdr:txBody>
    </xdr:sp>
    <xdr:clientData/>
  </xdr:twoCellAnchor>
  <xdr:twoCellAnchor>
    <xdr:from>
      <xdr:col>10</xdr:col>
      <xdr:colOff>55391</xdr:colOff>
      <xdr:row>35</xdr:row>
      <xdr:rowOff>84701</xdr:rowOff>
    </xdr:from>
    <xdr:to>
      <xdr:col>10</xdr:col>
      <xdr:colOff>285457</xdr:colOff>
      <xdr:row>35</xdr:row>
      <xdr:rowOff>133498</xdr:rowOff>
    </xdr:to>
    <xdr:sp macro="" textlink="">
      <xdr:nvSpPr>
        <xdr:cNvPr id="21" name="Retângulo 20">
          <a:extLst>
            <a:ext uri="{FF2B5EF4-FFF2-40B4-BE49-F238E27FC236}">
              <a16:creationId xmlns:a16="http://schemas.microsoft.com/office/drawing/2014/main" id="{00000000-0008-0000-1500-000015000000}"/>
            </a:ext>
          </a:extLst>
        </xdr:cNvPr>
        <xdr:cNvSpPr/>
      </xdr:nvSpPr>
      <xdr:spPr>
        <a:xfrm>
          <a:off x="6371199" y="5579893"/>
          <a:ext cx="230066" cy="4879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pt-BR" sz="1100"/>
        </a:p>
      </xdr:txBody>
    </xdr:sp>
    <xdr:clientData/>
  </xdr:twoCellAnchor>
  <xdr:twoCellAnchor>
    <xdr:from>
      <xdr:col>10</xdr:col>
      <xdr:colOff>59201</xdr:colOff>
      <xdr:row>40</xdr:row>
      <xdr:rowOff>101259</xdr:rowOff>
    </xdr:from>
    <xdr:to>
      <xdr:col>10</xdr:col>
      <xdr:colOff>289267</xdr:colOff>
      <xdr:row>40</xdr:row>
      <xdr:rowOff>144341</xdr:rowOff>
    </xdr:to>
    <xdr:sp macro="" textlink="">
      <xdr:nvSpPr>
        <xdr:cNvPr id="22" name="Retângulo 21">
          <a:extLst>
            <a:ext uri="{FF2B5EF4-FFF2-40B4-BE49-F238E27FC236}">
              <a16:creationId xmlns:a16="http://schemas.microsoft.com/office/drawing/2014/main" id="{00000000-0008-0000-1500-000016000000}"/>
            </a:ext>
          </a:extLst>
        </xdr:cNvPr>
        <xdr:cNvSpPr/>
      </xdr:nvSpPr>
      <xdr:spPr>
        <a:xfrm>
          <a:off x="6375009" y="6512317"/>
          <a:ext cx="230066" cy="4308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18</xdr:col>
      <xdr:colOff>60668</xdr:colOff>
      <xdr:row>1</xdr:row>
      <xdr:rowOff>0</xdr:rowOff>
    </xdr:from>
    <xdr:to>
      <xdr:col>19</xdr:col>
      <xdr:colOff>784099</xdr:colOff>
      <xdr:row>3</xdr:row>
      <xdr:rowOff>135739</xdr:rowOff>
    </xdr:to>
    <xdr:pic>
      <xdr:nvPicPr>
        <xdr:cNvPr id="23" name="Imagem 22">
          <a:extLst>
            <a:ext uri="{FF2B5EF4-FFF2-40B4-BE49-F238E27FC236}">
              <a16:creationId xmlns:a16="http://schemas.microsoft.com/office/drawing/2014/main" id="{00000000-0008-0000-1500-000017000000}"/>
            </a:ext>
          </a:extLst>
        </xdr:cNvPr>
        <xdr:cNvPicPr>
          <a:picLocks noChangeAspect="1"/>
        </xdr:cNvPicPr>
      </xdr:nvPicPr>
      <xdr:blipFill>
        <a:blip xmlns:r="http://schemas.openxmlformats.org/officeDocument/2006/relationships" r:embed="rId1"/>
        <a:stretch>
          <a:fillRect/>
        </a:stretch>
      </xdr:blipFill>
      <xdr:spPr>
        <a:xfrm>
          <a:off x="11378609" y="179294"/>
          <a:ext cx="1350961" cy="494327"/>
        </a:xfrm>
        <a:prstGeom prst="rect">
          <a:avLst/>
        </a:prstGeom>
      </xdr:spPr>
    </xdr:pic>
    <xdr:clientData/>
  </xdr:twoCellAnchor>
  <xdr:twoCellAnchor>
    <xdr:from>
      <xdr:col>20</xdr:col>
      <xdr:colOff>533547</xdr:colOff>
      <xdr:row>11</xdr:row>
      <xdr:rowOff>111806</xdr:rowOff>
    </xdr:from>
    <xdr:to>
      <xdr:col>29</xdr:col>
      <xdr:colOff>312964</xdr:colOff>
      <xdr:row>25</xdr:row>
      <xdr:rowOff>150492</xdr:rowOff>
    </xdr:to>
    <xdr:sp macro="" textlink="">
      <xdr:nvSpPr>
        <xdr:cNvPr id="24" name="CaixaDeTexto_PROCURACAO">
          <a:extLst>
            <a:ext uri="{FF2B5EF4-FFF2-40B4-BE49-F238E27FC236}">
              <a16:creationId xmlns:a16="http://schemas.microsoft.com/office/drawing/2014/main" id="{00000000-0008-0000-1500-000018000000}"/>
            </a:ext>
          </a:extLst>
        </xdr:cNvPr>
        <xdr:cNvSpPr txBox="1"/>
      </xdr:nvSpPr>
      <xdr:spPr>
        <a:xfrm>
          <a:off x="13541976" y="1880735"/>
          <a:ext cx="5644095" cy="2515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pt-BR" sz="1200" b="0">
              <a:latin typeface="Times New Roman" panose="02020603050405020304" pitchFamily="18" charset="0"/>
              <a:cs typeface="Times New Roman" panose="02020603050405020304" pitchFamily="18" charset="0"/>
            </a:rPr>
            <a:t>Por este instrumento de procuração e na melhor forma de direito, o Outorgante </a:t>
          </a:r>
          <a:r>
            <a:rPr lang="pt-BR" sz="1200" b="1">
              <a:latin typeface="Times New Roman" panose="02020603050405020304" pitchFamily="18" charset="0"/>
              <a:cs typeface="Times New Roman" panose="02020603050405020304" pitchFamily="18" charset="0"/>
            </a:rPr>
            <a:t>LUIZ CARLOS</a:t>
          </a:r>
          <a:r>
            <a:rPr lang="pt-BR" sz="1200" b="0">
              <a:latin typeface="Times New Roman" panose="02020603050405020304" pitchFamily="18" charset="0"/>
              <a:cs typeface="Times New Roman" panose="02020603050405020304" pitchFamily="18" charset="0"/>
            </a:rPr>
            <a:t> portador do CPF nº LUIZ CARLOS, residente e domiciliado em , nomeia e constitui seu procurador(a) o Outorgado(a) Sr(a) </a:t>
          </a:r>
          <a:r>
            <a:rPr lang="pt-BR" sz="1200" b="1">
              <a:latin typeface="Times New Roman" panose="02020603050405020304" pitchFamily="18" charset="0"/>
              <a:cs typeface="Times New Roman" panose="02020603050405020304" pitchFamily="18" charset="0"/>
            </a:rPr>
            <a:t>VINÍCIUS CARLOS DE LIMA TEIXEIRA </a:t>
          </a:r>
          <a:r>
            <a:rPr lang="pt-BR" sz="1200" b="0">
              <a:latin typeface="Times New Roman" panose="02020603050405020304" pitchFamily="18" charset="0"/>
              <a:cs typeface="Times New Roman" panose="02020603050405020304" pitchFamily="18" charset="0"/>
            </a:rPr>
            <a:t>portador do CPF 130.194.797-03, RG nº 25.579.721-9 expedido pelo DETRAN-RJ, registro geral Crea nº 2018125837, residente e domiciliado em Rua Pinho, 100, Telefone (21) 97681-1065, com poderes para junto a </a:t>
          </a:r>
          <a:r>
            <a:rPr lang="pt-BR" sz="1200" b="1">
              <a:latin typeface="Times New Roman" panose="02020603050405020304" pitchFamily="18" charset="0"/>
              <a:cs typeface="Times New Roman" panose="02020603050405020304" pitchFamily="18" charset="0"/>
            </a:rPr>
            <a:t>Light SESA</a:t>
          </a:r>
          <a:r>
            <a:rPr lang="pt-BR" sz="1200" b="0">
              <a:latin typeface="Times New Roman" panose="02020603050405020304" pitchFamily="18" charset="0"/>
              <a:cs typeface="Times New Roman" panose="02020603050405020304" pitchFamily="18" charset="0"/>
            </a:rPr>
            <a:t>, solicitar alteração de carga (caso seja necessário), assinar documentos, cadastros, projetos, firmar termos de compromisso e responsabilidades, enfim praticar todos os atos necessários ao fiel cumprimento deste mandato e, em especial, para </a:t>
          </a:r>
          <a:r>
            <a:rPr lang="pt-BR" sz="1200" b="1">
              <a:latin typeface="Times New Roman" panose="02020603050405020304" pitchFamily="18" charset="0"/>
              <a:cs typeface="Times New Roman" panose="02020603050405020304" pitchFamily="18" charset="0"/>
            </a:rPr>
            <a:t>efetuar solicitação de acesso para micro ou minigeração fotovoltaico.</a:t>
          </a:r>
          <a:r>
            <a:rPr lang="pt-BR" sz="1200" b="0">
              <a:latin typeface="Times New Roman" panose="02020603050405020304" pitchFamily="18" charset="0"/>
              <a:cs typeface="Times New Roman" panose="02020603050405020304" pitchFamily="18" charset="0"/>
            </a:rPr>
            <a:t> </a:t>
          </a:r>
        </a:p>
        <a:p>
          <a:pPr algn="just"/>
          <a:endParaRPr lang="pt-BR" sz="1100" b="0" u="none">
            <a:latin typeface="Times New Roman" panose="02020603050405020304" pitchFamily="18" charset="0"/>
            <a:cs typeface="Times New Roman" panose="02020603050405020304" pitchFamily="18" charset="0"/>
          </a:endParaRPr>
        </a:p>
      </xdr:txBody>
    </xdr:sp>
    <xdr:clientData/>
  </xdr:twoCellAnchor>
  <xdr:twoCellAnchor>
    <xdr:from>
      <xdr:col>20</xdr:col>
      <xdr:colOff>55245</xdr:colOff>
      <xdr:row>5</xdr:row>
      <xdr:rowOff>82185</xdr:rowOff>
    </xdr:from>
    <xdr:to>
      <xdr:col>29</xdr:col>
      <xdr:colOff>510540</xdr:colOff>
      <xdr:row>7</xdr:row>
      <xdr:rowOff>42179</xdr:rowOff>
    </xdr:to>
    <xdr:sp macro="[0]!PROCURAÇÃO_PF" textlink="">
      <xdr:nvSpPr>
        <xdr:cNvPr id="25" name="CaixaDeTexto 24">
          <a:extLst>
            <a:ext uri="{FF2B5EF4-FFF2-40B4-BE49-F238E27FC236}">
              <a16:creationId xmlns:a16="http://schemas.microsoft.com/office/drawing/2014/main" id="{00000000-0008-0000-1500-000019000000}"/>
            </a:ext>
          </a:extLst>
        </xdr:cNvPr>
        <xdr:cNvSpPr txBox="1"/>
      </xdr:nvSpPr>
      <xdr:spPr>
        <a:xfrm>
          <a:off x="13063674" y="789756"/>
          <a:ext cx="6319973" cy="313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200" b="1" u="sng">
              <a:solidFill>
                <a:schemeClr val="dk1"/>
              </a:solidFill>
              <a:effectLst/>
              <a:latin typeface="Times New Roman" panose="02020603050405020304" pitchFamily="18" charset="0"/>
              <a:ea typeface="+mn-ea"/>
              <a:cs typeface="Times New Roman" panose="02020603050405020304" pitchFamily="18" charset="0"/>
            </a:rPr>
            <a:t>INSTRUMENTO PARTICULAR DE PROCURAÇÃO</a:t>
          </a:r>
        </a:p>
        <a:p>
          <a:pPr algn="ctr"/>
          <a:endParaRPr lang="pt-BR" sz="1200">
            <a:latin typeface="Times New Roman" panose="02020603050405020304" pitchFamily="18" charset="0"/>
            <a:cs typeface="Times New Roman" panose="02020603050405020304" pitchFamily="18" charset="0"/>
          </a:endParaRPr>
        </a:p>
      </xdr:txBody>
    </xdr:sp>
    <xdr:clientData/>
  </xdr:twoCellAnchor>
  <xdr:twoCellAnchor editAs="oneCell">
    <xdr:from>
      <xdr:col>6</xdr:col>
      <xdr:colOff>239214</xdr:colOff>
      <xdr:row>44</xdr:row>
      <xdr:rowOff>50438</xdr:rowOff>
    </xdr:from>
    <xdr:to>
      <xdr:col>9</xdr:col>
      <xdr:colOff>281942</xdr:colOff>
      <xdr:row>46</xdr:row>
      <xdr:rowOff>129982</xdr:rowOff>
    </xdr:to>
    <xdr:pic>
      <xdr:nvPicPr>
        <xdr:cNvPr id="28" name="Imagem 27">
          <a:extLst>
            <a:ext uri="{FF2B5EF4-FFF2-40B4-BE49-F238E27FC236}">
              <a16:creationId xmlns:a16="http://schemas.microsoft.com/office/drawing/2014/main" id="{00000000-0008-0000-1500-00001C000000}"/>
            </a:ext>
          </a:extLst>
        </xdr:cNvPr>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3994785" y="7833724"/>
          <a:ext cx="1955348" cy="433329"/>
        </a:xfrm>
        <a:prstGeom prst="rect">
          <a:avLst/>
        </a:prstGeom>
      </xdr:spPr>
    </xdr:pic>
    <xdr:clientData/>
  </xdr:twoCellAnchor>
  <xdr:twoCellAnchor editAs="oneCell">
    <xdr:from>
      <xdr:col>16</xdr:col>
      <xdr:colOff>612322</xdr:colOff>
      <xdr:row>47</xdr:row>
      <xdr:rowOff>54429</xdr:rowOff>
    </xdr:from>
    <xdr:to>
      <xdr:col>19</xdr:col>
      <xdr:colOff>668929</xdr:colOff>
      <xdr:row>49</xdr:row>
      <xdr:rowOff>130162</xdr:rowOff>
    </xdr:to>
    <xdr:pic>
      <xdr:nvPicPr>
        <xdr:cNvPr id="29" name="Imagem 28">
          <a:extLst>
            <a:ext uri="{FF2B5EF4-FFF2-40B4-BE49-F238E27FC236}">
              <a16:creationId xmlns:a16="http://schemas.microsoft.com/office/drawing/2014/main" id="{00000000-0008-0000-1500-00001D000000}"/>
            </a:ext>
          </a:extLst>
        </xdr:cNvPr>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0654393" y="8368393"/>
          <a:ext cx="1943918" cy="423804"/>
        </a:xfrm>
        <a:prstGeom prst="rect">
          <a:avLst/>
        </a:prstGeom>
      </xdr:spPr>
    </xdr:pic>
    <xdr:clientData/>
  </xdr:twoCellAnchor>
  <xdr:twoCellAnchor editAs="oneCell">
    <xdr:from>
      <xdr:col>30</xdr:col>
      <xdr:colOff>145676</xdr:colOff>
      <xdr:row>0</xdr:row>
      <xdr:rowOff>105147</xdr:rowOff>
    </xdr:from>
    <xdr:to>
      <xdr:col>32</xdr:col>
      <xdr:colOff>15463</xdr:colOff>
      <xdr:row>5</xdr:row>
      <xdr:rowOff>59627</xdr:rowOff>
    </xdr:to>
    <xdr:pic>
      <xdr:nvPicPr>
        <xdr:cNvPr id="30" name="Imagem 29">
          <a:extLst>
            <a:ext uri="{FF2B5EF4-FFF2-40B4-BE49-F238E27FC236}">
              <a16:creationId xmlns:a16="http://schemas.microsoft.com/office/drawing/2014/main" id="{00000000-0008-0000-1500-00001E000000}"/>
            </a:ext>
          </a:extLst>
        </xdr:cNvPr>
        <xdr:cNvPicPr>
          <a:picLocks noChangeAspect="1"/>
        </xdr:cNvPicPr>
      </xdr:nvPicPr>
      <xdr:blipFill>
        <a:blip xmlns:r="http://schemas.openxmlformats.org/officeDocument/2006/relationships" r:embed="rId3"/>
        <a:stretch>
          <a:fillRect/>
        </a:stretch>
      </xdr:blipFill>
      <xdr:spPr>
        <a:xfrm>
          <a:off x="19307735" y="105147"/>
          <a:ext cx="1124846" cy="850951"/>
        </a:xfrm>
        <a:prstGeom prst="rect">
          <a:avLst/>
        </a:prstGeom>
      </xdr:spPr>
    </xdr:pic>
    <xdr:clientData/>
  </xdr:twoCellAnchor>
  <xdr:twoCellAnchor>
    <xdr:from>
      <xdr:col>30</xdr:col>
      <xdr:colOff>65332</xdr:colOff>
      <xdr:row>5</xdr:row>
      <xdr:rowOff>65330</xdr:rowOff>
    </xdr:from>
    <xdr:to>
      <xdr:col>39</xdr:col>
      <xdr:colOff>1120588</xdr:colOff>
      <xdr:row>5</xdr:row>
      <xdr:rowOff>65330</xdr:rowOff>
    </xdr:to>
    <xdr:cxnSp macro="">
      <xdr:nvCxnSpPr>
        <xdr:cNvPr id="31" name="Conector reto 30">
          <a:extLst>
            <a:ext uri="{FF2B5EF4-FFF2-40B4-BE49-F238E27FC236}">
              <a16:creationId xmlns:a16="http://schemas.microsoft.com/office/drawing/2014/main" id="{00000000-0008-0000-1500-00001F000000}"/>
            </a:ext>
          </a:extLst>
        </xdr:cNvPr>
        <xdr:cNvCxnSpPr/>
      </xdr:nvCxnSpPr>
      <xdr:spPr>
        <a:xfrm flipH="1">
          <a:off x="19595392" y="979730"/>
          <a:ext cx="6495936"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28174</xdr:colOff>
      <xdr:row>19</xdr:row>
      <xdr:rowOff>21256</xdr:rowOff>
    </xdr:from>
    <xdr:to>
      <xdr:col>49</xdr:col>
      <xdr:colOff>193222</xdr:colOff>
      <xdr:row>19</xdr:row>
      <xdr:rowOff>162326</xdr:rowOff>
    </xdr:to>
    <xdr:grpSp>
      <xdr:nvGrpSpPr>
        <xdr:cNvPr id="32" name="Agrupar 31">
          <a:extLst>
            <a:ext uri="{FF2B5EF4-FFF2-40B4-BE49-F238E27FC236}">
              <a16:creationId xmlns:a16="http://schemas.microsoft.com/office/drawing/2014/main" id="{00000000-0008-0000-1500-000020000000}"/>
            </a:ext>
          </a:extLst>
        </xdr:cNvPr>
        <xdr:cNvGrpSpPr/>
      </xdr:nvGrpSpPr>
      <xdr:grpSpPr>
        <a:xfrm>
          <a:off x="25237674" y="3640756"/>
          <a:ext cx="4991048" cy="141070"/>
          <a:chOff x="25525408" y="3414537"/>
          <a:chExt cx="5022798" cy="141070"/>
        </a:xfrm>
      </xdr:grpSpPr>
      <xdr:sp macro="" textlink="">
        <xdr:nvSpPr>
          <xdr:cNvPr id="33" name="Retângulo 32">
            <a:extLst>
              <a:ext uri="{FF2B5EF4-FFF2-40B4-BE49-F238E27FC236}">
                <a16:creationId xmlns:a16="http://schemas.microsoft.com/office/drawing/2014/main" id="{00000000-0008-0000-1500-000021000000}"/>
              </a:ext>
            </a:extLst>
          </xdr:cNvPr>
          <xdr:cNvSpPr/>
        </xdr:nvSpPr>
        <xdr:spPr>
          <a:xfrm>
            <a:off x="25525408" y="3421455"/>
            <a:ext cx="136874" cy="134152"/>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s-ES" sz="1100"/>
          </a:p>
        </xdr:txBody>
      </xdr:sp>
      <xdr:sp macro="" textlink="">
        <xdr:nvSpPr>
          <xdr:cNvPr id="34" name="Retângulo 33">
            <a:extLst>
              <a:ext uri="{FF2B5EF4-FFF2-40B4-BE49-F238E27FC236}">
                <a16:creationId xmlns:a16="http://schemas.microsoft.com/office/drawing/2014/main" id="{00000000-0008-0000-1500-000022000000}"/>
              </a:ext>
            </a:extLst>
          </xdr:cNvPr>
          <xdr:cNvSpPr/>
        </xdr:nvSpPr>
        <xdr:spPr>
          <a:xfrm>
            <a:off x="26506709" y="3421455"/>
            <a:ext cx="138779" cy="134152"/>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S" sz="1100">
                <a:solidFill>
                  <a:sysClr val="windowText" lastClr="000000"/>
                </a:solidFill>
              </a:rPr>
              <a:t>X</a:t>
            </a:r>
          </a:p>
        </xdr:txBody>
      </xdr:sp>
      <xdr:sp macro="" textlink="">
        <xdr:nvSpPr>
          <xdr:cNvPr id="35" name="Retângulo 34">
            <a:extLst>
              <a:ext uri="{FF2B5EF4-FFF2-40B4-BE49-F238E27FC236}">
                <a16:creationId xmlns:a16="http://schemas.microsoft.com/office/drawing/2014/main" id="{00000000-0008-0000-1500-000023000000}"/>
              </a:ext>
            </a:extLst>
          </xdr:cNvPr>
          <xdr:cNvSpPr/>
        </xdr:nvSpPr>
        <xdr:spPr>
          <a:xfrm>
            <a:off x="27387170" y="3421455"/>
            <a:ext cx="138779" cy="134152"/>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s-ES" sz="1100"/>
          </a:p>
        </xdr:txBody>
      </xdr:sp>
      <xdr:sp macro="" textlink="">
        <xdr:nvSpPr>
          <xdr:cNvPr id="36" name="Retângulo 35">
            <a:extLst>
              <a:ext uri="{FF2B5EF4-FFF2-40B4-BE49-F238E27FC236}">
                <a16:creationId xmlns:a16="http://schemas.microsoft.com/office/drawing/2014/main" id="{00000000-0008-0000-1500-000024000000}"/>
              </a:ext>
            </a:extLst>
          </xdr:cNvPr>
          <xdr:cNvSpPr/>
        </xdr:nvSpPr>
        <xdr:spPr>
          <a:xfrm>
            <a:off x="28573433" y="3414537"/>
            <a:ext cx="129254" cy="134152"/>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s-ES" sz="1100"/>
          </a:p>
        </xdr:txBody>
      </xdr:sp>
      <xdr:sp macro="" textlink="">
        <xdr:nvSpPr>
          <xdr:cNvPr id="37" name="Retângulo 36">
            <a:extLst>
              <a:ext uri="{FF2B5EF4-FFF2-40B4-BE49-F238E27FC236}">
                <a16:creationId xmlns:a16="http://schemas.microsoft.com/office/drawing/2014/main" id="{00000000-0008-0000-1500-000025000000}"/>
              </a:ext>
            </a:extLst>
          </xdr:cNvPr>
          <xdr:cNvSpPr/>
        </xdr:nvSpPr>
        <xdr:spPr>
          <a:xfrm>
            <a:off x="30411332" y="3421455"/>
            <a:ext cx="136874" cy="134152"/>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s-ES" sz="1100"/>
          </a:p>
        </xdr:txBody>
      </xdr:sp>
    </xdr:grpSp>
    <xdr:clientData/>
  </xdr:twoCellAnchor>
  <xdr:oneCellAnchor>
    <xdr:from>
      <xdr:col>46</xdr:col>
      <xdr:colOff>239214</xdr:colOff>
      <xdr:row>45</xdr:row>
      <xdr:rowOff>50438</xdr:rowOff>
    </xdr:from>
    <xdr:ext cx="1949633" cy="438132"/>
    <xdr:pic>
      <xdr:nvPicPr>
        <xdr:cNvPr id="38" name="Imagem 37">
          <a:extLst>
            <a:ext uri="{FF2B5EF4-FFF2-40B4-BE49-F238E27FC236}">
              <a16:creationId xmlns:a16="http://schemas.microsoft.com/office/drawing/2014/main" id="{00000000-0008-0000-1500-000026000000}"/>
            </a:ext>
          </a:extLst>
        </xdr:cNvPr>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28863744" y="8198123"/>
          <a:ext cx="1949633" cy="438132"/>
        </a:xfrm>
        <a:prstGeom prst="rect">
          <a:avLst/>
        </a:prstGeom>
      </xdr:spPr>
    </xdr:pic>
    <xdr:clientData/>
  </xdr:oneCellAnchor>
  <xdr:twoCellAnchor>
    <xdr:from>
      <xdr:col>49</xdr:col>
      <xdr:colOff>359636</xdr:colOff>
      <xdr:row>22</xdr:row>
      <xdr:rowOff>21499</xdr:rowOff>
    </xdr:from>
    <xdr:to>
      <xdr:col>49</xdr:col>
      <xdr:colOff>498016</xdr:colOff>
      <xdr:row>34</xdr:row>
      <xdr:rowOff>151753</xdr:rowOff>
    </xdr:to>
    <xdr:grpSp>
      <xdr:nvGrpSpPr>
        <xdr:cNvPr id="39" name="Agrupar 38">
          <a:extLst>
            <a:ext uri="{FF2B5EF4-FFF2-40B4-BE49-F238E27FC236}">
              <a16:creationId xmlns:a16="http://schemas.microsoft.com/office/drawing/2014/main" id="{00000000-0008-0000-1500-000027000000}"/>
            </a:ext>
          </a:extLst>
        </xdr:cNvPr>
        <xdr:cNvGrpSpPr/>
      </xdr:nvGrpSpPr>
      <xdr:grpSpPr>
        <a:xfrm>
          <a:off x="30395136" y="4212499"/>
          <a:ext cx="138380" cy="2416254"/>
          <a:chOff x="30714620" y="3950562"/>
          <a:chExt cx="138380" cy="2273379"/>
        </a:xfrm>
      </xdr:grpSpPr>
      <xdr:sp macro="" textlink="">
        <xdr:nvSpPr>
          <xdr:cNvPr id="40" name="Retângulo 39">
            <a:extLst>
              <a:ext uri="{FF2B5EF4-FFF2-40B4-BE49-F238E27FC236}">
                <a16:creationId xmlns:a16="http://schemas.microsoft.com/office/drawing/2014/main" id="{00000000-0008-0000-1500-000028000000}"/>
              </a:ext>
            </a:extLst>
          </xdr:cNvPr>
          <xdr:cNvSpPr>
            <a:spLocks noChangeAspect="1"/>
          </xdr:cNvSpPr>
        </xdr:nvSpPr>
        <xdr:spPr>
          <a:xfrm>
            <a:off x="30719800" y="3950562"/>
            <a:ext cx="133200" cy="131964"/>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S" sz="1100">
                <a:solidFill>
                  <a:sysClr val="windowText" lastClr="000000"/>
                </a:solidFill>
              </a:rPr>
              <a:t>X</a:t>
            </a:r>
          </a:p>
        </xdr:txBody>
      </xdr:sp>
      <xdr:sp macro="" textlink="">
        <xdr:nvSpPr>
          <xdr:cNvPr id="41" name="Retângulo 40">
            <a:extLst>
              <a:ext uri="{FF2B5EF4-FFF2-40B4-BE49-F238E27FC236}">
                <a16:creationId xmlns:a16="http://schemas.microsoft.com/office/drawing/2014/main" id="{00000000-0008-0000-1500-000029000000}"/>
              </a:ext>
            </a:extLst>
          </xdr:cNvPr>
          <xdr:cNvSpPr/>
        </xdr:nvSpPr>
        <xdr:spPr>
          <a:xfrm>
            <a:off x="30715990" y="4341493"/>
            <a:ext cx="137010" cy="138915"/>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S" sz="1100">
                <a:solidFill>
                  <a:sysClr val="windowText" lastClr="000000"/>
                </a:solidFill>
              </a:rPr>
              <a:t>X</a:t>
            </a:r>
          </a:p>
        </xdr:txBody>
      </xdr:sp>
      <xdr:sp macro="" textlink="">
        <xdr:nvSpPr>
          <xdr:cNvPr id="42" name="Retângulo 41">
            <a:extLst>
              <a:ext uri="{FF2B5EF4-FFF2-40B4-BE49-F238E27FC236}">
                <a16:creationId xmlns:a16="http://schemas.microsoft.com/office/drawing/2014/main" id="{00000000-0008-0000-1500-00002A000000}"/>
              </a:ext>
            </a:extLst>
          </xdr:cNvPr>
          <xdr:cNvSpPr/>
        </xdr:nvSpPr>
        <xdr:spPr>
          <a:xfrm>
            <a:off x="30715990" y="4595745"/>
            <a:ext cx="137010" cy="137010"/>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S" sz="1100">
                <a:solidFill>
                  <a:sysClr val="windowText" lastClr="000000"/>
                </a:solidFill>
              </a:rPr>
              <a:t>X</a:t>
            </a:r>
          </a:p>
        </xdr:txBody>
      </xdr:sp>
      <xdr:sp macro="" textlink="">
        <xdr:nvSpPr>
          <xdr:cNvPr id="43" name="Retângulo 42">
            <a:extLst>
              <a:ext uri="{FF2B5EF4-FFF2-40B4-BE49-F238E27FC236}">
                <a16:creationId xmlns:a16="http://schemas.microsoft.com/office/drawing/2014/main" id="{00000000-0008-0000-1500-00002B000000}"/>
              </a:ext>
            </a:extLst>
          </xdr:cNvPr>
          <xdr:cNvSpPr/>
        </xdr:nvSpPr>
        <xdr:spPr>
          <a:xfrm>
            <a:off x="30715990" y="4952932"/>
            <a:ext cx="137010" cy="137010"/>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S" sz="1100">
                <a:solidFill>
                  <a:sysClr val="windowText" lastClr="000000"/>
                </a:solidFill>
              </a:rPr>
              <a:t>X</a:t>
            </a:r>
          </a:p>
        </xdr:txBody>
      </xdr:sp>
      <xdr:sp macro="" textlink="">
        <xdr:nvSpPr>
          <xdr:cNvPr id="44" name="Retângulo 43">
            <a:extLst>
              <a:ext uri="{FF2B5EF4-FFF2-40B4-BE49-F238E27FC236}">
                <a16:creationId xmlns:a16="http://schemas.microsoft.com/office/drawing/2014/main" id="{00000000-0008-0000-1500-00002C000000}"/>
              </a:ext>
            </a:extLst>
          </xdr:cNvPr>
          <xdr:cNvSpPr/>
        </xdr:nvSpPr>
        <xdr:spPr>
          <a:xfrm>
            <a:off x="30715990" y="5375501"/>
            <a:ext cx="137010" cy="135864"/>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s-ES" sz="1100"/>
          </a:p>
        </xdr:txBody>
      </xdr:sp>
      <xdr:sp macro="" textlink="">
        <xdr:nvSpPr>
          <xdr:cNvPr id="45" name="Retângulo 44">
            <a:extLst>
              <a:ext uri="{FF2B5EF4-FFF2-40B4-BE49-F238E27FC236}">
                <a16:creationId xmlns:a16="http://schemas.microsoft.com/office/drawing/2014/main" id="{00000000-0008-0000-1500-00002D000000}"/>
              </a:ext>
            </a:extLst>
          </xdr:cNvPr>
          <xdr:cNvSpPr/>
        </xdr:nvSpPr>
        <xdr:spPr>
          <a:xfrm>
            <a:off x="30715990" y="5846178"/>
            <a:ext cx="137010" cy="138915"/>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s-ES" sz="1100"/>
          </a:p>
        </xdr:txBody>
      </xdr:sp>
      <xdr:sp macro="" textlink="">
        <xdr:nvSpPr>
          <xdr:cNvPr id="46" name="Retângulo 45">
            <a:extLst>
              <a:ext uri="{FF2B5EF4-FFF2-40B4-BE49-F238E27FC236}">
                <a16:creationId xmlns:a16="http://schemas.microsoft.com/office/drawing/2014/main" id="{00000000-0008-0000-1500-00002E000000}"/>
              </a:ext>
            </a:extLst>
          </xdr:cNvPr>
          <xdr:cNvSpPr>
            <a:spLocks/>
          </xdr:cNvSpPr>
        </xdr:nvSpPr>
        <xdr:spPr>
          <a:xfrm>
            <a:off x="30714620" y="6093687"/>
            <a:ext cx="138380" cy="130254"/>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s-ES" sz="1100"/>
          </a:p>
        </xdr:txBody>
      </xdr:sp>
      <xdr:sp macro="" textlink="">
        <xdr:nvSpPr>
          <xdr:cNvPr id="47" name="Retângulo 46">
            <a:extLst>
              <a:ext uri="{FF2B5EF4-FFF2-40B4-BE49-F238E27FC236}">
                <a16:creationId xmlns:a16="http://schemas.microsoft.com/office/drawing/2014/main" id="{00000000-0008-0000-1500-00002F000000}"/>
              </a:ext>
            </a:extLst>
          </xdr:cNvPr>
          <xdr:cNvSpPr/>
        </xdr:nvSpPr>
        <xdr:spPr>
          <a:xfrm>
            <a:off x="30719936" y="4144172"/>
            <a:ext cx="133064" cy="134152"/>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s-ES" sz="1100">
                <a:solidFill>
                  <a:sysClr val="windowText" lastClr="000000"/>
                </a:solidFill>
              </a:rPr>
              <a:t>X</a:t>
            </a:r>
          </a:p>
        </xdr:txBody>
      </xdr:sp>
    </xdr:grpSp>
    <xdr:clientData/>
  </xdr:twoCellAnchor>
  <xdr:twoCellAnchor>
    <xdr:from>
      <xdr:col>42</xdr:col>
      <xdr:colOff>487334</xdr:colOff>
      <xdr:row>14</xdr:row>
      <xdr:rowOff>17417</xdr:rowOff>
    </xdr:from>
    <xdr:to>
      <xdr:col>49</xdr:col>
      <xdr:colOff>79733</xdr:colOff>
      <xdr:row>15</xdr:row>
      <xdr:rowOff>161557</xdr:rowOff>
    </xdr:to>
    <xdr:grpSp>
      <xdr:nvGrpSpPr>
        <xdr:cNvPr id="48" name="Agrupar 47">
          <a:extLst>
            <a:ext uri="{FF2B5EF4-FFF2-40B4-BE49-F238E27FC236}">
              <a16:creationId xmlns:a16="http://schemas.microsoft.com/office/drawing/2014/main" id="{00000000-0008-0000-1500-000030000000}"/>
            </a:ext>
          </a:extLst>
        </xdr:cNvPr>
        <xdr:cNvGrpSpPr/>
      </xdr:nvGrpSpPr>
      <xdr:grpSpPr>
        <a:xfrm>
          <a:off x="26300084" y="2684417"/>
          <a:ext cx="3815149" cy="334640"/>
          <a:chOff x="26591787" y="2517730"/>
          <a:chExt cx="3842930" cy="322733"/>
        </a:xfrm>
      </xdr:grpSpPr>
      <xdr:sp macro="" textlink="$AV$16">
        <xdr:nvSpPr>
          <xdr:cNvPr id="49" name="Retângulo 48">
            <a:extLst>
              <a:ext uri="{FF2B5EF4-FFF2-40B4-BE49-F238E27FC236}">
                <a16:creationId xmlns:a16="http://schemas.microsoft.com/office/drawing/2014/main" id="{00000000-0008-0000-1500-000031000000}"/>
              </a:ext>
            </a:extLst>
          </xdr:cNvPr>
          <xdr:cNvSpPr/>
        </xdr:nvSpPr>
        <xdr:spPr>
          <a:xfrm>
            <a:off x="28678628" y="2713542"/>
            <a:ext cx="136684" cy="126921"/>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fld id="{317FF70F-667F-47E7-AE01-ACE3E4FFD48F}" type="TxLink">
              <a:rPr lang="en-US" sz="1100" b="0" i="0" u="none" strike="noStrike">
                <a:solidFill>
                  <a:sysClr val="windowText" lastClr="000000"/>
                </a:solidFill>
                <a:latin typeface="Calibri"/>
                <a:cs typeface="Calibri"/>
              </a:rPr>
              <a:pPr algn="ctr"/>
              <a:t> </a:t>
            </a:fld>
            <a:endParaRPr lang="es-ES" sz="1100">
              <a:solidFill>
                <a:sysClr val="windowText" lastClr="000000"/>
              </a:solidFill>
            </a:endParaRPr>
          </a:p>
        </xdr:txBody>
      </xdr:sp>
      <xdr:sp macro="" textlink="$AR$16">
        <xdr:nvSpPr>
          <xdr:cNvPr id="50" name="Retângulo 49">
            <a:extLst>
              <a:ext uri="{FF2B5EF4-FFF2-40B4-BE49-F238E27FC236}">
                <a16:creationId xmlns:a16="http://schemas.microsoft.com/office/drawing/2014/main" id="{00000000-0008-0000-1500-000032000000}"/>
              </a:ext>
            </a:extLst>
          </xdr:cNvPr>
          <xdr:cNvSpPr/>
        </xdr:nvSpPr>
        <xdr:spPr>
          <a:xfrm>
            <a:off x="26591787" y="2707308"/>
            <a:ext cx="125254" cy="126921"/>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fld id="{DA88C6DB-A1E5-4EEC-BB72-9CBFEA48A985}" type="TxLink">
              <a:rPr lang="en-US" sz="1100" b="0" i="0" u="none" strike="noStrike">
                <a:solidFill>
                  <a:sysClr val="windowText" lastClr="000000"/>
                </a:solidFill>
                <a:latin typeface="Calibri"/>
                <a:cs typeface="Calibri"/>
              </a:rPr>
              <a:pPr algn="ctr"/>
              <a:t>X</a:t>
            </a:fld>
            <a:endParaRPr lang="es-ES" sz="1100" b="1">
              <a:solidFill>
                <a:sysClr val="windowText" lastClr="000000"/>
              </a:solidFill>
            </a:endParaRPr>
          </a:p>
        </xdr:txBody>
      </xdr:sp>
      <xdr:sp macro="" textlink="$AR$15">
        <xdr:nvSpPr>
          <xdr:cNvPr id="51" name="Retângulo 50">
            <a:extLst>
              <a:ext uri="{FF2B5EF4-FFF2-40B4-BE49-F238E27FC236}">
                <a16:creationId xmlns:a16="http://schemas.microsoft.com/office/drawing/2014/main" id="{00000000-0008-0000-1500-000033000000}"/>
              </a:ext>
            </a:extLst>
          </xdr:cNvPr>
          <xdr:cNvSpPr>
            <a:spLocks/>
          </xdr:cNvSpPr>
        </xdr:nvSpPr>
        <xdr:spPr>
          <a:xfrm>
            <a:off x="26777130" y="2517730"/>
            <a:ext cx="146535" cy="137010"/>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fld id="{B4D64183-061C-4878-B5F4-F7F42BA4BE10}" type="TxLink">
              <a:rPr lang="en-US" sz="1100" b="0" i="0" u="none" strike="noStrike">
                <a:solidFill>
                  <a:sysClr val="windowText" lastClr="000000"/>
                </a:solidFill>
                <a:latin typeface="Calibri"/>
                <a:cs typeface="Calibri"/>
              </a:rPr>
              <a:pPr algn="ctr"/>
              <a:t> </a:t>
            </a:fld>
            <a:endParaRPr lang="es-ES" sz="1100">
              <a:solidFill>
                <a:sysClr val="windowText" lastClr="000000"/>
              </a:solidFill>
            </a:endParaRPr>
          </a:p>
        </xdr:txBody>
      </xdr:sp>
      <xdr:sp macro="" textlink="$AU$15">
        <xdr:nvSpPr>
          <xdr:cNvPr id="52" name="Retângulo 51">
            <a:extLst>
              <a:ext uri="{FF2B5EF4-FFF2-40B4-BE49-F238E27FC236}">
                <a16:creationId xmlns:a16="http://schemas.microsoft.com/office/drawing/2014/main" id="{00000000-0008-0000-1500-000034000000}"/>
              </a:ext>
            </a:extLst>
          </xdr:cNvPr>
          <xdr:cNvSpPr>
            <a:spLocks/>
          </xdr:cNvSpPr>
        </xdr:nvSpPr>
        <xdr:spPr>
          <a:xfrm>
            <a:off x="28438153" y="2521542"/>
            <a:ext cx="134629" cy="133200"/>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fld id="{AF3BE47F-4EBE-4702-9BCA-3C9CF04A9FD4}" type="TxLink">
              <a:rPr lang="en-US" sz="1100" b="0" i="0" u="none" strike="noStrike">
                <a:solidFill>
                  <a:sysClr val="windowText" lastClr="000000"/>
                </a:solidFill>
                <a:latin typeface="Calibri"/>
                <a:cs typeface="Calibri"/>
              </a:rPr>
              <a:pPr algn="ctr"/>
              <a:t> </a:t>
            </a:fld>
            <a:endParaRPr lang="es-ES" sz="1100">
              <a:solidFill>
                <a:sysClr val="windowText" lastClr="000000"/>
              </a:solidFill>
            </a:endParaRPr>
          </a:p>
        </xdr:txBody>
      </xdr:sp>
      <xdr:sp macro="" textlink="$AX$15">
        <xdr:nvSpPr>
          <xdr:cNvPr id="53" name="Retângulo 52">
            <a:extLst>
              <a:ext uri="{FF2B5EF4-FFF2-40B4-BE49-F238E27FC236}">
                <a16:creationId xmlns:a16="http://schemas.microsoft.com/office/drawing/2014/main" id="{00000000-0008-0000-1500-000035000000}"/>
              </a:ext>
            </a:extLst>
          </xdr:cNvPr>
          <xdr:cNvSpPr>
            <a:spLocks/>
          </xdr:cNvSpPr>
        </xdr:nvSpPr>
        <xdr:spPr>
          <a:xfrm>
            <a:off x="30303899" y="2517730"/>
            <a:ext cx="130818" cy="137010"/>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fld id="{136FB4F5-41F8-4A85-8CB6-D21BDC2639A7}" type="TxLink">
              <a:rPr lang="en-US" sz="1100" b="0" i="0" u="none" strike="noStrike">
                <a:solidFill>
                  <a:sysClr val="windowText" lastClr="000000"/>
                </a:solidFill>
                <a:latin typeface="Calibri"/>
                <a:cs typeface="Calibri"/>
              </a:rPr>
              <a:pPr algn="ctr"/>
              <a:t> </a:t>
            </a:fld>
            <a:endParaRPr lang="es-ES" sz="1100">
              <a:solidFill>
                <a:sysClr val="windowText" lastClr="000000"/>
              </a:solidFill>
            </a:endParaRPr>
          </a:p>
        </xdr:txBody>
      </xdr:sp>
    </xdr:grpSp>
    <xdr:clientData/>
  </xdr:twoCellAnchor>
  <xdr:twoCellAnchor>
    <xdr:from>
      <xdr:col>3</xdr:col>
      <xdr:colOff>173593</xdr:colOff>
      <xdr:row>14</xdr:row>
      <xdr:rowOff>25407</xdr:rowOff>
    </xdr:from>
    <xdr:to>
      <xdr:col>9</xdr:col>
      <xdr:colOff>176597</xdr:colOff>
      <xdr:row>14</xdr:row>
      <xdr:rowOff>164686</xdr:rowOff>
    </xdr:to>
    <xdr:grpSp>
      <xdr:nvGrpSpPr>
        <xdr:cNvPr id="54" name="Agrupar 53">
          <a:extLst>
            <a:ext uri="{FF2B5EF4-FFF2-40B4-BE49-F238E27FC236}">
              <a16:creationId xmlns:a16="http://schemas.microsoft.com/office/drawing/2014/main" id="{00000000-0008-0000-1500-000036000000}"/>
            </a:ext>
          </a:extLst>
        </xdr:cNvPr>
        <xdr:cNvGrpSpPr/>
      </xdr:nvGrpSpPr>
      <xdr:grpSpPr>
        <a:xfrm>
          <a:off x="1983343" y="2692407"/>
          <a:ext cx="3622504" cy="139279"/>
          <a:chOff x="26777130" y="2517730"/>
          <a:chExt cx="3657587" cy="137012"/>
        </a:xfrm>
      </xdr:grpSpPr>
      <xdr:sp macro="" textlink="$AR$15">
        <xdr:nvSpPr>
          <xdr:cNvPr id="57" name="Retângulo 56">
            <a:extLst>
              <a:ext uri="{FF2B5EF4-FFF2-40B4-BE49-F238E27FC236}">
                <a16:creationId xmlns:a16="http://schemas.microsoft.com/office/drawing/2014/main" id="{00000000-0008-0000-1500-000039000000}"/>
              </a:ext>
            </a:extLst>
          </xdr:cNvPr>
          <xdr:cNvSpPr>
            <a:spLocks/>
          </xdr:cNvSpPr>
        </xdr:nvSpPr>
        <xdr:spPr>
          <a:xfrm>
            <a:off x="26777130" y="2517730"/>
            <a:ext cx="146535" cy="137010"/>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fld id="{B4D64183-061C-4878-B5F4-F7F42BA4BE10}" type="TxLink">
              <a:rPr lang="en-US" sz="1100" b="0" i="0" u="none" strike="noStrike">
                <a:solidFill>
                  <a:sysClr val="windowText" lastClr="000000"/>
                </a:solidFill>
                <a:latin typeface="Calibri"/>
                <a:cs typeface="Calibri"/>
              </a:rPr>
              <a:pPr algn="ctr"/>
              <a:t> </a:t>
            </a:fld>
            <a:endParaRPr lang="es-ES" sz="1100">
              <a:solidFill>
                <a:sysClr val="windowText" lastClr="000000"/>
              </a:solidFill>
            </a:endParaRPr>
          </a:p>
        </xdr:txBody>
      </xdr:sp>
      <xdr:sp macro="" textlink="$AU$15">
        <xdr:nvSpPr>
          <xdr:cNvPr id="58" name="Retângulo 57">
            <a:extLst>
              <a:ext uri="{FF2B5EF4-FFF2-40B4-BE49-F238E27FC236}">
                <a16:creationId xmlns:a16="http://schemas.microsoft.com/office/drawing/2014/main" id="{00000000-0008-0000-1500-00003A000000}"/>
              </a:ext>
            </a:extLst>
          </xdr:cNvPr>
          <xdr:cNvSpPr>
            <a:spLocks/>
          </xdr:cNvSpPr>
        </xdr:nvSpPr>
        <xdr:spPr>
          <a:xfrm>
            <a:off x="28438153" y="2521542"/>
            <a:ext cx="134629" cy="133200"/>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fld id="{AF3BE47F-4EBE-4702-9BCA-3C9CF04A9FD4}" type="TxLink">
              <a:rPr lang="en-US" sz="1100" b="0" i="0" u="none" strike="noStrike">
                <a:solidFill>
                  <a:sysClr val="windowText" lastClr="000000"/>
                </a:solidFill>
                <a:latin typeface="Calibri"/>
                <a:cs typeface="Calibri"/>
              </a:rPr>
              <a:pPr algn="ctr"/>
              <a:t> </a:t>
            </a:fld>
            <a:endParaRPr lang="es-ES" sz="1100">
              <a:solidFill>
                <a:sysClr val="windowText" lastClr="000000"/>
              </a:solidFill>
            </a:endParaRPr>
          </a:p>
        </xdr:txBody>
      </xdr:sp>
      <xdr:sp macro="" textlink="$AX$15">
        <xdr:nvSpPr>
          <xdr:cNvPr id="59" name="Retângulo 58">
            <a:extLst>
              <a:ext uri="{FF2B5EF4-FFF2-40B4-BE49-F238E27FC236}">
                <a16:creationId xmlns:a16="http://schemas.microsoft.com/office/drawing/2014/main" id="{00000000-0008-0000-1500-00003B000000}"/>
              </a:ext>
            </a:extLst>
          </xdr:cNvPr>
          <xdr:cNvSpPr>
            <a:spLocks/>
          </xdr:cNvSpPr>
        </xdr:nvSpPr>
        <xdr:spPr>
          <a:xfrm>
            <a:off x="30303899" y="2517730"/>
            <a:ext cx="130818" cy="137010"/>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fld id="{136FB4F5-41F8-4A85-8CB6-D21BDC2639A7}" type="TxLink">
              <a:rPr lang="en-US" sz="1100" b="0" i="0" u="none" strike="noStrike">
                <a:solidFill>
                  <a:sysClr val="windowText" lastClr="000000"/>
                </a:solidFill>
                <a:latin typeface="Calibri"/>
                <a:cs typeface="Calibri"/>
              </a:rPr>
              <a:pPr algn="ctr"/>
              <a:t> </a:t>
            </a:fld>
            <a:endParaRPr lang="es-ES" sz="1100">
              <a:solidFill>
                <a:sysClr val="windowText" lastClr="000000"/>
              </a:solidFill>
            </a:endParaRP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241479</xdr:colOff>
      <xdr:row>3</xdr:row>
      <xdr:rowOff>63425</xdr:rowOff>
    </xdr:from>
    <xdr:to>
      <xdr:col>10</xdr:col>
      <xdr:colOff>0</xdr:colOff>
      <xdr:row>28</xdr:row>
      <xdr:rowOff>40128</xdr:rowOff>
    </xdr:to>
    <xdr:grpSp>
      <xdr:nvGrpSpPr>
        <xdr:cNvPr id="2" name="Agrupar 1">
          <a:extLst>
            <a:ext uri="{FF2B5EF4-FFF2-40B4-BE49-F238E27FC236}">
              <a16:creationId xmlns:a16="http://schemas.microsoft.com/office/drawing/2014/main" id="{00000000-0008-0000-1600-000002000000}"/>
            </a:ext>
          </a:extLst>
        </xdr:cNvPr>
        <xdr:cNvGrpSpPr/>
      </xdr:nvGrpSpPr>
      <xdr:grpSpPr>
        <a:xfrm>
          <a:off x="241479" y="634925"/>
          <a:ext cx="5775146" cy="4739203"/>
          <a:chOff x="0" y="5065996"/>
          <a:chExt cx="6045245" cy="4449531"/>
        </a:xfrm>
      </xdr:grpSpPr>
      <xdr:pic>
        <xdr:nvPicPr>
          <xdr:cNvPr id="4" name="Imagem 3">
            <a:extLst>
              <a:ext uri="{FF2B5EF4-FFF2-40B4-BE49-F238E27FC236}">
                <a16:creationId xmlns:a16="http://schemas.microsoft.com/office/drawing/2014/main" id="{00000000-0008-0000-1600-000004000000}"/>
              </a:ext>
            </a:extLst>
          </xdr:cNvPr>
          <xdr:cNvPicPr>
            <a:picLocks noChangeAspect="1"/>
          </xdr:cNvPicPr>
        </xdr:nvPicPr>
        <xdr:blipFill>
          <a:blip xmlns:r="http://schemas.openxmlformats.org/officeDocument/2006/relationships" r:embed="rId1"/>
          <a:stretch>
            <a:fillRect/>
          </a:stretch>
        </xdr:blipFill>
        <xdr:spPr>
          <a:xfrm>
            <a:off x="0" y="5065996"/>
            <a:ext cx="6045245" cy="4449531"/>
          </a:xfrm>
          <a:prstGeom prst="rect">
            <a:avLst/>
          </a:prstGeom>
        </xdr:spPr>
      </xdr:pic>
      <xdr:sp macro="" textlink="Resumo!F306">
        <xdr:nvSpPr>
          <xdr:cNvPr id="7" name="Retângulo 6">
            <a:extLst>
              <a:ext uri="{FF2B5EF4-FFF2-40B4-BE49-F238E27FC236}">
                <a16:creationId xmlns:a16="http://schemas.microsoft.com/office/drawing/2014/main" id="{00000000-0008-0000-1600-000007000000}"/>
              </a:ext>
            </a:extLst>
          </xdr:cNvPr>
          <xdr:cNvSpPr/>
        </xdr:nvSpPr>
        <xdr:spPr>
          <a:xfrm>
            <a:off x="3426324" y="7808143"/>
            <a:ext cx="475129" cy="27181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fld id="{EF2D5927-51FF-4ABF-9178-334567997461}" type="TxLink">
              <a:rPr lang="en-US" sz="1100" b="1" i="0" u="none" strike="noStrike">
                <a:solidFill>
                  <a:srgbClr val="000000"/>
                </a:solidFill>
                <a:latin typeface="Times New Roman" panose="02020603050405020304" pitchFamily="18" charset="0"/>
                <a:cs typeface="Times New Roman" panose="02020603050405020304" pitchFamily="18" charset="0"/>
              </a:rPr>
              <a:pPr algn="r"/>
              <a:t>0A</a:t>
            </a:fld>
            <a:endParaRPr lang="pt-BR" sz="1100" b="1">
              <a:latin typeface="Times New Roman" panose="02020603050405020304" pitchFamily="18" charset="0"/>
              <a:cs typeface="Times New Roman" panose="02020603050405020304" pitchFamily="18" charset="0"/>
            </a:endParaRPr>
          </a:p>
        </xdr:txBody>
      </xdr:sp>
      <xdr:sp macro="" textlink="Resumo!F309">
        <xdr:nvSpPr>
          <xdr:cNvPr id="12" name="Retângulo 11">
            <a:extLst>
              <a:ext uri="{FF2B5EF4-FFF2-40B4-BE49-F238E27FC236}">
                <a16:creationId xmlns:a16="http://schemas.microsoft.com/office/drawing/2014/main" id="{00000000-0008-0000-1600-00000C000000}"/>
              </a:ext>
            </a:extLst>
          </xdr:cNvPr>
          <xdr:cNvSpPr/>
        </xdr:nvSpPr>
        <xdr:spPr>
          <a:xfrm>
            <a:off x="2911125" y="9202032"/>
            <a:ext cx="1222804" cy="28406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fld id="{135B91B2-66E6-4E23-B5D2-25B38FC2324B}" type="TxLink">
              <a:rPr lang="en-US" sz="1100" b="0" i="0" u="none" strike="noStrike">
                <a:solidFill>
                  <a:srgbClr val="000000"/>
                </a:solidFill>
                <a:latin typeface="Calibri"/>
                <a:cs typeface="Calibri"/>
              </a:rPr>
              <a:pPr algn="r"/>
              <a:t>#VALOR!</a:t>
            </a:fld>
            <a:endParaRPr lang="pt-BR" sz="1100" b="1">
              <a:latin typeface="Times New Roman" panose="02020603050405020304" pitchFamily="18" charset="0"/>
              <a:cs typeface="Times New Roman" panose="02020603050405020304" pitchFamily="18" charset="0"/>
            </a:endParaRPr>
          </a:p>
        </xdr:txBody>
      </xdr:sp>
    </xdr:grpSp>
    <xdr:clientData/>
  </xdr:twoCellAnchor>
  <xdr:twoCellAnchor>
    <xdr:from>
      <xdr:col>0</xdr:col>
      <xdr:colOff>215809</xdr:colOff>
      <xdr:row>30</xdr:row>
      <xdr:rowOff>30431</xdr:rowOff>
    </xdr:from>
    <xdr:to>
      <xdr:col>10</xdr:col>
      <xdr:colOff>6145</xdr:colOff>
      <xdr:row>55</xdr:row>
      <xdr:rowOff>68308</xdr:rowOff>
    </xdr:to>
    <xdr:grpSp>
      <xdr:nvGrpSpPr>
        <xdr:cNvPr id="6" name="Agrupar 5">
          <a:extLst>
            <a:ext uri="{FF2B5EF4-FFF2-40B4-BE49-F238E27FC236}">
              <a16:creationId xmlns:a16="http://schemas.microsoft.com/office/drawing/2014/main" id="{00000000-0008-0000-1600-000006000000}"/>
            </a:ext>
          </a:extLst>
        </xdr:cNvPr>
        <xdr:cNvGrpSpPr/>
      </xdr:nvGrpSpPr>
      <xdr:grpSpPr>
        <a:xfrm>
          <a:off x="215809" y="5745431"/>
          <a:ext cx="5806961" cy="4784502"/>
          <a:chOff x="215809" y="5337217"/>
          <a:chExt cx="6049622" cy="4460198"/>
        </a:xfrm>
      </xdr:grpSpPr>
      <xdr:pic>
        <xdr:nvPicPr>
          <xdr:cNvPr id="5" name="Imagem 4">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2"/>
          <a:stretch>
            <a:fillRect/>
          </a:stretch>
        </xdr:blipFill>
        <xdr:spPr>
          <a:xfrm>
            <a:off x="215809" y="5337217"/>
            <a:ext cx="6049622" cy="4460198"/>
          </a:xfrm>
          <a:prstGeom prst="rect">
            <a:avLst/>
          </a:prstGeom>
        </xdr:spPr>
      </xdr:pic>
      <xdr:sp macro="" textlink="Resumo!F306">
        <xdr:nvSpPr>
          <xdr:cNvPr id="10" name="Retângulo 9">
            <a:extLst>
              <a:ext uri="{FF2B5EF4-FFF2-40B4-BE49-F238E27FC236}">
                <a16:creationId xmlns:a16="http://schemas.microsoft.com/office/drawing/2014/main" id="{00000000-0008-0000-1600-00000A000000}"/>
              </a:ext>
            </a:extLst>
          </xdr:cNvPr>
          <xdr:cNvSpPr/>
        </xdr:nvSpPr>
        <xdr:spPr>
          <a:xfrm>
            <a:off x="3634520" y="8114668"/>
            <a:ext cx="471613" cy="2583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fld id="{EF2D5927-51FF-4ABF-9178-334567997461}" type="TxLink">
              <a:rPr lang="en-US" sz="1100" b="1" i="0" u="none" strike="noStrike">
                <a:solidFill>
                  <a:srgbClr val="000000"/>
                </a:solidFill>
                <a:latin typeface="Times New Roman" panose="02020603050405020304" pitchFamily="18" charset="0"/>
                <a:cs typeface="Times New Roman" panose="02020603050405020304" pitchFamily="18" charset="0"/>
              </a:rPr>
              <a:pPr algn="r"/>
              <a:t>0A</a:t>
            </a:fld>
            <a:endParaRPr lang="pt-BR" sz="1100" b="1">
              <a:latin typeface="Times New Roman" panose="02020603050405020304" pitchFamily="18" charset="0"/>
              <a:cs typeface="Times New Roman" panose="02020603050405020304" pitchFamily="18" charset="0"/>
            </a:endParaRPr>
          </a:p>
        </xdr:txBody>
      </xdr:sp>
      <xdr:sp macro="" textlink="Resumo!F309">
        <xdr:nvSpPr>
          <xdr:cNvPr id="11" name="Retângulo 10">
            <a:extLst>
              <a:ext uri="{FF2B5EF4-FFF2-40B4-BE49-F238E27FC236}">
                <a16:creationId xmlns:a16="http://schemas.microsoft.com/office/drawing/2014/main" id="{00000000-0008-0000-1600-00000B000000}"/>
              </a:ext>
            </a:extLst>
          </xdr:cNvPr>
          <xdr:cNvSpPr/>
        </xdr:nvSpPr>
        <xdr:spPr>
          <a:xfrm>
            <a:off x="3146497" y="9490645"/>
            <a:ext cx="1215532" cy="27845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fld id="{135B91B2-66E6-4E23-B5D2-25B38FC2324B}" type="TxLink">
              <a:rPr lang="en-US" sz="1100" b="0" i="0" u="none" strike="noStrike">
                <a:solidFill>
                  <a:srgbClr val="000000"/>
                </a:solidFill>
                <a:latin typeface="Calibri"/>
                <a:cs typeface="Calibri"/>
              </a:rPr>
              <a:pPr algn="r"/>
              <a:t>#VALOR!</a:t>
            </a:fld>
            <a:endParaRPr lang="pt-BR" sz="1100" b="1">
              <a:latin typeface="Times New Roman" panose="02020603050405020304" pitchFamily="18" charset="0"/>
              <a:cs typeface="Times New Roman" panose="02020603050405020304" pitchFamily="18" charset="0"/>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ICIUS L TEIXEIRA" refreshedDate="45393.707695138888" createdVersion="8" refreshedVersion="8" minRefreshableVersion="3" recordCount="333" xr:uid="{3FB06EDB-E003-4218-82C8-80DE3A5B52DA}">
  <cacheSource type="worksheet">
    <worksheetSource name="PROSPECTS1992"/>
  </cacheSource>
  <cacheFields count="56">
    <cacheField name="Estudo" numFmtId="49">
      <sharedItems containsBlank="1"/>
    </cacheField>
    <cacheField name="N°" numFmtId="49">
      <sharedItems/>
    </cacheField>
    <cacheField name="Nome" numFmtId="0">
      <sharedItems containsBlank="1"/>
    </cacheField>
    <cacheField name="Etapa" numFmtId="0">
      <sharedItems containsBlank="1" count="12">
        <s v="Perda"/>
        <s v="Ganho"/>
        <s v="Pré-Proposta"/>
        <s v="Pausado"/>
        <s v="Visita Téc."/>
        <s v="Projeto"/>
        <s v="Novo LEAD"/>
        <m/>
        <s v="início"/>
        <s v="novo"/>
        <s v="Em Andamento" u="1"/>
        <s v="Fechamento" u="1"/>
      </sharedItems>
    </cacheField>
    <cacheField name="Primeiro Contato" numFmtId="0">
      <sharedItems containsDate="1" containsBlank="1" containsMixedTypes="1" minDate="2020-06-01T00:00:00" maxDate="2024-12-15T00:00:00"/>
    </cacheField>
    <cacheField name="Origem" numFmtId="0">
      <sharedItems containsBlank="1" count="12">
        <s v="Network"/>
        <s v="Indicação (outros)"/>
        <s v="Outros"/>
        <s v="Indicação Remunerada"/>
        <s v="Indicação de Clientes"/>
        <s v="Google Ads"/>
        <s v="Engelink"/>
        <s v="Meta Ads"/>
        <s v="Solutudo"/>
        <m/>
        <s v="Instagram"/>
        <s v="Facebook" u="1"/>
      </sharedItems>
    </cacheField>
    <cacheField name="Telefone" numFmtId="195">
      <sharedItems containsBlank="1" containsMixedTypes="1" containsNumber="1" containsInteger="1" minValue="2127969046" maxValue="75982627900"/>
    </cacheField>
    <cacheField name="Endereço" numFmtId="0">
      <sharedItems containsBlank="1"/>
    </cacheField>
    <cacheField name="CEP" numFmtId="0">
      <sharedItems containsBlank="1" containsMixedTypes="1" containsNumber="1" containsInteger="1" minValue="20531420" maxValue="28922175"/>
    </cacheField>
    <cacheField name="Estado" numFmtId="0">
      <sharedItems containsBlank="1"/>
    </cacheField>
    <cacheField name="Município" numFmtId="0">
      <sharedItems containsBlank="1"/>
    </cacheField>
    <cacheField name="Bairro" numFmtId="0">
      <sharedItems containsBlank="1"/>
    </cacheField>
    <cacheField name="Concessionária" numFmtId="0">
      <sharedItems containsBlank="1"/>
    </cacheField>
    <cacheField name="Grupo/Sub-Grupo" numFmtId="0">
      <sharedItems containsBlank="1"/>
    </cacheField>
    <cacheField name="Fornecimento" numFmtId="0">
      <sharedItems containsBlank="1"/>
    </cacheField>
    <cacheField name="Consumo médio" numFmtId="2">
      <sharedItems containsBlank="1" containsMixedTypes="1" containsNumber="1" minValue="212.33333333333334" maxValue="40000"/>
    </cacheField>
    <cacheField name="Jan" numFmtId="0">
      <sharedItems containsString="0" containsBlank="1" containsNumber="1" containsInteger="1" minValue="196" maxValue="40000"/>
    </cacheField>
    <cacheField name="Fev" numFmtId="0">
      <sharedItems containsString="0" containsBlank="1" containsNumber="1" containsInteger="1" minValue="132" maxValue="40000"/>
    </cacheField>
    <cacheField name="Mar" numFmtId="0">
      <sharedItems containsString="0" containsBlank="1" containsNumber="1" containsInteger="1" minValue="276" maxValue="40000"/>
    </cacheField>
    <cacheField name="Abr" numFmtId="0">
      <sharedItems containsString="0" containsBlank="1" containsNumber="1" containsInteger="1" minValue="155" maxValue="40000"/>
    </cacheField>
    <cacheField name="Mai" numFmtId="0">
      <sharedItems containsString="0" containsBlank="1" containsNumber="1" containsInteger="1" minValue="127" maxValue="40000"/>
    </cacheField>
    <cacheField name="Jun" numFmtId="0">
      <sharedItems containsString="0" containsBlank="1" containsNumber="1" containsInteger="1" minValue="147" maxValue="40000"/>
    </cacheField>
    <cacheField name="Jul" numFmtId="0">
      <sharedItems containsString="0" containsBlank="1" containsNumber="1" containsInteger="1" minValue="100" maxValue="40000"/>
    </cacheField>
    <cacheField name="Ago" numFmtId="0">
      <sharedItems containsString="0" containsBlank="1" containsNumber="1" containsInteger="1" minValue="100" maxValue="40000"/>
    </cacheField>
    <cacheField name="Set" numFmtId="0">
      <sharedItems containsString="0" containsBlank="1" containsNumber="1" containsInteger="1" minValue="170" maxValue="40000"/>
    </cacheField>
    <cacheField name="Out" numFmtId="0">
      <sharedItems containsString="0" containsBlank="1" containsNumber="1" containsInteger="1" minValue="177" maxValue="40000"/>
    </cacheField>
    <cacheField name="Nov" numFmtId="0">
      <sharedItems containsString="0" containsBlank="1" containsNumber="1" containsInteger="1" minValue="189" maxValue="40000"/>
    </cacheField>
    <cacheField name="Dez" numFmtId="0">
      <sharedItems containsString="0" containsBlank="1" containsNumber="1" containsInteger="1" minValue="129" maxValue="40000"/>
    </cacheField>
    <cacheField name="Tipo de Geração" numFmtId="0">
      <sharedItems containsBlank="1"/>
    </cacheField>
    <cacheField name="Local de Instalação" numFmtId="0">
      <sharedItems containsBlank="1"/>
    </cacheField>
    <cacheField name="Data Fechamento" numFmtId="0">
      <sharedItems containsNonDate="0" containsDate="1" containsString="0" containsBlank="1" minDate="2020-07-21T00:00:00" maxDate="2023-10-14T00:00:00" count="77">
        <d v="2020-08-22T00:00:00"/>
        <d v="2020-07-21T00:00:00"/>
        <d v="2020-09-22T00:00:00"/>
        <d v="2023-02-23T00:00:00"/>
        <d v="2023-09-15T00:00:00"/>
        <d v="2020-12-14T00:00:00"/>
        <d v="2020-12-13T00:00:00"/>
        <d v="2021-01-29T00:00:00"/>
        <d v="2021-02-22T00:00:00"/>
        <d v="2021-02-12T00:00:00"/>
        <d v="2021-05-12T00:00:00"/>
        <d v="2023-09-20T00:00:00"/>
        <d v="2021-08-31T00:00:00"/>
        <d v="2021-06-22T00:00:00"/>
        <d v="2021-04-30T00:00:00"/>
        <d v="2021-05-05T00:00:00"/>
        <d v="2021-07-05T00:00:00"/>
        <d v="2021-08-18T00:00:00"/>
        <d v="2021-11-09T00:00:00"/>
        <d v="2021-12-23T00:00:00"/>
        <d v="2021-07-29T00:00:00"/>
        <d v="2021-10-20T00:00:00"/>
        <d v="2021-09-27T00:00:00"/>
        <d v="2023-03-20T00:00:00"/>
        <d v="2023-03-08T00:00:00"/>
        <d v="2021-11-08T00:00:00"/>
        <d v="2022-07-26T00:00:00"/>
        <d v="2021-11-29T00:00:00"/>
        <d v="2021-10-25T00:00:00"/>
        <d v="2022-04-11T00:00:00"/>
        <d v="2022-07-08T00:00:00"/>
        <d v="2021-12-08T00:00:00"/>
        <d v="2022-04-25T00:00:00"/>
        <m/>
        <d v="2022-09-02T00:00:00"/>
        <d v="2022-06-28T00:00:00"/>
        <d v="2022-10-31T00:00:00"/>
        <d v="2022-04-13T00:00:00"/>
        <d v="2022-06-01T00:00:00"/>
        <d v="2022-12-05T00:00:00"/>
        <d v="2022-04-07T00:00:00"/>
        <d v="2022-04-05T00:00:00"/>
        <d v="2022-05-10T00:00:00"/>
        <d v="2022-06-03T00:00:00"/>
        <d v="2022-11-28T00:00:00"/>
        <d v="2022-10-03T00:00:00"/>
        <d v="2022-08-17T00:00:00"/>
        <d v="2022-08-16T00:00:00"/>
        <d v="2022-09-19T00:00:00"/>
        <d v="2022-09-26T00:00:00"/>
        <d v="2022-11-23T00:00:00"/>
        <d v="2023-02-07T00:00:00"/>
        <d v="2022-11-30T00:00:00"/>
        <d v="2022-12-06T00:00:00"/>
        <d v="2023-01-06T00:00:00"/>
        <d v="2022-12-27T00:00:00"/>
        <d v="2023-01-30T00:00:00"/>
        <d v="2023-05-22T00:00:00"/>
        <d v="2023-05-11T00:00:00"/>
        <d v="2023-09-26T00:00:00"/>
        <d v="2023-10-10T00:00:00"/>
        <d v="2023-08-25T00:00:00"/>
        <d v="2023-08-28T00:00:00"/>
        <d v="2023-08-18T00:00:00"/>
        <d v="2023-08-29T00:00:00"/>
        <d v="2023-09-04T00:00:00"/>
        <d v="2023-09-22T00:00:00"/>
        <d v="2023-08-30T00:00:00"/>
        <d v="2023-09-18T00:00:00"/>
        <d v="2023-10-05T00:00:00"/>
        <d v="2023-08-23T00:00:00"/>
        <d v="2023-10-13T00:00:00"/>
        <d v="2023-10-11T00:00:00"/>
        <d v="2023-08-04T00:00:00" u="1"/>
        <d v="2023-08-20T00:00:00" u="1"/>
        <d v="2023-03-01T00:00:00" u="1"/>
        <d v="2023-09-05T00:00:00" u="1"/>
      </sharedItems>
      <fieldGroup par="55"/>
    </cacheField>
    <cacheField name="Pot." numFmtId="0">
      <sharedItems containsString="0" containsBlank="1" containsNumber="1" minValue="1.62" maxValue="25.44"/>
    </cacheField>
    <cacheField name="Valor" numFmtId="164">
      <sharedItems containsString="0" containsBlank="1" containsNumber="1" minValue="9584.06" maxValue="110000"/>
    </cacheField>
    <cacheField name="Estrutura" numFmtId="164">
      <sharedItems containsBlank="1"/>
    </cacheField>
    <cacheField name="Qnt. Módulos" numFmtId="0">
      <sharedItems containsBlank="1" containsMixedTypes="1" containsNumber="1" containsInteger="1" minValue="4" maxValue="48"/>
    </cacheField>
    <cacheField name="Pt. Módulos" numFmtId="0">
      <sharedItems containsBlank="1" containsMixedTypes="1" containsNumber="1" minValue="330" maxValue="665"/>
    </cacheField>
    <cacheField name="Distância" numFmtId="164">
      <sharedItems containsNonDate="0" containsString="0" containsBlank="1"/>
    </cacheField>
    <cacheField name="Remarketing?" numFmtId="164">
      <sharedItems containsBlank="1"/>
    </cacheField>
    <cacheField name="Motivo Perda" numFmtId="164">
      <sharedItems containsBlank="1"/>
    </cacheField>
    <cacheField name="Obs.:" numFmtId="0">
      <sharedItems containsBlank="1" longText="1"/>
    </cacheField>
    <cacheField name="Coluna1" numFmtId="0">
      <sharedItems containsString="0" containsBlank="1" containsNumber="1" containsInteger="1" minValue="1380" maxValue="1380"/>
    </cacheField>
    <cacheField name="Coluna2" numFmtId="0">
      <sharedItems containsString="0" containsBlank="1" containsNumber="1" containsInteger="1" minValue="1152" maxValue="1152"/>
    </cacheField>
    <cacheField name="Coluna3" numFmtId="0">
      <sharedItems containsString="0" containsBlank="1" containsNumber="1" containsInteger="1" minValue="1068" maxValue="1068"/>
    </cacheField>
    <cacheField name="Coluna4" numFmtId="0">
      <sharedItems containsString="0" containsBlank="1" containsNumber="1" containsInteger="1" minValue="840" maxValue="840"/>
    </cacheField>
    <cacheField name="Coluna5" numFmtId="0">
      <sharedItems containsString="0" containsBlank="1" containsNumber="1" containsInteger="1" minValue="720" maxValue="720"/>
    </cacheField>
    <cacheField name="Coluna6" numFmtId="0">
      <sharedItems containsString="0" containsBlank="1" containsNumber="1" containsInteger="1" minValue="720" maxValue="720"/>
    </cacheField>
    <cacheField name="Coluna7" numFmtId="0">
      <sharedItems containsString="0" containsBlank="1" containsNumber="1" containsInteger="1" minValue="804" maxValue="804"/>
    </cacheField>
    <cacheField name="Coluna8" numFmtId="0">
      <sharedItems containsString="0" containsBlank="1" containsNumber="1" containsInteger="1" minValue="840" maxValue="840"/>
    </cacheField>
    <cacheField name="Coluna9" numFmtId="0">
      <sharedItems containsString="0" containsBlank="1" containsNumber="1" containsInteger="1" minValue="876" maxValue="876"/>
    </cacheField>
    <cacheField name="Coluna10" numFmtId="0">
      <sharedItems containsString="0" containsBlank="1" containsNumber="1" containsInteger="1" minValue="960" maxValue="960"/>
    </cacheField>
    <cacheField name="Coluna11" numFmtId="0">
      <sharedItems containsString="0" containsBlank="1" containsNumber="1" containsInteger="1" minValue="1200" maxValue="1200"/>
    </cacheField>
    <cacheField name="Coluna12" numFmtId="0">
      <sharedItems containsBlank="1"/>
    </cacheField>
    <cacheField name="Coluna13" numFmtId="0">
      <sharedItems containsBlank="1"/>
    </cacheField>
    <cacheField name="Meses (Data Fechamento)" numFmtId="0" databaseField="0">
      <fieldGroup base="30">
        <rangePr groupBy="months" startDate="2020-07-21T00:00:00" endDate="2023-10-14T00:00:00"/>
        <groupItems count="14">
          <s v="&lt;21/07/2020"/>
          <s v="jan"/>
          <s v="fev"/>
          <s v="mar"/>
          <s v="abr"/>
          <s v="mai"/>
          <s v="jun"/>
          <s v="jul"/>
          <s v="ago"/>
          <s v="set"/>
          <s v="out"/>
          <s v="nov"/>
          <s v="dez"/>
          <s v="&gt;14/10/2023"/>
        </groupItems>
      </fieldGroup>
    </cacheField>
    <cacheField name="Trimestres (Data Fechamento)" numFmtId="0" databaseField="0">
      <fieldGroup base="30">
        <rangePr groupBy="quarters" startDate="2020-07-21T00:00:00" endDate="2023-10-14T00:00:00"/>
        <groupItems count="6">
          <s v="&lt;21/07/2020"/>
          <s v="Trim1"/>
          <s v="Trim2"/>
          <s v="Trim3"/>
          <s v="Trim4"/>
          <s v="&gt;14/10/2023"/>
        </groupItems>
      </fieldGroup>
    </cacheField>
    <cacheField name="Anos (Data Fechamento)" numFmtId="0" databaseField="0">
      <fieldGroup base="30">
        <rangePr groupBy="years" startDate="2020-07-21T00:00:00" endDate="2023-10-14T00:00:00"/>
        <groupItems count="6">
          <s v="&lt;21/07/2020"/>
          <s v="2020"/>
          <s v="2021"/>
          <s v="2022"/>
          <s v="2023"/>
          <s v="&gt;14/10/2023"/>
        </groupItems>
      </fieldGroup>
    </cacheField>
  </cacheFields>
  <extLst>
    <ext xmlns:x14="http://schemas.microsoft.com/office/spreadsheetml/2009/9/main" uri="{725AE2AE-9491-48be-B2B4-4EB974FC3084}">
      <x14:pivotCacheDefinition pivotCacheId="6658443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3">
  <r>
    <m/>
    <s v="P0001"/>
    <s v="LUIZ CARLOS COELHO"/>
    <x v="0"/>
    <d v="2020-06-11T00:00:00"/>
    <x v="0"/>
    <m/>
    <s v="Rua das Violetas, 31 - São Pedro da Aldeia/RJ - CEP: 28.940-000"/>
    <m/>
    <m/>
    <m/>
    <m/>
    <m/>
    <m/>
    <m/>
    <s v=""/>
    <m/>
    <m/>
    <m/>
    <m/>
    <m/>
    <m/>
    <m/>
    <m/>
    <m/>
    <m/>
    <m/>
    <m/>
    <s v="Junto a Carga"/>
    <m/>
    <x v="0"/>
    <m/>
    <m/>
    <m/>
    <m/>
    <s v=""/>
    <m/>
    <s v="NÃO"/>
    <s v="Fechou com outra empresa"/>
    <s v="11/06/20 - Proposta enviada. Tem a preocupação e interesse com a conta de luz. Quer economizar. Não tem muita ideia como o sistema funciona (acha que o valor é por m²), vale sentar e conversar pra explicar melhor as etapas, prazos e como será feito a instalação do sistema. Não passou feedback da proposta. Ligar e perguntar como estão as coisas por lá, corona vírus, conta de luz etc;"/>
    <m/>
    <m/>
    <m/>
    <m/>
    <m/>
    <m/>
    <m/>
    <m/>
    <m/>
    <m/>
    <m/>
    <m/>
    <m/>
  </r>
  <r>
    <m/>
    <s v="P0002"/>
    <s v="MARIA MARTINS DE LIMA FILHA"/>
    <x v="1"/>
    <d v="2020-06-01T00:00:00"/>
    <x v="0"/>
    <n v="21996187355"/>
    <m/>
    <m/>
    <m/>
    <m/>
    <m/>
    <m/>
    <m/>
    <m/>
    <s v=""/>
    <m/>
    <m/>
    <m/>
    <m/>
    <m/>
    <m/>
    <m/>
    <m/>
    <m/>
    <m/>
    <m/>
    <m/>
    <m/>
    <m/>
    <x v="1"/>
    <n v="2.64"/>
    <n v="15721.13"/>
    <s v="Fibrocimento"/>
    <n v="8"/>
    <n v="330"/>
    <m/>
    <m/>
    <m/>
    <m/>
    <m/>
    <m/>
    <m/>
    <m/>
    <m/>
    <m/>
    <m/>
    <m/>
    <m/>
    <m/>
    <m/>
    <m/>
    <m/>
  </r>
  <r>
    <m/>
    <s v="P0003"/>
    <s v="ANTÔNIO CARLOS DIAS TEIXEIRA"/>
    <x v="1"/>
    <d v="2020-08-01T00:00:00"/>
    <x v="0"/>
    <n v="21999586243"/>
    <s v="Rua Geminiano Gois, 882, bloco 8 casa 107 (R A 345 LT 3 BL 8 AP 107)"/>
    <s v="22743-670"/>
    <s v="RJ"/>
    <s v="RIO DE JANEIRO"/>
    <s v="FREGUESIA"/>
    <s v="Light"/>
    <s v="B1 - Residencial"/>
    <s v="Trifásico"/>
    <s v=""/>
    <m/>
    <m/>
    <m/>
    <m/>
    <m/>
    <m/>
    <m/>
    <m/>
    <m/>
    <m/>
    <m/>
    <m/>
    <m/>
    <m/>
    <x v="2"/>
    <n v="1.62"/>
    <n v="9584.06"/>
    <s v="Cerâmico"/>
    <n v="4"/>
    <n v="405"/>
    <m/>
    <m/>
    <m/>
    <m/>
    <m/>
    <m/>
    <m/>
    <m/>
    <m/>
    <m/>
    <m/>
    <m/>
    <m/>
    <m/>
    <m/>
    <m/>
    <m/>
  </r>
  <r>
    <m/>
    <s v="P0004"/>
    <s v="NELSON LUIS DE AMORIM CODA"/>
    <x v="1"/>
    <d v="2020-12-01T00:00:00"/>
    <x v="0"/>
    <n v="21999770254"/>
    <s v="R MAMORE 25 CA 106"/>
    <m/>
    <s v="RJ"/>
    <s v="RIO DE JANEIRO"/>
    <s v="FREGUESIA"/>
    <s v="Light"/>
    <s v="B1 - Residencial"/>
    <s v="Trifásico"/>
    <n v="500.83333333333331"/>
    <n v="682"/>
    <n v="682"/>
    <n v="565"/>
    <n v="537"/>
    <n v="392"/>
    <n v="424"/>
    <n v="376"/>
    <n v="409"/>
    <n v="471"/>
    <n v="416"/>
    <n v="547"/>
    <n v="509"/>
    <s v="Junto a Carga"/>
    <m/>
    <x v="3"/>
    <n v="6.03"/>
    <n v="19000"/>
    <s v="Cerâmico"/>
    <s v="6+6"/>
    <s v="455+550"/>
    <m/>
    <m/>
    <m/>
    <m/>
    <m/>
    <m/>
    <m/>
    <m/>
    <m/>
    <m/>
    <m/>
    <m/>
    <m/>
    <m/>
    <m/>
    <m/>
    <m/>
  </r>
  <r>
    <m/>
    <s v="P0005"/>
    <s v="MEIRE FERREIRA"/>
    <x v="0"/>
    <d v="2020-11-06T00:00:00"/>
    <x v="1"/>
    <n v="21987216647"/>
    <m/>
    <m/>
    <s v="RJ"/>
    <s v="RIO DE JANEIRO"/>
    <s v="TIJUCA"/>
    <s v="Light"/>
    <s v="B1 - Residencial"/>
    <s v="Trifásico"/>
    <n v="638.16666666666663"/>
    <n v="971"/>
    <n v="868"/>
    <n v="570"/>
    <n v="635"/>
    <n v="543"/>
    <n v="518"/>
    <n v="515"/>
    <n v="501"/>
    <n v="619"/>
    <n v="873"/>
    <n v="463"/>
    <n v="582"/>
    <s v="Junto a Carga"/>
    <m/>
    <x v="4"/>
    <m/>
    <m/>
    <m/>
    <m/>
    <s v=""/>
    <m/>
    <s v="SIM"/>
    <s v="Outros"/>
    <s v="Veio através do instagram. Possui uma loja de doces. Marido está trabalhando de casa. Consumo praticamente dobrou de out/19 para out/20. Proposta enviada em 07/11/2020 com sistema de 5,22kWp 12*435W mono Longi no valor de 23757,02, aplicando um desconto excepcional de 1000 reais. Lucro total 4534,02. Solicitou orçamento para o sogro Paulo Henrique P0006."/>
    <m/>
    <m/>
    <m/>
    <m/>
    <m/>
    <m/>
    <m/>
    <m/>
    <m/>
    <m/>
    <m/>
    <m/>
    <m/>
  </r>
  <r>
    <m/>
    <s v="P0006"/>
    <s v="PAULO HENRIQUE"/>
    <x v="0"/>
    <d v="2020-11-07T00:00:00"/>
    <x v="1"/>
    <n v="21984274055"/>
    <s v="R HADDOCK LOBO, 419A"/>
    <m/>
    <s v="RJ"/>
    <s v="RIO DE JANEIRO"/>
    <s v="TIJUCA"/>
    <s v="Light"/>
    <s v="B1 - Residencial"/>
    <s v="Trifásico"/>
    <n v="499.83333333333331"/>
    <n v="681"/>
    <n v="681"/>
    <n v="564"/>
    <n v="536"/>
    <n v="391"/>
    <n v="423"/>
    <n v="375"/>
    <n v="408"/>
    <n v="470"/>
    <n v="415"/>
    <n v="546"/>
    <n v="508"/>
    <s v="Junto a Carga"/>
    <m/>
    <x v="4"/>
    <m/>
    <m/>
    <m/>
    <m/>
    <s v=""/>
    <m/>
    <s v="SIM"/>
    <s v="Achou caro"/>
    <s v="Indicação de Meire Ferreira P0005. Solicitou um orçamento maior que a fatura, para uma média de 500kWh/mês por uma previsão de aumento de consumo. Atendido pela filha Valéria. Estão se mudando de Minas para cá (casa ficava vazia). Necessitava reforço estrutural"/>
    <m/>
    <m/>
    <m/>
    <m/>
    <m/>
    <m/>
    <m/>
    <m/>
    <m/>
    <m/>
    <m/>
    <m/>
    <m/>
  </r>
  <r>
    <m/>
    <s v="P0007"/>
    <s v="MARCOS MARTINS DE LIMA"/>
    <x v="1"/>
    <d v="2020-11-09T00:00:00"/>
    <x v="0"/>
    <n v="21991227304"/>
    <m/>
    <m/>
    <s v="RJ"/>
    <s v="RIO DE JANEIRO"/>
    <s v="PECHINCHA"/>
    <s v="Light"/>
    <s v="B1 - Residencial"/>
    <m/>
    <n v="300.08333333333331"/>
    <n v="409"/>
    <n v="409"/>
    <n v="338"/>
    <n v="322"/>
    <n v="235"/>
    <n v="254"/>
    <n v="225"/>
    <n v="245"/>
    <n v="282"/>
    <n v="249"/>
    <n v="328"/>
    <n v="305"/>
    <s v="Junto a Carga"/>
    <m/>
    <x v="5"/>
    <n v="2.68"/>
    <n v="14289.97"/>
    <s v="Concreto"/>
    <n v="8"/>
    <n v="335"/>
    <m/>
    <m/>
    <m/>
    <s v="Tio marquinhos,não passou a fatura, fazendo uma estimativa para um consumo médio de 300kWh/mês"/>
    <m/>
    <m/>
    <m/>
    <m/>
    <m/>
    <m/>
    <m/>
    <m/>
    <m/>
    <m/>
    <m/>
    <m/>
    <m/>
  </r>
  <r>
    <m/>
    <s v="P0008"/>
    <s v="ANDRÉ COMPAN"/>
    <x v="1"/>
    <d v="2020-11-14T00:00:00"/>
    <x v="0"/>
    <n v="21988222544"/>
    <m/>
    <m/>
    <s v="RJ"/>
    <s v="RIO DE JANEIRO"/>
    <s v="ANIL"/>
    <s v="Light"/>
    <s v="B1 - Residencial"/>
    <s v="Trifásico"/>
    <n v="350.08333333333331"/>
    <n v="477"/>
    <n v="477"/>
    <n v="395"/>
    <n v="375"/>
    <n v="274"/>
    <n v="296"/>
    <n v="263"/>
    <n v="286"/>
    <n v="329"/>
    <n v="291"/>
    <n v="382"/>
    <n v="356"/>
    <s v="Junto a Carga"/>
    <m/>
    <x v="6"/>
    <n v="1.76"/>
    <n v="10879.95"/>
    <s v="Cerâmico"/>
    <n v="4"/>
    <n v="440"/>
    <m/>
    <m/>
    <m/>
    <s v="Primo. Marcou uma visíta técnica no dia 14/11. Solicitou para uma fatura menor que a atual pois o consumo aumentou com o HomeOffice Pandemia. Possui duas águas promissoras, noroeste (plantas altas causam sombra) e nordeste (água um pouco menor e possui um telhado mais elevado que causa sombra no amanhecer. "/>
    <m/>
    <m/>
    <m/>
    <m/>
    <m/>
    <m/>
    <m/>
    <m/>
    <m/>
    <m/>
    <m/>
    <m/>
    <m/>
  </r>
  <r>
    <m/>
    <s v="P0009"/>
    <s v="JOSE MARTINS DE LIMA"/>
    <x v="1"/>
    <d v="2020-12-11T00:00:00"/>
    <x v="0"/>
    <n v="21996581042"/>
    <s v="R JEQUIRICA 574"/>
    <n v="21020350"/>
    <s v="RJ"/>
    <s v="RIO DE JANEIRO"/>
    <s v="PENHA"/>
    <s v="Light"/>
    <s v="B1 - Residencial"/>
    <s v="Trifásico"/>
    <n v="255.41666666666666"/>
    <n v="196"/>
    <n v="281"/>
    <n v="316"/>
    <n v="278"/>
    <n v="241"/>
    <n v="217"/>
    <n v="213"/>
    <n v="222"/>
    <n v="226"/>
    <n v="270"/>
    <n v="267"/>
    <n v="338"/>
    <s v="Junto a Carga"/>
    <m/>
    <x v="7"/>
    <n v="3.16"/>
    <n v="17150"/>
    <s v="Cerâmico"/>
    <n v="8"/>
    <n v="395"/>
    <m/>
    <m/>
    <m/>
    <s v="Tio martins querendo colocar sistema para reduzir. Valor da conta aumentou pois o chuveiro ficava em outro medidor que so pagava o custo de disponibilidade."/>
    <m/>
    <m/>
    <m/>
    <m/>
    <m/>
    <m/>
    <m/>
    <m/>
    <m/>
    <m/>
    <m/>
    <m/>
    <m/>
  </r>
  <r>
    <m/>
    <s v="P0010"/>
    <s v="ANDRE RICARDO DA SILVA DAMAS"/>
    <x v="0"/>
    <d v="2020-12-14T00:00:00"/>
    <x v="1"/>
    <n v="21983059626"/>
    <s v="EST DO PAU FERRO 710 BL 5 AP 103"/>
    <n v="22743052"/>
    <s v="RJ"/>
    <s v="RIO DE JANEIRO"/>
    <s v="FREGUESIA"/>
    <s v="Light"/>
    <s v="B1 - Residencial"/>
    <s v="Trifásico"/>
    <n v="800.08333333333337"/>
    <n v="1142"/>
    <n v="1112"/>
    <n v="920"/>
    <n v="860"/>
    <n v="671"/>
    <n v="643"/>
    <n v="584"/>
    <n v="640"/>
    <n v="731"/>
    <n v="711"/>
    <n v="783"/>
    <n v="804"/>
    <s v="Junto a Carga"/>
    <m/>
    <x v="8"/>
    <m/>
    <m/>
    <m/>
    <m/>
    <s v=""/>
    <m/>
    <s v="NÃO"/>
    <s v="Fechou com outra empresa"/>
    <s v="Indicação do Fabio (Primo). Fabio comentou &quot;faz preço bom que leva&quot;. Se mudou e está querendo orçar novamente. Fechou com empresa que montou na casa do sócio"/>
    <m/>
    <m/>
    <m/>
    <m/>
    <m/>
    <m/>
    <m/>
    <m/>
    <m/>
    <m/>
    <m/>
    <m/>
    <m/>
  </r>
  <r>
    <m/>
    <s v="P0011"/>
    <s v="ANADILA CRISTINA GONÇALVES"/>
    <x v="0"/>
    <d v="2020-12-17T00:00:00"/>
    <x v="0"/>
    <n v="21972324848"/>
    <s v="Rua Jaborandi, 152 ap 101"/>
    <n v="21220220"/>
    <s v="RJ"/>
    <s v="RIO DE JANEIRO"/>
    <s v="VILA KOSMOS"/>
    <s v="Light"/>
    <s v="B1 - Residencial"/>
    <s v="Trifásico"/>
    <n v="760.16666666666663"/>
    <n v="682"/>
    <n v="883"/>
    <n v="825"/>
    <n v="826"/>
    <n v="768"/>
    <n v="575"/>
    <n v="658"/>
    <n v="708"/>
    <n v="662"/>
    <n v="943"/>
    <n v="820"/>
    <n v="772"/>
    <s v="Junto a Carga"/>
    <m/>
    <x v="8"/>
    <m/>
    <m/>
    <m/>
    <m/>
    <s v=""/>
    <m/>
    <s v="NÃO"/>
    <s v="Achou caro"/>
    <s v="Indicação do Tio Lori, &quot;namorada dele&quot;. Informou que consumo médio é de 1000 reais. Latitude e longitude aproximadas (apenas da rua)."/>
    <m/>
    <m/>
    <m/>
    <m/>
    <m/>
    <m/>
    <m/>
    <m/>
    <m/>
    <m/>
    <m/>
    <m/>
    <m/>
  </r>
  <r>
    <m/>
    <s v="P0012"/>
    <s v="COND DO EDIF RES MARLIM"/>
    <x v="1"/>
    <d v="2021-01-05T00:00:00"/>
    <x v="0"/>
    <n v="21999977747"/>
    <m/>
    <m/>
    <m/>
    <m/>
    <m/>
    <s v="Enel"/>
    <m/>
    <m/>
    <s v=""/>
    <m/>
    <m/>
    <m/>
    <m/>
    <m/>
    <m/>
    <m/>
    <m/>
    <m/>
    <m/>
    <m/>
    <m/>
    <m/>
    <m/>
    <x v="9"/>
    <n v="7.48"/>
    <n v="32219.93"/>
    <s v="Cerâmico"/>
    <n v="17"/>
    <n v="440"/>
    <m/>
    <m/>
    <m/>
    <s v="Emir (trabalho com pai e mãe), está como síndico e veio através do post no facebook (amigo em comum). Fechamos um sistema de 7,2kWp (16x450W, porém não tinham em estoque e entregaram 17*440W (7,48kWp)"/>
    <m/>
    <m/>
    <m/>
    <m/>
    <m/>
    <m/>
    <m/>
    <m/>
    <m/>
    <m/>
    <m/>
    <m/>
    <m/>
  </r>
  <r>
    <m/>
    <s v="P0013"/>
    <s v="MIGUEL"/>
    <x v="0"/>
    <d v="2021-01-11T00:00:00"/>
    <x v="2"/>
    <n v="21998821200"/>
    <s v="Rua Geminiano Gois, 882"/>
    <m/>
    <s v="RJ"/>
    <s v="RIO DE JANEIRO"/>
    <s v="FREGUESIA"/>
    <s v="Light"/>
    <s v="B1 - Residencial"/>
    <s v="Trifásico"/>
    <n v="400.08333333333331"/>
    <n v="545"/>
    <n v="545"/>
    <n v="451"/>
    <n v="429"/>
    <n v="313"/>
    <n v="339"/>
    <n v="300"/>
    <n v="327"/>
    <n v="376"/>
    <n v="332"/>
    <n v="437"/>
    <n v="407"/>
    <s v="Junto a Carga"/>
    <m/>
    <x v="8"/>
    <m/>
    <m/>
    <m/>
    <m/>
    <s v=""/>
    <m/>
    <s v="NÃO"/>
    <s v="Optou por não realizar o projeto"/>
    <s v="Mesmo condomínio do meu pai, acho que viu a placa. Informou que viu que já tinha feito instalação lá. Estava a 2 meses, não tinha fatura anual ainda. Passou valor médio de 450 reais mês"/>
    <m/>
    <m/>
    <m/>
    <m/>
    <m/>
    <m/>
    <m/>
    <m/>
    <m/>
    <m/>
    <m/>
    <m/>
    <m/>
  </r>
  <r>
    <m/>
    <s v="P0014"/>
    <s v="MARCOS"/>
    <x v="0"/>
    <d v="2021-01-15T00:00:00"/>
    <x v="3"/>
    <n v="21995437217"/>
    <s v="JARDIM PRIMAVERA - DUQUE DE CAXIAS"/>
    <m/>
    <s v="RJ"/>
    <s v="DUQUE DE CAIXAS"/>
    <s v="JARDIM PRIMAVERA"/>
    <s v="Enel"/>
    <m/>
    <m/>
    <n v="1300.1666666666667"/>
    <n v="1770"/>
    <n v="1770"/>
    <n v="1467"/>
    <n v="1394"/>
    <n v="1018"/>
    <n v="1101"/>
    <n v="976"/>
    <n v="1062"/>
    <n v="1223"/>
    <n v="1080"/>
    <n v="1420"/>
    <n v="1321"/>
    <s v="Junto a Carga"/>
    <m/>
    <x v="8"/>
    <m/>
    <m/>
    <m/>
    <m/>
    <s v=""/>
    <m/>
    <s v="NÃO"/>
    <s v="Sem Resposta"/>
    <s v="Indicação eng lucas. Fez treinamento comigo na bluesol. Consumo estimulado, dobrou o consumo a partir de outubro, os outros meses não acompanhavam."/>
    <m/>
    <m/>
    <m/>
    <m/>
    <m/>
    <m/>
    <m/>
    <m/>
    <m/>
    <m/>
    <m/>
    <m/>
    <m/>
  </r>
  <r>
    <m/>
    <s v="P0015"/>
    <s v="LUIZ TERRA"/>
    <x v="1"/>
    <d v="2021-01-14T00:00:00"/>
    <x v="4"/>
    <n v="21982691358"/>
    <s v="RUA LAGOA SANTA"/>
    <n v="22756470"/>
    <s v="RJ"/>
    <s v="RIO DE JANEIRO"/>
    <s v="ANIL"/>
    <s v="Light"/>
    <s v="B1 - Residencial"/>
    <s v="Trifásico"/>
    <n v="814.66666666666663"/>
    <n v="833"/>
    <n v="736"/>
    <n v="701"/>
    <n v="899"/>
    <n v="887"/>
    <n v="573"/>
    <n v="682"/>
    <n v="675"/>
    <n v="667"/>
    <n v="1401"/>
    <n v="769"/>
    <n v="953"/>
    <s v="Junto a Carga"/>
    <m/>
    <x v="10"/>
    <n v="6.6"/>
    <n v="29000"/>
    <s v="Concreto"/>
    <n v="15"/>
    <n v="440"/>
    <m/>
    <m/>
    <s v="Sem Resposta"/>
    <s v="Amigo do meu pai (caixa)."/>
    <m/>
    <m/>
    <m/>
    <m/>
    <m/>
    <m/>
    <m/>
    <m/>
    <m/>
    <m/>
    <m/>
    <m/>
    <m/>
  </r>
  <r>
    <m/>
    <s v="P0016"/>
    <s v="PLACIDO DE SOUZA MEIRELLES"/>
    <x v="0"/>
    <d v="2021-01-27T00:00:00"/>
    <x v="3"/>
    <n v="21981066324"/>
    <s v="R FERNANDO NOGUEIRA DE SOUZA 122 C8"/>
    <n v="22620380"/>
    <s v="RJ"/>
    <s v="RIO DE JANEIRO"/>
    <s v="BARRA DA TIJUCA"/>
    <s v="Light"/>
    <s v="B1 - Residencial"/>
    <s v="Trifásico"/>
    <n v="1263.5833333333333"/>
    <n v="1593"/>
    <n v="1309"/>
    <n v="1815"/>
    <n v="1410"/>
    <n v="1133"/>
    <n v="1090"/>
    <n v="907"/>
    <n v="908"/>
    <n v="1381"/>
    <n v="1112"/>
    <n v="1100"/>
    <n v="1405"/>
    <s v="Junto a Carga"/>
    <m/>
    <x v="4"/>
    <m/>
    <m/>
    <m/>
    <m/>
    <s v=""/>
    <m/>
    <s v="SIM"/>
    <s v="Sem Resposta"/>
    <s v="Indicação pedro Mansur."/>
    <m/>
    <m/>
    <m/>
    <m/>
    <m/>
    <m/>
    <m/>
    <m/>
    <m/>
    <m/>
    <m/>
    <m/>
    <m/>
  </r>
  <r>
    <m/>
    <s v="P0017"/>
    <s v="IRAILDES AZEVEDO CARVALHO MARTINS"/>
    <x v="0"/>
    <d v="2021-02-02T00:00:00"/>
    <x v="5"/>
    <n v="21988644531"/>
    <s v="R RAMOS DA FONSECA 175"/>
    <s v="20720-340"/>
    <s v="RJ"/>
    <s v="RIO DE JANEIRO"/>
    <s v="LINS DE VASCONCELOS"/>
    <s v="Light"/>
    <s v="B1 - Residencial"/>
    <s v="Trifásico"/>
    <n v="593.5"/>
    <n v="721"/>
    <n v="490"/>
    <n v="541"/>
    <n v="559"/>
    <n v="502"/>
    <n v="456"/>
    <n v="423"/>
    <n v="594"/>
    <n v="653"/>
    <n v="712"/>
    <n v="626"/>
    <n v="845"/>
    <s v="Junto a Carga"/>
    <m/>
    <x v="11"/>
    <m/>
    <m/>
    <m/>
    <m/>
    <s v=""/>
    <m/>
    <s v="SIM"/>
    <s v="Sem Resposta"/>
    <s v="Veio através do site, preencheu a solicitação de orçamento. Lead antigo, no momento só enviava a proposta sem agregar valor. Enviei a proposta e &quot;fiquei no aguardo&quot;, vale a pena retomar o contato seguindo o nome processo e verificar se ainda tem interesse."/>
    <m/>
    <m/>
    <m/>
    <m/>
    <m/>
    <m/>
    <m/>
    <m/>
    <m/>
    <m/>
    <m/>
    <m/>
    <m/>
  </r>
  <r>
    <m/>
    <s v="P0018"/>
    <s v="MIGUEL ANGELO"/>
    <x v="1"/>
    <d v="2021-02-08T00:00:00"/>
    <x v="1"/>
    <n v="21988788341"/>
    <m/>
    <m/>
    <s v="RJ"/>
    <s v="MARICÁ"/>
    <s v="JDM INOHAN"/>
    <s v="Enel"/>
    <m/>
    <m/>
    <n v="599.91666666666663"/>
    <n v="817"/>
    <n v="817"/>
    <n v="677"/>
    <n v="643"/>
    <n v="470"/>
    <n v="508"/>
    <n v="450"/>
    <n v="490"/>
    <n v="564"/>
    <n v="498"/>
    <n v="655"/>
    <n v="610"/>
    <s v="Junto a Carga"/>
    <m/>
    <x v="12"/>
    <n v="6.4"/>
    <n v="36200"/>
    <s v="Fibrocimento"/>
    <n v="16"/>
    <n v="400"/>
    <m/>
    <m/>
    <m/>
    <s v="Indicação do tio Ni. Reside em Maricá, bairro de Inoã.Fechamento 19/03/21 e fechamento ampliação 31/08/21."/>
    <m/>
    <m/>
    <m/>
    <m/>
    <m/>
    <m/>
    <m/>
    <m/>
    <m/>
    <m/>
    <m/>
    <m/>
    <m/>
  </r>
  <r>
    <m/>
    <s v="P0019"/>
    <s v="IAGO MACELLO"/>
    <x v="0"/>
    <d v="2021-02-28T00:00:00"/>
    <x v="0"/>
    <n v="21969859937"/>
    <m/>
    <m/>
    <s v="RJ"/>
    <s v="RIO DE JANEIRO"/>
    <s v="ANIL"/>
    <s v="Light"/>
    <m/>
    <m/>
    <n v="900.08333333333337"/>
    <n v="1226"/>
    <n v="1226"/>
    <n v="1015"/>
    <n v="965"/>
    <n v="704"/>
    <n v="762"/>
    <n v="676"/>
    <n v="735"/>
    <n v="846"/>
    <n v="748"/>
    <n v="983"/>
    <n v="915"/>
    <s v="Junto a Carga"/>
    <m/>
    <x v="13"/>
    <m/>
    <m/>
    <m/>
    <m/>
    <s v=""/>
    <m/>
    <s v="SIM"/>
    <s v="Sem Resposta"/>
    <m/>
    <m/>
    <m/>
    <m/>
    <m/>
    <m/>
    <m/>
    <m/>
    <m/>
    <m/>
    <m/>
    <m/>
    <m/>
    <m/>
  </r>
  <r>
    <m/>
    <s v="P0020"/>
    <s v="RODRIGO OTAVIO GOMES PERRONI"/>
    <x v="2"/>
    <d v="2021-03-01T00:00:00"/>
    <x v="4"/>
    <n v="21988149461"/>
    <s v="R CEDRO, 137"/>
    <n v="22451320"/>
    <s v="RJ"/>
    <s v="RIO DE JANEIRO"/>
    <s v="GAVEA"/>
    <s v="Light"/>
    <s v="B1 - Residencial"/>
    <s v="Trifásico"/>
    <n v="782.33333333333337"/>
    <n v="768"/>
    <n v="892"/>
    <n v="777"/>
    <n v="867"/>
    <n v="705"/>
    <n v="701"/>
    <n v="733"/>
    <n v="609"/>
    <n v="678"/>
    <n v="790"/>
    <n v="672"/>
    <n v="1196"/>
    <s v="Junto a Carga"/>
    <m/>
    <x v="13"/>
    <m/>
    <m/>
    <m/>
    <m/>
    <s v=""/>
    <m/>
    <m/>
    <s v="Sem Resposta"/>
    <s v="Indicação Luciana prima (Tio martins). Ex Chefe dela, dono na Velha Bahia Móveis. Morava em uma casa alugada, verificar status atual e interesse de colocar. Obs para casa alugada: O equipamento e registrado no endereço, é sim possível levar para outro local, mas nesse caso existem custas como, desmontagem, transporte, reinstalação, e homologação do novo endereço na concessionária. O ideal nesse cenário é entrar em acordo com o proprietário e o equipamento manter no local, já que é um benefício para o proprietário e inclusive valoriza o imóvel."/>
    <m/>
    <m/>
    <m/>
    <m/>
    <m/>
    <m/>
    <m/>
    <m/>
    <m/>
    <m/>
    <m/>
    <m/>
    <m/>
  </r>
  <r>
    <m/>
    <s v="P0021"/>
    <s v="PRÉDIO COMERCIAL BELFORD ROXO"/>
    <x v="0"/>
    <d v="2021-03-02T00:00:00"/>
    <x v="4"/>
    <n v="21982691358"/>
    <m/>
    <m/>
    <m/>
    <s v="BELFORD ROXO"/>
    <m/>
    <m/>
    <m/>
    <m/>
    <s v=""/>
    <m/>
    <m/>
    <m/>
    <m/>
    <m/>
    <m/>
    <m/>
    <m/>
    <m/>
    <m/>
    <m/>
    <m/>
    <m/>
    <m/>
    <x v="13"/>
    <m/>
    <m/>
    <m/>
    <m/>
    <s v=""/>
    <m/>
    <s v="NÃO"/>
    <s v="Sem Resposta"/>
    <m/>
    <m/>
    <m/>
    <m/>
    <m/>
    <m/>
    <m/>
    <m/>
    <m/>
    <m/>
    <m/>
    <m/>
    <m/>
    <m/>
  </r>
  <r>
    <m/>
    <s v="P0022"/>
    <s v="CARLOS SANTANA"/>
    <x v="0"/>
    <d v="2021-02-26T00:00:00"/>
    <x v="4"/>
    <n v="21964214746"/>
    <s v="PCA STA EMILIANA 111 BL 14 AP 401"/>
    <n v="21021070"/>
    <s v="RJ"/>
    <s v="RIO DE JANEIRO"/>
    <s v="PENHA"/>
    <s v="Light"/>
    <s v="B1 - Residencial"/>
    <s v="Monofásico"/>
    <n v="586.33333333333337"/>
    <n v="660"/>
    <n v="818"/>
    <n v="672"/>
    <n v="574"/>
    <n v="558"/>
    <n v="359"/>
    <n v="459"/>
    <n v="506"/>
    <n v="447"/>
    <n v="669"/>
    <n v="585"/>
    <n v="729"/>
    <s v="Junto a Carga"/>
    <m/>
    <x v="13"/>
    <m/>
    <m/>
    <m/>
    <m/>
    <s v=""/>
    <m/>
    <s v="SIM"/>
    <s v="Sem Resposta"/>
    <s v="Veio através do site, formulário. Disse que que viu que instalamos na casa de uma amiga. Na fatura consta como apartamento mas disse ter telhado. Ficou de alinhar com o pais e não deu mais retorno. Provavelmente indicação da Lucinana do martins."/>
    <m/>
    <m/>
    <m/>
    <m/>
    <m/>
    <m/>
    <m/>
    <m/>
    <m/>
    <m/>
    <m/>
    <m/>
    <m/>
  </r>
  <r>
    <m/>
    <s v="P0023"/>
    <s v="LEONARDO ABREU"/>
    <x v="0"/>
    <d v="2021-03-03T00:00:00"/>
    <x v="4"/>
    <n v="21996083238"/>
    <s v="Rua Geminiano Gois, 882"/>
    <m/>
    <s v="RJ"/>
    <s v="RIO DE JANEIRO"/>
    <s v="FREGUESIA"/>
    <s v="Light"/>
    <s v="B1 - Residencial"/>
    <s v="Trifásico"/>
    <n v="499.83333333333331"/>
    <n v="681"/>
    <n v="681"/>
    <n v="564"/>
    <n v="536"/>
    <n v="391"/>
    <n v="423"/>
    <n v="375"/>
    <n v="408"/>
    <n v="470"/>
    <n v="415"/>
    <n v="546"/>
    <n v="508"/>
    <m/>
    <m/>
    <x v="13"/>
    <m/>
    <m/>
    <m/>
    <m/>
    <s v=""/>
    <m/>
    <s v="NÃO"/>
    <s v="Fechou com outra empresa"/>
    <m/>
    <m/>
    <m/>
    <m/>
    <m/>
    <m/>
    <m/>
    <m/>
    <m/>
    <m/>
    <m/>
    <m/>
    <m/>
    <m/>
  </r>
  <r>
    <m/>
    <s v="P0024"/>
    <s v="COSME REGLY"/>
    <x v="1"/>
    <d v="2021-03-03T00:00:00"/>
    <x v="0"/>
    <n v="21988518357"/>
    <m/>
    <m/>
    <s v="RJ"/>
    <s v="CABO FRIO"/>
    <s v="PERÓ"/>
    <s v="Enel"/>
    <m/>
    <m/>
    <n v="689.91666666666663"/>
    <n v="1096"/>
    <n v="1050"/>
    <n v="1014"/>
    <n v="800"/>
    <n v="721"/>
    <n v="438"/>
    <n v="398"/>
    <n v="515"/>
    <n v="523"/>
    <n v="463"/>
    <n v="538"/>
    <n v="723"/>
    <s v="Junto a Carga"/>
    <m/>
    <x v="12"/>
    <n v="7.04"/>
    <n v="32500"/>
    <s v="Fibrocimento"/>
    <n v="16"/>
    <n v="440"/>
    <m/>
    <m/>
    <m/>
    <s v="Sogro da Pam, pai do leandro. Casa em construção em cabo frio"/>
    <m/>
    <m/>
    <m/>
    <m/>
    <m/>
    <m/>
    <m/>
    <m/>
    <m/>
    <m/>
    <m/>
    <m/>
    <m/>
  </r>
  <r>
    <m/>
    <s v="P0025"/>
    <s v="MARCIO MARTINS"/>
    <x v="0"/>
    <d v="2021-03-17T00:00:00"/>
    <x v="3"/>
    <n v="21984783180"/>
    <s v="R. Amendoeiras, 12"/>
    <s v="25223-420"/>
    <s v="RJ"/>
    <s v="DUQUE DE CAIXAS"/>
    <s v="Parque Moderno"/>
    <s v="Light"/>
    <m/>
    <m/>
    <n v="1000.0833333333334"/>
    <n v="1362"/>
    <n v="1362"/>
    <n v="1128"/>
    <n v="1072"/>
    <n v="783"/>
    <n v="847"/>
    <n v="751"/>
    <n v="817"/>
    <n v="940"/>
    <n v="831"/>
    <n v="1092"/>
    <n v="1016"/>
    <m/>
    <m/>
    <x v="13"/>
    <m/>
    <m/>
    <m/>
    <m/>
    <s v=""/>
    <m/>
    <s v="SIM"/>
    <s v="Sem Resposta"/>
    <s v="Indicação do Marcio Martins (cunhado P0025), que foi indicação do Nilson da ComSol. Estava orçando com outras empresas, já veio com um tamanho de sistema 8,64kWp para uma geração aproximada de 1000kWh). Pediu para ele e para a cunhada ~500kWh/mês). A cunhada é a Marcia P0026."/>
    <m/>
    <m/>
    <m/>
    <m/>
    <m/>
    <m/>
    <m/>
    <m/>
    <m/>
    <m/>
    <m/>
    <m/>
    <m/>
  </r>
  <r>
    <m/>
    <s v="P0026"/>
    <s v="Marcia Spadetti"/>
    <x v="0"/>
    <d v="2021-03-17T00:00:00"/>
    <x v="3"/>
    <n v="21993871708"/>
    <m/>
    <m/>
    <s v="RJ"/>
    <m/>
    <m/>
    <s v="Light"/>
    <m/>
    <m/>
    <n v="499.83333333333331"/>
    <n v="681"/>
    <n v="681"/>
    <n v="564"/>
    <n v="536"/>
    <n v="391"/>
    <n v="423"/>
    <n v="375"/>
    <n v="408"/>
    <n v="470"/>
    <n v="415"/>
    <n v="546"/>
    <n v="508"/>
    <m/>
    <m/>
    <x v="11"/>
    <m/>
    <m/>
    <m/>
    <m/>
    <s v=""/>
    <m/>
    <s v="SIM"/>
    <s v="Sem Resposta"/>
    <s v="Indicação ComSol. Verificar descrição do p0025"/>
    <m/>
    <m/>
    <m/>
    <m/>
    <m/>
    <m/>
    <m/>
    <m/>
    <m/>
    <m/>
    <m/>
    <m/>
    <m/>
  </r>
  <r>
    <m/>
    <s v="P0027"/>
    <s v="SUELI TAVARES"/>
    <x v="1"/>
    <d v="2021-03-18T00:00:00"/>
    <x v="1"/>
    <n v="21987742478"/>
    <m/>
    <m/>
    <s v="RJ"/>
    <s v="SÃO JOÃO DE MERITI"/>
    <s v="VILAR DOS TELES"/>
    <s v="Light"/>
    <m/>
    <m/>
    <n v="267.5"/>
    <n v="370"/>
    <n v="330"/>
    <n v="300"/>
    <n v="290"/>
    <n v="210"/>
    <n v="200"/>
    <n v="180"/>
    <n v="170"/>
    <n v="260"/>
    <n v="300"/>
    <n v="230"/>
    <n v="370"/>
    <s v="Junto a Carga"/>
    <m/>
    <x v="14"/>
    <n v="2.88"/>
    <n v="16117.11"/>
    <s v="Kalhetão"/>
    <n v="8"/>
    <n v="360"/>
    <m/>
    <m/>
    <m/>
    <s v="Indicação do Rafael Peixoto (primo) para mãe de Danielle Tavares."/>
    <m/>
    <m/>
    <m/>
    <m/>
    <m/>
    <m/>
    <m/>
    <m/>
    <m/>
    <m/>
    <m/>
    <m/>
    <m/>
  </r>
  <r>
    <m/>
    <s v="P0028"/>
    <s v="CÉSAR"/>
    <x v="0"/>
    <d v="2021-03-18T00:00:00"/>
    <x v="3"/>
    <n v="21964477560"/>
    <m/>
    <m/>
    <s v="RJ"/>
    <s v="RIO DE JANEIRO"/>
    <s v="RECREIO DOS BANDEIRANTES"/>
    <s v="Light"/>
    <m/>
    <m/>
    <n v="799.83333333333337"/>
    <n v="1089"/>
    <n v="1089"/>
    <n v="902"/>
    <n v="858"/>
    <n v="626"/>
    <n v="677"/>
    <n v="601"/>
    <n v="653"/>
    <n v="752"/>
    <n v="664"/>
    <n v="874"/>
    <n v="813"/>
    <m/>
    <m/>
    <x v="13"/>
    <m/>
    <m/>
    <m/>
    <m/>
    <s v=""/>
    <m/>
    <s v="NÃO"/>
    <s v="Achou caro"/>
    <s v="Indicação ComSol. Não tenho contato direto do cliente, o Nilson era o intermediador"/>
    <m/>
    <m/>
    <m/>
    <m/>
    <m/>
    <m/>
    <m/>
    <m/>
    <m/>
    <m/>
    <m/>
    <m/>
    <m/>
  </r>
  <r>
    <m/>
    <s v="P0029"/>
    <s v="Leandro"/>
    <x v="0"/>
    <d v="2021-03-24T00:00:00"/>
    <x v="3"/>
    <n v="21964477560"/>
    <m/>
    <m/>
    <s v="RJ"/>
    <s v="RIO DE JANEIRO"/>
    <s v="RECREIO DOS BANDEIRANTES"/>
    <s v="Light"/>
    <m/>
    <m/>
    <n v="1800"/>
    <n v="2451"/>
    <n v="2451"/>
    <n v="2031"/>
    <n v="1930"/>
    <n v="1409"/>
    <n v="1524"/>
    <n v="1351"/>
    <n v="1470"/>
    <n v="1693"/>
    <n v="1495"/>
    <n v="1966"/>
    <n v="1829"/>
    <m/>
    <m/>
    <x v="13"/>
    <m/>
    <m/>
    <m/>
    <m/>
    <s v=""/>
    <m/>
    <s v="NÃO"/>
    <s v="Sem Resposta"/>
    <s v="Indicação Nilson ComSol. Consumo médio de 2000/mês. Não tenho contato direto do cliente, o Nilson era o intermediador"/>
    <m/>
    <m/>
    <m/>
    <m/>
    <m/>
    <m/>
    <m/>
    <m/>
    <m/>
    <m/>
    <m/>
    <m/>
    <m/>
  </r>
  <r>
    <m/>
    <s v="P0030"/>
    <s v="CASSIANO BARROS DE OLIVEIRA"/>
    <x v="0"/>
    <d v="2021-04-01T00:00:00"/>
    <x v="4"/>
    <n v="22988247660"/>
    <s v="AV DOS PESCADORES, 666, LJ 10"/>
    <n v="28922175"/>
    <s v="RJ"/>
    <s v="CABO FRIO"/>
    <s v="PERÓ"/>
    <s v="Enel"/>
    <m/>
    <m/>
    <s v=""/>
    <m/>
    <m/>
    <m/>
    <m/>
    <m/>
    <m/>
    <m/>
    <m/>
    <m/>
    <m/>
    <m/>
    <m/>
    <m/>
    <m/>
    <x v="13"/>
    <m/>
    <m/>
    <m/>
    <m/>
    <s v=""/>
    <m/>
    <s v="NÃO"/>
    <s v="Sem Resposta"/>
    <s v="Morador do condomínio Merlin em cabo frio. Viu a instalação e se interessou para por em sua loja. Fizemos análise de sombreamento, mas não respondeu."/>
    <m/>
    <m/>
    <m/>
    <m/>
    <m/>
    <m/>
    <m/>
    <m/>
    <m/>
    <m/>
    <m/>
    <m/>
    <m/>
  </r>
  <r>
    <m/>
    <s v="P0031"/>
    <s v="Cliente 3031"/>
    <x v="0"/>
    <d v="2021-04-07T00:00:00"/>
    <x v="3"/>
    <n v="21979597739"/>
    <m/>
    <m/>
    <s v="RJ"/>
    <s v="RIO DE JANEIRO"/>
    <s v="IPANEMA"/>
    <s v="Light"/>
    <m/>
    <m/>
    <s v=""/>
    <m/>
    <m/>
    <m/>
    <m/>
    <m/>
    <m/>
    <m/>
    <m/>
    <m/>
    <m/>
    <m/>
    <m/>
    <m/>
    <m/>
    <x v="13"/>
    <m/>
    <m/>
    <m/>
    <m/>
    <s v=""/>
    <m/>
    <s v="NÃO"/>
    <s v="Optou por não realizar o projeto"/>
    <s v="Larissa, indicação do Pedro Masur. Cliente dela gostaria de trocar só o inversor. Não foi para frente"/>
    <m/>
    <m/>
    <m/>
    <m/>
    <m/>
    <m/>
    <m/>
    <m/>
    <m/>
    <m/>
    <m/>
    <m/>
    <m/>
  </r>
  <r>
    <m/>
    <s v="P0032"/>
    <s v="OSMAR AGOSTINHO"/>
    <x v="0"/>
    <d v="2021-04-15T00:00:00"/>
    <x v="1"/>
    <n v="21999136621"/>
    <m/>
    <s v="22745-080"/>
    <s v="RJ"/>
    <s v="RIO DE JANEIRO"/>
    <s v="FREGUESIA"/>
    <s v="Light"/>
    <m/>
    <m/>
    <n v="700.08333333333337"/>
    <n v="953"/>
    <n v="953"/>
    <n v="790"/>
    <n v="751"/>
    <n v="548"/>
    <n v="593"/>
    <n v="526"/>
    <n v="572"/>
    <n v="658"/>
    <n v="581"/>
    <n v="765"/>
    <n v="711"/>
    <m/>
    <m/>
    <x v="15"/>
    <m/>
    <m/>
    <m/>
    <m/>
    <s v=""/>
    <m/>
    <s v="SIM"/>
    <s v="Sem Resposta"/>
    <s v="indicação do brandão. Utilizado uma fatura média de 700kWh. Enviado a proposta e não respondeu mais, retomar contato para ver se chegou a fechar se ainda tem interesse etc.Nova tentativa de contato em 13/09/23 sem resposta"/>
    <m/>
    <m/>
    <m/>
    <m/>
    <m/>
    <m/>
    <m/>
    <m/>
    <m/>
    <m/>
    <m/>
    <m/>
    <m/>
  </r>
  <r>
    <m/>
    <s v="P0033"/>
    <s v="CELIA MARIA PIACENTINI COTRIM"/>
    <x v="1"/>
    <d v="2021-04-14T00:00:00"/>
    <x v="4"/>
    <n v="21997360198"/>
    <s v="R RAUL SEIXAS,268"/>
    <s v="22750-700"/>
    <s v="RJ"/>
    <s v="RIO DE JANEIRO"/>
    <s v="ANIL"/>
    <s v="Light"/>
    <s v="B1 - Residencial"/>
    <s v="Trifásico"/>
    <n v="756.5"/>
    <n v="256"/>
    <n v="595"/>
    <n v="573"/>
    <n v="590"/>
    <n v="434"/>
    <n v="409"/>
    <n v="464"/>
    <n v="826"/>
    <n v="773"/>
    <n v="1863"/>
    <n v="1607"/>
    <n v="688"/>
    <s v="Autoconsumo Remoto"/>
    <m/>
    <x v="16"/>
    <n v="15.12"/>
    <n v="62994.23"/>
    <s v="Cerâmico"/>
    <n v="28"/>
    <n v="539.99999999999989"/>
    <m/>
    <m/>
    <m/>
    <s v="Amiga mãe, da pró-vida. Quer aumentar o sistema pois colocou sistema de aquecimento da piscina. Deseja também consertar uma instalação antiga que está dando vazamento."/>
    <m/>
    <m/>
    <m/>
    <m/>
    <m/>
    <m/>
    <m/>
    <m/>
    <m/>
    <m/>
    <m/>
    <m/>
    <m/>
  </r>
  <r>
    <m/>
    <s v="P0034"/>
    <s v="OFFGRID"/>
    <x v="0"/>
    <d v="2021-06-22T00:00:00"/>
    <x v="3"/>
    <n v="21985211765"/>
    <m/>
    <m/>
    <m/>
    <m/>
    <m/>
    <m/>
    <m/>
    <m/>
    <s v=""/>
    <m/>
    <m/>
    <m/>
    <m/>
    <m/>
    <m/>
    <m/>
    <m/>
    <m/>
    <m/>
    <m/>
    <m/>
    <m/>
    <m/>
    <x v="17"/>
    <m/>
    <m/>
    <m/>
    <m/>
    <s v=""/>
    <m/>
    <s v="NÃO"/>
    <s v="Sem Resposta"/>
    <s v="Indicação Ronaldo - Goex Elétrica"/>
    <m/>
    <m/>
    <m/>
    <m/>
    <m/>
    <m/>
    <m/>
    <m/>
    <m/>
    <m/>
    <m/>
    <m/>
    <m/>
  </r>
  <r>
    <m/>
    <s v="P0035"/>
    <s v="JOSE AUGUSTO SILVEIRA ALKIMIM"/>
    <x v="0"/>
    <d v="2021-05-12T00:00:00"/>
    <x v="3"/>
    <n v="21985211765"/>
    <s v="Fração 03 lt B PORTO REAL"/>
    <n v="23860000"/>
    <s v="RJ"/>
    <s v="MANGARATIBA"/>
    <s v="ITAOCAIA"/>
    <s v="Enel"/>
    <s v="B1 - Residencial"/>
    <s v="Trifásico"/>
    <n v="1199.8333333333333"/>
    <n v="1712"/>
    <n v="1667"/>
    <n v="1379"/>
    <n v="1290"/>
    <n v="1007"/>
    <n v="965"/>
    <n v="875"/>
    <n v="959"/>
    <n v="1096"/>
    <n v="1067"/>
    <n v="1175"/>
    <n v="1206"/>
    <m/>
    <m/>
    <x v="18"/>
    <m/>
    <m/>
    <m/>
    <m/>
    <s v=""/>
    <m/>
    <s v="NÃO"/>
    <s v="Sem Resposta"/>
    <s v="Indicação Ronaldo - Goex Elétrica"/>
    <m/>
    <m/>
    <m/>
    <m/>
    <m/>
    <m/>
    <m/>
    <m/>
    <m/>
    <m/>
    <m/>
    <m/>
    <m/>
  </r>
  <r>
    <m/>
    <s v="P0036"/>
    <s v="CLAUDIO DE LUCAS LIMA"/>
    <x v="0"/>
    <d v="2021-06-24T00:00:00"/>
    <x v="3"/>
    <n v="21983201778"/>
    <m/>
    <m/>
    <m/>
    <m/>
    <m/>
    <m/>
    <m/>
    <m/>
    <s v=""/>
    <m/>
    <m/>
    <m/>
    <m/>
    <m/>
    <m/>
    <m/>
    <m/>
    <m/>
    <m/>
    <m/>
    <m/>
    <m/>
    <m/>
    <x v="19"/>
    <m/>
    <m/>
    <m/>
    <m/>
    <s v=""/>
    <m/>
    <s v="NÃO"/>
    <s v="Sem Resposta"/>
    <s v="Indicação Ronaldo - Goex Elétrica"/>
    <m/>
    <m/>
    <m/>
    <m/>
    <m/>
    <m/>
    <m/>
    <m/>
    <m/>
    <m/>
    <m/>
    <m/>
    <m/>
  </r>
  <r>
    <m/>
    <s v="P0037"/>
    <s v="RICARDO MONTEIRO PEREIRA"/>
    <x v="0"/>
    <d v="2021-07-01T00:00:00"/>
    <x v="4"/>
    <n v="21964724820"/>
    <s v="R TROVADOR, SN LT 18 QD 40 FD"/>
    <s v="23071-180"/>
    <s v="RJ"/>
    <s v="RIO DE JANEIRO"/>
    <s v="CAMPO GRANDE"/>
    <s v="Light"/>
    <m/>
    <m/>
    <n v="428.25"/>
    <n v="532"/>
    <n v="465"/>
    <n v="537"/>
    <n v="498"/>
    <n v="311"/>
    <n v="424"/>
    <n v="344"/>
    <n v="377"/>
    <n v="399"/>
    <n v="437"/>
    <n v="366"/>
    <n v="449"/>
    <m/>
    <m/>
    <x v="17"/>
    <m/>
    <m/>
    <m/>
    <m/>
    <s v=""/>
    <m/>
    <s v="NÃO"/>
    <s v="Sem Resposta"/>
    <s v="Indicado pelo Nikael"/>
    <m/>
    <m/>
    <m/>
    <m/>
    <m/>
    <m/>
    <m/>
    <m/>
    <m/>
    <m/>
    <m/>
    <m/>
    <m/>
  </r>
  <r>
    <m/>
    <s v="P0038"/>
    <s v="LUCAS MENENDEZ"/>
    <x v="0"/>
    <d v="2021-07-05T00:00:00"/>
    <x v="0"/>
    <n v="21999391995"/>
    <m/>
    <m/>
    <s v="RJ"/>
    <s v="RIO DE JANEIRO"/>
    <m/>
    <s v="Light"/>
    <m/>
    <m/>
    <n v="4400.166666666667"/>
    <n v="5992"/>
    <n v="5992"/>
    <n v="4964"/>
    <n v="4718"/>
    <n v="3444"/>
    <n v="3725"/>
    <n v="3303"/>
    <n v="3593"/>
    <n v="4138"/>
    <n v="3655"/>
    <n v="4806"/>
    <n v="4472"/>
    <m/>
    <m/>
    <x v="20"/>
    <m/>
    <m/>
    <m/>
    <m/>
    <s v=""/>
    <m/>
    <s v="SIM"/>
    <s v="Achou caro"/>
    <s v="Estimativa de consumo de 2000 reais média"/>
    <m/>
    <m/>
    <m/>
    <m/>
    <m/>
    <m/>
    <m/>
    <m/>
    <m/>
    <m/>
    <m/>
    <m/>
    <m/>
  </r>
  <r>
    <m/>
    <s v="P0039"/>
    <s v="JORGE PEPICON"/>
    <x v="0"/>
    <d v="2021-07-06T00:00:00"/>
    <x v="4"/>
    <n v="21987725802"/>
    <s v="R IMBUIA, 89"/>
    <m/>
    <s v="RJ"/>
    <s v="RIO DE JANEIRO"/>
    <m/>
    <s v="Light"/>
    <s v="B1 - Residencial"/>
    <m/>
    <n v="753.66666666666663"/>
    <n v="776"/>
    <n v="872"/>
    <n v="812"/>
    <n v="903"/>
    <n v="814"/>
    <n v="768"/>
    <n v="677"/>
    <n v="724"/>
    <n v="626"/>
    <n v="751"/>
    <n v="641"/>
    <n v="680"/>
    <m/>
    <m/>
    <x v="21"/>
    <m/>
    <m/>
    <m/>
    <m/>
    <s v=""/>
    <m/>
    <s v="NÃO"/>
    <s v="Outros"/>
    <s v="Informou que jan não reflete realidade pois estavam viajando. Estava como 450kWh, considerei a média entre dez e fev. Aumento 21% o consumo de Jun/20 para Jun/21. Se mudou para portugal para ficar próximo à filha."/>
    <m/>
    <m/>
    <m/>
    <m/>
    <m/>
    <m/>
    <m/>
    <m/>
    <m/>
    <m/>
    <m/>
    <m/>
    <m/>
  </r>
  <r>
    <m/>
    <s v="P0040"/>
    <s v="MARCELO NAVARRO"/>
    <x v="1"/>
    <d v="2021-07-26T00:00:00"/>
    <x v="4"/>
    <n v="21997645266"/>
    <s v="R ANVERINO FLORESTA DE MIRANDA, 215"/>
    <m/>
    <s v="RJ"/>
    <s v="RIO DE JANEIRO"/>
    <s v="FREGUESIA"/>
    <s v="Light"/>
    <s v="B1 - Residencial"/>
    <m/>
    <s v=""/>
    <m/>
    <m/>
    <m/>
    <m/>
    <m/>
    <m/>
    <m/>
    <m/>
    <m/>
    <m/>
    <m/>
    <m/>
    <m/>
    <m/>
    <x v="17"/>
    <n v="7.2"/>
    <n v="32500"/>
    <s v="Cerâmico"/>
    <n v="16"/>
    <n v="450"/>
    <m/>
    <m/>
    <m/>
    <s v="Indicado pelo cosme (pai do leandro)"/>
    <m/>
    <m/>
    <m/>
    <m/>
    <m/>
    <m/>
    <m/>
    <m/>
    <m/>
    <m/>
    <m/>
    <m/>
    <m/>
  </r>
  <r>
    <m/>
    <s v="P0041"/>
    <s v="Q DELICIA LANCHENETE BAR E PIZZARIA"/>
    <x v="0"/>
    <d v="2021-08-16T00:00:00"/>
    <x v="3"/>
    <n v="21983201778"/>
    <s v="EST DO TINDIBA, 1796, LJ D"/>
    <n v="22740360"/>
    <s v="RJ"/>
    <s v="RIO DE JANEIRO"/>
    <s v="TAQUARA"/>
    <s v="Light"/>
    <m/>
    <s v="Trifásico"/>
    <n v="1392.75"/>
    <n v="1147"/>
    <n v="1424"/>
    <n v="1499"/>
    <n v="1381"/>
    <n v="1460"/>
    <n v="1397"/>
    <n v="1032"/>
    <n v="1402"/>
    <n v="1446"/>
    <n v="1482"/>
    <n v="1513"/>
    <n v="1530"/>
    <m/>
    <m/>
    <x v="18"/>
    <m/>
    <m/>
    <m/>
    <m/>
    <s v=""/>
    <m/>
    <s v="NÃO"/>
    <s v="Sem Resposta"/>
    <s v="Indicado pelo Ronaldo, fatura de jun/20 era 1038 subiu para 1397 em jun/21"/>
    <m/>
    <m/>
    <m/>
    <m/>
    <m/>
    <m/>
    <m/>
    <m/>
    <m/>
    <m/>
    <m/>
    <m/>
    <m/>
  </r>
  <r>
    <m/>
    <s v="P0042"/>
    <s v="Sem nome"/>
    <x v="0"/>
    <d v="2021-08-29T00:00:00"/>
    <x v="4"/>
    <n v="21964724820"/>
    <m/>
    <m/>
    <s v="RJ"/>
    <s v="ANGRA DOS REIS"/>
    <s v="MONSUABA"/>
    <s v="Enel"/>
    <m/>
    <m/>
    <n v="1000.0833333333334"/>
    <n v="1362"/>
    <n v="1362"/>
    <n v="1128"/>
    <n v="1072"/>
    <n v="783"/>
    <n v="847"/>
    <n v="751"/>
    <n v="817"/>
    <n v="940"/>
    <n v="831"/>
    <n v="1092"/>
    <n v="1016"/>
    <m/>
    <m/>
    <x v="22"/>
    <m/>
    <m/>
    <m/>
    <m/>
    <s v=""/>
    <m/>
    <s v="NÃO"/>
    <s v="Sem Resposta"/>
    <s v="Indicação de Nikael"/>
    <m/>
    <m/>
    <m/>
    <m/>
    <m/>
    <m/>
    <m/>
    <m/>
    <m/>
    <m/>
    <m/>
    <m/>
    <m/>
  </r>
  <r>
    <m/>
    <s v="P0043"/>
    <s v="DIEGO RUADE DA FONSECA"/>
    <x v="0"/>
    <d v="2021-09-10T00:00:00"/>
    <x v="3"/>
    <n v="21983201778"/>
    <s v="R JOSE SILVA 436 LJ F"/>
    <m/>
    <s v="RJ"/>
    <s v="RIO DE JANEIRO"/>
    <s v="PECHINCHA"/>
    <s v="Light"/>
    <m/>
    <s v="Trifásico"/>
    <n v="430.08333333333331"/>
    <n v="994"/>
    <n v="763"/>
    <n v="616"/>
    <n v="155"/>
    <n v="127"/>
    <n v="248"/>
    <n v="100"/>
    <n v="498"/>
    <n v="328"/>
    <n v="467"/>
    <n v="439"/>
    <n v="426"/>
    <m/>
    <m/>
    <x v="23"/>
    <m/>
    <m/>
    <m/>
    <m/>
    <s v=""/>
    <m/>
    <s v="NÃO"/>
    <s v="Sem Resposta"/>
    <s v="Indicação Ronaldo, set/20 402kWh (redução), são 4 lojas"/>
    <m/>
    <m/>
    <m/>
    <m/>
    <m/>
    <m/>
    <m/>
    <m/>
    <m/>
    <m/>
    <m/>
    <m/>
    <m/>
  </r>
  <r>
    <m/>
    <s v="P0044"/>
    <s v="EVANILDO"/>
    <x v="1"/>
    <d v="2021-09-15T00:00:00"/>
    <x v="0"/>
    <n v="21964237323"/>
    <s v="R MAMORÉ 25 CA 106"/>
    <s v="22760-080"/>
    <s v="RJ"/>
    <s v="RIO DE JANEIRO"/>
    <s v="FREGUESIA"/>
    <s v="Light"/>
    <s v="B1 - Residencial"/>
    <s v="Bifásico"/>
    <n v="628.75"/>
    <n v="722"/>
    <n v="807"/>
    <n v="727"/>
    <n v="717"/>
    <n v="584"/>
    <n v="592"/>
    <n v="461"/>
    <n v="435"/>
    <n v="548"/>
    <n v="638"/>
    <n v="646"/>
    <n v="668"/>
    <m/>
    <m/>
    <x v="24"/>
    <n v="5.32"/>
    <n v="22600"/>
    <s v="Cerâmico"/>
    <n v="8"/>
    <n v="665"/>
    <m/>
    <m/>
    <m/>
    <s v="Vizinho camila. Setembro anterior563kWh, se manteve."/>
    <m/>
    <m/>
    <m/>
    <m/>
    <m/>
    <m/>
    <m/>
    <m/>
    <m/>
    <m/>
    <m/>
    <m/>
    <m/>
  </r>
  <r>
    <m/>
    <s v="P0045"/>
    <s v="COLÉGIO PENHA GABRIEL"/>
    <x v="1"/>
    <d v="2021-09-22T00:00:00"/>
    <x v="1"/>
    <n v="21988092701"/>
    <s v="R. Adalgisa Aleixo, 550"/>
    <m/>
    <s v="RJ"/>
    <s v="RIO DE JANEIRO"/>
    <s v="Bento Ribeiro"/>
    <s v="Light"/>
    <m/>
    <s v="Trifásico"/>
    <n v="2127.5"/>
    <n v="1168"/>
    <n v="2856"/>
    <n v="5211"/>
    <n v="4001"/>
    <n v="2972"/>
    <n v="1813"/>
    <n v="1286"/>
    <n v="1000"/>
    <n v="1300"/>
    <n v="1300"/>
    <n v="1237"/>
    <n v="1386"/>
    <m/>
    <m/>
    <x v="25"/>
    <n v="25.44"/>
    <n v="110000"/>
    <s v="Metálica"/>
    <n v="48"/>
    <n v="530"/>
    <m/>
    <m/>
    <m/>
    <s v="Indicado pela camila coda. Colégia que faz seguro escolar em bento ribeiro. Estava em pandemia até outubro/20, consumo nesse periodo não reflete realidade."/>
    <m/>
    <m/>
    <m/>
    <m/>
    <m/>
    <m/>
    <m/>
    <m/>
    <m/>
    <m/>
    <m/>
    <m/>
    <m/>
  </r>
  <r>
    <m/>
    <s v="P0046"/>
    <s v="CONDOMÍNIO EDIFICIO ROYAL BARRA"/>
    <x v="0"/>
    <d v="2021-09-24T00:00:00"/>
    <x v="5"/>
    <n v="21992242171"/>
    <s v="R. Jorn. Henrique Cordeiro, 400"/>
    <m/>
    <s v="RJ"/>
    <s v="RIO DE JANEIRO"/>
    <s v="BARRA DA TIJUCA"/>
    <s v="Light"/>
    <m/>
    <m/>
    <n v="15547.083333333334"/>
    <n v="15648"/>
    <n v="16064"/>
    <n v="18136"/>
    <n v="16884"/>
    <n v="15444"/>
    <n v="14563"/>
    <n v="12464"/>
    <n v="14844"/>
    <n v="16474"/>
    <n v="15576"/>
    <n v="15504"/>
    <n v="14964"/>
    <s v="Junto a Carga"/>
    <m/>
    <x v="26"/>
    <m/>
    <m/>
    <m/>
    <m/>
    <s v=""/>
    <m/>
    <s v="NÃO"/>
    <s v="Sem Resposta"/>
    <s v="Veio pelo google. Condomínio na barra, área da cobertura não antende todo o consumo."/>
    <m/>
    <m/>
    <m/>
    <m/>
    <m/>
    <m/>
    <m/>
    <m/>
    <m/>
    <m/>
    <m/>
    <m/>
    <m/>
  </r>
  <r>
    <m/>
    <s v="P0047"/>
    <s v="VINICIUS MARTINS DO VALLE"/>
    <x v="0"/>
    <d v="2021-09-24T00:00:00"/>
    <x v="5"/>
    <n v="21986533553"/>
    <s v="R. CEL PAULO MALTA RESENDE 35 AP906"/>
    <n v="22631005"/>
    <s v="RJ"/>
    <s v="RIO DE JANEIRO"/>
    <s v="BARRA DA TIJUCA"/>
    <s v="Light"/>
    <s v="B1 - Residencial"/>
    <s v="Trifásico"/>
    <n v="260.41666666666669"/>
    <n v="338"/>
    <n v="362"/>
    <n v="350"/>
    <n v="254"/>
    <n v="241"/>
    <n v="216"/>
    <n v="214"/>
    <n v="195"/>
    <n v="215"/>
    <n v="199"/>
    <n v="224"/>
    <n v="317"/>
    <m/>
    <m/>
    <x v="21"/>
    <m/>
    <m/>
    <m/>
    <m/>
    <s v=""/>
    <m/>
    <s v="NÃO"/>
    <s v="Sem Local/Apartamento"/>
    <s v="Veio pelo google. Consumo de setembro passou de 180 em 2020 para 215 em 2021.19,4%. Consumo baixo e mora em apartamento."/>
    <m/>
    <m/>
    <m/>
    <m/>
    <m/>
    <m/>
    <m/>
    <m/>
    <m/>
    <m/>
    <m/>
    <m/>
    <m/>
  </r>
  <r>
    <m/>
    <s v="P0048"/>
    <s v="CLÁUDIO LUIZ"/>
    <x v="0"/>
    <d v="2021-09-30T00:00:00"/>
    <x v="0"/>
    <n v="21966175796"/>
    <s v="R. RAUL SEIXAS SN LT 77"/>
    <s v="22750-700"/>
    <s v="RJ"/>
    <s v="RIO DE JANEIRO"/>
    <s v="ANIL"/>
    <s v="Light"/>
    <s v="B1 - Residencial"/>
    <s v="Trifásico"/>
    <n v="588.75"/>
    <n v="474"/>
    <n v="586"/>
    <n v="616"/>
    <n v="705"/>
    <n v="620"/>
    <n v="590"/>
    <n v="529"/>
    <n v="654"/>
    <n v="818"/>
    <n v="461"/>
    <n v="425"/>
    <n v="587"/>
    <s v="Junto a Carga"/>
    <m/>
    <x v="27"/>
    <m/>
    <m/>
    <m/>
    <m/>
    <s v=""/>
    <m/>
    <s v="NÃO"/>
    <s v="Fechou com outra empresa"/>
    <s v="Pediu orçamento enquanto estava instalando P0033 célia cotrim. Vizinho de frente. Fatura aumentou por criação de peixe. Setembro/20 consumo foi de 326 (menos da metade). Achou caro e fechou com outra empresa"/>
    <m/>
    <m/>
    <m/>
    <m/>
    <m/>
    <m/>
    <m/>
    <m/>
    <m/>
    <m/>
    <m/>
    <m/>
    <m/>
  </r>
  <r>
    <m/>
    <s v="P0049"/>
    <s v="RAFAELA MILENA"/>
    <x v="0"/>
    <d v="2021-10-02T00:00:00"/>
    <x v="5"/>
    <n v="21985105214"/>
    <s v="Estrada de sepetiba, 5"/>
    <m/>
    <s v="RJ"/>
    <s v="SANTA CRUZ"/>
    <m/>
    <s v="Light"/>
    <m/>
    <m/>
    <n v="4000"/>
    <n v="5708"/>
    <n v="5558"/>
    <n v="4598"/>
    <n v="4299"/>
    <n v="3357"/>
    <n v="3217"/>
    <n v="2918"/>
    <n v="3198"/>
    <n v="3653"/>
    <n v="3557"/>
    <n v="3916"/>
    <n v="4021"/>
    <m/>
    <m/>
    <x v="21"/>
    <m/>
    <m/>
    <m/>
    <m/>
    <s v=""/>
    <m/>
    <s v="SIM"/>
    <s v="Sem Resposta"/>
    <s v="Verificar origem. Pediu para um gasto médio de R$4890 reais. Foi gerada uma estimativa de valor a partir do consumo"/>
    <m/>
    <m/>
    <m/>
    <m/>
    <m/>
    <m/>
    <m/>
    <m/>
    <m/>
    <m/>
    <m/>
    <m/>
    <m/>
  </r>
  <r>
    <m/>
    <s v="P0050"/>
    <s v="ROBERTO CARLOS DIAS DE SOUZA"/>
    <x v="0"/>
    <d v="2021-10-04T00:00:00"/>
    <x v="5"/>
    <n v="21970378176"/>
    <s v="EST BOIUNA 727"/>
    <m/>
    <s v="RJ"/>
    <s v="RIO DE JANEIRO"/>
    <s v="TAQUARA"/>
    <s v="Light"/>
    <m/>
    <m/>
    <n v="600"/>
    <n v="856"/>
    <n v="834"/>
    <n v="690"/>
    <n v="645"/>
    <n v="503"/>
    <n v="483"/>
    <n v="438"/>
    <n v="480"/>
    <n v="548"/>
    <n v="533"/>
    <n v="587"/>
    <n v="603"/>
    <m/>
    <m/>
    <x v="28"/>
    <m/>
    <m/>
    <m/>
    <m/>
    <s v=""/>
    <m/>
    <s v="SIM"/>
    <s v="Sem Resposta"/>
    <s v="Formulário do site. Informou consumo médio de 450kWh. Indicação da cunhada que passou o link. Proposta enviada e não respondeu mais. Nova tentativa de contato em 15/09/23 sem resposta"/>
    <m/>
    <m/>
    <m/>
    <m/>
    <m/>
    <m/>
    <m/>
    <m/>
    <m/>
    <m/>
    <m/>
    <m/>
    <m/>
  </r>
  <r>
    <m/>
    <s v="P0051"/>
    <s v="PARÓQUIA SANTA RITA DE CÁSSIA"/>
    <x v="0"/>
    <d v="2021-10-02T00:00:00"/>
    <x v="3"/>
    <n v="21964724820"/>
    <s v="AV. MARIANA, 12"/>
    <m/>
    <s v="RJ"/>
    <s v="RIO DE JANEIRO"/>
    <s v="CAMPO GRANDE"/>
    <s v="Light"/>
    <m/>
    <m/>
    <s v=""/>
    <m/>
    <m/>
    <m/>
    <m/>
    <m/>
    <m/>
    <m/>
    <m/>
    <m/>
    <m/>
    <m/>
    <m/>
    <m/>
    <m/>
    <x v="29"/>
    <m/>
    <m/>
    <m/>
    <m/>
    <s v=""/>
    <m/>
    <s v="NÃO"/>
    <s v="Sem Resposta"/>
    <m/>
    <m/>
    <m/>
    <m/>
    <m/>
    <m/>
    <m/>
    <m/>
    <m/>
    <m/>
    <m/>
    <m/>
    <m/>
    <m/>
  </r>
  <r>
    <m/>
    <s v="P0052"/>
    <s v="LUCIANA BOECHAT E DOUGLAS ALVES"/>
    <x v="0"/>
    <d v="2021-10-04T00:00:00"/>
    <x v="4"/>
    <n v="21996481160"/>
    <s v="RUA ATOR PAULO GUSTAVO, 66 - AP 1402"/>
    <m/>
    <s v="RJ"/>
    <s v="Niteroí"/>
    <s v="ICARAÍ"/>
    <s v="Enel"/>
    <m/>
    <m/>
    <n v="800.08333333333337"/>
    <n v="1142"/>
    <n v="1112"/>
    <n v="920"/>
    <n v="860"/>
    <n v="671"/>
    <n v="643"/>
    <n v="584"/>
    <n v="640"/>
    <n v="731"/>
    <n v="711"/>
    <n v="783"/>
    <n v="804"/>
    <m/>
    <m/>
    <x v="18"/>
    <m/>
    <m/>
    <m/>
    <m/>
    <s v=""/>
    <m/>
    <s v="SIM"/>
    <s v="Sem Resposta"/>
    <s v="Arquiteto amigo pedro. Projeto Icaraí. Mudança. Apartamento novo. Trabalhar em área útil disponível. Valores de consumo como chute para análise."/>
    <m/>
    <m/>
    <m/>
    <m/>
    <m/>
    <m/>
    <m/>
    <m/>
    <m/>
    <m/>
    <m/>
    <m/>
    <m/>
  </r>
  <r>
    <m/>
    <s v="P0053"/>
    <s v="JORGE SILVA OLIVEIRA"/>
    <x v="0"/>
    <d v="2021-10-01T00:00:00"/>
    <x v="3"/>
    <n v="21964724820"/>
    <s v="R RAPHAEL HAENY 9A"/>
    <m/>
    <s v="RJ"/>
    <s v="RIO DE JANEIRO"/>
    <s v="SEPETIBA"/>
    <s v="Light"/>
    <s v="B1 - Residencial"/>
    <s v="Bifásico"/>
    <n v="530.16666666666663"/>
    <n v="720"/>
    <n v="610"/>
    <n v="564"/>
    <n v="473"/>
    <n v="436"/>
    <n v="522"/>
    <n v="452"/>
    <n v="431"/>
    <n v="511"/>
    <n v="502"/>
    <n v="450"/>
    <n v="691"/>
    <s v="Junto a Carga"/>
    <m/>
    <x v="28"/>
    <m/>
    <m/>
    <m/>
    <m/>
    <s v=""/>
    <m/>
    <s v="NÃO"/>
    <s v="Sem Resposta"/>
    <s v="Indicação de Nikael"/>
    <m/>
    <m/>
    <m/>
    <m/>
    <m/>
    <m/>
    <m/>
    <m/>
    <m/>
    <m/>
    <m/>
    <m/>
    <m/>
  </r>
  <r>
    <m/>
    <s v="P0054"/>
    <s v="RICARDO ADESE AGOSTINI"/>
    <x v="0"/>
    <d v="2021-10-06T00:00:00"/>
    <x v="5"/>
    <n v="22988061530"/>
    <s v="R NITEROI"/>
    <s v="28895-544"/>
    <s v="RJ"/>
    <s v="RIO DE JANEIRO"/>
    <s v="JARIDM BELA VISTA"/>
    <s v="Enel"/>
    <m/>
    <m/>
    <n v="700"/>
    <n v="999"/>
    <n v="973"/>
    <n v="805"/>
    <n v="752"/>
    <n v="587"/>
    <n v="563"/>
    <n v="511"/>
    <n v="560"/>
    <n v="639"/>
    <n v="622"/>
    <n v="685"/>
    <n v="704"/>
    <m/>
    <m/>
    <x v="18"/>
    <m/>
    <m/>
    <m/>
    <m/>
    <s v=""/>
    <m/>
    <s v="NÃO"/>
    <s v="Sem Resposta"/>
    <s v="Preencheu formulário no site. Mora em rio das ostras."/>
    <m/>
    <m/>
    <m/>
    <m/>
    <m/>
    <m/>
    <m/>
    <m/>
    <m/>
    <m/>
    <m/>
    <m/>
    <m/>
  </r>
  <r>
    <m/>
    <s v="P0055"/>
    <s v="VANDA TENÓRIO DOS PASSOS"/>
    <x v="0"/>
    <d v="2021-10-06T00:00:00"/>
    <x v="5"/>
    <n v="21981365747"/>
    <s v="RUA SAMANBAIA 80C1"/>
    <m/>
    <s v="RJ"/>
    <s v="SÃO GONÇALO"/>
    <s v="MARIA PAULA"/>
    <s v="Enel"/>
    <s v="B1 - Residencial"/>
    <s v="Bifásico"/>
    <n v="600"/>
    <n v="856"/>
    <n v="834"/>
    <n v="690"/>
    <n v="645"/>
    <n v="503"/>
    <n v="483"/>
    <n v="438"/>
    <n v="480"/>
    <n v="548"/>
    <n v="533"/>
    <n v="587"/>
    <n v="603"/>
    <m/>
    <m/>
    <x v="18"/>
    <m/>
    <m/>
    <m/>
    <m/>
    <s v=""/>
    <m/>
    <s v="SIM"/>
    <s v="Achou caro"/>
    <s v="Formulário do site, google ads. Pssui consumo médio de 369kWh, solicitou aumento para aproximadamente 700kWh em janeiro. Achou caro, Ficou de analisar as propostas e me falar mas teria outra com preços melhores. Verificar se chegou a fechar com outra empresa. Novo contato 15/09/23 sem resposta"/>
    <m/>
    <m/>
    <m/>
    <m/>
    <m/>
    <m/>
    <m/>
    <m/>
    <m/>
    <m/>
    <m/>
    <m/>
    <m/>
  </r>
  <r>
    <m/>
    <s v="P0056"/>
    <s v="LOTEUM INCORPORAÇÕES S A"/>
    <x v="0"/>
    <d v="2021-09-23T00:00:00"/>
    <x v="1"/>
    <n v="21975535969"/>
    <s v="AV LUCIO COSTA 9600 BL 2 SV SERV."/>
    <s v=" 22795-007"/>
    <s v="RJ"/>
    <s v="RIO DE JANEIRO"/>
    <s v="BARRA DA TIJUCA"/>
    <s v="Light"/>
    <m/>
    <s v="Trifásico"/>
    <n v="4892.833333333333"/>
    <n v="2864"/>
    <n v="3567"/>
    <n v="3344"/>
    <n v="3521"/>
    <n v="5189"/>
    <n v="3163"/>
    <n v="7153"/>
    <n v="9930"/>
    <n v="6575"/>
    <n v="5054"/>
    <n v="3925"/>
    <n v="4429"/>
    <s v="Junto a Carga"/>
    <m/>
    <x v="18"/>
    <m/>
    <m/>
    <m/>
    <m/>
    <s v=""/>
    <m/>
    <s v="NÃO"/>
    <s v="Sem Resposta"/>
    <s v="Condomínio na barra, veio pelo google ads. Existe limitação de espaço. Enviou 3 faturas mas seria apenas para a intermediária (consumo comum)"/>
    <m/>
    <m/>
    <m/>
    <m/>
    <m/>
    <m/>
    <m/>
    <m/>
    <m/>
    <m/>
    <m/>
    <m/>
    <m/>
  </r>
  <r>
    <m/>
    <s v="P0057"/>
    <s v="MARCIO"/>
    <x v="0"/>
    <d v="2021-10-21T00:00:00"/>
    <x v="4"/>
    <n v="21971053393"/>
    <s v="R DR CRESPO 1A BL 1 AP 305 GR 5 PA 11253"/>
    <s v="22790-670"/>
    <s v="RJ"/>
    <s v="RIO DE JANEIRO"/>
    <s v="RECREIO DOS BANDEIRANTES"/>
    <s v="Light"/>
    <s v="B1 - Residencial"/>
    <s v="Trifásico"/>
    <n v="901.25"/>
    <n v="1184"/>
    <n v="1041"/>
    <n v="1199"/>
    <n v="1276"/>
    <n v="792"/>
    <n v="758"/>
    <n v="434"/>
    <n v="475"/>
    <n v="684"/>
    <n v="881"/>
    <n v="950"/>
    <n v="1141"/>
    <s v="Junto a Carga"/>
    <m/>
    <x v="30"/>
    <m/>
    <m/>
    <m/>
    <m/>
    <s v=""/>
    <m/>
    <s v="NÃO"/>
    <s v="Outros"/>
    <s v="Indicação do Helder (confirmar). Informou previsão de aumentar um Freezer vertical no consumo (aproximadamente 55kWh/mês). Além disso informou que foi montado uma &quot;UTI&quot; no apartamento. Pelo histórico os meses de outubro e novembro pertencem ao consumo antigo, tendo em vista que set/20 passou de 142kWh para 684kWh em set/21. Logo utilizou-se uma média para estes meses. Foi embarrerado pelo sindico de colocar. Telhado comum"/>
    <m/>
    <m/>
    <m/>
    <m/>
    <m/>
    <m/>
    <m/>
    <m/>
    <m/>
    <m/>
    <m/>
    <m/>
    <m/>
  </r>
  <r>
    <m/>
    <s v="P0058"/>
    <s v="SANDRA GUIMARAES SOBREIRO"/>
    <x v="0"/>
    <d v="2021-11-04T00:00:00"/>
    <x v="3"/>
    <m/>
    <s v="R ALBERT SCHWEITZER 276"/>
    <s v="23070-410"/>
    <s v="RJ"/>
    <s v="RIO DE JANEIRO"/>
    <s v="CAMPO GRANDE"/>
    <s v="Light"/>
    <s v="B1 - Residencial"/>
    <s v="Trifásico"/>
    <n v="560.83333333333337"/>
    <n v="650"/>
    <n v="770"/>
    <n v="620"/>
    <n v="700"/>
    <n v="520"/>
    <n v="470"/>
    <n v="470"/>
    <n v="420"/>
    <n v="500"/>
    <n v="430"/>
    <n v="510"/>
    <n v="670"/>
    <m/>
    <m/>
    <x v="31"/>
    <m/>
    <m/>
    <m/>
    <m/>
    <s v=""/>
    <m/>
    <s v="NÃO"/>
    <s v="Sem Resposta"/>
    <s v="Idicação Nikael. Fatura mês out/20 foi de 600 e reduzio para 430"/>
    <m/>
    <m/>
    <m/>
    <m/>
    <m/>
    <m/>
    <m/>
    <m/>
    <m/>
    <m/>
    <m/>
    <m/>
    <m/>
  </r>
  <r>
    <m/>
    <s v="P0059"/>
    <s v="LATOS INCORPORACAO"/>
    <x v="0"/>
    <d v="2021-11-05T00:00:00"/>
    <x v="3"/>
    <n v="21992956448"/>
    <s v="AV JAIME POGGI SN LJ LT 240"/>
    <s v="22775-130"/>
    <s v="RJ"/>
    <s v="RIO DE JANEIRO"/>
    <s v="JACAREPAGUÁ"/>
    <s v="Light"/>
    <m/>
    <s v="Trifásico"/>
    <n v="11726.666666666666"/>
    <n v="5440"/>
    <n v="11360"/>
    <n v="20480"/>
    <n v="13920"/>
    <n v="14160"/>
    <n v="11200"/>
    <n v="9280"/>
    <n v="7600"/>
    <n v="18320"/>
    <n v="10000"/>
    <n v="10000"/>
    <n v="8960"/>
    <m/>
    <m/>
    <x v="32"/>
    <m/>
    <m/>
    <m/>
    <m/>
    <s v=""/>
    <m/>
    <s v="NÃO"/>
    <s v="Sem Resposta"/>
    <s v="Indicação Roberto Prime. Meses de out e nov estavam muito abaixo, possível pandemia, foi feito uma estimativa para 10k"/>
    <m/>
    <m/>
    <m/>
    <m/>
    <m/>
    <m/>
    <m/>
    <m/>
    <m/>
    <m/>
    <m/>
    <m/>
    <m/>
  </r>
  <r>
    <m/>
    <s v="P0060"/>
    <s v="EMIR JIRJI KOUREICHE"/>
    <x v="0"/>
    <d v="2021-11-08T00:00:00"/>
    <x v="0"/>
    <n v="21999977747"/>
    <s v="R PEDRO TEIXEIRA 546"/>
    <n v="21231000"/>
    <s v="RJ"/>
    <s v="RIO DE JANEIRO"/>
    <s v="IRAJÁ"/>
    <s v="Light"/>
    <m/>
    <m/>
    <n v="465.83333333333331"/>
    <n v="500"/>
    <n v="570"/>
    <n v="530"/>
    <n v="490"/>
    <n v="480"/>
    <n v="410"/>
    <n v="390"/>
    <n v="420"/>
    <n v="470"/>
    <n v="360"/>
    <n v="480"/>
    <n v="490"/>
    <m/>
    <m/>
    <x v="26"/>
    <m/>
    <m/>
    <m/>
    <m/>
    <s v=""/>
    <m/>
    <s v="SIM"/>
    <s v="Optou por não realizar o projeto"/>
    <s v="Informou que quer aumentar o consumo com um ar condicionado de 24.000BTU nos meses de verão"/>
    <m/>
    <m/>
    <m/>
    <m/>
    <m/>
    <m/>
    <m/>
    <m/>
    <m/>
    <m/>
    <m/>
    <m/>
    <m/>
  </r>
  <r>
    <m/>
    <s v="P0061"/>
    <s v="VERA LUCIA STRZODA AMBROSIO"/>
    <x v="0"/>
    <d v="2021-11-10T00:00:00"/>
    <x v="0"/>
    <n v="21980785795"/>
    <s v="R MJ MEDEIROS 310 CA 1"/>
    <s v="21235-527"/>
    <s v="RJ"/>
    <s v="RIO DE JANEIRO"/>
    <s v="IRAJÁ"/>
    <s v="Light"/>
    <s v="B1 - Residencial"/>
    <s v="Trifásico"/>
    <n v="394.41666666666669"/>
    <n v="457"/>
    <n v="466"/>
    <n v="468"/>
    <n v="468"/>
    <n v="377"/>
    <n v="319"/>
    <n v="305"/>
    <n v="388"/>
    <n v="390"/>
    <n v="402"/>
    <n v="316"/>
    <n v="377"/>
    <m/>
    <m/>
    <x v="31"/>
    <m/>
    <m/>
    <m/>
    <m/>
    <s v=""/>
    <m/>
    <s v="SIM"/>
    <s v="Optou por não realizar o projeto"/>
    <s v="Bruno Strzoda da UERJ. Set de 2020, era 346 e aumentou para 390kWh (aumento de 12%)"/>
    <m/>
    <m/>
    <m/>
    <m/>
    <m/>
    <m/>
    <m/>
    <m/>
    <m/>
    <m/>
    <m/>
    <m/>
    <m/>
  </r>
  <r>
    <m/>
    <s v="P0062"/>
    <s v="CARLOS HENRIQUE MARQUES RIBEIRO"/>
    <x v="1"/>
    <d v="2021-11-19T00:00:00"/>
    <x v="4"/>
    <n v="21999718373"/>
    <s v="Rua Geraldo Martins Ourivio 91"/>
    <m/>
    <s v="RJ"/>
    <s v="RIO DE JANEIRO"/>
    <s v="TAQUARA"/>
    <s v="Light"/>
    <m/>
    <m/>
    <n v="500.16666666666669"/>
    <n v="713"/>
    <n v="695"/>
    <n v="575"/>
    <n v="537"/>
    <n v="420"/>
    <n v="402"/>
    <n v="365"/>
    <n v="400"/>
    <n v="457"/>
    <n v="445"/>
    <n v="490"/>
    <n v="503"/>
    <m/>
    <m/>
    <x v="19"/>
    <n v="8.8000000000000007"/>
    <n v="43800"/>
    <s v="Cerâmico"/>
    <n v="16"/>
    <n v="550"/>
    <m/>
    <m/>
    <m/>
    <s v="Indicação da esposa do Luiz Terra. Não passou a fatura. Informou que o consumo atual é de 500kWh, porém deseja aumentar usando mais ar condicionado (possui 5 antigos) e 1 boiler de 500L desativado. Prevê um aumento de consumo entre 1000 e 1.500kWh."/>
    <m/>
    <m/>
    <m/>
    <m/>
    <m/>
    <m/>
    <m/>
    <m/>
    <m/>
    <m/>
    <m/>
    <m/>
    <m/>
  </r>
  <r>
    <m/>
    <s v="P0063"/>
    <s v="WALTER AFONSO FAZIO"/>
    <x v="3"/>
    <d v="2021-12-09T00:00:00"/>
    <x v="0"/>
    <m/>
    <s v="RUA DAS MARGARIDAS, 182"/>
    <s v="24348-220"/>
    <s v="RJ"/>
    <s v="Niteroí"/>
    <s v="ITACOATIARA"/>
    <s v="Enel"/>
    <s v="B1 - Residencial"/>
    <s v="Trifásico"/>
    <n v="243.75"/>
    <n v="334"/>
    <n v="132"/>
    <n v="394"/>
    <n v="261"/>
    <n v="139"/>
    <n v="147"/>
    <n v="119"/>
    <n v="158"/>
    <n v="255"/>
    <n v="457"/>
    <n v="400"/>
    <n v="129"/>
    <m/>
    <m/>
    <x v="33"/>
    <m/>
    <m/>
    <m/>
    <m/>
    <s v=""/>
    <m/>
    <m/>
    <m/>
    <s v="Passou de 115kWh em nov/2020 para 400 em nov/2021"/>
    <m/>
    <m/>
    <m/>
    <m/>
    <m/>
    <m/>
    <m/>
    <m/>
    <m/>
    <m/>
    <m/>
    <m/>
    <m/>
  </r>
  <r>
    <m/>
    <s v="P0064"/>
    <s v="JULIANA COSTA BITTENCOURT"/>
    <x v="0"/>
    <d v="2021-12-14T00:00:00"/>
    <x v="4"/>
    <n v="21987321709"/>
    <s v="R GABIROBA 7"/>
    <n v="22763110"/>
    <s v="RJ"/>
    <s v="RIO DE JANEIRO"/>
    <s v="FREGUESIA"/>
    <s v="Light"/>
    <s v="B1 - Residencial"/>
    <s v="Trifásico"/>
    <n v="736.16666666666663"/>
    <n v="729"/>
    <n v="631"/>
    <n v="742"/>
    <n v="1024"/>
    <n v="599"/>
    <n v="576"/>
    <n v="630"/>
    <n v="614"/>
    <n v="739"/>
    <n v="826"/>
    <n v="729"/>
    <n v="995"/>
    <m/>
    <m/>
    <x v="32"/>
    <m/>
    <m/>
    <m/>
    <m/>
    <s v=""/>
    <m/>
    <s v="SIM"/>
    <s v="Sem Resposta"/>
    <s v="Vizinha do Tio Marquinhos, passou de 769 em Dez/2020 para 995 em Dez/2021. Pretende aumentar o consumo com 3aparelhos de ar condicionado de 12mil BTU por 10h no verão. Ficou de pedir aumento de carga e retornaria no mês seguinte. Não falou mais nada. Novo contato em 15/09/23 sem resposta"/>
    <m/>
    <m/>
    <m/>
    <m/>
    <m/>
    <m/>
    <m/>
    <m/>
    <m/>
    <m/>
    <m/>
    <m/>
    <m/>
  </r>
  <r>
    <m/>
    <s v="P0065"/>
    <s v="MARCELO DIAS DONATO"/>
    <x v="0"/>
    <d v="2021-12-16T00:00:00"/>
    <x v="4"/>
    <n v="21979156263"/>
    <s v="EST RIO GRANDE, 3330 BL 7 AP 106"/>
    <n v="22723002"/>
    <s v="RJ"/>
    <s v="RIO DE JANEIRO"/>
    <s v="TAQUARA"/>
    <s v="Light"/>
    <s v="B1 - Residencial"/>
    <s v="Trifásico"/>
    <n v="481.5"/>
    <n v="554"/>
    <n v="588"/>
    <n v="517"/>
    <n v="442"/>
    <n v="437"/>
    <n v="484"/>
    <n v="417"/>
    <n v="379"/>
    <n v="461"/>
    <n v="498"/>
    <n v="415"/>
    <n v="586"/>
    <m/>
    <m/>
    <x v="26"/>
    <m/>
    <m/>
    <m/>
    <m/>
    <s v=""/>
    <m/>
    <s v="SIM"/>
    <s v="Sem Resposta"/>
    <s v="Marcelo amigo Pai. 457kWh em Set/20 para 461 em Set/21. Não respondeu mais, verificar se ainda tem interesse.novo contato em 18/09/23 sem resposta"/>
    <m/>
    <m/>
    <m/>
    <m/>
    <m/>
    <m/>
    <m/>
    <m/>
    <m/>
    <m/>
    <m/>
    <m/>
    <m/>
  </r>
  <r>
    <m/>
    <s v="P0066"/>
    <s v="EBERTHE VIEIRA DE SOUZA GOMES"/>
    <x v="1"/>
    <d v="2022-01-18T00:00:00"/>
    <x v="0"/>
    <n v="21980021428"/>
    <s v="AV CELIA RIBEIRO DA SILVA MENDES 500 BL 9 AP 305 GR_x000a_18"/>
    <n v="22790711"/>
    <s v="RJ"/>
    <s v="RIO DE JANEIRO"/>
    <s v="RECREIO DOS BANDEIRANTES"/>
    <s v="Light"/>
    <s v="B1 - Residencial"/>
    <s v="Trifásico"/>
    <n v="386.16666666666669"/>
    <n v="500"/>
    <n v="497"/>
    <n v="553"/>
    <n v="492"/>
    <n v="271"/>
    <n v="318"/>
    <n v="244"/>
    <n v="256"/>
    <n v="346"/>
    <n v="326"/>
    <n v="350"/>
    <n v="481"/>
    <s v="Junto a Carga"/>
    <m/>
    <x v="34"/>
    <n v="2.4"/>
    <n v="12000"/>
    <s v="Vidro"/>
    <n v="4"/>
    <n v="600"/>
    <m/>
    <m/>
    <m/>
    <s v="Ebethe do João. Gostaria de colocar sistema solar na laje de sua casa onde possui um telhado de vidro. Teve um consumo de 500kWh em Jan/21 e passou para 386 em Jan/22. Redução de 23%"/>
    <m/>
    <m/>
    <m/>
    <m/>
    <m/>
    <m/>
    <m/>
    <m/>
    <m/>
    <m/>
    <m/>
    <m/>
    <m/>
  </r>
  <r>
    <m/>
    <s v="P0067"/>
    <s v="MARCELO LOPES SOARES"/>
    <x v="0"/>
    <d v="2022-02-03T00:00:00"/>
    <x v="3"/>
    <n v="21969217048"/>
    <s v="R ARICURI 1506B"/>
    <s v="23081-332"/>
    <s v="RJ"/>
    <s v="RIO DE JANEIRO"/>
    <s v="CAMPO GRANDE"/>
    <s v="Light"/>
    <m/>
    <s v="Trifásico"/>
    <s v=""/>
    <m/>
    <m/>
    <m/>
    <m/>
    <m/>
    <m/>
    <m/>
    <m/>
    <m/>
    <m/>
    <m/>
    <m/>
    <m/>
    <m/>
    <x v="35"/>
    <m/>
    <m/>
    <m/>
    <m/>
    <s v=""/>
    <m/>
    <s v="NÃO"/>
    <s v="Sem Resposta"/>
    <s v="Indicação Nikael. Mora perto. Possui uma padaria com sistema que não dá vazão"/>
    <m/>
    <m/>
    <m/>
    <m/>
    <m/>
    <m/>
    <m/>
    <m/>
    <m/>
    <m/>
    <m/>
    <m/>
    <m/>
  </r>
  <r>
    <m/>
    <s v="P0068"/>
    <s v="GUISEPPE DONATO"/>
    <x v="0"/>
    <d v="2022-02-03T00:00:00"/>
    <x v="3"/>
    <m/>
    <s v="AV AMERICAS 2552SN CA20"/>
    <s v="22640-102"/>
    <s v="RJ"/>
    <s v="RIO DE JANEIRO"/>
    <s v="BARRA DA TIJUCA"/>
    <s v="Light"/>
    <s v="B1 - Residencial"/>
    <s v="Trifásico"/>
    <n v="964.91666666666663"/>
    <n v="1424"/>
    <n v="1422"/>
    <n v="1304"/>
    <n v="1197"/>
    <n v="907"/>
    <n v="710"/>
    <n v="943"/>
    <n v="100"/>
    <n v="1351"/>
    <n v="715"/>
    <n v="622"/>
    <n v="884"/>
    <s v="Junto a Carga"/>
    <m/>
    <x v="35"/>
    <m/>
    <m/>
    <m/>
    <m/>
    <s v=""/>
    <m/>
    <s v="NÃO"/>
    <s v="Sem Resposta"/>
    <s v="Indicação Ronaldo. Redução de 1424jan/21 para 963 jan/22"/>
    <m/>
    <m/>
    <m/>
    <m/>
    <m/>
    <m/>
    <m/>
    <m/>
    <m/>
    <m/>
    <m/>
    <m/>
    <m/>
  </r>
  <r>
    <m/>
    <s v="P0069"/>
    <s v="="/>
    <x v="0"/>
    <d v="2022-02-03T00:00:00"/>
    <x v="4"/>
    <n v="21997625450"/>
    <s v="R PAULO CESAR DE ANDRADE 70 SV"/>
    <s v="22221-090"/>
    <s v="RJ"/>
    <s v="RIO DE JANEIRO"/>
    <s v="LARANJEIRAS"/>
    <s v="Light"/>
    <s v="B3 - Comercial"/>
    <s v="Trifásico"/>
    <n v="1488.25"/>
    <n v="1675"/>
    <n v="1745"/>
    <n v="1795"/>
    <n v="1507"/>
    <n v="1261"/>
    <n v="1295"/>
    <n v="1208"/>
    <n v="1199"/>
    <n v="1478"/>
    <n v="1462"/>
    <n v="1417"/>
    <n v="1817"/>
    <m/>
    <m/>
    <x v="35"/>
    <m/>
    <m/>
    <m/>
    <m/>
    <s v=""/>
    <m/>
    <s v="SIM"/>
    <s v="Sem Resposta"/>
    <s v="Marcos Almeida é o sindico. Foi indicado pelo Luiz P0015. Amigo de infância, conhece desde os 10 anos. Ideia abater o consumo do condomínio e o excedente compartilhar entre os apartamentos. EMUC"/>
    <m/>
    <m/>
    <m/>
    <m/>
    <m/>
    <m/>
    <m/>
    <m/>
    <m/>
    <m/>
    <m/>
    <m/>
    <m/>
  </r>
  <r>
    <m/>
    <s v="P0070"/>
    <s v="IRMA ARAUJO DANTAS"/>
    <x v="0"/>
    <d v="2022-03-14T00:00:00"/>
    <x v="4"/>
    <n v="21964224204"/>
    <s v="R ENG OSCAR WEINSCHENK 171 CA 1 FD"/>
    <s v="21211-780"/>
    <s v="RJ"/>
    <s v="RIO DE JANEIRO"/>
    <s v="VILA DA PENHA"/>
    <s v="Light"/>
    <s v="B1 - Residencial"/>
    <s v="Monofásico"/>
    <n v="224.75"/>
    <n v="237"/>
    <n v="333"/>
    <n v="289"/>
    <n v="307"/>
    <n v="236"/>
    <n v="187"/>
    <n v="146"/>
    <n v="151"/>
    <n v="185"/>
    <n v="177"/>
    <n v="189"/>
    <n v="260"/>
    <s v="Junto a Carga"/>
    <m/>
    <x v="26"/>
    <m/>
    <m/>
    <m/>
    <m/>
    <s v=""/>
    <m/>
    <s v="SIM"/>
    <s v="Optou por não realizar o projeto"/>
    <s v="Nome do contato WALESKA (Irma é o nome da mãe). Indicação Danielle P0027. Achou interessante mas não quis se comprometer com mais um financiamento no momento, verificar o momento atual se ainda te interesse e se quer retomar a negociação. "/>
    <m/>
    <m/>
    <m/>
    <m/>
    <m/>
    <m/>
    <m/>
    <m/>
    <m/>
    <m/>
    <m/>
    <m/>
    <m/>
  </r>
  <r>
    <m/>
    <s v="P0071"/>
    <s v="MARIA HELENA FERREIRA DA SILVA"/>
    <x v="0"/>
    <d v="2022-03-14T00:00:00"/>
    <x v="4"/>
    <n v="21999732507"/>
    <s v="R TRAIRI 229 FD"/>
    <s v="21341-360"/>
    <s v="RJ"/>
    <s v="RIO DE JANEIRO"/>
    <s v="PRACA SECA"/>
    <s v="Light"/>
    <s v="B1 - Residencial"/>
    <s v="Trifásico"/>
    <n v="2527.3333333333335"/>
    <n v="878"/>
    <n v="3809"/>
    <n v="5318"/>
    <n v="2676"/>
    <n v="2505"/>
    <n v="1669"/>
    <n v="1001"/>
    <n v="2155"/>
    <n v="2684"/>
    <n v="2317"/>
    <n v="3041"/>
    <n v="2275"/>
    <m/>
    <m/>
    <x v="36"/>
    <m/>
    <m/>
    <m/>
    <m/>
    <s v=""/>
    <m/>
    <s v="SIM"/>
    <s v="Sem Resposta"/>
    <s v="Nome do contato MILLENE. Indicação do colégio penha grabriel, feito visita técnica, enviado a proposta, ficou de analisar e não retornou. Novo contato em 18/09/23 sem resposta"/>
    <m/>
    <m/>
    <m/>
    <m/>
    <m/>
    <m/>
    <m/>
    <m/>
    <m/>
    <m/>
    <m/>
    <m/>
    <m/>
  </r>
  <r>
    <m/>
    <s v="P0072"/>
    <s v="FLAVIO BARBOSA LUZ"/>
    <x v="0"/>
    <d v="2022-03-16T00:00:00"/>
    <x v="1"/>
    <n v="21987990776"/>
    <s v="R GUAPIARA 78"/>
    <s v="20521-180"/>
    <s v="RJ"/>
    <s v="RIO DE JANEIRO"/>
    <s v="TIJUCA"/>
    <s v="Light"/>
    <s v="B1 - Residencial"/>
    <s v="Trifásico"/>
    <n v="933.25"/>
    <n v="1095"/>
    <n v="1328"/>
    <n v="1530"/>
    <n v="1031"/>
    <n v="722"/>
    <n v="743"/>
    <n v="740"/>
    <n v="638"/>
    <n v="804"/>
    <n v="747"/>
    <n v="727"/>
    <n v="1094"/>
    <m/>
    <m/>
    <x v="37"/>
    <m/>
    <m/>
    <m/>
    <m/>
    <s v=""/>
    <m/>
    <s v="SIM"/>
    <s v="Sem Resposta"/>
    <s v="Contato Eliana fabio da luz"/>
    <m/>
    <m/>
    <m/>
    <m/>
    <m/>
    <m/>
    <m/>
    <m/>
    <m/>
    <m/>
    <m/>
    <m/>
    <m/>
  </r>
  <r>
    <m/>
    <s v="P0073"/>
    <s v="DÁRIO LOUREIRO"/>
    <x v="0"/>
    <d v="2022-03-22T00:00:00"/>
    <x v="4"/>
    <n v="21997655498"/>
    <m/>
    <s v="22743-670"/>
    <s v="RJ"/>
    <s v="RIO DE JANEIRO"/>
    <s v="FREGUESIA"/>
    <s v="Light"/>
    <s v="B1 - Residencial"/>
    <s v="Trifásico"/>
    <n v="449.16666666666669"/>
    <n v="533"/>
    <n v="608"/>
    <n v="671"/>
    <n v="649"/>
    <n v="431"/>
    <n v="303"/>
    <n v="295"/>
    <n v="312"/>
    <n v="392"/>
    <n v="399"/>
    <n v="394"/>
    <n v="403"/>
    <s v="Junto a Carga"/>
    <m/>
    <x v="26"/>
    <m/>
    <m/>
    <m/>
    <m/>
    <s v=""/>
    <m/>
    <s v="NÃO"/>
    <s v="Fechou com outra empresa"/>
    <s v="Condomino pai. Motivo valor"/>
    <m/>
    <m/>
    <m/>
    <m/>
    <m/>
    <m/>
    <m/>
    <m/>
    <m/>
    <m/>
    <m/>
    <m/>
    <m/>
  </r>
  <r>
    <m/>
    <s v="P0074"/>
    <s v="CRIS ARAUJO"/>
    <x v="0"/>
    <d v="2022-03-23T00:00:00"/>
    <x v="3"/>
    <n v="21964933763"/>
    <s v="R SEN VERGUEIRO 107 AP 804"/>
    <s v="22230-000"/>
    <s v="RJ"/>
    <s v="RIO DE JANEIRO"/>
    <s v="FLAMENGO"/>
    <s v="Light"/>
    <s v="B1 - Residencial"/>
    <s v="Trifásico"/>
    <n v="565.83333333333337"/>
    <n v="620"/>
    <n v="790"/>
    <n v="620"/>
    <n v="680"/>
    <n v="500"/>
    <n v="510"/>
    <n v="430"/>
    <n v="520"/>
    <n v="520"/>
    <n v="520"/>
    <n v="560"/>
    <n v="520"/>
    <s v="Junto a Carga"/>
    <m/>
    <x v="38"/>
    <m/>
    <m/>
    <m/>
    <m/>
    <s v=""/>
    <m/>
    <s v="SIM"/>
    <s v="Sem Resposta"/>
    <s v="Indicação Victor, Celmar. Cobertura do prédio. Local com bastante sombra o que reduziria a eficiência. Estava aguardando autorização do condomínio para colocar no telhado mora em cobertura do prédio, telhado de uso comum. Nova tentativa de contato 18/09/23 sem resposta"/>
    <m/>
    <m/>
    <m/>
    <m/>
    <m/>
    <m/>
    <m/>
    <m/>
    <m/>
    <m/>
    <m/>
    <m/>
    <m/>
  </r>
  <r>
    <m/>
    <s v="P0075"/>
    <s v="LUIZ FELIPE"/>
    <x v="0"/>
    <d v="2022-03-28T00:00:00"/>
    <x v="4"/>
    <n v="21999658909"/>
    <m/>
    <m/>
    <s v="RJ"/>
    <s v="RIO DE JANEIRO"/>
    <s v="RECREIO DOS BANDEIRANTES"/>
    <s v="Light"/>
    <m/>
    <m/>
    <n v="1000"/>
    <n v="1427"/>
    <n v="1390"/>
    <n v="1150"/>
    <n v="1075"/>
    <n v="839"/>
    <n v="804"/>
    <n v="730"/>
    <n v="799"/>
    <n v="913"/>
    <n v="889"/>
    <n v="979"/>
    <n v="1005"/>
    <s v="Junto a Carga"/>
    <m/>
    <x v="36"/>
    <m/>
    <m/>
    <m/>
    <m/>
    <s v=""/>
    <m/>
    <s v="SIM"/>
    <s v="Sem Resposta"/>
    <s v="Indicado pelo Eberthe. Casa sendo construída, não tem estimativa em kWh mas tem quantiadade e medida de módulos prevista. Precisa de 16 módulos com 2,28 x 1,16m. Proposta enviada, ficou de dar uma olhada e não retornou. Novo contato em 18/09/23 sem resposta"/>
    <m/>
    <m/>
    <m/>
    <m/>
    <m/>
    <m/>
    <m/>
    <m/>
    <m/>
    <m/>
    <m/>
    <m/>
    <m/>
  </r>
  <r>
    <m/>
    <s v="P0076"/>
    <s v="MARCOS HENRIQUES"/>
    <x v="0"/>
    <d v="2022-03-29T00:00:00"/>
    <x v="4"/>
    <m/>
    <m/>
    <m/>
    <s v="RJ"/>
    <s v="RIO DE JANEIRO"/>
    <s v="ILHA DO GOVERNADOR"/>
    <s v="Light"/>
    <m/>
    <m/>
    <n v="550"/>
    <n v="785"/>
    <n v="764"/>
    <n v="632"/>
    <n v="591"/>
    <n v="462"/>
    <n v="442"/>
    <n v="401"/>
    <n v="440"/>
    <n v="502"/>
    <n v="489"/>
    <n v="539"/>
    <n v="553"/>
    <s v="Junto a Carga"/>
    <m/>
    <x v="39"/>
    <m/>
    <m/>
    <m/>
    <m/>
    <s v=""/>
    <m/>
    <s v="NÃO"/>
    <s v="Optou por não realizar o projeto"/>
    <s v="Indicação pai. Joga volei. Ia colocar na casa dele que mora a filha e o genro, mas desistiu, disse que já dava muita mordomia para eles."/>
    <m/>
    <m/>
    <m/>
    <m/>
    <m/>
    <m/>
    <m/>
    <m/>
    <m/>
    <m/>
    <m/>
    <m/>
    <m/>
  </r>
  <r>
    <m/>
    <s v="P0077"/>
    <s v="JONATAS VALLE"/>
    <x v="1"/>
    <d v="2022-03-29T00:00:00"/>
    <x v="1"/>
    <n v="21969763307"/>
    <m/>
    <m/>
    <s v="RJ"/>
    <s v="SÃO GONÇALO"/>
    <s v="MARIA PAULA"/>
    <s v="Enel"/>
    <m/>
    <m/>
    <n v="450"/>
    <n v="642"/>
    <n v="625"/>
    <n v="517"/>
    <n v="484"/>
    <n v="378"/>
    <n v="362"/>
    <n v="328"/>
    <n v="360"/>
    <n v="411"/>
    <n v="400"/>
    <n v="441"/>
    <n v="452"/>
    <s v="Junto a Carga"/>
    <m/>
    <x v="40"/>
    <n v="3.3"/>
    <n v="17000"/>
    <s v="Cerâmico"/>
    <n v="6"/>
    <n v="549.99999999999989"/>
    <m/>
    <m/>
    <m/>
    <s v="indicado pam, trabalha com ela"/>
    <m/>
    <m/>
    <m/>
    <m/>
    <m/>
    <m/>
    <m/>
    <m/>
    <m/>
    <m/>
    <m/>
    <m/>
    <m/>
  </r>
  <r>
    <m/>
    <s v="P0078"/>
    <s v="ANGELA MARIA CORREA BLANCO"/>
    <x v="0"/>
    <d v="2022-03-31T00:00:00"/>
    <x v="0"/>
    <n v="21985588449"/>
    <s v="EST CURIPOS 201"/>
    <s v="22753-330"/>
    <s v="RJ"/>
    <s v="RIO DE JANEIRO"/>
    <s v="ANIL"/>
    <s v="Light"/>
    <s v="B1 - Residencial"/>
    <s v="Trifásico"/>
    <n v="639.25"/>
    <n v="623"/>
    <n v="869"/>
    <n v="859"/>
    <n v="594"/>
    <n v="426"/>
    <n v="499"/>
    <n v="571"/>
    <n v="602"/>
    <n v="610"/>
    <n v="664"/>
    <n v="642"/>
    <n v="712"/>
    <s v="Junto a Carga"/>
    <m/>
    <x v="41"/>
    <m/>
    <m/>
    <m/>
    <m/>
    <s v=""/>
    <m/>
    <s v="NÃO"/>
    <s v="Fechou com outra empresa"/>
    <s v="Solicitado no grupo do condomínio Bosque dos Esquilos. Mora no cond. Jardim Clarisse. Deseja enviar energia para a filha também. Teve um aumento de consumo em mar/21 643 para mar/22 859, aumento de 34%. Fechou com a mesma empresa que fez para seus 2 sobrinhos."/>
    <m/>
    <m/>
    <m/>
    <m/>
    <m/>
    <m/>
    <m/>
    <m/>
    <m/>
    <m/>
    <m/>
    <m/>
    <m/>
  </r>
  <r>
    <m/>
    <s v="P0079"/>
    <s v="CONDOMINIO RESIDENCIAL PLAZA MAYOR"/>
    <x v="0"/>
    <d v="2022-04-05T00:00:00"/>
    <x v="0"/>
    <n v="21987990776"/>
    <s v="R FABIO LUZ 275 SV BL2"/>
    <s v="20720-350"/>
    <s v="RJ"/>
    <s v="RIO DE JANEIRO"/>
    <s v="MEIER"/>
    <s v="Light"/>
    <s v="B3 - Comercial"/>
    <s v="Trifásico"/>
    <n v="1560.6666666666667"/>
    <n v="1580"/>
    <n v="1580"/>
    <n v="1445"/>
    <n v="1208"/>
    <n v="1650"/>
    <n v="1852"/>
    <n v="1200"/>
    <n v="1307"/>
    <n v="1606"/>
    <n v="2520"/>
    <n v="1320"/>
    <n v="1460"/>
    <s v="Junto a Carga"/>
    <m/>
    <x v="37"/>
    <m/>
    <m/>
    <m/>
    <m/>
    <s v=""/>
    <m/>
    <s v="SIM"/>
    <s v="Sem Resposta"/>
    <s v="Condomínio Plaza, idicado pela Eliane"/>
    <m/>
    <m/>
    <m/>
    <m/>
    <m/>
    <m/>
    <m/>
    <m/>
    <m/>
    <m/>
    <m/>
    <m/>
    <m/>
  </r>
  <r>
    <m/>
    <s v="P0080"/>
    <s v="CONDOMINIO RESIDENCIAL JARDINS DA COSTA"/>
    <x v="0"/>
    <d v="2022-04-06T00:00:00"/>
    <x v="4"/>
    <n v="21988052815"/>
    <s v="ROD AMARAL PEIXOTO 15500, ED 0"/>
    <s v="24942-375"/>
    <s v="RJ"/>
    <s v="MARICÁ"/>
    <s v="JDM INOHAN"/>
    <s v="Enel"/>
    <s v="B1 - Residencial"/>
    <s v="Trifásico"/>
    <n v="2639.1666666666665"/>
    <n v="2410"/>
    <n v="2275"/>
    <n v="2866"/>
    <n v="3037"/>
    <n v="2785"/>
    <n v="2769"/>
    <n v="2646"/>
    <n v="2603"/>
    <n v="2851"/>
    <n v="2467"/>
    <n v="2563"/>
    <n v="2398"/>
    <s v="Junto a Carga"/>
    <m/>
    <x v="42"/>
    <m/>
    <m/>
    <m/>
    <m/>
    <s v=""/>
    <m/>
    <s v="NÃO"/>
    <s v="Sem Resposta"/>
    <s v="Condomínio Jardisn da Costa Inoã, idicação miguel.Consumo aumentou de 2762 mar/21 para 2866 mar/22. Aprox 4%"/>
    <m/>
    <m/>
    <m/>
    <m/>
    <m/>
    <m/>
    <m/>
    <m/>
    <m/>
    <m/>
    <m/>
    <m/>
    <m/>
  </r>
  <r>
    <m/>
    <s v="P0081"/>
    <s v="CRIS"/>
    <x v="0"/>
    <d v="2022-04-11T00:00:00"/>
    <x v="5"/>
    <n v="21982371494"/>
    <s v="Travessa Cunha Galvão 248 casa 01"/>
    <m/>
    <s v="RJ"/>
    <s v="RIO DE JANEIRO"/>
    <s v="FREGUESIA"/>
    <s v="Light"/>
    <m/>
    <m/>
    <n v="900"/>
    <n v="1284"/>
    <n v="1251"/>
    <n v="1035"/>
    <n v="967"/>
    <n v="755"/>
    <n v="724"/>
    <n v="657"/>
    <n v="719"/>
    <n v="822"/>
    <n v="800"/>
    <n v="881"/>
    <n v="905"/>
    <s v="Junto a Carga"/>
    <m/>
    <x v="42"/>
    <m/>
    <m/>
    <m/>
    <m/>
    <s v=""/>
    <m/>
    <s v="NÃO"/>
    <s v="Fechou com outra empresa"/>
    <s v="Veio pelo google"/>
    <m/>
    <m/>
    <m/>
    <m/>
    <m/>
    <m/>
    <m/>
    <m/>
    <m/>
    <m/>
    <m/>
    <m/>
    <m/>
  </r>
  <r>
    <m/>
    <s v="P0082"/>
    <s v="PRISCILA"/>
    <x v="0"/>
    <d v="2022-04-11T00:00:00"/>
    <x v="3"/>
    <n v="21973670878"/>
    <s v="R SYLVIO DA ROCHA POLLIS 300 CA 82"/>
    <s v="22793-395"/>
    <s v="RJ"/>
    <s v="RIO DE JANEIRO"/>
    <s v="BARRA DA TIJUCA"/>
    <s v="Light"/>
    <s v="B1 - Residencial"/>
    <s v="Trifásico"/>
    <n v="704"/>
    <n v="660"/>
    <n v="1035"/>
    <n v="1007"/>
    <n v="1137"/>
    <n v="635"/>
    <n v="574"/>
    <n v="417"/>
    <n v="480"/>
    <n v="661"/>
    <n v="580"/>
    <n v="570"/>
    <n v="692"/>
    <s v="Junto a Carga"/>
    <m/>
    <x v="42"/>
    <m/>
    <m/>
    <m/>
    <m/>
    <s v=""/>
    <m/>
    <s v="NÃO"/>
    <s v="Sem Resposta"/>
    <s v="Indicação vivi, mãe do caio. Quer por na casa, clube e academia"/>
    <m/>
    <m/>
    <m/>
    <m/>
    <m/>
    <m/>
    <m/>
    <m/>
    <m/>
    <m/>
    <m/>
    <m/>
    <m/>
  </r>
  <r>
    <m/>
    <s v="P0083"/>
    <s v="SEBASTIÃO CARLOS DIAS"/>
    <x v="0"/>
    <d v="2022-04-20T00:00:00"/>
    <x v="4"/>
    <n v="21974832087"/>
    <s v="TRV CEL VARGAS 00094 CS 03"/>
    <s v="24452-120"/>
    <s v="RJ"/>
    <s v="RIO DE JANEIRO"/>
    <s v="MUTONDO"/>
    <s v="Enel"/>
    <s v="B1 - Residencial"/>
    <s v="Trifásico"/>
    <n v="316.75"/>
    <n v="316"/>
    <n v="387"/>
    <n v="483"/>
    <n v="378"/>
    <n v="302"/>
    <n v="270"/>
    <n v="290"/>
    <n v="252"/>
    <n v="275"/>
    <n v="312"/>
    <n v="251"/>
    <n v="285"/>
    <s v="Junto a Carga"/>
    <m/>
    <x v="39"/>
    <m/>
    <m/>
    <m/>
    <m/>
    <s v=""/>
    <m/>
    <s v="SIM"/>
    <s v="Sem Resposta"/>
    <s v="Indicação Jonatas P0077. Aumento de Mar21 368 para Mar22 483kWh (31%). Pediu para um ocnsumo de 400 a 450kWh"/>
    <m/>
    <m/>
    <m/>
    <m/>
    <m/>
    <m/>
    <m/>
    <m/>
    <m/>
    <m/>
    <m/>
    <m/>
    <m/>
  </r>
  <r>
    <m/>
    <s v="P0084"/>
    <s v="LUIS CLAUDIO AMORIM BARRETTO"/>
    <x v="0"/>
    <d v="2022-05-12T00:00:00"/>
    <x v="4"/>
    <n v="21988831033"/>
    <s v="RUA SANTO AMARO LT 41 QD3"/>
    <s v="24340-040"/>
    <s v="RJ"/>
    <s v="Niteroí"/>
    <s v="ITAIPU"/>
    <s v="Enel"/>
    <s v="B1 - Residencial"/>
    <s v="Trifásico"/>
    <n v="554.83333333333337"/>
    <n v="778"/>
    <n v="696"/>
    <n v="795"/>
    <n v="676"/>
    <n v="574"/>
    <n v="445"/>
    <n v="431"/>
    <n v="402"/>
    <n v="425"/>
    <n v="475"/>
    <n v="454"/>
    <n v="507"/>
    <s v="Junto a Carga"/>
    <m/>
    <x v="26"/>
    <m/>
    <m/>
    <m/>
    <m/>
    <s v=""/>
    <m/>
    <s v="NÃO"/>
    <s v="Fechou com outra empresa"/>
    <s v="Indicado por Marcelo Navarro. Quer aumentar o consumo em 10% (600kWh). Aumento de 459kWh em mai/21 para 576kWh mai/22 aumento de 25,5%."/>
    <m/>
    <m/>
    <m/>
    <m/>
    <m/>
    <m/>
    <m/>
    <m/>
    <m/>
    <m/>
    <m/>
    <m/>
    <m/>
  </r>
  <r>
    <m/>
    <s v="P0085"/>
    <s v="LYRIO"/>
    <x v="0"/>
    <d v="2022-05-24T00:00:00"/>
    <x v="4"/>
    <n v="21996151558"/>
    <s v="R MARIA T AMORAL LT1 QD 1"/>
    <n v="24340190"/>
    <s v="RJ"/>
    <s v="Niteroí"/>
    <s v="ITAIPU"/>
    <s v="Enel"/>
    <s v="B1 - Residencial"/>
    <s v="Trifásico"/>
    <n v="940.83333333333337"/>
    <n v="1070"/>
    <n v="1240"/>
    <n v="1250"/>
    <n v="1340"/>
    <n v="1070"/>
    <n v="810"/>
    <n v="770"/>
    <n v="660"/>
    <n v="700"/>
    <n v="850"/>
    <n v="710"/>
    <n v="820"/>
    <s v="Junto a Carga"/>
    <m/>
    <x v="43"/>
    <m/>
    <m/>
    <m/>
    <m/>
    <s v=""/>
    <m/>
    <s v="SIM"/>
    <s v="Sem Resposta"/>
    <s v="Indicado pelo Luis Barretto do colégio penha gabriel (confirmar). Aumento de 940 em mai/21 para 1.070 em mai/22 (13,8%). Tem vontade de aumentar o consumo usando mais ar condicionado. Possui 4 ar de janela."/>
    <m/>
    <m/>
    <m/>
    <m/>
    <m/>
    <m/>
    <m/>
    <m/>
    <m/>
    <m/>
    <m/>
    <m/>
    <m/>
  </r>
  <r>
    <m/>
    <s v="P0086"/>
    <s v="AURORA DE LOURDES COSTA MONTEIRO"/>
    <x v="0"/>
    <d v="2022-06-06T00:00:00"/>
    <x v="2"/>
    <n v="21996753454"/>
    <s v="R GERALDO MARTINS OURIVIO 105"/>
    <s v="22723-340"/>
    <s v="RJ"/>
    <s v="RIO DE JANEIRO"/>
    <s v="TAQUARA"/>
    <s v="Light"/>
    <s v="B1 - Residencial"/>
    <s v="Trifásico"/>
    <n v="670.58333333333337"/>
    <n v="807"/>
    <n v="922"/>
    <n v="1162"/>
    <n v="641"/>
    <n v="834"/>
    <n v="444"/>
    <n v="467"/>
    <n v="438"/>
    <n v="590"/>
    <n v="517"/>
    <n v="542"/>
    <n v="683"/>
    <s v="Junto a Carga"/>
    <m/>
    <x v="36"/>
    <m/>
    <m/>
    <m/>
    <m/>
    <s v=""/>
    <m/>
    <s v="SIM"/>
    <s v="Sem Resposta"/>
    <s v="Viu a placa de atenção na casa do cliente Carlos P0062 - Informou que tem mais pessoas morando e com isso o consumo aumento, sendo mais fidedigno a partir de abril/22. Pelo comportamento da fatura, observamos um aumento a partir de jan/22. Mai/22 teve um aumento de 75,9% em relação Mai/21, se considerarmos um aumento de 75% para meses antes de janeiro, a média passa de 670kWh para 900kWh. Cliente pediu para considerar um consumo de 850kWh"/>
    <m/>
    <m/>
    <m/>
    <m/>
    <m/>
    <m/>
    <m/>
    <m/>
    <m/>
    <m/>
    <m/>
    <m/>
    <m/>
  </r>
  <r>
    <m/>
    <s v="P0087"/>
    <s v="LUCIA HELENA DOS REIS MAZONI ANDRADE"/>
    <x v="3"/>
    <d v="2022-07-11T00:00:00"/>
    <x v="4"/>
    <n v="21981008366"/>
    <s v="R CRUNDIUBA 370"/>
    <n v="21931500"/>
    <s v="RJ"/>
    <s v="RIO DE JANEIRO"/>
    <s v="JARDIM CARIOCA"/>
    <s v="Light"/>
    <s v="B1 - Residencial"/>
    <s v="Trifásico"/>
    <n v="503.08333333333331"/>
    <n v="533"/>
    <n v="844"/>
    <n v="696"/>
    <n v="648"/>
    <n v="508"/>
    <n v="365"/>
    <n v="343"/>
    <n v="393"/>
    <n v="463"/>
    <n v="398"/>
    <n v="375"/>
    <n v="471"/>
    <s v="Junto a Carga"/>
    <m/>
    <x v="33"/>
    <m/>
    <m/>
    <m/>
    <m/>
    <s v=""/>
    <m/>
    <m/>
    <m/>
    <s v="Indicação do cliente Mônica P0062. Tem vontate de aumentar o consumo com AC, 20% em 2 de 12mil btus e um novo de 9mil btus além de usar mais o forno elétrico."/>
    <m/>
    <m/>
    <m/>
    <m/>
    <m/>
    <m/>
    <m/>
    <m/>
    <m/>
    <m/>
    <m/>
    <m/>
    <m/>
  </r>
  <r>
    <m/>
    <s v="P0088"/>
    <s v="ADRIANO IBIAPINO"/>
    <x v="0"/>
    <d v="2022-07-18T00:00:00"/>
    <x v="1"/>
    <n v="21982328988"/>
    <s v="R PECANHA DA SILVA 379 CA 2 FD"/>
    <s v="20780-340"/>
    <s v="RJ"/>
    <s v="RIO DE JANEIRO"/>
    <s v="ENGENHO NOVO"/>
    <s v="Light"/>
    <s v="B1 - Residencial"/>
    <s v="Monofásico"/>
    <n v="392.75"/>
    <n v="468"/>
    <n v="564"/>
    <n v="558"/>
    <n v="501"/>
    <n v="361"/>
    <n v="300"/>
    <n v="245"/>
    <n v="313"/>
    <n v="314"/>
    <n v="324"/>
    <n v="321"/>
    <n v="444"/>
    <s v="Junto a Carga"/>
    <m/>
    <x v="44"/>
    <m/>
    <m/>
    <m/>
    <m/>
    <s v=""/>
    <m/>
    <s v="NÃO"/>
    <s v="Fechou com outra empresa"/>
    <s v="Indicação Átila da caixa econômica. Atenção ao fornecimento Monofásico. Teve uma redução de consumo de 293kWh em jul/21 para 245kWh em jul/22. Deseja um sistema com geração de 500kWh. Pretende passar a usar fogão de indução."/>
    <m/>
    <m/>
    <m/>
    <m/>
    <m/>
    <m/>
    <m/>
    <m/>
    <m/>
    <m/>
    <m/>
    <m/>
    <m/>
  </r>
  <r>
    <m/>
    <s v="P0089"/>
    <s v="GLAUCUS GALVÃO"/>
    <x v="1"/>
    <d v="2022-07-25T00:00:00"/>
    <x v="4"/>
    <n v="21982249821"/>
    <s v="AV DAS AMÉRICAS 1981, CASA 25"/>
    <m/>
    <s v="RJ"/>
    <s v="RIO DE JANEIRO"/>
    <m/>
    <s v="Light"/>
    <m/>
    <m/>
    <n v="1059.5833333333333"/>
    <n v="1042"/>
    <n v="602"/>
    <n v="1590"/>
    <n v="1836"/>
    <n v="1030"/>
    <n v="1238"/>
    <n v="885"/>
    <n v="633"/>
    <n v="1174"/>
    <n v="889"/>
    <n v="1060"/>
    <n v="736"/>
    <s v="Junto a Carga"/>
    <m/>
    <x v="45"/>
    <n v="9.6"/>
    <n v="40500"/>
    <s v="Concreto"/>
    <n v="16"/>
    <n v="600"/>
    <m/>
    <m/>
    <m/>
    <s v="Indicação pai. Joga volei com ele. Consumo em mai/21 1039kWh (praticamente estabilizado). 2 meses se maior consumo foi com hospedes airbnb. Trabalhar média de consumo de 1200"/>
    <m/>
    <m/>
    <m/>
    <m/>
    <m/>
    <m/>
    <m/>
    <m/>
    <m/>
    <m/>
    <m/>
    <m/>
    <m/>
  </r>
  <r>
    <m/>
    <s v="P0090"/>
    <s v="NADJA VENTIN DE SOUZA"/>
    <x v="3"/>
    <d v="2022-08-07T00:00:00"/>
    <x v="3"/>
    <n v="21994482117"/>
    <s v="EST RIO GRANDE, 4057 LT 26 QD B"/>
    <s v="22723-006"/>
    <s v="RJ"/>
    <s v="RIO DE JANEIRO"/>
    <s v="TAQUARA"/>
    <s v="Light"/>
    <s v="B1 - Residencial"/>
    <s v="Trifásico"/>
    <n v="1028.5833333333333"/>
    <n v="1107"/>
    <n v="1023"/>
    <n v="1243"/>
    <n v="932"/>
    <n v="947"/>
    <n v="902"/>
    <n v="713"/>
    <n v="1202"/>
    <n v="1202"/>
    <n v="1202"/>
    <n v="1014"/>
    <n v="856"/>
    <s v="Junto a Carga"/>
    <m/>
    <x v="33"/>
    <m/>
    <m/>
    <m/>
    <m/>
    <s v=""/>
    <m/>
    <m/>
    <m/>
    <s v="Tia Marcella Rafael"/>
    <m/>
    <m/>
    <m/>
    <m/>
    <m/>
    <m/>
    <m/>
    <m/>
    <m/>
    <m/>
    <m/>
    <m/>
    <m/>
  </r>
  <r>
    <m/>
    <s v="P0091"/>
    <s v="RUBEN ANTELO VILAR"/>
    <x v="1"/>
    <d v="2022-08-03T00:00:00"/>
    <x v="4"/>
    <n v="21988995527"/>
    <s v="R ITABAIANA 204"/>
    <s v="20561-050"/>
    <s v="RJ"/>
    <s v="RIO DE JANEIRO"/>
    <s v="GRAJAÚ"/>
    <s v="Light"/>
    <s v="B1 - Residencial"/>
    <s v="Trifásico"/>
    <n v="983.41666666666663"/>
    <n v="996"/>
    <n v="1064"/>
    <n v="937"/>
    <n v="1161"/>
    <n v="938"/>
    <n v="870"/>
    <n v="989"/>
    <n v="1016"/>
    <n v="1016"/>
    <n v="670"/>
    <n v="908"/>
    <n v="1236"/>
    <s v="Junto a Carga"/>
    <m/>
    <x v="46"/>
    <n v="11"/>
    <n v="44700"/>
    <s v="Cerâmico"/>
    <n v="20"/>
    <n v="550"/>
    <m/>
    <m/>
    <m/>
    <s v="Indicação p0062 Carlos. Cunhado do carlos. Pediu para simular com 1000kWh e depois com 1200 a 1250kWh para usar mais ar condicionado"/>
    <m/>
    <m/>
    <m/>
    <m/>
    <m/>
    <m/>
    <m/>
    <m/>
    <m/>
    <m/>
    <m/>
    <m/>
    <m/>
  </r>
  <r>
    <m/>
    <s v="P0092"/>
    <s v="CAROL GOMES"/>
    <x v="0"/>
    <d v="2022-08-08T00:00:00"/>
    <x v="0"/>
    <n v="21979044616"/>
    <m/>
    <m/>
    <s v="RJ"/>
    <s v="RIO DE JANEIRO"/>
    <m/>
    <s v="Light"/>
    <m/>
    <m/>
    <n v="1000"/>
    <n v="1427"/>
    <n v="1390"/>
    <n v="1150"/>
    <n v="1075"/>
    <n v="839"/>
    <n v="804"/>
    <n v="730"/>
    <n v="799"/>
    <n v="913"/>
    <n v="889"/>
    <n v="979"/>
    <n v="1005"/>
    <s v="Junto a Carga"/>
    <m/>
    <x v="47"/>
    <m/>
    <m/>
    <m/>
    <m/>
    <s v=""/>
    <m/>
    <s v="NÃO"/>
    <s v="Optou por não realizar o projeto"/>
    <s v="Mae carol pensa se mudar para o recreio e por na cobertura."/>
    <m/>
    <m/>
    <m/>
    <m/>
    <m/>
    <m/>
    <m/>
    <m/>
    <m/>
    <m/>
    <m/>
    <m/>
    <m/>
  </r>
  <r>
    <m/>
    <s v="P0093"/>
    <s v="SERGIO AUGUSTO TOLEDO"/>
    <x v="1"/>
    <d v="2022-08-16T00:00:00"/>
    <x v="0"/>
    <n v="21995328325"/>
    <s v="EST ITANHANGA 2222 LT 5 QD C"/>
    <s v="22753-005"/>
    <s v="RJ"/>
    <s v="RIO DE JANEIRO"/>
    <s v="ITANHANGA"/>
    <s v="Light"/>
    <s v="B1 - Residencial"/>
    <s v="Trifásico"/>
    <n v="386.66666666666669"/>
    <n v="385"/>
    <n v="408"/>
    <n v="611"/>
    <n v="388"/>
    <n v="314"/>
    <n v="310"/>
    <n v="345"/>
    <n v="361"/>
    <n v="400"/>
    <n v="376"/>
    <n v="340"/>
    <n v="402"/>
    <s v="Junto a Carga"/>
    <m/>
    <x v="48"/>
    <n v="6.6"/>
    <n v="27800"/>
    <s v="Cerâmico"/>
    <n v="12"/>
    <n v="549.99999999999989"/>
    <m/>
    <m/>
    <m/>
    <s v="Flávia do Crossfit. 429kWh em Jul/21 reduziu para 345kWh jul/22. Pretende passar para um consumo médio de 600kWh."/>
    <m/>
    <m/>
    <m/>
    <m/>
    <m/>
    <m/>
    <m/>
    <m/>
    <m/>
    <m/>
    <m/>
    <m/>
    <m/>
  </r>
  <r>
    <m/>
    <s v="P0094"/>
    <s v="MARCELLO MACHADO"/>
    <x v="0"/>
    <d v="2022-08-24T00:00:00"/>
    <x v="4"/>
    <n v="21981865461"/>
    <s v="Serra Grande - Condomínio Ubá Recanto"/>
    <m/>
    <s v="RJ"/>
    <s v="SÃO GONÇALO"/>
    <s v="SERRA GRANDE"/>
    <s v="Enel"/>
    <m/>
    <m/>
    <n v="599.5"/>
    <n v="357"/>
    <n v="441"/>
    <n v="529"/>
    <n v="528"/>
    <n v="580"/>
    <n v="813"/>
    <n v="699"/>
    <n v="706"/>
    <n v="706"/>
    <n v="706"/>
    <n v="706"/>
    <n v="423"/>
    <s v="Junto a Carga"/>
    <m/>
    <x v="36"/>
    <m/>
    <m/>
    <m/>
    <m/>
    <s v=""/>
    <m/>
    <s v="SIM"/>
    <s v="Sem Resposta"/>
    <s v="Vizinho do Jonatas p0077"/>
    <m/>
    <m/>
    <m/>
    <m/>
    <m/>
    <m/>
    <m/>
    <m/>
    <m/>
    <m/>
    <m/>
    <m/>
    <m/>
  </r>
  <r>
    <m/>
    <s v="P0095"/>
    <s v="REGINA CELIA MELO SANTANNA"/>
    <x v="1"/>
    <d v="2022-08-29T00:00:00"/>
    <x v="0"/>
    <n v="21964806434"/>
    <s v="R NS PENA 150A CA 25"/>
    <s v="22760-156"/>
    <s v="RJ"/>
    <s v="RIO DE JANEIRO"/>
    <s v="FREGUESIA"/>
    <s v="Light"/>
    <s v="B1 - Residencial"/>
    <s v="Trifásico"/>
    <n v="750.5"/>
    <n v="711"/>
    <n v="927"/>
    <n v="1120"/>
    <n v="1150"/>
    <n v="725"/>
    <n v="653"/>
    <n v="587"/>
    <n v="698"/>
    <n v="616"/>
    <n v="545"/>
    <n v="624"/>
    <n v="650"/>
    <s v="Junto a Carga"/>
    <m/>
    <x v="49"/>
    <n v="8.8000000000000007"/>
    <n v="35500"/>
    <s v="Cerâmico"/>
    <n v="16"/>
    <n v="550"/>
    <m/>
    <m/>
    <m/>
    <s v="Irmã da Patrícia da Arena Limit. Deseja aumentar o consumo com 2 aparelhos de AC de 10k e 2 de 24k no verão"/>
    <m/>
    <m/>
    <m/>
    <m/>
    <m/>
    <m/>
    <m/>
    <m/>
    <m/>
    <m/>
    <m/>
    <m/>
    <m/>
  </r>
  <r>
    <m/>
    <s v="P0096"/>
    <s v="CONDOMÍNIO GENESIS"/>
    <x v="3"/>
    <d v="2022-09-19T00:00:00"/>
    <x v="4"/>
    <n v="21983415493"/>
    <s v="EST TRES RIOS 830 BL1 SV"/>
    <n v="22745005"/>
    <s v="RJ"/>
    <s v="RIO DE JANEIRO"/>
    <s v="FREGUESIA"/>
    <s v="Light"/>
    <s v="B3 - Comercial"/>
    <s v="Trifásico"/>
    <n v="10000"/>
    <n v="14270"/>
    <n v="13895"/>
    <n v="11495"/>
    <n v="10749"/>
    <n v="8391"/>
    <n v="8042"/>
    <n v="7296"/>
    <n v="7994"/>
    <n v="9133"/>
    <n v="8891"/>
    <n v="9791"/>
    <n v="10053"/>
    <s v="Junto a Carga"/>
    <m/>
    <x v="33"/>
    <m/>
    <m/>
    <m/>
    <m/>
    <s v=""/>
    <m/>
    <m/>
    <m/>
    <s v="Condominio Helane crossfit. Previsão de aumentar o consumo. Parte de salar inutilizadas. Propor carregamento veicular"/>
    <m/>
    <m/>
    <m/>
    <m/>
    <m/>
    <m/>
    <m/>
    <m/>
    <m/>
    <m/>
    <m/>
    <m/>
    <m/>
  </r>
  <r>
    <m/>
    <s v="P0097"/>
    <s v="SERGIO MONTEIRO SALGADOS EMBALADOS"/>
    <x v="0"/>
    <d v="2022-09-29T00:00:00"/>
    <x v="6"/>
    <n v="21964085141"/>
    <s v="R ALOISIO PEREIRA DE CARVALHO 106"/>
    <s v="22785-640"/>
    <s v="RJ"/>
    <s v="RIO DE JANEIRO"/>
    <s v="RECREIO DOS BANDEIRANTES"/>
    <s v="Light"/>
    <s v="B3 - Comercial"/>
    <s v="Trifásico"/>
    <n v="3606"/>
    <n v="3204"/>
    <n v="3550"/>
    <n v="4230"/>
    <n v="3664"/>
    <n v="3619"/>
    <n v="3630"/>
    <n v="3413"/>
    <n v="3305"/>
    <n v="3207"/>
    <n v="3614"/>
    <n v="3630"/>
    <n v="4206"/>
    <s v="Junto a Carga"/>
    <m/>
    <x v="50"/>
    <m/>
    <m/>
    <m/>
    <m/>
    <s v=""/>
    <m/>
    <s v="SIM"/>
    <s v="Sem Resposta"/>
    <s v="Cliente Engelink. Possou duas faturas locais diferentes. Consumo diminui de 3.729 em set/21 para 3.207 em set/22"/>
    <m/>
    <m/>
    <m/>
    <m/>
    <m/>
    <m/>
    <m/>
    <m/>
    <m/>
    <m/>
    <m/>
    <m/>
    <m/>
  </r>
  <r>
    <m/>
    <s v="P0098"/>
    <s v="SERGIO ANTONIO MONTEIRO"/>
    <x v="0"/>
    <d v="2022-09-29T00:00:00"/>
    <x v="6"/>
    <n v="21964085141"/>
    <s v="R MANHUACU 275B"/>
    <s v="22785-600"/>
    <s v="RJ"/>
    <s v="RIO DE JANEIRO"/>
    <s v="VARGEM GRANDE"/>
    <s v="Light"/>
    <s v="B1 - Residencial"/>
    <s v="Trifásico"/>
    <n v="12844.916666666666"/>
    <n v="9449"/>
    <n v="12687"/>
    <n v="12268"/>
    <n v="11606"/>
    <n v="11858"/>
    <n v="14526"/>
    <n v="13715"/>
    <n v="15842"/>
    <n v="20937"/>
    <n v="10577"/>
    <n v="10143"/>
    <n v="10531"/>
    <s v="Junto a Carga"/>
    <m/>
    <x v="50"/>
    <m/>
    <m/>
    <m/>
    <m/>
    <s v=""/>
    <m/>
    <s v="SIM"/>
    <s v="Outros"/>
    <s v="Cliente Engelink. Possou duas faturas locais diferentes. Consumo dobrou de 10.800 em set/21 para 20.937 em set/22"/>
    <m/>
    <m/>
    <m/>
    <m/>
    <m/>
    <m/>
    <m/>
    <m/>
    <m/>
    <m/>
    <m/>
    <m/>
    <m/>
  </r>
  <r>
    <m/>
    <s v="P0099"/>
    <s v="SILVIO CESAR NUNES"/>
    <x v="0"/>
    <d v="2022-09-29T00:00:00"/>
    <x v="6"/>
    <n v="21976159687"/>
    <s v="Rua Francisco Neiva"/>
    <s v="20785-490"/>
    <s v="RJ"/>
    <s v="RIO DE JANEIRO"/>
    <s v="MARIA DA GRAÇA"/>
    <s v="Light"/>
    <m/>
    <m/>
    <n v="900"/>
    <n v="1284"/>
    <n v="1251"/>
    <n v="1035"/>
    <n v="967"/>
    <n v="755"/>
    <n v="724"/>
    <n v="657"/>
    <n v="719"/>
    <n v="822"/>
    <n v="800"/>
    <n v="881"/>
    <n v="905"/>
    <s v="Junto a Carga"/>
    <m/>
    <x v="36"/>
    <m/>
    <m/>
    <m/>
    <m/>
    <s v=""/>
    <m/>
    <s v="NÃO"/>
    <s v="Fechou com outra empresa"/>
    <s v="Cliente Engelink. Aparentemente possui um buffet. Chegou pedindo para geração de 600kWh e inversor de 6k"/>
    <m/>
    <m/>
    <m/>
    <m/>
    <m/>
    <m/>
    <m/>
    <m/>
    <m/>
    <m/>
    <m/>
    <m/>
    <m/>
  </r>
  <r>
    <m/>
    <s v="P0100"/>
    <s v="CONDOMÍNIO BARRA VILLAGE"/>
    <x v="0"/>
    <d v="2022-09-28T00:00:00"/>
    <x v="4"/>
    <n v="21967189815"/>
    <s v="Av. Cėsar Morani Comendador, 500"/>
    <n v="22790705"/>
    <s v="RJ"/>
    <s v="RIO DE JANEIRO"/>
    <s v="RECREIO DOS BANDEIRANTES"/>
    <s v="Light"/>
    <s v="B1 - Residencial"/>
    <s v="Trifásico"/>
    <n v="26500"/>
    <n v="23600"/>
    <n v="30600"/>
    <n v="36400"/>
    <n v="28000"/>
    <n v="25800"/>
    <n v="21000"/>
    <n v="24000"/>
    <n v="26200"/>
    <n v="29600"/>
    <n v="28200"/>
    <n v="22800"/>
    <n v="21800"/>
    <s v="Junto a Carga"/>
    <m/>
    <x v="51"/>
    <m/>
    <m/>
    <m/>
    <m/>
    <s v=""/>
    <m/>
    <s v="NÃO"/>
    <s v="Fechou com outra empresa"/>
    <s v="Condomínio Eberthe. Possui 2 medidores, 1 com uso comum com média de 26,5k e outro para quadras com média 900"/>
    <m/>
    <m/>
    <m/>
    <m/>
    <m/>
    <m/>
    <m/>
    <m/>
    <m/>
    <m/>
    <m/>
    <m/>
    <m/>
  </r>
  <r>
    <m/>
    <s v="P0101"/>
    <s v="JOSÉ ARAUJO"/>
    <x v="0"/>
    <d v="2022-10-11T00:00:00"/>
    <x v="1"/>
    <n v="21974429433"/>
    <s v="AV ENG SOUZA FILHO 1207 CA 38H"/>
    <n v="22753053"/>
    <s v="RJ"/>
    <s v="RIO DE JANEIRO"/>
    <s v="ITANHANGA"/>
    <s v="Light"/>
    <s v="B1 - Residencial"/>
    <s v="Trifásico"/>
    <n v="351.91666666666669"/>
    <n v="410"/>
    <n v="352"/>
    <n v="595"/>
    <n v="472"/>
    <n v="357"/>
    <n v="322"/>
    <n v="297"/>
    <n v="301"/>
    <n v="244"/>
    <n v="266"/>
    <n v="241"/>
    <n v="366"/>
    <s v="Junto a Carga"/>
    <m/>
    <x v="44"/>
    <m/>
    <m/>
    <m/>
    <m/>
    <s v=""/>
    <m/>
    <s v="SIM"/>
    <s v="Sem Resposta"/>
    <s v="Indicação Veras Crossfit. Está fazendo cotação com outras empresas. Consumo reduziu de 275 set/21 para 244 set/22."/>
    <m/>
    <m/>
    <m/>
    <m/>
    <m/>
    <m/>
    <m/>
    <m/>
    <m/>
    <m/>
    <m/>
    <m/>
    <m/>
  </r>
  <r>
    <m/>
    <s v="P0102"/>
    <s v="LEANDRO CRIVANO"/>
    <x v="3"/>
    <d v="2022-10-15T00:00:00"/>
    <x v="0"/>
    <n v="21972732206"/>
    <s v="R 133 L19 Q192 P LAG P NEGRA 0 LT 19 QD"/>
    <s v="24900-001"/>
    <s v="RJ"/>
    <s v="MARICÁ"/>
    <s v="PR. LAGOAS-PN"/>
    <s v="Enel"/>
    <s v="B1 - Residencial"/>
    <s v="Trifásico"/>
    <n v="273.16666666666669"/>
    <n v="333"/>
    <n v="303"/>
    <n v="297"/>
    <n v="343"/>
    <n v="283"/>
    <n v="241"/>
    <n v="243"/>
    <n v="251"/>
    <n v="274"/>
    <n v="265"/>
    <n v="256"/>
    <n v="189"/>
    <s v="Junto a Carga"/>
    <m/>
    <x v="33"/>
    <m/>
    <m/>
    <m/>
    <m/>
    <s v=""/>
    <m/>
    <m/>
    <m/>
    <s v="Crivano família. Quer consumo entre 600 e 700 kWh e simulação com inversor híbrido"/>
    <m/>
    <m/>
    <m/>
    <m/>
    <m/>
    <m/>
    <m/>
    <m/>
    <m/>
    <m/>
    <m/>
    <m/>
    <m/>
  </r>
  <r>
    <m/>
    <s v="P0103"/>
    <s v="MANUEL JOSE SARAIVA ALVES"/>
    <x v="1"/>
    <d v="2022-10-31T00:00:00"/>
    <x v="4"/>
    <n v="21964564095"/>
    <s v="AV INDUSTRIARIO 219"/>
    <n v="22740090"/>
    <s v="RJ"/>
    <s v="RIO DE JANEIRO"/>
    <s v="TAQUARA"/>
    <s v="Light"/>
    <s v="B1 - Residencial"/>
    <s v="Trifásico"/>
    <n v="691.66666666666663"/>
    <n v="770"/>
    <n v="940"/>
    <n v="910"/>
    <n v="1000"/>
    <n v="780"/>
    <n v="590"/>
    <n v="400"/>
    <n v="540"/>
    <n v="580"/>
    <n v="490"/>
    <n v="500"/>
    <n v="800"/>
    <s v="Junto a Carga"/>
    <m/>
    <x v="52"/>
    <n v="4.4000000000000004"/>
    <n v="20300"/>
    <s v="Cerâmico"/>
    <n v="8"/>
    <n v="550"/>
    <m/>
    <m/>
    <m/>
    <s v="Indicação do Carlos P0062.Consumo reduziu de 740 em out/21 para 490 em out/22. Consumo atipico de 1000 em abr/22"/>
    <m/>
    <m/>
    <m/>
    <m/>
    <m/>
    <m/>
    <m/>
    <m/>
    <m/>
    <m/>
    <m/>
    <m/>
    <m/>
  </r>
  <r>
    <m/>
    <s v="P0104"/>
    <s v="EDUARDO CESAR SANTOS DA CUNHA"/>
    <x v="0"/>
    <d v="2022-11-04T00:00:00"/>
    <x v="3"/>
    <n v="21999150845"/>
    <s v="R JOR HENRIQUE CORDEIRO 350 BL 1 AP 2203"/>
    <n v="22631450"/>
    <s v="RJ"/>
    <s v="RIO DE JANEIRO"/>
    <s v="BARRA DA TIJUCA"/>
    <s v="Light"/>
    <s v="B1 - Residencial"/>
    <s v="Trifásico"/>
    <n v="675.41666666666663"/>
    <n v="853"/>
    <n v="748"/>
    <n v="987"/>
    <n v="683"/>
    <n v="618"/>
    <n v="577"/>
    <n v="520"/>
    <n v="576"/>
    <n v="572"/>
    <n v="529"/>
    <n v="664"/>
    <n v="778"/>
    <s v="Junto a Carga"/>
    <m/>
    <x v="51"/>
    <m/>
    <m/>
    <m/>
    <m/>
    <s v=""/>
    <m/>
    <s v="SIM"/>
    <s v="Sem Resposta"/>
    <s v="Indicação Iranilson Alves, combinado 5% do equipamento (verificar impacto). Cliente apartamento, cobertura, possui telhado que fará reforço e limite de espaço e sombra. Cabem 8 paineis."/>
    <m/>
    <m/>
    <m/>
    <m/>
    <m/>
    <m/>
    <m/>
    <m/>
    <m/>
    <m/>
    <m/>
    <m/>
    <m/>
  </r>
  <r>
    <m/>
    <s v="P0105"/>
    <s v="PAULO VITOR FERREIRA ROSCIO"/>
    <x v="0"/>
    <d v="2022-11-23T00:00:00"/>
    <x v="4"/>
    <n v="21981199143"/>
    <s v="R BRISA DO MAR 220"/>
    <s v="22793-430"/>
    <s v="RJ"/>
    <s v="RIO DE JANEIRO"/>
    <s v="BARRA DA TIJUCA"/>
    <s v="Light"/>
    <s v="B1 - Residencial"/>
    <s v="Trifásico"/>
    <n v="1318.4166666666667"/>
    <n v="1287"/>
    <n v="1588"/>
    <n v="1579"/>
    <n v="1441"/>
    <n v="1369"/>
    <n v="1165"/>
    <n v="1142"/>
    <n v="1294"/>
    <n v="1125"/>
    <n v="1285"/>
    <n v="1247"/>
    <n v="1299"/>
    <s v="Junto a Carga"/>
    <m/>
    <x v="53"/>
    <m/>
    <m/>
    <m/>
    <m/>
    <s v=""/>
    <m/>
    <s v="SIM"/>
    <s v="Optou por não realizar o projeto"/>
    <s v="Indicação do Luiz terra P0015 (primo nadja). Fatura passou de 1047 nov/21 para 1247 nov/22"/>
    <m/>
    <m/>
    <m/>
    <m/>
    <m/>
    <m/>
    <m/>
    <m/>
    <m/>
    <m/>
    <m/>
    <m/>
    <m/>
  </r>
  <r>
    <m/>
    <s v="P0106"/>
    <s v="JOACHIM MANUEL WALLY"/>
    <x v="1"/>
    <d v="2022-11-28T00:00:00"/>
    <x v="3"/>
    <n v="21999110106"/>
    <s v="R BR TORRE 85 AP 402"/>
    <s v="22411-001"/>
    <s v="RJ"/>
    <s v="RIO DE JANEIRO"/>
    <s v="IPANEMA"/>
    <s v="Light"/>
    <s v="B1 - Residencial"/>
    <s v="Trifásico"/>
    <n v="900"/>
    <n v="1284"/>
    <n v="1251"/>
    <n v="1035"/>
    <n v="967"/>
    <n v="755"/>
    <n v="724"/>
    <n v="657"/>
    <n v="719"/>
    <n v="822"/>
    <n v="800"/>
    <n v="881"/>
    <n v="905"/>
    <s v="Junto a Carga"/>
    <m/>
    <x v="54"/>
    <n v="10.199999999999999"/>
    <n v="44030"/>
    <s v="Outro"/>
    <n v="17"/>
    <n v="600"/>
    <m/>
    <m/>
    <m/>
    <s v="Indicação do Pedro. Australiano vai alugar airbnb. Pensou em fazer layout específico para receber o sistema como toldo para sul"/>
    <m/>
    <m/>
    <m/>
    <m/>
    <m/>
    <m/>
    <m/>
    <m/>
    <m/>
    <m/>
    <m/>
    <m/>
    <m/>
  </r>
  <r>
    <m/>
    <s v="P0107"/>
    <s v="REGINALDO MARTINS"/>
    <x v="1"/>
    <d v="2022-11-30T00:00:00"/>
    <x v="4"/>
    <n v="21964746100"/>
    <s v="R ERNANI DE FREITAS 209 CA 1"/>
    <s v="22743-370"/>
    <s v="RJ"/>
    <s v="RIO DE JANEIRO"/>
    <s v="FREGUESIA"/>
    <s v="Light"/>
    <s v="B1 - Residencial"/>
    <s v="Trifásico"/>
    <n v="350"/>
    <n v="500"/>
    <n v="486"/>
    <n v="430"/>
    <n v="376"/>
    <n v="300"/>
    <n v="281"/>
    <n v="266"/>
    <n v="279"/>
    <n v="227"/>
    <n v="265"/>
    <n v="290"/>
    <n v="500"/>
    <s v="Junto a Carga"/>
    <m/>
    <x v="55"/>
    <n v="3.3"/>
    <n v="17300"/>
    <s v="Concreto"/>
    <n v="6"/>
    <n v="549.99999999999989"/>
    <m/>
    <m/>
    <m/>
    <s v="Amigo pai, fez os móveis da cozinha. Fatura enviada possuia apenas os meses de jun a nov/22, estimativa dos outros meses para consumo de 350kWh/mês. Pretende adicionar um AC 9l btu escitório e outra na sana de 24k btu."/>
    <m/>
    <m/>
    <m/>
    <m/>
    <m/>
    <m/>
    <m/>
    <m/>
    <m/>
    <m/>
    <m/>
    <m/>
    <m/>
  </r>
  <r>
    <m/>
    <s v="P0108"/>
    <s v="RAFAEL LESSA TELLES"/>
    <x v="1"/>
    <d v="2022-11-30T00:00:00"/>
    <x v="4"/>
    <n v="21970215060"/>
    <s v="R ERNANI DE FREITAS 233 CA 2"/>
    <s v="22743-370"/>
    <s v="RJ"/>
    <s v="RIO DE JANEIRO"/>
    <s v="FREGUESIA"/>
    <s v="Light"/>
    <s v="B1 - Residencial"/>
    <s v="Trifásico"/>
    <n v="751.25"/>
    <n v="848"/>
    <n v="800"/>
    <n v="813"/>
    <n v="891"/>
    <n v="820"/>
    <n v="613"/>
    <n v="651"/>
    <n v="716"/>
    <n v="646"/>
    <n v="642"/>
    <n v="796"/>
    <n v="779"/>
    <s v="Junto a Carga"/>
    <m/>
    <x v="56"/>
    <n v="8.25"/>
    <n v="34800"/>
    <s v="Concreto"/>
    <n v="15"/>
    <n v="550"/>
    <m/>
    <m/>
    <m/>
    <s v="Genro do Reginaldo, P0107, pretende aumentar o consumo, adicionar um AC de 24k btu na sala, uso de 10h, 8d/mês verão (considerar 5 meses)"/>
    <m/>
    <m/>
    <m/>
    <m/>
    <m/>
    <m/>
    <m/>
    <m/>
    <m/>
    <m/>
    <m/>
    <m/>
    <m/>
  </r>
  <r>
    <m/>
    <s v="P0109"/>
    <s v="ALINE RIBEIRO DA SILVA"/>
    <x v="1"/>
    <d v="2022-12-05T00:00:00"/>
    <x v="4"/>
    <n v="21969170036"/>
    <s v="R ERNANI DE FREITAS 209 CA 2"/>
    <s v="22743-370"/>
    <s v="RJ"/>
    <s v="RIO DE JANEIRO"/>
    <s v="FREGUESIA"/>
    <s v="Light"/>
    <s v="B1 - Residencial"/>
    <s v="Trifásico"/>
    <n v="500.16666666666669"/>
    <n v="713"/>
    <n v="695"/>
    <n v="575"/>
    <n v="537"/>
    <n v="420"/>
    <n v="402"/>
    <n v="365"/>
    <n v="400"/>
    <n v="457"/>
    <n v="445"/>
    <n v="490"/>
    <n v="503"/>
    <s v="Junto a Carga"/>
    <m/>
    <x v="55"/>
    <n v="4.4000000000000004"/>
    <n v="20000"/>
    <s v="Concreto"/>
    <n v="8"/>
    <n v="550"/>
    <m/>
    <m/>
    <m/>
    <s v="Filho e vizinho do P0107 - Reinaldo. Contato esposa. Passou orçamento da SolarOn, não passou fatura. Basear no tamanho do sistema do orçamento e verificar se a geração se assemelha. Consumo estimado."/>
    <m/>
    <m/>
    <m/>
    <m/>
    <m/>
    <m/>
    <m/>
    <m/>
    <m/>
    <m/>
    <m/>
    <m/>
    <m/>
  </r>
  <r>
    <m/>
    <s v="P0110"/>
    <s v="MARCO AURELIO DE OLIVEIRA CORDEIRO"/>
    <x v="0"/>
    <d v="2022-12-07T00:00:00"/>
    <x v="0"/>
    <n v="21997127822"/>
    <s v="R JOSE PEIXOTO 72"/>
    <s v="25520-430"/>
    <s v="RJ"/>
    <s v="SÃO JOÃO DE MERITI"/>
    <s v="ENGENHEIRO BELFORD"/>
    <s v="Light"/>
    <s v="B1 - Residencial"/>
    <s v="Trifásico"/>
    <n v="853.58333333333337"/>
    <n v="789"/>
    <n v="822"/>
    <n v="911"/>
    <n v="1005"/>
    <n v="1003"/>
    <n v="720"/>
    <n v="768"/>
    <n v="784"/>
    <n v="725"/>
    <n v="755"/>
    <n v="901"/>
    <n v="1060"/>
    <s v="Junto a Carga"/>
    <m/>
    <x v="57"/>
    <m/>
    <m/>
    <m/>
    <m/>
    <s v=""/>
    <m/>
    <s v="SIM"/>
    <s v="Sem Resposta"/>
    <s v="Indicação da P0095 - Regina."/>
    <m/>
    <m/>
    <m/>
    <m/>
    <m/>
    <m/>
    <m/>
    <m/>
    <m/>
    <m/>
    <m/>
    <m/>
    <m/>
  </r>
  <r>
    <m/>
    <s v="P0111"/>
    <s v="BRUNO SATURNINO"/>
    <x v="0"/>
    <d v="2023-01-31T00:00:00"/>
    <x v="3"/>
    <n v="24999755990"/>
    <s v="Rua pico do papagaio, 205"/>
    <m/>
    <s v="RJ"/>
    <s v="RIO DE JANEIRO"/>
    <s v="TAQUARA"/>
    <s v="Light"/>
    <s v="B1 - Residencial"/>
    <s v="Bifásico"/>
    <n v="1000"/>
    <n v="1427"/>
    <n v="1390"/>
    <n v="1150"/>
    <n v="1075"/>
    <n v="839"/>
    <n v="804"/>
    <n v="730"/>
    <n v="799"/>
    <n v="913"/>
    <n v="889"/>
    <n v="979"/>
    <n v="1005"/>
    <s v="Junto a Carga"/>
    <m/>
    <x v="23"/>
    <m/>
    <m/>
    <m/>
    <m/>
    <s v=""/>
    <m/>
    <s v="SIM"/>
    <s v="Sem Resposta"/>
    <s v="Indicação da Danielle arquiteta A1 (P0027). Casa nova sem histórico de consumo. Pediu para um consumo de 1.000kWh média. Possui outras propostas quer preço. "/>
    <m/>
    <m/>
    <m/>
    <m/>
    <m/>
    <m/>
    <m/>
    <m/>
    <m/>
    <m/>
    <m/>
    <m/>
    <m/>
  </r>
  <r>
    <m/>
    <s v="P0112"/>
    <s v="MARTA LIMA VALLE"/>
    <x v="0"/>
    <d v="2023-02-27T00:00:00"/>
    <x v="4"/>
    <n v="21993459886"/>
    <s v="M DEODORO 256A301 256"/>
    <s v="24000-001"/>
    <s v="RJ"/>
    <s v="Niteroí"/>
    <s v="CENTRO"/>
    <s v="Enel"/>
    <s v="B1 - Residencial"/>
    <s v="Trifásico"/>
    <n v="1397.5"/>
    <n v="2580"/>
    <n v="2710"/>
    <n v="1000"/>
    <n v="900"/>
    <n v="800"/>
    <n v="730"/>
    <n v="710"/>
    <n v="775"/>
    <n v="870"/>
    <n v="1585"/>
    <n v="1760"/>
    <n v="2350"/>
    <s v="Junto a Carga"/>
    <m/>
    <x v="23"/>
    <m/>
    <m/>
    <m/>
    <m/>
    <s v=""/>
    <m/>
    <s v="NÃO"/>
    <s v="Sem Resposta"/>
    <s v="Irmã do P0077 Jonathas. Simulação para EMUC"/>
    <m/>
    <m/>
    <m/>
    <m/>
    <m/>
    <m/>
    <m/>
    <m/>
    <m/>
    <m/>
    <m/>
    <m/>
    <m/>
  </r>
  <r>
    <m/>
    <s v="P0113"/>
    <s v="GLAUCO FIGUEIREDO"/>
    <x v="2"/>
    <d v="2023-03-06T00:00:00"/>
    <x v="4"/>
    <n v="21999565644"/>
    <s v="R ERNANI DE FREITAS"/>
    <s v="22743-370"/>
    <s v="RJ"/>
    <s v="RIO DE JANEIRO"/>
    <s v="FREGUESIA"/>
    <s v="Light"/>
    <m/>
    <m/>
    <n v="702.16666666666663"/>
    <n v="999"/>
    <n v="973"/>
    <n v="805"/>
    <n v="752"/>
    <n v="587"/>
    <n v="504"/>
    <n v="511"/>
    <n v="560"/>
    <n v="588"/>
    <n v="622"/>
    <n v="685"/>
    <n v="840"/>
    <s v="Junto a Carga"/>
    <m/>
    <x v="33"/>
    <m/>
    <m/>
    <m/>
    <m/>
    <s v=""/>
    <m/>
    <m/>
    <m/>
    <s v="Vizinho e indicação do Rafael P0108. Casa em obra, mora com mulher e filha (3 pessoas) e quer aumentar o consumo. Disse que o consumo fica em torno de 400kWh chegando a 600 no verão e pediu um consumo de 1000 no verão. Não apresentou fatura"/>
    <m/>
    <m/>
    <m/>
    <m/>
    <m/>
    <m/>
    <m/>
    <m/>
    <m/>
    <m/>
    <m/>
    <m/>
    <m/>
  </r>
  <r>
    <m/>
    <s v="P0114"/>
    <s v="MARIANNA AFONSO COSTA"/>
    <x v="4"/>
    <d v="2023-03-13T00:00:00"/>
    <x v="4"/>
    <n v="24999114607"/>
    <s v="R NS PENA 150A CA 27"/>
    <s v="22760-156"/>
    <s v="RJ"/>
    <s v="RIO DE JANEIRO"/>
    <s v="FREGUESIA"/>
    <s v="Light"/>
    <s v="B1 - Residencial"/>
    <s v="Trifásico"/>
    <n v="441.83333333333331"/>
    <n v="648"/>
    <n v="621"/>
    <n v="564"/>
    <n v="532"/>
    <n v="329"/>
    <n v="292"/>
    <n v="274"/>
    <n v="298"/>
    <n v="378"/>
    <n v="394"/>
    <n v="432"/>
    <n v="540"/>
    <s v="Junto a Carga"/>
    <s v="RESIDENCIAL"/>
    <x v="33"/>
    <m/>
    <m/>
    <m/>
    <m/>
    <s v=""/>
    <m/>
    <m/>
    <m/>
    <s v="Vizinha da P0095, se mudou em outubro, não tem histórico de consumo mas acredita que no ultimo mês (mar23) tenha estabilizado"/>
    <m/>
    <m/>
    <m/>
    <m/>
    <m/>
    <m/>
    <m/>
    <m/>
    <m/>
    <m/>
    <m/>
    <m/>
    <m/>
  </r>
  <r>
    <m/>
    <s v="P0115"/>
    <s v="CONDOMINIO HIGH"/>
    <x v="5"/>
    <d v="2023-03-14T00:00:00"/>
    <x v="4"/>
    <n v="21998664401"/>
    <s v="TRAVESSA TEODOMIRO PEREIRA"/>
    <m/>
    <s v="RJ"/>
    <s v="RIO DE JANEIRO"/>
    <s v="FREGUESIA"/>
    <s v="Light"/>
    <m/>
    <s v="Trifásico"/>
    <n v="7021.833333333333"/>
    <n v="9989"/>
    <n v="9727"/>
    <n v="8047"/>
    <n v="7524"/>
    <n v="5874"/>
    <n v="5040"/>
    <n v="5107"/>
    <n v="5596"/>
    <n v="5880"/>
    <n v="6224"/>
    <n v="6854"/>
    <n v="8400"/>
    <m/>
    <m/>
    <x v="33"/>
    <m/>
    <m/>
    <m/>
    <m/>
    <s v=""/>
    <m/>
    <m/>
    <m/>
    <s v="Condominio na freguesia, indicação do Thomas p0045. Contato Ricardo. Vai assumir como sindico."/>
    <m/>
    <m/>
    <m/>
    <m/>
    <m/>
    <m/>
    <m/>
    <m/>
    <m/>
    <m/>
    <m/>
    <m/>
    <m/>
  </r>
  <r>
    <m/>
    <s v="P0116"/>
    <s v="MAURO CID LOPES FLORIDO FERREIRA"/>
    <x v="3"/>
    <d v="2023-04-17T00:00:00"/>
    <x v="3"/>
    <n v="21988437444"/>
    <s v="RUA NERVAL GOLVEIA, 121"/>
    <m/>
    <s v="RJ"/>
    <s v="RIO DE JANEIRO"/>
    <s v="QUINTINO"/>
    <s v="Light"/>
    <m/>
    <m/>
    <n v="8024.833333333333"/>
    <n v="11416"/>
    <n v="11116"/>
    <n v="9196"/>
    <n v="8599"/>
    <n v="6713"/>
    <n v="5760"/>
    <n v="5837"/>
    <n v="6395"/>
    <n v="6720"/>
    <n v="7113"/>
    <n v="7833"/>
    <n v="9600"/>
    <s v="Junto a Carga"/>
    <m/>
    <x v="33"/>
    <m/>
    <m/>
    <m/>
    <m/>
    <s v=""/>
    <m/>
    <m/>
    <m/>
    <s v="Indicação Antonio estágio. (Pai). Possui 27 unidades distribuídas em dois terrenos com inquilinos."/>
    <m/>
    <m/>
    <m/>
    <m/>
    <m/>
    <m/>
    <m/>
    <m/>
    <m/>
    <m/>
    <m/>
    <m/>
    <m/>
  </r>
  <r>
    <m/>
    <s v="P0117"/>
    <s v="ANDRÉA MESQUITA RIBEIRO"/>
    <x v="1"/>
    <d v="2023-04-25T00:00:00"/>
    <x v="1"/>
    <n v="21976663767"/>
    <s v="Rua Luiz Orlando Cardoso 685 casa 2"/>
    <s v="22793-323"/>
    <s v="RJ"/>
    <s v="RIO DE JANEIRO"/>
    <s v="BARRA DA TIJUCA"/>
    <s v="Light"/>
    <s v="B1 - Residencial"/>
    <s v="Trifásico"/>
    <n v="1500"/>
    <n v="2140"/>
    <n v="2084"/>
    <n v="1724"/>
    <n v="1612"/>
    <n v="1240"/>
    <n v="1060"/>
    <n v="1084"/>
    <n v="1199"/>
    <n v="1254"/>
    <n v="1334"/>
    <n v="1469"/>
    <n v="1800"/>
    <s v="Junto a Carga"/>
    <m/>
    <x v="58"/>
    <n v="14.3"/>
    <n v="46000"/>
    <s v="Concreto"/>
    <n v="26"/>
    <n v="550"/>
    <m/>
    <m/>
    <m/>
    <s v="Pai do dinho"/>
    <m/>
    <m/>
    <m/>
    <m/>
    <m/>
    <m/>
    <m/>
    <m/>
    <m/>
    <m/>
    <m/>
    <m/>
    <m/>
  </r>
  <r>
    <m/>
    <s v="P0118"/>
    <s v="CLAUDIO LIMA"/>
    <x v="0"/>
    <d v="2023-05-05T00:00:00"/>
    <x v="4"/>
    <n v="21964772927"/>
    <m/>
    <m/>
    <s v="RJ"/>
    <s v="GUAPIMIRIM"/>
    <s v="PARADA MODELO"/>
    <s v="Enel"/>
    <s v="B1 - Residencial"/>
    <m/>
    <n v="601.83333333333337"/>
    <n v="856"/>
    <n v="834"/>
    <n v="690"/>
    <n v="645"/>
    <n v="503"/>
    <n v="432"/>
    <n v="438"/>
    <n v="480"/>
    <n v="504"/>
    <n v="533"/>
    <n v="587"/>
    <n v="720"/>
    <m/>
    <m/>
    <x v="57"/>
    <m/>
    <m/>
    <m/>
    <m/>
    <s v=""/>
    <m/>
    <s v="NÃO"/>
    <s v="Fechou com outra empresa"/>
    <s v="Indicação de P0044 (Evanildo). Fechou com outra empresa por preço"/>
    <m/>
    <m/>
    <m/>
    <m/>
    <m/>
    <m/>
    <m/>
    <m/>
    <m/>
    <m/>
    <m/>
    <m/>
    <m/>
  </r>
  <r>
    <m/>
    <s v="P0119"/>
    <s v="EDUARDO C DE SOUZA"/>
    <x v="1"/>
    <d v="2023-05-15T00:00:00"/>
    <x v="4"/>
    <n v="21997775371"/>
    <s v="Rua N"/>
    <n v="24924495"/>
    <s v="RJ"/>
    <s v="MARICÁ"/>
    <s v="JACONÉ"/>
    <s v="Enel"/>
    <m/>
    <m/>
    <n v="418"/>
    <n v="452"/>
    <n v="525"/>
    <n v="564"/>
    <n v="433"/>
    <n v="333"/>
    <n v="361"/>
    <n v="326"/>
    <n v="352"/>
    <n v="375"/>
    <n v="386"/>
    <n v="452"/>
    <n v="457"/>
    <s v="Junto a Carga"/>
    <m/>
    <x v="33"/>
    <m/>
    <m/>
    <m/>
    <m/>
    <s v=""/>
    <m/>
    <m/>
    <m/>
    <s v="Indicação de P0044 (Evanildo). Consumo subiu de 412 abr22 para 433 abr23 5%. Pediu para consumo de 500kWh médio"/>
    <m/>
    <m/>
    <m/>
    <m/>
    <m/>
    <m/>
    <m/>
    <m/>
    <m/>
    <m/>
    <m/>
    <m/>
    <m/>
  </r>
  <r>
    <m/>
    <s v="P0120"/>
    <s v="EMMANUEL MURTINHO"/>
    <x v="3"/>
    <d v="2023-06-15T00:00:00"/>
    <x v="6"/>
    <n v="21999190909"/>
    <s v="Travessa Ourives, 101"/>
    <s v="24322-510"/>
    <s v="RJ"/>
    <s v="Niteroí"/>
    <s v="MURIQUI"/>
    <s v="Enel"/>
    <s v="B1 - Residencial"/>
    <s v="Trifásico"/>
    <n v="377"/>
    <n v="198"/>
    <n v="400"/>
    <n v="437"/>
    <n v="464"/>
    <n v="482"/>
    <n v="442"/>
    <n v="352"/>
    <n v="398"/>
    <n v="332"/>
    <n v="419"/>
    <n v="218"/>
    <n v="382"/>
    <m/>
    <m/>
    <x v="59"/>
    <m/>
    <m/>
    <m/>
    <m/>
    <s v=""/>
    <m/>
    <m/>
    <m/>
    <s v="Veio pelo Engelink. Disse ter interesse mas vai fazer para começo do 2024"/>
    <m/>
    <m/>
    <m/>
    <m/>
    <m/>
    <m/>
    <m/>
    <m/>
    <m/>
    <m/>
    <m/>
    <m/>
    <m/>
  </r>
  <r>
    <m/>
    <s v="P0121"/>
    <s v="FABIANO MENDONÇA"/>
    <x v="2"/>
    <d v="2023-07-25T00:00:00"/>
    <x v="7"/>
    <n v="27998445859"/>
    <s v="Rua Mario Soares Pereira, 50"/>
    <s v="22640-220"/>
    <s v="RJ"/>
    <s v="RIO DE JANEIRO"/>
    <s v="BARRA DA TIJUCA"/>
    <s v="Light"/>
    <s v="B1 - Residencial"/>
    <s v="Trifásico"/>
    <n v="5694.5"/>
    <m/>
    <m/>
    <n v="6678"/>
    <n v="4711"/>
    <m/>
    <m/>
    <m/>
    <m/>
    <m/>
    <m/>
    <m/>
    <m/>
    <m/>
    <s v="RESIDENCIAL"/>
    <x v="33"/>
    <m/>
    <m/>
    <m/>
    <m/>
    <m/>
    <m/>
    <m/>
    <m/>
    <s v="Cliente veio através do Instagram, enviou a conta de luz logo no início, mas parou de responder logo nas primeiras mensagens."/>
    <m/>
    <m/>
    <m/>
    <m/>
    <m/>
    <m/>
    <m/>
    <m/>
    <m/>
    <m/>
    <m/>
    <m/>
    <m/>
  </r>
  <r>
    <m/>
    <s v="P0122"/>
    <s v="ROBERTO RAMOS MONTEIRO JUNIOR"/>
    <x v="3"/>
    <d v="2023-08-01T00:00:00"/>
    <x v="4"/>
    <n v="21995409911"/>
    <s v="Rua Erlon Chaves, 166"/>
    <s v="22743-790"/>
    <s v="RJ"/>
    <s v="RIO DE JANEIRO"/>
    <s v="FREGUESIA"/>
    <s v="Light"/>
    <s v="B1 - Residencial"/>
    <s v="Trifásico"/>
    <n v="500"/>
    <n v="720"/>
    <n v="690"/>
    <n v="576"/>
    <n v="534"/>
    <n v="420"/>
    <n v="360"/>
    <n v="360"/>
    <n v="402"/>
    <n v="420"/>
    <n v="438"/>
    <n v="480"/>
    <n v="600"/>
    <s v="Junto a Carga"/>
    <s v="RESIDENCIAL"/>
    <x v="60"/>
    <m/>
    <m/>
    <m/>
    <m/>
    <s v=""/>
    <m/>
    <m/>
    <m/>
    <s v="Indicação do cliente Marcos Martins. Quer um equipamento para residência com gasto mensal de 500,00. Não está interessado em aquecimento banho e piscina (já possui painel para aquecimento de água e aquecedor a gás). Acha interessante um sistema maior para usar o ar condicionado. Possui 2 aparelhos de ar condicionado FUJTSU INVERTER de 12000 e 9000 BTUs; usa somente no verão e para dormir, cerca de 8h por dia. Trocaria o fogão a gás pelo fogão de indução. Disse que por questão financeira não irá conseguir realizar agora"/>
    <m/>
    <m/>
    <m/>
    <m/>
    <m/>
    <m/>
    <m/>
    <m/>
    <m/>
    <m/>
    <m/>
    <m/>
    <m/>
  </r>
  <r>
    <m/>
    <s v="P0123"/>
    <s v="CRISTINE OLIVEIRA"/>
    <x v="0"/>
    <d v="2023-08-11T00:00:00"/>
    <x v="7"/>
    <n v="21993495472"/>
    <s v="Rua ivatuva lote 6 qd 86"/>
    <m/>
    <s v="RJ"/>
    <m/>
    <m/>
    <m/>
    <m/>
    <m/>
    <s v=""/>
    <m/>
    <m/>
    <m/>
    <m/>
    <m/>
    <m/>
    <m/>
    <m/>
    <m/>
    <m/>
    <m/>
    <m/>
    <m/>
    <m/>
    <x v="61"/>
    <m/>
    <m/>
    <m/>
    <m/>
    <s v=""/>
    <m/>
    <s v="SIM"/>
    <s v="Sem Resposta"/>
    <s v="Não respondeu nenhuma tentativa de contato."/>
    <m/>
    <m/>
    <m/>
    <m/>
    <m/>
    <m/>
    <m/>
    <m/>
    <m/>
    <m/>
    <m/>
    <m/>
    <m/>
  </r>
  <r>
    <m/>
    <s v="P0124"/>
    <s v="JOAO LUIZ BARBOSA MACHADO"/>
    <x v="0"/>
    <d v="2023-08-10T00:00:00"/>
    <x v="7"/>
    <n v="21995078738"/>
    <s v="Estrada Henrique de Melo, 844, Casa 14 - Bento Ribeiro"/>
    <m/>
    <s v="RJ"/>
    <m/>
    <m/>
    <m/>
    <m/>
    <m/>
    <s v=""/>
    <m/>
    <m/>
    <m/>
    <m/>
    <m/>
    <m/>
    <m/>
    <m/>
    <m/>
    <m/>
    <m/>
    <m/>
    <m/>
    <m/>
    <x v="61"/>
    <m/>
    <m/>
    <m/>
    <m/>
    <s v=""/>
    <m/>
    <s v="SIM"/>
    <s v="Sem Resposta"/>
    <s v="Não respondeu nenhuma tentativa de contato."/>
    <m/>
    <m/>
    <m/>
    <m/>
    <m/>
    <m/>
    <m/>
    <m/>
    <m/>
    <m/>
    <m/>
    <m/>
    <m/>
  </r>
  <r>
    <m/>
    <s v="P0125"/>
    <s v="GREYCE OLIVEIRA"/>
    <x v="0"/>
    <d v="2023-08-09T00:00:00"/>
    <x v="7"/>
    <n v="21990628564"/>
    <m/>
    <m/>
    <s v="RJ"/>
    <m/>
    <m/>
    <m/>
    <m/>
    <m/>
    <s v=""/>
    <m/>
    <m/>
    <m/>
    <m/>
    <m/>
    <m/>
    <m/>
    <m/>
    <m/>
    <m/>
    <m/>
    <m/>
    <m/>
    <m/>
    <x v="61"/>
    <m/>
    <m/>
    <m/>
    <m/>
    <s v=""/>
    <m/>
    <s v="SIM"/>
    <s v="Sem Resposta"/>
    <s v="Não respondeu nenhuma tentativa de contato."/>
    <m/>
    <m/>
    <m/>
    <m/>
    <m/>
    <m/>
    <m/>
    <m/>
    <m/>
    <m/>
    <m/>
    <m/>
    <m/>
  </r>
  <r>
    <m/>
    <s v="P0126"/>
    <s v="PEDRO RAMALHO"/>
    <x v="0"/>
    <d v="2023-08-07T00:00:00"/>
    <x v="7"/>
    <n v="21983841512"/>
    <m/>
    <m/>
    <s v="RJ"/>
    <m/>
    <m/>
    <m/>
    <m/>
    <m/>
    <s v=""/>
    <m/>
    <m/>
    <m/>
    <m/>
    <m/>
    <m/>
    <m/>
    <m/>
    <m/>
    <m/>
    <m/>
    <m/>
    <m/>
    <m/>
    <x v="61"/>
    <m/>
    <m/>
    <m/>
    <m/>
    <s v=""/>
    <m/>
    <s v="SIM"/>
    <s v="Sem Resposta"/>
    <s v="Não respondeu nenhuma tentativa de contato."/>
    <m/>
    <m/>
    <m/>
    <m/>
    <m/>
    <m/>
    <m/>
    <m/>
    <m/>
    <m/>
    <m/>
    <m/>
    <m/>
  </r>
  <r>
    <m/>
    <s v="P0127"/>
    <s v="LINDIARA ARRUDA"/>
    <x v="0"/>
    <d v="2023-08-13T00:00:00"/>
    <x v="7"/>
    <n v="21991035717"/>
    <m/>
    <m/>
    <s v="RJ"/>
    <m/>
    <m/>
    <m/>
    <m/>
    <m/>
    <m/>
    <m/>
    <m/>
    <m/>
    <m/>
    <m/>
    <m/>
    <m/>
    <m/>
    <m/>
    <m/>
    <m/>
    <m/>
    <m/>
    <m/>
    <x v="61"/>
    <m/>
    <m/>
    <m/>
    <m/>
    <s v=""/>
    <m/>
    <s v="SIM"/>
    <s v="Sem Resposta"/>
    <s v="Não respondeu nenhuma tentativa de contato."/>
    <m/>
    <m/>
    <m/>
    <m/>
    <m/>
    <m/>
    <m/>
    <m/>
    <m/>
    <m/>
    <m/>
    <m/>
    <m/>
  </r>
  <r>
    <m/>
    <s v="P0128"/>
    <s v="FERNANDA JESUS BARRETO"/>
    <x v="0"/>
    <d v="2023-08-13T00:00:00"/>
    <x v="7"/>
    <n v="75982627900"/>
    <m/>
    <m/>
    <s v="RJ"/>
    <m/>
    <m/>
    <m/>
    <m/>
    <m/>
    <m/>
    <m/>
    <m/>
    <m/>
    <m/>
    <m/>
    <m/>
    <m/>
    <m/>
    <m/>
    <m/>
    <m/>
    <m/>
    <m/>
    <m/>
    <x v="61"/>
    <m/>
    <m/>
    <m/>
    <m/>
    <s v=""/>
    <m/>
    <s v="SIM"/>
    <s v="Sem Resposta"/>
    <s v="Não respondeu nenhuma tentativa de contato."/>
    <m/>
    <m/>
    <m/>
    <m/>
    <m/>
    <m/>
    <m/>
    <m/>
    <m/>
    <m/>
    <m/>
    <m/>
    <m/>
  </r>
  <r>
    <m/>
    <s v="P0129"/>
    <s v="CRISTIANO DE MORAES"/>
    <x v="0"/>
    <d v="2023-08-15T00:00:00"/>
    <x v="7"/>
    <n v="21965909552"/>
    <m/>
    <m/>
    <s v="RJ"/>
    <m/>
    <m/>
    <m/>
    <m/>
    <m/>
    <s v=""/>
    <m/>
    <m/>
    <m/>
    <m/>
    <m/>
    <m/>
    <m/>
    <m/>
    <m/>
    <m/>
    <m/>
    <m/>
    <m/>
    <m/>
    <x v="61"/>
    <m/>
    <m/>
    <m/>
    <m/>
    <s v=""/>
    <m/>
    <s v="SIM"/>
    <s v="Sem Resposta"/>
    <s v="Respondeu as primeiras mensagens, parou de retornar depois de perguntado sobre o consumo, se tinha ar-condicionados em casa e se já usava quando queria."/>
    <m/>
    <m/>
    <m/>
    <m/>
    <m/>
    <m/>
    <m/>
    <m/>
    <m/>
    <m/>
    <m/>
    <m/>
    <m/>
  </r>
  <r>
    <m/>
    <s v="P0130"/>
    <s v="CATARINA ABREU "/>
    <x v="0"/>
    <d v="2023-08-15T00:00:00"/>
    <x v="6"/>
    <n v="21986931514"/>
    <m/>
    <m/>
    <s v="RJ"/>
    <m/>
    <m/>
    <m/>
    <m/>
    <m/>
    <s v=""/>
    <m/>
    <m/>
    <m/>
    <m/>
    <m/>
    <m/>
    <m/>
    <m/>
    <m/>
    <m/>
    <m/>
    <m/>
    <m/>
    <m/>
    <x v="61"/>
    <m/>
    <m/>
    <m/>
    <m/>
    <s v=""/>
    <m/>
    <s v="SIM"/>
    <s v="Sem Resposta"/>
    <s v="Cliente veio através de cotação no Engelink, mas não respondeu nenhuma tentativa de contato."/>
    <m/>
    <m/>
    <m/>
    <m/>
    <m/>
    <m/>
    <m/>
    <m/>
    <m/>
    <m/>
    <m/>
    <m/>
    <m/>
  </r>
  <r>
    <m/>
    <s v="P0131"/>
    <s v="VERA FERREIRA"/>
    <x v="0"/>
    <d v="2023-08-15T00:00:00"/>
    <x v="7"/>
    <n v="21980409896"/>
    <m/>
    <m/>
    <s v="RJ"/>
    <m/>
    <m/>
    <m/>
    <m/>
    <m/>
    <s v=""/>
    <m/>
    <m/>
    <m/>
    <m/>
    <m/>
    <m/>
    <m/>
    <m/>
    <m/>
    <m/>
    <m/>
    <m/>
    <m/>
    <m/>
    <x v="61"/>
    <m/>
    <m/>
    <m/>
    <m/>
    <s v=""/>
    <m/>
    <s v="SIM"/>
    <s v="Outros"/>
    <s v="Cliente chegou interessada no preço, veio atarvés do Facebook. Gostaria de utilizar seus 2 ar-condicionados de 12000 BTUs e freezer sem medo da conta de luz. Parou de responder e deu como motivo dinheiro"/>
    <m/>
    <m/>
    <m/>
    <m/>
    <m/>
    <m/>
    <m/>
    <m/>
    <m/>
    <m/>
    <m/>
    <m/>
    <m/>
  </r>
  <r>
    <m/>
    <s v="P0132"/>
    <s v="CÉLIA HONORATO"/>
    <x v="0"/>
    <d v="2023-08-15T00:00:00"/>
    <x v="7"/>
    <n v="21991157214"/>
    <m/>
    <m/>
    <s v="RJ"/>
    <m/>
    <m/>
    <m/>
    <m/>
    <m/>
    <s v=""/>
    <m/>
    <m/>
    <m/>
    <m/>
    <m/>
    <m/>
    <m/>
    <m/>
    <m/>
    <m/>
    <m/>
    <m/>
    <m/>
    <m/>
    <x v="62"/>
    <m/>
    <m/>
    <m/>
    <m/>
    <s v=""/>
    <m/>
    <s v="SIM"/>
    <s v="Sem Resposta"/>
    <s v="Não respondeu nenhuma tentativa de contato."/>
    <m/>
    <m/>
    <m/>
    <m/>
    <m/>
    <m/>
    <m/>
    <m/>
    <m/>
    <m/>
    <m/>
    <m/>
    <m/>
  </r>
  <r>
    <m/>
    <s v="P0133"/>
    <s v="ADILSON PEREIRA DA SILVA"/>
    <x v="0"/>
    <d v="2023-08-16T00:00:00"/>
    <x v="7"/>
    <n v="21971316979"/>
    <m/>
    <m/>
    <s v="RJ"/>
    <m/>
    <m/>
    <m/>
    <m/>
    <m/>
    <s v=""/>
    <m/>
    <m/>
    <m/>
    <m/>
    <m/>
    <m/>
    <m/>
    <m/>
    <m/>
    <m/>
    <m/>
    <m/>
    <m/>
    <m/>
    <x v="61"/>
    <m/>
    <m/>
    <m/>
    <m/>
    <s v=""/>
    <m/>
    <s v="SIM"/>
    <s v="Outros"/>
    <s v="Não respondeu as primeiras mensagens, só respondeu quando perguntado qual seria o motivo para não dar continuidade no atendimento, que segundo o cliente seria motivo financeiro."/>
    <m/>
    <m/>
    <m/>
    <m/>
    <m/>
    <m/>
    <m/>
    <m/>
    <m/>
    <m/>
    <m/>
    <m/>
    <m/>
  </r>
  <r>
    <m/>
    <s v="P0134"/>
    <s v="VINICIUS BORGES"/>
    <x v="0"/>
    <d v="2023-08-16T00:00:00"/>
    <x v="7"/>
    <n v="21998920443"/>
    <m/>
    <m/>
    <s v="RJ"/>
    <m/>
    <m/>
    <m/>
    <m/>
    <m/>
    <s v=""/>
    <m/>
    <m/>
    <m/>
    <m/>
    <m/>
    <m/>
    <m/>
    <m/>
    <m/>
    <m/>
    <m/>
    <m/>
    <m/>
    <m/>
    <x v="62"/>
    <m/>
    <m/>
    <m/>
    <m/>
    <s v=""/>
    <m/>
    <s v="SIM"/>
    <s v="Sem Resposta"/>
    <s v="Não respondeu nenhuma tentativa de contato."/>
    <m/>
    <m/>
    <m/>
    <m/>
    <m/>
    <m/>
    <m/>
    <m/>
    <m/>
    <m/>
    <m/>
    <m/>
    <m/>
  </r>
  <r>
    <m/>
    <s v="P0135"/>
    <s v="ELAINE MARTINS"/>
    <x v="0"/>
    <d v="2023-08-16T00:00:00"/>
    <x v="7"/>
    <n v="21965572905"/>
    <m/>
    <m/>
    <s v="RJ"/>
    <m/>
    <m/>
    <m/>
    <m/>
    <m/>
    <s v=""/>
    <m/>
    <m/>
    <m/>
    <m/>
    <m/>
    <m/>
    <m/>
    <m/>
    <m/>
    <m/>
    <m/>
    <m/>
    <m/>
    <m/>
    <x v="62"/>
    <m/>
    <m/>
    <m/>
    <m/>
    <s v=""/>
    <m/>
    <s v="SIM"/>
    <s v="Sem Resposta"/>
    <s v="Não respondeu nenhuma tentativa de contato."/>
    <m/>
    <m/>
    <m/>
    <m/>
    <m/>
    <m/>
    <m/>
    <m/>
    <m/>
    <m/>
    <m/>
    <m/>
    <m/>
  </r>
  <r>
    <m/>
    <s v="P0136"/>
    <s v="ANA PAULA MARINHO"/>
    <x v="0"/>
    <d v="2023-08-17T00:00:00"/>
    <x v="7"/>
    <n v="21966407842"/>
    <m/>
    <m/>
    <s v="RJ"/>
    <m/>
    <m/>
    <m/>
    <m/>
    <m/>
    <s v=""/>
    <m/>
    <m/>
    <m/>
    <m/>
    <m/>
    <m/>
    <m/>
    <m/>
    <m/>
    <m/>
    <m/>
    <m/>
    <m/>
    <m/>
    <x v="62"/>
    <m/>
    <m/>
    <m/>
    <m/>
    <s v=""/>
    <m/>
    <s v="SIM"/>
    <s v="Sem Resposta"/>
    <s v="Respondeu as primeiras mensagens, mas após pedir a parte do histórico de consumo na conta de luz parou de responder."/>
    <m/>
    <m/>
    <m/>
    <m/>
    <m/>
    <m/>
    <m/>
    <m/>
    <m/>
    <m/>
    <m/>
    <m/>
    <m/>
  </r>
  <r>
    <m/>
    <s v="P0137"/>
    <s v="CARLOS AUGUSTO V FERREIRA"/>
    <x v="0"/>
    <d v="2023-08-17T00:00:00"/>
    <x v="7"/>
    <m/>
    <m/>
    <m/>
    <s v="RJ"/>
    <m/>
    <m/>
    <m/>
    <m/>
    <m/>
    <s v=""/>
    <m/>
    <m/>
    <m/>
    <m/>
    <m/>
    <m/>
    <m/>
    <m/>
    <m/>
    <m/>
    <m/>
    <m/>
    <m/>
    <m/>
    <x v="61"/>
    <m/>
    <m/>
    <m/>
    <m/>
    <s v=""/>
    <m/>
    <s v="NÃO"/>
    <s v="Sem Resposta"/>
    <s v="Primeiro contato realizado via mensagem do Facebook, pois o cliente digitou o número errado ou algo do tipo ao preencher o formulário."/>
    <m/>
    <m/>
    <m/>
    <m/>
    <m/>
    <m/>
    <m/>
    <m/>
    <m/>
    <m/>
    <m/>
    <m/>
    <m/>
  </r>
  <r>
    <m/>
    <s v="P0138"/>
    <s v="ANA GRACY"/>
    <x v="0"/>
    <d v="2023-08-15T00:00:00"/>
    <x v="7"/>
    <n v="21981292811"/>
    <m/>
    <m/>
    <s v="RJ"/>
    <m/>
    <m/>
    <m/>
    <m/>
    <m/>
    <s v=""/>
    <m/>
    <m/>
    <m/>
    <m/>
    <m/>
    <m/>
    <m/>
    <m/>
    <m/>
    <m/>
    <m/>
    <m/>
    <m/>
    <m/>
    <x v="63"/>
    <m/>
    <m/>
    <m/>
    <m/>
    <s v=""/>
    <m/>
    <s v="SIM"/>
    <s v="Falta de Interesse"/>
    <s v="Lead veio através do Facebook, preencheu formulário com interesse em economizar na conta de luz, mas no primeiro contato disse que não tinha interesse em continuar com o orçamento."/>
    <m/>
    <m/>
    <m/>
    <m/>
    <m/>
    <m/>
    <m/>
    <m/>
    <m/>
    <m/>
    <m/>
    <m/>
    <m/>
  </r>
  <r>
    <m/>
    <s v="P0139"/>
    <s v="RAUL PEREIRA"/>
    <x v="0"/>
    <d v="2023-08-21T00:00:00"/>
    <x v="7"/>
    <n v="21999948800"/>
    <m/>
    <m/>
    <m/>
    <m/>
    <m/>
    <m/>
    <m/>
    <m/>
    <s v=""/>
    <m/>
    <m/>
    <m/>
    <m/>
    <m/>
    <m/>
    <m/>
    <m/>
    <m/>
    <m/>
    <m/>
    <m/>
    <m/>
    <m/>
    <x v="61"/>
    <m/>
    <m/>
    <m/>
    <m/>
    <s v=""/>
    <m/>
    <s v="SIM"/>
    <s v="Optou por não realizar o projeto"/>
    <s v="Não respondeu as primeiras mensagens e após dois follow ups falou que não queria dar continuidade ao atendimento no momento."/>
    <m/>
    <m/>
    <m/>
    <m/>
    <m/>
    <m/>
    <m/>
    <m/>
    <m/>
    <m/>
    <m/>
    <m/>
    <m/>
  </r>
  <r>
    <m/>
    <s v="P0140"/>
    <s v="ANTONIO BASILE"/>
    <x v="0"/>
    <d v="2023-08-21T00:00:00"/>
    <x v="7"/>
    <n v="21986370876"/>
    <m/>
    <m/>
    <m/>
    <m/>
    <m/>
    <m/>
    <m/>
    <m/>
    <s v=""/>
    <m/>
    <m/>
    <m/>
    <m/>
    <m/>
    <m/>
    <m/>
    <m/>
    <m/>
    <m/>
    <m/>
    <m/>
    <m/>
    <m/>
    <x v="64"/>
    <m/>
    <m/>
    <m/>
    <m/>
    <s v=""/>
    <m/>
    <s v="NÃO"/>
    <s v="Falta de Interesse"/>
    <s v="Lead disse que queria fazer um orçamento &quot;simples&quot;, mas parou de responder logo no início. Queria só saber preço, não deu continuidade"/>
    <m/>
    <m/>
    <m/>
    <m/>
    <m/>
    <m/>
    <m/>
    <m/>
    <m/>
    <m/>
    <m/>
    <m/>
    <m/>
  </r>
  <r>
    <m/>
    <s v="P0141"/>
    <s v="LUPERCIO"/>
    <x v="0"/>
    <d v="2023-08-21T00:00:00"/>
    <x v="7"/>
    <n v="21971615948"/>
    <m/>
    <m/>
    <m/>
    <m/>
    <m/>
    <m/>
    <m/>
    <m/>
    <s v=""/>
    <m/>
    <m/>
    <m/>
    <m/>
    <m/>
    <m/>
    <m/>
    <m/>
    <m/>
    <m/>
    <m/>
    <m/>
    <m/>
    <m/>
    <x v="65"/>
    <m/>
    <m/>
    <m/>
    <m/>
    <s v=""/>
    <m/>
    <s v="NÃO"/>
    <s v="Mismatch"/>
    <s v="Queria offgrid"/>
    <m/>
    <m/>
    <m/>
    <m/>
    <m/>
    <m/>
    <m/>
    <m/>
    <m/>
    <m/>
    <m/>
    <m/>
    <m/>
  </r>
  <r>
    <m/>
    <s v="P0142"/>
    <s v="SÉRGIO PEDRO"/>
    <x v="0"/>
    <d v="2023-08-21T00:00:00"/>
    <x v="7"/>
    <n v="21964117178"/>
    <m/>
    <m/>
    <m/>
    <m/>
    <m/>
    <m/>
    <m/>
    <m/>
    <s v=""/>
    <m/>
    <m/>
    <m/>
    <m/>
    <m/>
    <m/>
    <m/>
    <m/>
    <m/>
    <m/>
    <m/>
    <m/>
    <m/>
    <m/>
    <x v="61"/>
    <m/>
    <m/>
    <m/>
    <m/>
    <s v=""/>
    <m/>
    <s v="NÃO"/>
    <s v="Mismatch"/>
    <s v="Disse que estava interessado em energia solar sem a compra de equipamentos e após dizer que trabalhamos com a compra de equipamento disse que não queria continuar o atendimento."/>
    <m/>
    <m/>
    <m/>
    <m/>
    <m/>
    <m/>
    <m/>
    <m/>
    <m/>
    <m/>
    <m/>
    <m/>
    <m/>
  </r>
  <r>
    <m/>
    <s v="P0143"/>
    <s v="EVERILDA MIRANDA"/>
    <x v="3"/>
    <d v="2023-08-22T00:00:00"/>
    <x v="7"/>
    <n v="21968327276"/>
    <m/>
    <m/>
    <m/>
    <m/>
    <m/>
    <m/>
    <m/>
    <m/>
    <s v=""/>
    <m/>
    <m/>
    <m/>
    <m/>
    <m/>
    <m/>
    <m/>
    <m/>
    <m/>
    <m/>
    <m/>
    <m/>
    <m/>
    <m/>
    <x v="66"/>
    <m/>
    <m/>
    <m/>
    <m/>
    <s v=""/>
    <m/>
    <m/>
    <m/>
    <s v="Cliente disse que estava de férias e após retornar ao trabalho iria entrar em contato. Pausou por estar com uma pessoa doente na familia"/>
    <m/>
    <m/>
    <m/>
    <m/>
    <m/>
    <m/>
    <m/>
    <m/>
    <m/>
    <m/>
    <m/>
    <m/>
    <m/>
  </r>
  <r>
    <m/>
    <s v="P0144"/>
    <s v="ADRIANO VIAL"/>
    <x v="2"/>
    <d v="2023-08-24T00:00:00"/>
    <x v="7"/>
    <n v="21966273546"/>
    <m/>
    <m/>
    <s v="RJ"/>
    <s v="MAGÉ"/>
    <m/>
    <s v="Enel"/>
    <m/>
    <m/>
    <n v="450"/>
    <n v="648"/>
    <n v="621"/>
    <n v="518"/>
    <n v="481"/>
    <n v="378"/>
    <n v="324"/>
    <n v="324"/>
    <n v="362"/>
    <n v="378"/>
    <n v="394"/>
    <n v="432"/>
    <n v="540"/>
    <m/>
    <m/>
    <x v="33"/>
    <m/>
    <m/>
    <m/>
    <m/>
    <s v=""/>
    <m/>
    <m/>
    <m/>
    <s v="Cliente veio através do anúncio no Instagram. Já usa o ar condicionado quando quer, acredita que o consumo atual já é o suficiente. Disse que seu consumo médio é de 450kW e paga em média 500 reais de conta de luz. Importante lembrar do custo de deslocamento para instalação e visita técnica devido a distância até Magé. Futuramente tem interesse em carregamento para carro elétrico, pois irá mudar para veículo híbrido no próximo ano."/>
    <m/>
    <m/>
    <m/>
    <m/>
    <m/>
    <m/>
    <m/>
    <m/>
    <m/>
    <m/>
    <m/>
    <m/>
    <m/>
  </r>
  <r>
    <m/>
    <s v="P0145"/>
    <s v="PRISCILLA MARINHO"/>
    <x v="2"/>
    <d v="2023-08-25T00:00:00"/>
    <x v="8"/>
    <n v="21994912686"/>
    <s v="Rua Professor Santos Moreira 100 CA 13 LT 7"/>
    <n v="22783121"/>
    <s v="RJ"/>
    <s v="RIO DE JANEIRO"/>
    <s v="VARGEM PEQUENA"/>
    <s v="Light"/>
    <s v="B1 - Residencial"/>
    <s v="Trifásico"/>
    <n v="644.33333333333337"/>
    <n v="588"/>
    <n v="551"/>
    <n v="618"/>
    <n v="739"/>
    <n v="687"/>
    <n v="647"/>
    <n v="738"/>
    <n v="766"/>
    <n v="590"/>
    <n v="626"/>
    <n v="554"/>
    <n v="628"/>
    <m/>
    <s v="RESIDENCIAL"/>
    <x v="33"/>
    <m/>
    <m/>
    <m/>
    <m/>
    <s v=""/>
    <m/>
    <m/>
    <m/>
    <s v="Cliente veio através do Solutudo. Pediu dois orçamentos, os dois pensando em um sistema maior, pois irá aumentar o uso do ar-condicionado. Nos dois orçamentos ela tem interesse no aquecimento banho, mas quer um orçamento com aquecimento piscina e o outro sem aquecimento piscina. Sobre os ar-condicionados: são 3 aparelhos, não sabe os BTUs, mas falou para considerar como se fosse 12000, vai usar só no verão, com um pouco mais de horas (falou para considerar 10h por dia). Não tem interesse em outros equipamentos que também poderiam aumentar o consumo. "/>
    <m/>
    <m/>
    <m/>
    <m/>
    <m/>
    <m/>
    <m/>
    <m/>
    <m/>
    <m/>
    <m/>
    <m/>
    <m/>
  </r>
  <r>
    <m/>
    <s v="P0146"/>
    <s v="CÉLIA"/>
    <x v="6"/>
    <d v="2023-08-23T00:00:00"/>
    <x v="7"/>
    <n v="21985261004"/>
    <m/>
    <m/>
    <m/>
    <m/>
    <m/>
    <m/>
    <m/>
    <m/>
    <s v=""/>
    <m/>
    <m/>
    <m/>
    <m/>
    <m/>
    <m/>
    <m/>
    <m/>
    <m/>
    <m/>
    <m/>
    <m/>
    <m/>
    <m/>
    <x v="33"/>
    <m/>
    <m/>
    <m/>
    <m/>
    <s v=""/>
    <m/>
    <m/>
    <m/>
    <m/>
    <m/>
    <m/>
    <m/>
    <m/>
    <m/>
    <m/>
    <m/>
    <m/>
    <m/>
    <m/>
    <m/>
    <m/>
    <m/>
  </r>
  <r>
    <m/>
    <s v="P0147"/>
    <s v="FÁBIO GOULART"/>
    <x v="0"/>
    <d v="2023-08-23T00:00:00"/>
    <x v="7"/>
    <n v="24988257791"/>
    <m/>
    <m/>
    <m/>
    <m/>
    <m/>
    <m/>
    <m/>
    <m/>
    <s v=""/>
    <m/>
    <m/>
    <m/>
    <m/>
    <m/>
    <m/>
    <m/>
    <m/>
    <m/>
    <m/>
    <m/>
    <m/>
    <m/>
    <m/>
    <x v="67"/>
    <m/>
    <m/>
    <m/>
    <m/>
    <s v=""/>
    <m/>
    <s v="SIM"/>
    <s v="Sem Resposta"/>
    <s v="Lead disse que veio através de pesquisa no Google, mas não respondeu nenhuma tentativa de contato."/>
    <m/>
    <m/>
    <m/>
    <m/>
    <m/>
    <m/>
    <m/>
    <m/>
    <m/>
    <m/>
    <m/>
    <m/>
    <m/>
  </r>
  <r>
    <m/>
    <s v="P0148"/>
    <s v="VANDA"/>
    <x v="0"/>
    <d v="2023-08-25T00:00:00"/>
    <x v="7"/>
    <n v="21964347696"/>
    <m/>
    <m/>
    <m/>
    <m/>
    <m/>
    <m/>
    <m/>
    <m/>
    <s v=""/>
    <m/>
    <m/>
    <m/>
    <m/>
    <m/>
    <m/>
    <m/>
    <m/>
    <m/>
    <m/>
    <m/>
    <m/>
    <m/>
    <m/>
    <x v="67"/>
    <m/>
    <m/>
    <m/>
    <m/>
    <s v=""/>
    <m/>
    <s v="SIM"/>
    <s v="Sem Resposta"/>
    <s v="não respondeu as mensagens"/>
    <m/>
    <m/>
    <m/>
    <m/>
    <m/>
    <m/>
    <m/>
    <m/>
    <m/>
    <m/>
    <m/>
    <m/>
    <m/>
  </r>
  <r>
    <m/>
    <s v="P0149"/>
    <s v="ELIEZER NEVES"/>
    <x v="0"/>
    <d v="2023-08-28T00:00:00"/>
    <x v="7"/>
    <n v="21981721300"/>
    <m/>
    <m/>
    <m/>
    <m/>
    <m/>
    <m/>
    <m/>
    <m/>
    <s v=""/>
    <m/>
    <m/>
    <m/>
    <m/>
    <m/>
    <m/>
    <m/>
    <m/>
    <m/>
    <m/>
    <m/>
    <m/>
    <m/>
    <m/>
    <x v="68"/>
    <m/>
    <m/>
    <m/>
    <m/>
    <s v=""/>
    <m/>
    <s v="SIM"/>
    <s v="Sem Resposta"/>
    <s v="Lead seguiu só com o fotovoltaico, possui 4 ar-condicionados sendo 2 de 12000 BTUs e 2 de 18000 BTUs e 2 geladeiras (sendo esses equipamentos o maior consumo dele). Disse que seria interessante pensar em um sistema um pouco maior para que pudesse usar mais o ar-condicionado no verão. Enviou as faturas e parou de responder ao tentar agendar reunião"/>
    <m/>
    <m/>
    <m/>
    <m/>
    <m/>
    <m/>
    <m/>
    <m/>
    <m/>
    <m/>
    <m/>
    <m/>
    <m/>
  </r>
  <r>
    <m/>
    <s v="P0150"/>
    <s v="LEANDRO"/>
    <x v="0"/>
    <d v="2023-08-28T00:00:00"/>
    <x v="6"/>
    <n v="21970210554"/>
    <m/>
    <m/>
    <m/>
    <m/>
    <m/>
    <m/>
    <m/>
    <m/>
    <s v=""/>
    <m/>
    <m/>
    <m/>
    <m/>
    <m/>
    <m/>
    <m/>
    <m/>
    <m/>
    <m/>
    <m/>
    <m/>
    <m/>
    <m/>
    <x v="11"/>
    <m/>
    <m/>
    <m/>
    <m/>
    <s v=""/>
    <m/>
    <s v="SIM"/>
    <s v="Sem Resposta"/>
    <s v="Cliente veio através de cotação no Engelink e parou de responder"/>
    <m/>
    <m/>
    <m/>
    <m/>
    <m/>
    <m/>
    <m/>
    <m/>
    <m/>
    <m/>
    <m/>
    <m/>
    <m/>
  </r>
  <r>
    <m/>
    <s v="P0151"/>
    <s v="DIANA CORREIA BANDEIRA DE MELO"/>
    <x v="0"/>
    <d v="2023-08-29T00:00:00"/>
    <x v="0"/>
    <n v="21990571576"/>
    <s v="Rua Imbuia, 368, CA 1 "/>
    <n v="22753806"/>
    <s v="RJ"/>
    <s v="RIO DE JANEIRO"/>
    <s v="ANIL"/>
    <s v="Light"/>
    <s v="B1 - Residencial"/>
    <s v="Trifásico"/>
    <n v="319"/>
    <n v="273"/>
    <n v="337"/>
    <n v="309"/>
    <n v="344"/>
    <n v="279"/>
    <n v="298"/>
    <n v="344"/>
    <n v="321"/>
    <n v="281"/>
    <n v="342"/>
    <n v="331"/>
    <n v="369"/>
    <m/>
    <s v="RESIDENCIAL"/>
    <x v="69"/>
    <m/>
    <m/>
    <m/>
    <m/>
    <s v=""/>
    <m/>
    <s v="NÃO"/>
    <s v="Fechou com outra empresa"/>
    <s v="Lead é vizinha do Vinicius. Possui um consumo médio de 320 reais, quer aumentar o uso dos ar-condicionado (1 de 10000 BTUs e 2 de 18000 BTUs) no verão, disse que quer poder usar &quot;tranquila&quot; (atualmente ela disse que quase não usa). Ela acredita que seu consumo irá para 420/450 reais (interessante pensar em um sistema maior). FEchou com outra empresa por valor (13k x 14k meus)"/>
    <m/>
    <m/>
    <m/>
    <m/>
    <m/>
    <m/>
    <m/>
    <m/>
    <m/>
    <m/>
    <m/>
    <m/>
    <m/>
  </r>
  <r>
    <m/>
    <s v="P0152"/>
    <s v="ISAIAS DE OLIVEIRA TINOCO"/>
    <x v="6"/>
    <d v="2023-08-29T00:00:00"/>
    <x v="7"/>
    <n v="21964738363"/>
    <m/>
    <m/>
    <m/>
    <m/>
    <m/>
    <m/>
    <m/>
    <m/>
    <s v=""/>
    <m/>
    <m/>
    <m/>
    <m/>
    <m/>
    <m/>
    <m/>
    <m/>
    <m/>
    <m/>
    <m/>
    <m/>
    <m/>
    <m/>
    <x v="33"/>
    <m/>
    <m/>
    <m/>
    <m/>
    <s v=""/>
    <m/>
    <m/>
    <m/>
    <m/>
    <m/>
    <m/>
    <m/>
    <m/>
    <m/>
    <m/>
    <m/>
    <m/>
    <m/>
    <m/>
    <m/>
    <m/>
    <m/>
  </r>
  <r>
    <m/>
    <s v="P0153"/>
    <s v="VIEIRA"/>
    <x v="2"/>
    <d v="2023-09-04T00:00:00"/>
    <x v="1"/>
    <n v="21989691000"/>
    <m/>
    <m/>
    <s v="RJ"/>
    <m/>
    <m/>
    <s v="Light"/>
    <m/>
    <m/>
    <n v="780"/>
    <n v="1123"/>
    <n v="1076"/>
    <n v="899"/>
    <n v="833"/>
    <n v="655"/>
    <n v="562"/>
    <n v="562"/>
    <n v="627"/>
    <n v="655"/>
    <n v="683"/>
    <n v="749"/>
    <n v="936"/>
    <m/>
    <s v="RESIDENCIAL"/>
    <x v="33"/>
    <m/>
    <m/>
    <m/>
    <m/>
    <s v=""/>
    <m/>
    <m/>
    <m/>
    <s v="Veio pelo grupo do bosque dos esquilos."/>
    <m/>
    <m/>
    <m/>
    <m/>
    <m/>
    <m/>
    <m/>
    <m/>
    <m/>
    <m/>
    <m/>
    <m/>
    <m/>
  </r>
  <r>
    <m/>
    <s v="P0154"/>
    <s v="SANDRA MARIA"/>
    <x v="6"/>
    <d v="2023-09-04T00:00:00"/>
    <x v="7"/>
    <n v="21964520757"/>
    <m/>
    <m/>
    <m/>
    <m/>
    <m/>
    <m/>
    <m/>
    <m/>
    <s v=""/>
    <m/>
    <m/>
    <m/>
    <m/>
    <m/>
    <m/>
    <m/>
    <m/>
    <m/>
    <m/>
    <m/>
    <m/>
    <m/>
    <m/>
    <x v="33"/>
    <m/>
    <m/>
    <m/>
    <m/>
    <s v=""/>
    <m/>
    <m/>
    <s v="Sem Resposta"/>
    <m/>
    <m/>
    <m/>
    <m/>
    <m/>
    <m/>
    <m/>
    <m/>
    <m/>
    <m/>
    <m/>
    <m/>
    <m/>
    <m/>
  </r>
  <r>
    <m/>
    <s v="P0155"/>
    <s v="ALEXANDRO PINHEIRO DE SOUZ"/>
    <x v="6"/>
    <d v="2023-09-05T00:00:00"/>
    <x v="6"/>
    <n v="21992881529"/>
    <s v="Rua natividade"/>
    <n v="26060450"/>
    <s v="RJ"/>
    <s v="RIO DE JANEIRO"/>
    <s v="Nova Iguaçu"/>
    <m/>
    <m/>
    <m/>
    <s v=""/>
    <m/>
    <m/>
    <m/>
    <m/>
    <m/>
    <m/>
    <m/>
    <m/>
    <m/>
    <m/>
    <m/>
    <m/>
    <m/>
    <m/>
    <x v="33"/>
    <m/>
    <m/>
    <m/>
    <m/>
    <s v=""/>
    <m/>
    <m/>
    <s v="Sem Resposta"/>
    <s v="Falou que já estava em contato com outra empresa. Veio pelo engelink"/>
    <m/>
    <m/>
    <m/>
    <m/>
    <m/>
    <m/>
    <m/>
    <m/>
    <m/>
    <m/>
    <m/>
    <m/>
    <m/>
  </r>
  <r>
    <m/>
    <s v="P0156"/>
    <s v="ALVIR NELSON ROSA JUNIOR"/>
    <x v="2"/>
    <d v="2023-09-01T00:00:00"/>
    <x v="0"/>
    <n v="21998892209"/>
    <s v="EST OUTEIRO SANTO 1411 CA 2"/>
    <s v="22713-169"/>
    <s v="RJ"/>
    <s v="RIO DE JANEIRO"/>
    <s v="JACAREPAGUA"/>
    <s v="Light"/>
    <m/>
    <s v="Trifásico"/>
    <n v="927.25"/>
    <n v="929"/>
    <n v="993"/>
    <n v="901"/>
    <n v="1570"/>
    <n v="878"/>
    <n v="837"/>
    <n v="826"/>
    <n v="810"/>
    <n v="800"/>
    <n v="780"/>
    <n v="840"/>
    <n v="963"/>
    <s v="Junto a Carga"/>
    <s v="RESIDENCIAL"/>
    <x v="33"/>
    <m/>
    <m/>
    <m/>
    <m/>
    <s v=""/>
    <m/>
    <m/>
    <m/>
    <s v="Lead veio através do grupo do condominio, uma csa proxima a transolimpica muito quente e ele gostaria de utilizar 2 aparelhos de ar-condicionado de 12 mil Btus por mais 6 horas no verão."/>
    <m/>
    <m/>
    <m/>
    <m/>
    <m/>
    <m/>
    <m/>
    <m/>
    <m/>
    <m/>
    <m/>
    <m/>
    <m/>
  </r>
  <r>
    <m/>
    <s v="P0157"/>
    <s v="PORT FOOD IND COM DE ALIMENTOS LTDA"/>
    <x v="2"/>
    <d v="2023-09-05T00:00:00"/>
    <x v="3"/>
    <n v="21983201778"/>
    <s v="AV AFONSO ARINOS DE MELLO FRANCO 222 BL 2A"/>
    <n v="22631455"/>
    <s v="RJ"/>
    <s v="RIO DE JANEIRO"/>
    <s v="BARRA DA TIJUCA"/>
    <s v="Light"/>
    <s v="B3 - Comercial"/>
    <s v="Trifásico"/>
    <n v="40000"/>
    <n v="40000"/>
    <n v="40000"/>
    <n v="40000"/>
    <n v="40000"/>
    <n v="40000"/>
    <n v="40000"/>
    <n v="40000"/>
    <n v="40000"/>
    <n v="40000"/>
    <n v="40000"/>
    <n v="40000"/>
    <n v="40000"/>
    <s v="Junto a Carga"/>
    <s v="COMERCIAL"/>
    <x v="33"/>
    <m/>
    <m/>
    <m/>
    <m/>
    <s v=""/>
    <m/>
    <m/>
    <m/>
    <s v="Indicação do Ronaldo, está vendendo ML e parte microgeração"/>
    <m/>
    <m/>
    <m/>
    <m/>
    <m/>
    <m/>
    <m/>
    <m/>
    <m/>
    <m/>
    <m/>
    <m/>
    <m/>
  </r>
  <r>
    <m/>
    <s v="P0158"/>
    <s v="CARLOS AUGUSTO V FERREIRA "/>
    <x v="6"/>
    <d v="2023-09-11T00:00:00"/>
    <x v="7"/>
    <n v="21988864930"/>
    <s v="Avenida Getúlio de Moura 452"/>
    <m/>
    <m/>
    <s v="RIO DE JANEIRO"/>
    <m/>
    <m/>
    <m/>
    <m/>
    <s v=""/>
    <m/>
    <m/>
    <m/>
    <m/>
    <m/>
    <m/>
    <m/>
    <m/>
    <m/>
    <m/>
    <m/>
    <m/>
    <m/>
    <m/>
    <x v="33"/>
    <m/>
    <m/>
    <m/>
    <m/>
    <s v=""/>
    <m/>
    <m/>
    <m/>
    <m/>
    <m/>
    <m/>
    <m/>
    <m/>
    <m/>
    <m/>
    <m/>
    <m/>
    <m/>
    <m/>
    <m/>
    <m/>
    <m/>
  </r>
  <r>
    <m/>
    <s v="P0159"/>
    <s v="LUAN FERREIRA"/>
    <x v="6"/>
    <d v="2023-09-11T00:00:00"/>
    <x v="7"/>
    <n v="21968767775"/>
    <m/>
    <m/>
    <m/>
    <s v="RIO DE JANEIRO"/>
    <m/>
    <m/>
    <m/>
    <m/>
    <s v=""/>
    <m/>
    <m/>
    <m/>
    <m/>
    <m/>
    <m/>
    <m/>
    <m/>
    <m/>
    <m/>
    <m/>
    <m/>
    <m/>
    <m/>
    <x v="33"/>
    <m/>
    <m/>
    <m/>
    <m/>
    <s v=""/>
    <m/>
    <m/>
    <m/>
    <m/>
    <m/>
    <m/>
    <m/>
    <m/>
    <m/>
    <m/>
    <m/>
    <m/>
    <m/>
    <m/>
    <m/>
    <m/>
    <m/>
  </r>
  <r>
    <m/>
    <s v="P0160"/>
    <s v="ANDRÉ - POUSADA ABRAAO"/>
    <x v="2"/>
    <d v="2023-09-11T00:00:00"/>
    <x v="1"/>
    <n v="21975806447"/>
    <s v="RUA ANTONIO MOREIRA 00115"/>
    <s v="23900-001"/>
    <s v="RJ"/>
    <s v="ANGRA DOS REIS"/>
    <s v="ABRAAO"/>
    <s v="Enel"/>
    <m/>
    <m/>
    <n v="4000"/>
    <n v="5760"/>
    <n v="5520"/>
    <n v="4608"/>
    <n v="4272"/>
    <n v="3360"/>
    <n v="2880"/>
    <n v="2880"/>
    <n v="3216"/>
    <n v="3360"/>
    <n v="3504"/>
    <n v="3840"/>
    <n v="4800"/>
    <s v="Junto a Carga"/>
    <s v="COMERCIAL"/>
    <x v="33"/>
    <m/>
    <m/>
    <m/>
    <m/>
    <s v=""/>
    <m/>
    <m/>
    <m/>
    <s v="Cliente está construindo pousada, trabalhar com levantamento de carga. Foi sugerido usar chuveiro com aquecimento solar no lugar no elétrico. Serão 10 suites com: 1 frigobar, 1 microondas, 1 chuveiro elétrico, 1 ventilador de teto. Simular p01 com chuveiro (5400kWh) e p02 sem chuveiro (4.000kWh)."/>
    <m/>
    <m/>
    <m/>
    <m/>
    <m/>
    <m/>
    <m/>
    <m/>
    <m/>
    <m/>
    <m/>
    <m/>
    <m/>
  </r>
  <r>
    <m/>
    <s v="P0161"/>
    <s v="LESLEY ELAINE ROCHA"/>
    <x v="4"/>
    <d v="2023-09-06T00:00:00"/>
    <x v="3"/>
    <n v="21979597739"/>
    <s v="R PRUDENTE DE MORAIS 1375 AP1406"/>
    <n v="22420043"/>
    <s v="RJ"/>
    <s v="RIO DE JANEIRO"/>
    <s v="IPANEMA"/>
    <s v="Light"/>
    <m/>
    <m/>
    <n v="429.41666666666669"/>
    <n v="331"/>
    <n v="662"/>
    <n v="700"/>
    <n v="475"/>
    <n v="356"/>
    <n v="401"/>
    <n v="299"/>
    <n v="171"/>
    <n v="377"/>
    <n v="375"/>
    <n v="465"/>
    <n v="541"/>
    <s v="Junto a Carga"/>
    <s v="RESIDENCIAL"/>
    <x v="33"/>
    <m/>
    <m/>
    <m/>
    <m/>
    <s v=""/>
    <m/>
    <m/>
    <m/>
    <s v="Cliente remunerato, Larissa/PedroMansur. São 3 apartamentos vizinhos na cobertura."/>
    <m/>
    <m/>
    <m/>
    <m/>
    <m/>
    <m/>
    <m/>
    <m/>
    <m/>
    <m/>
    <m/>
    <m/>
    <m/>
  </r>
  <r>
    <m/>
    <s v="P0162"/>
    <s v="SIMONE FELIPPO RAMALHO LEITE"/>
    <x v="4"/>
    <d v="2023-09-14T00:00:00"/>
    <x v="3"/>
    <n v="21969585535"/>
    <s v="ESTRAD GAVE PEQUENA, 952 BLOCO A -  APTO 107"/>
    <n v="20531420"/>
    <s v="RJ"/>
    <s v="RIO DE JANEIRO"/>
    <s v="ALTO DA BOA VISTA"/>
    <s v="Light"/>
    <s v="B1 - Residencial"/>
    <s v="Trifásico"/>
    <n v="332.75"/>
    <n v="373"/>
    <n v="536"/>
    <n v="455"/>
    <n v="422"/>
    <n v="196"/>
    <n v="208"/>
    <n v="189"/>
    <n v="381"/>
    <n v="402"/>
    <n v="271"/>
    <n v="223"/>
    <n v="337"/>
    <s v="Junto a Carga"/>
    <s v="RESIDENCIAL"/>
    <x v="33"/>
    <m/>
    <m/>
    <m/>
    <m/>
    <s v=""/>
    <m/>
    <m/>
    <m/>
    <s v="Indicação do Rafael Peixoto, possui um cliente que esta reformando e ampliando a casa e quer energia solar."/>
    <m/>
    <m/>
    <m/>
    <m/>
    <m/>
    <m/>
    <m/>
    <m/>
    <m/>
    <m/>
    <m/>
    <m/>
    <m/>
  </r>
  <r>
    <m/>
    <s v="P0163"/>
    <s v="CACTUS CHALÉS (LUMIAR)"/>
    <x v="3"/>
    <d v="2023-09-08T00:00:00"/>
    <x v="7"/>
    <n v="21999581521"/>
    <s v="RJ-142"/>
    <m/>
    <s v="RJ"/>
    <s v="NOVA FRIBURGO"/>
    <s v="LUMIAR"/>
    <s v="Enel"/>
    <m/>
    <m/>
    <n v="2504.0833333333335"/>
    <n v="2894"/>
    <n v="2963"/>
    <n v="2306"/>
    <n v="2136"/>
    <n v="2730"/>
    <n v="2681"/>
    <n v="2509"/>
    <n v="2967"/>
    <n v="2009"/>
    <n v="2136"/>
    <n v="2306"/>
    <n v="2412"/>
    <s v="Junto a Carga"/>
    <s v="COMERCIAL"/>
    <x v="68"/>
    <m/>
    <m/>
    <m/>
    <m/>
    <s v=""/>
    <m/>
    <m/>
    <m/>
    <s v="Pousada Cactus em Lumiar. Está ampliando e pensa em por uma usina de solo. Pensa em sistema de backup pois lá falta muita luz. Verificar melhor cenário - gerador, hibrido, offgrid. Ofertar aquecimento banho no lugar do chuveiro elétrico. Disse que vai esperar a obra acabar para voltar a negociar, previsão em janeiro/24. Ajustado meses de outubro e novembro para uma realidade de ampliação anterior."/>
    <m/>
    <m/>
    <m/>
    <m/>
    <m/>
    <m/>
    <m/>
    <m/>
    <m/>
    <m/>
    <m/>
    <m/>
    <m/>
  </r>
  <r>
    <m/>
    <s v="P0164"/>
    <s v="LOURDES SANCHES"/>
    <x v="3"/>
    <d v="2023-08-17T00:00:00"/>
    <x v="4"/>
    <n v="21996016686"/>
    <m/>
    <m/>
    <s v="RJ"/>
    <s v="RIO DE JANEIRO"/>
    <s v="ANIL"/>
    <s v="Light"/>
    <m/>
    <m/>
    <s v=""/>
    <m/>
    <m/>
    <m/>
    <m/>
    <m/>
    <m/>
    <m/>
    <m/>
    <m/>
    <m/>
    <m/>
    <m/>
    <m/>
    <m/>
    <x v="11"/>
    <m/>
    <m/>
    <m/>
    <m/>
    <m/>
    <m/>
    <m/>
    <m/>
    <s v="Entrou em contato indicada pela p0002-mary, mas disse que marido é indeciso e não sabe se ficará na casa ou comprar outra casa que assim que decidir entrará em contato. Retornar em 6 meses"/>
    <m/>
    <m/>
    <m/>
    <m/>
    <m/>
    <m/>
    <m/>
    <m/>
    <m/>
    <m/>
    <m/>
    <m/>
    <m/>
  </r>
  <r>
    <m/>
    <s v="P0165"/>
    <s v="VIVIANE CLAUDIA ROSA MAIA"/>
    <x v="1"/>
    <d v="2023-09-27T00:00:00"/>
    <x v="1"/>
    <n v="21996881560"/>
    <s v="R SALOMAO MALINA 747 CA 19"/>
    <s v="22785-065"/>
    <s v="RJ"/>
    <s v="RIO DE JANEIRO"/>
    <s v="VARGEM PEQUENA"/>
    <s v="Light"/>
    <s v="B1 - Residencial"/>
    <s v="Trifásico"/>
    <n v="548"/>
    <n v="534"/>
    <n v="636"/>
    <n v="767"/>
    <n v="629"/>
    <n v="503"/>
    <n v="517"/>
    <n v="487"/>
    <n v="465"/>
    <n v="486"/>
    <n v="441"/>
    <n v="611"/>
    <n v="500"/>
    <m/>
    <s v="RESIDENCIAL"/>
    <x v="33"/>
    <m/>
    <m/>
    <m/>
    <m/>
    <s v=""/>
    <m/>
    <m/>
    <m/>
    <s v="Indicação do Helder, chegou com um orçamento da green e gostaria de parcelar em 12x sem juros. Explicado forma de pagamento e opções de parcela a depender do fornecedor._x000a_Quer seguir só com o FV_x000a_Hoje seu consumo já atende suas necessidades. Não tem muita disponibilidade de horário durante a semana"/>
    <m/>
    <m/>
    <m/>
    <m/>
    <m/>
    <m/>
    <m/>
    <m/>
    <m/>
    <m/>
    <m/>
    <m/>
    <m/>
  </r>
  <r>
    <m/>
    <s v="P0166"/>
    <s v="JOÃO VIEIRA"/>
    <x v="4"/>
    <d v="2023-09-15T00:00:00"/>
    <x v="4"/>
    <n v="21996280000"/>
    <s v="Rua Fala Amendoeira, 940, Condomínio Novo Leblon"/>
    <m/>
    <s v="RJ"/>
    <s v="RIO DE JANEIRO"/>
    <s v="BARRA DA TIJUCA"/>
    <m/>
    <m/>
    <m/>
    <s v=""/>
    <m/>
    <m/>
    <m/>
    <m/>
    <m/>
    <m/>
    <m/>
    <m/>
    <m/>
    <m/>
    <m/>
    <m/>
    <m/>
    <m/>
    <x v="33"/>
    <m/>
    <m/>
    <m/>
    <m/>
    <s v=""/>
    <m/>
    <m/>
    <m/>
    <s v="Sistema de aquecimento solar"/>
    <m/>
    <m/>
    <m/>
    <m/>
    <m/>
    <m/>
    <m/>
    <m/>
    <m/>
    <m/>
    <m/>
    <m/>
    <m/>
  </r>
  <r>
    <m/>
    <s v="P0167"/>
    <s v="FLAVIA LOPES"/>
    <x v="6"/>
    <d v="2023-09-18T00:00:00"/>
    <x v="6"/>
    <n v="21996068793"/>
    <s v=" RUA DONA CLARA"/>
    <s v="21310-030"/>
    <s v="RJ"/>
    <s v="RIO DE JANEIRO"/>
    <s v="MADUREIRA"/>
    <s v="Light"/>
    <s v="B1 - Residencial"/>
    <s v="Monofásico"/>
    <s v=""/>
    <m/>
    <m/>
    <m/>
    <m/>
    <m/>
    <m/>
    <m/>
    <m/>
    <m/>
    <m/>
    <m/>
    <m/>
    <m/>
    <m/>
    <x v="33"/>
    <m/>
    <m/>
    <m/>
    <m/>
    <s v=""/>
    <m/>
    <m/>
    <m/>
    <m/>
    <m/>
    <m/>
    <m/>
    <m/>
    <m/>
    <m/>
    <m/>
    <m/>
    <m/>
    <m/>
    <m/>
    <m/>
    <m/>
  </r>
  <r>
    <m/>
    <s v="P0168"/>
    <s v="DANILENE DA SILVA FERREIRA"/>
    <x v="6"/>
    <d v="2023-09-25T00:00:00"/>
    <x v="6"/>
    <n v="24992640778"/>
    <s v="RUA ISALTINO SILVEIRA"/>
    <s v="25804-250"/>
    <s v="RJ"/>
    <s v="RIO DE JANEIRO"/>
    <s v="CANTAGALO"/>
    <s v="Light"/>
    <s v="B1 - Residencial"/>
    <s v="Monofásico"/>
    <s v=""/>
    <m/>
    <m/>
    <m/>
    <m/>
    <m/>
    <m/>
    <m/>
    <m/>
    <m/>
    <m/>
    <m/>
    <m/>
    <m/>
    <m/>
    <x v="33"/>
    <m/>
    <m/>
    <m/>
    <m/>
    <s v=""/>
    <m/>
    <m/>
    <m/>
    <m/>
    <m/>
    <m/>
    <m/>
    <m/>
    <m/>
    <m/>
    <m/>
    <m/>
    <m/>
    <m/>
    <m/>
    <m/>
    <m/>
  </r>
  <r>
    <m/>
    <s v="P0169"/>
    <s v="ELISABETE PECANHA COSSICH PEREIRA"/>
    <x v="2"/>
    <d v="2023-10-02T00:00:00"/>
    <x v="1"/>
    <n v="21991783474"/>
    <s v="AV NILO PECANHA 25 CA 2"/>
    <m/>
    <s v="RJ"/>
    <s v="SAO JOAO DE MERITI"/>
    <s v="COELHO DA ROCHA"/>
    <s v="Light"/>
    <m/>
    <m/>
    <n v="470.58333333333331"/>
    <n v="485"/>
    <n v="538"/>
    <n v="512"/>
    <n v="560"/>
    <n v="490"/>
    <n v="462"/>
    <n v="346"/>
    <n v="397"/>
    <n v="477"/>
    <n v="413"/>
    <n v="509"/>
    <n v="458"/>
    <s v="Junto a Carga"/>
    <s v="RESIDENCIAL"/>
    <x v="33"/>
    <m/>
    <m/>
    <m/>
    <m/>
    <s v=""/>
    <m/>
    <m/>
    <m/>
    <s v="Instalação monofásica, verificar AC que diz possuir. Veio através de indicação do carteiro André. Tem interesse em enviar energia para outro imóvel (casa no mesmo quintal). Usará um forno elétrico a mais e nova casa terá 1 AC, 2 geladeiras, 2 TV e 1 forno elétrico."/>
    <m/>
    <m/>
    <m/>
    <m/>
    <m/>
    <m/>
    <m/>
    <m/>
    <m/>
    <m/>
    <m/>
    <m/>
    <m/>
  </r>
  <r>
    <m/>
    <s v="P0170"/>
    <s v="PAULO RICARDO"/>
    <x v="0"/>
    <d v="2023-08-23T00:00:00"/>
    <x v="7"/>
    <n v="21982665291"/>
    <m/>
    <m/>
    <m/>
    <m/>
    <m/>
    <m/>
    <m/>
    <m/>
    <s v=""/>
    <m/>
    <m/>
    <m/>
    <m/>
    <m/>
    <m/>
    <m/>
    <m/>
    <m/>
    <m/>
    <m/>
    <m/>
    <m/>
    <m/>
    <x v="70"/>
    <m/>
    <m/>
    <m/>
    <m/>
    <m/>
    <m/>
    <s v="NÃO"/>
    <s v="Mismatch"/>
    <s v="Buscava carregamento veicular para o condomínio onde mora"/>
    <m/>
    <m/>
    <m/>
    <m/>
    <m/>
    <m/>
    <m/>
    <m/>
    <m/>
    <m/>
    <m/>
    <m/>
    <m/>
  </r>
  <r>
    <m/>
    <s v="P0171"/>
    <s v="BIA FERREIRA"/>
    <x v="0"/>
    <d v="2023-10-05T00:00:00"/>
    <x v="7"/>
    <n v="21984365271"/>
    <m/>
    <m/>
    <m/>
    <m/>
    <m/>
    <m/>
    <m/>
    <m/>
    <s v=""/>
    <m/>
    <m/>
    <m/>
    <m/>
    <m/>
    <m/>
    <m/>
    <m/>
    <m/>
    <m/>
    <m/>
    <m/>
    <m/>
    <m/>
    <x v="69"/>
    <m/>
    <m/>
    <m/>
    <m/>
    <s v=""/>
    <m/>
    <s v="NÃO"/>
    <s v="Falta de Interesse"/>
    <s v="Entendeu errado o anuncio, não sabia que era para módulos d eenergia solar"/>
    <m/>
    <m/>
    <m/>
    <m/>
    <m/>
    <m/>
    <m/>
    <m/>
    <m/>
    <m/>
    <m/>
    <m/>
    <m/>
  </r>
  <r>
    <m/>
    <s v="P0172"/>
    <s v="BETH FRANCO"/>
    <x v="6"/>
    <d v="2023-09-29T00:00:00"/>
    <x v="7"/>
    <n v="21983801904"/>
    <m/>
    <m/>
    <m/>
    <m/>
    <m/>
    <m/>
    <m/>
    <m/>
    <s v=""/>
    <m/>
    <m/>
    <m/>
    <m/>
    <m/>
    <m/>
    <m/>
    <m/>
    <m/>
    <m/>
    <m/>
    <m/>
    <m/>
    <m/>
    <x v="33"/>
    <m/>
    <m/>
    <m/>
    <m/>
    <s v=""/>
    <m/>
    <m/>
    <m/>
    <m/>
    <m/>
    <m/>
    <m/>
    <m/>
    <m/>
    <m/>
    <m/>
    <m/>
    <m/>
    <m/>
    <m/>
    <m/>
    <m/>
  </r>
  <r>
    <m/>
    <s v="P0173"/>
    <s v="GILMAR"/>
    <x v="6"/>
    <d v="2023-09-30T00:00:00"/>
    <x v="7"/>
    <n v="21976336005"/>
    <m/>
    <m/>
    <m/>
    <m/>
    <m/>
    <m/>
    <m/>
    <m/>
    <s v=""/>
    <m/>
    <m/>
    <m/>
    <m/>
    <m/>
    <m/>
    <m/>
    <m/>
    <m/>
    <m/>
    <m/>
    <m/>
    <m/>
    <m/>
    <x v="33"/>
    <m/>
    <m/>
    <m/>
    <m/>
    <s v=""/>
    <m/>
    <m/>
    <m/>
    <m/>
    <m/>
    <m/>
    <m/>
    <m/>
    <m/>
    <m/>
    <m/>
    <m/>
    <m/>
    <m/>
    <m/>
    <m/>
    <m/>
  </r>
  <r>
    <m/>
    <s v="P0174"/>
    <s v="ALBERTO"/>
    <x v="6"/>
    <d v="2023-09-21T00:00:00"/>
    <x v="7"/>
    <n v="24992370901"/>
    <m/>
    <m/>
    <m/>
    <m/>
    <m/>
    <m/>
    <m/>
    <m/>
    <s v=""/>
    <m/>
    <m/>
    <m/>
    <m/>
    <m/>
    <m/>
    <m/>
    <m/>
    <m/>
    <m/>
    <m/>
    <m/>
    <m/>
    <m/>
    <x v="33"/>
    <m/>
    <m/>
    <m/>
    <m/>
    <s v=""/>
    <m/>
    <m/>
    <m/>
    <m/>
    <m/>
    <m/>
    <m/>
    <m/>
    <m/>
    <m/>
    <m/>
    <m/>
    <m/>
    <m/>
    <m/>
    <m/>
    <m/>
  </r>
  <r>
    <m/>
    <s v="P0175"/>
    <s v="VERA JAEGER"/>
    <x v="6"/>
    <d v="2023-09-28T00:00:00"/>
    <x v="7"/>
    <n v="21988955438"/>
    <m/>
    <m/>
    <m/>
    <m/>
    <m/>
    <m/>
    <m/>
    <m/>
    <s v=""/>
    <m/>
    <m/>
    <m/>
    <m/>
    <m/>
    <m/>
    <m/>
    <m/>
    <m/>
    <m/>
    <m/>
    <m/>
    <m/>
    <m/>
    <x v="33"/>
    <m/>
    <m/>
    <m/>
    <m/>
    <s v=""/>
    <m/>
    <m/>
    <m/>
    <m/>
    <m/>
    <m/>
    <m/>
    <m/>
    <m/>
    <m/>
    <m/>
    <m/>
    <m/>
    <m/>
    <m/>
    <m/>
    <m/>
  </r>
  <r>
    <m/>
    <s v="P0176"/>
    <s v="GERLY VIEIRA ALVES DE ABREU"/>
    <x v="0"/>
    <d v="2023-10-13T00:00:00"/>
    <x v="7"/>
    <n v="22998887159"/>
    <m/>
    <m/>
    <m/>
    <m/>
    <m/>
    <m/>
    <m/>
    <m/>
    <s v=""/>
    <m/>
    <m/>
    <m/>
    <m/>
    <m/>
    <m/>
    <m/>
    <m/>
    <m/>
    <m/>
    <m/>
    <m/>
    <m/>
    <m/>
    <x v="71"/>
    <m/>
    <m/>
    <m/>
    <m/>
    <s v=""/>
    <m/>
    <s v="NÃO"/>
    <s v="Mismatch"/>
    <s v="Difícil entender o que queria, falava tudo errado, mas queria pagar luz com cartão de crédito"/>
    <m/>
    <m/>
    <m/>
    <m/>
    <m/>
    <m/>
    <m/>
    <m/>
    <m/>
    <m/>
    <m/>
    <m/>
    <m/>
  </r>
  <r>
    <m/>
    <s v="P0177"/>
    <s v="LEANDRO CEARA"/>
    <x v="6"/>
    <d v="2023-09-27T00:00:00"/>
    <x v="7"/>
    <n v="21986044169"/>
    <m/>
    <m/>
    <m/>
    <m/>
    <m/>
    <m/>
    <m/>
    <m/>
    <s v=""/>
    <m/>
    <m/>
    <m/>
    <m/>
    <m/>
    <m/>
    <m/>
    <m/>
    <m/>
    <m/>
    <m/>
    <m/>
    <m/>
    <m/>
    <x v="33"/>
    <m/>
    <m/>
    <m/>
    <m/>
    <s v=""/>
    <m/>
    <m/>
    <m/>
    <m/>
    <m/>
    <m/>
    <m/>
    <m/>
    <m/>
    <m/>
    <m/>
    <m/>
    <m/>
    <m/>
    <m/>
    <m/>
    <m/>
  </r>
  <r>
    <m/>
    <s v="P0178"/>
    <s v="HELENICE"/>
    <x v="6"/>
    <d v="2023-09-27T00:00:00"/>
    <x v="7"/>
    <n v="21968740806"/>
    <m/>
    <m/>
    <m/>
    <m/>
    <m/>
    <m/>
    <m/>
    <m/>
    <s v=""/>
    <m/>
    <m/>
    <m/>
    <m/>
    <m/>
    <m/>
    <m/>
    <m/>
    <m/>
    <m/>
    <m/>
    <m/>
    <m/>
    <m/>
    <x v="33"/>
    <m/>
    <m/>
    <m/>
    <m/>
    <s v=""/>
    <m/>
    <m/>
    <m/>
    <m/>
    <m/>
    <m/>
    <m/>
    <m/>
    <m/>
    <m/>
    <m/>
    <m/>
    <m/>
    <m/>
    <m/>
    <m/>
    <m/>
  </r>
  <r>
    <m/>
    <s v="P0179"/>
    <s v="SUZANA"/>
    <x v="6"/>
    <d v="2023-10-01T00:00:00"/>
    <x v="7"/>
    <n v="21992072717"/>
    <m/>
    <m/>
    <m/>
    <m/>
    <m/>
    <m/>
    <m/>
    <m/>
    <s v=""/>
    <m/>
    <m/>
    <m/>
    <m/>
    <m/>
    <m/>
    <m/>
    <m/>
    <m/>
    <m/>
    <m/>
    <m/>
    <m/>
    <m/>
    <x v="33"/>
    <m/>
    <m/>
    <m/>
    <m/>
    <s v=""/>
    <m/>
    <m/>
    <m/>
    <m/>
    <m/>
    <m/>
    <m/>
    <m/>
    <m/>
    <m/>
    <m/>
    <m/>
    <m/>
    <m/>
    <m/>
    <m/>
    <m/>
  </r>
  <r>
    <m/>
    <s v="P0180"/>
    <s v="CARLOS ALBERTO"/>
    <x v="6"/>
    <d v="2023-10-01T00:00:00"/>
    <x v="7"/>
    <n v="21964583488"/>
    <m/>
    <m/>
    <m/>
    <m/>
    <m/>
    <m/>
    <m/>
    <m/>
    <s v=""/>
    <m/>
    <m/>
    <m/>
    <m/>
    <m/>
    <m/>
    <m/>
    <m/>
    <m/>
    <m/>
    <m/>
    <m/>
    <m/>
    <m/>
    <x v="33"/>
    <m/>
    <m/>
    <m/>
    <m/>
    <s v=""/>
    <m/>
    <m/>
    <m/>
    <m/>
    <m/>
    <m/>
    <m/>
    <m/>
    <m/>
    <m/>
    <m/>
    <m/>
    <m/>
    <m/>
    <m/>
    <m/>
    <m/>
  </r>
  <r>
    <m/>
    <s v="P0181"/>
    <s v="RÚBIA BARBOSA"/>
    <x v="6"/>
    <d v="2023-09-01T00:00:00"/>
    <x v="0"/>
    <n v="21981848814"/>
    <m/>
    <m/>
    <m/>
    <m/>
    <m/>
    <m/>
    <m/>
    <m/>
    <s v=""/>
    <m/>
    <m/>
    <m/>
    <m/>
    <m/>
    <m/>
    <m/>
    <m/>
    <m/>
    <m/>
    <m/>
    <m/>
    <m/>
    <m/>
    <x v="33"/>
    <m/>
    <m/>
    <m/>
    <m/>
    <s v=""/>
    <m/>
    <m/>
    <m/>
    <m/>
    <m/>
    <m/>
    <m/>
    <m/>
    <m/>
    <m/>
    <m/>
    <m/>
    <m/>
    <m/>
    <m/>
    <m/>
    <m/>
  </r>
  <r>
    <m/>
    <s v="P0182"/>
    <s v="SHIRLEI BARBOSA"/>
    <x v="6"/>
    <d v="2023-10-09T00:00:00"/>
    <x v="7"/>
    <n v="22998928873"/>
    <m/>
    <m/>
    <m/>
    <m/>
    <m/>
    <m/>
    <m/>
    <m/>
    <s v=""/>
    <m/>
    <m/>
    <m/>
    <m/>
    <m/>
    <m/>
    <m/>
    <m/>
    <m/>
    <m/>
    <m/>
    <m/>
    <m/>
    <m/>
    <x v="33"/>
    <m/>
    <m/>
    <m/>
    <m/>
    <s v=""/>
    <m/>
    <m/>
    <m/>
    <m/>
    <m/>
    <m/>
    <m/>
    <m/>
    <m/>
    <m/>
    <m/>
    <m/>
    <m/>
    <m/>
    <m/>
    <m/>
    <m/>
  </r>
  <r>
    <m/>
    <s v="P0183"/>
    <s v="JULIA DE MENEZES"/>
    <x v="6"/>
    <d v="2023-10-09T00:00:00"/>
    <x v="7"/>
    <n v="21964468857"/>
    <m/>
    <m/>
    <m/>
    <m/>
    <m/>
    <m/>
    <m/>
    <m/>
    <s v=""/>
    <m/>
    <m/>
    <m/>
    <m/>
    <m/>
    <m/>
    <m/>
    <m/>
    <m/>
    <m/>
    <m/>
    <m/>
    <m/>
    <m/>
    <x v="33"/>
    <m/>
    <m/>
    <m/>
    <m/>
    <s v=""/>
    <m/>
    <m/>
    <m/>
    <m/>
    <m/>
    <m/>
    <m/>
    <m/>
    <m/>
    <m/>
    <m/>
    <m/>
    <m/>
    <m/>
    <m/>
    <m/>
    <m/>
  </r>
  <r>
    <m/>
    <s v="P0184"/>
    <s v="GERALDO ANASTÁCIO DA SILVA"/>
    <x v="0"/>
    <d v="2023-10-11T00:00:00"/>
    <x v="7"/>
    <n v="3299899715"/>
    <m/>
    <m/>
    <m/>
    <m/>
    <m/>
    <m/>
    <m/>
    <m/>
    <s v=""/>
    <m/>
    <m/>
    <m/>
    <m/>
    <m/>
    <m/>
    <m/>
    <m/>
    <m/>
    <m/>
    <m/>
    <m/>
    <m/>
    <m/>
    <x v="72"/>
    <m/>
    <m/>
    <m/>
    <m/>
    <s v=""/>
    <m/>
    <s v="NÃO"/>
    <s v="Mismatch"/>
    <s v="Mora em minas"/>
    <m/>
    <m/>
    <m/>
    <m/>
    <m/>
    <m/>
    <m/>
    <m/>
    <m/>
    <m/>
    <m/>
    <m/>
    <m/>
  </r>
  <r>
    <m/>
    <s v="P0185"/>
    <s v="PRISCILA"/>
    <x v="6"/>
    <d v="2023-10-09T00:00:00"/>
    <x v="7"/>
    <n v="2127969046"/>
    <m/>
    <m/>
    <m/>
    <m/>
    <m/>
    <m/>
    <m/>
    <m/>
    <s v=""/>
    <m/>
    <m/>
    <m/>
    <m/>
    <m/>
    <m/>
    <m/>
    <m/>
    <m/>
    <m/>
    <m/>
    <m/>
    <m/>
    <m/>
    <x v="33"/>
    <m/>
    <m/>
    <m/>
    <m/>
    <s v=""/>
    <m/>
    <m/>
    <m/>
    <m/>
    <m/>
    <m/>
    <m/>
    <m/>
    <m/>
    <m/>
    <m/>
    <m/>
    <m/>
    <m/>
    <m/>
    <m/>
    <m/>
  </r>
  <r>
    <m/>
    <s v="P0186"/>
    <s v="CLÁUDIA MARCIA"/>
    <x v="6"/>
    <d v="2023-10-11T00:00:00"/>
    <x v="7"/>
    <n v="24999362208"/>
    <m/>
    <m/>
    <m/>
    <m/>
    <m/>
    <m/>
    <m/>
    <m/>
    <s v=""/>
    <m/>
    <m/>
    <m/>
    <m/>
    <m/>
    <m/>
    <m/>
    <m/>
    <m/>
    <m/>
    <m/>
    <m/>
    <m/>
    <m/>
    <x v="33"/>
    <m/>
    <m/>
    <m/>
    <m/>
    <s v=""/>
    <m/>
    <m/>
    <m/>
    <m/>
    <m/>
    <m/>
    <m/>
    <m/>
    <m/>
    <m/>
    <m/>
    <m/>
    <m/>
    <m/>
    <m/>
    <m/>
    <m/>
  </r>
  <r>
    <m/>
    <s v="P0187"/>
    <s v="Roberta Machado"/>
    <x v="7"/>
    <m/>
    <x v="9"/>
    <m/>
    <s v="Alberto de Campos 180"/>
    <m/>
    <s v="RJ"/>
    <s v="RIO DE JANEIRO"/>
    <s v="IPANEMA"/>
    <s v="Light"/>
    <m/>
    <m/>
    <n v="678.33333333333337"/>
    <n v="1000"/>
    <n v="800"/>
    <n v="1060"/>
    <n v="720"/>
    <n v="690"/>
    <n v="310"/>
    <n v="510"/>
    <n v="480"/>
    <n v="580"/>
    <n v="570"/>
    <n v="790"/>
    <n v="630"/>
    <s v="Junto à Carga"/>
    <s v="RESIDENCIAL"/>
    <x v="33"/>
    <m/>
    <m/>
    <m/>
    <m/>
    <s v=""/>
    <m/>
    <m/>
    <m/>
    <m/>
    <m/>
    <m/>
    <m/>
    <m/>
    <m/>
    <m/>
    <m/>
    <m/>
    <m/>
    <m/>
    <m/>
    <m/>
    <m/>
  </r>
  <r>
    <m/>
    <s v="P0112"/>
    <s v="MARTA LIMA VALLE"/>
    <x v="7"/>
    <d v="2023-02-27T00:00:00"/>
    <x v="4"/>
    <n v="21993459886"/>
    <s v="M DEODORO 256A301 256"/>
    <s v="24000-001"/>
    <s v="RJ"/>
    <s v="Niteroí"/>
    <s v="CENTRO"/>
    <s v="Enel"/>
    <s v="B1 - Residencial"/>
    <s v="Monofásico"/>
    <n v="212.33333333333334"/>
    <n v="288"/>
    <n v="304"/>
    <n v="276"/>
    <n v="187"/>
    <n v="193"/>
    <n v="167"/>
    <n v="147"/>
    <n v="166"/>
    <n v="170"/>
    <n v="205"/>
    <n v="210"/>
    <n v="235"/>
    <s v="Junto a Carga"/>
    <m/>
    <x v="23"/>
    <m/>
    <m/>
    <m/>
    <m/>
    <s v=""/>
    <m/>
    <s v="NÃO"/>
    <s v="Sem Resposta"/>
    <s v="Irmã do P0077 Jonathas. Simulação para EMUC"/>
    <m/>
    <m/>
    <m/>
    <m/>
    <m/>
    <m/>
    <m/>
    <m/>
    <m/>
    <m/>
    <m/>
    <m/>
    <m/>
  </r>
  <r>
    <s v="x"/>
    <s v="P0104"/>
    <s v="EDUARDO CESAR SANTOS DA CUNHA"/>
    <x v="7"/>
    <d v="2022-11-04T00:00:00"/>
    <x v="3"/>
    <n v="21999150845"/>
    <s v="R JOR HENRIQUE CORDEIRO 350 BL 1 AP 2203"/>
    <n v="22631450"/>
    <s v="RJ"/>
    <s v="RIO DE JANEIRO"/>
    <s v="BARRA DA TIJUCA"/>
    <s v="Light"/>
    <s v="B1 - Residencial"/>
    <s v="Trifásico"/>
    <n v="675.41666666666663"/>
    <n v="1015"/>
    <n v="915"/>
    <n v="1050"/>
    <n v="687"/>
    <n v="546"/>
    <n v="562"/>
    <n v="590"/>
    <n v="561"/>
    <n v="531"/>
    <n v="681"/>
    <n v="651"/>
    <n v="813"/>
    <s v="Junto a Carga"/>
    <m/>
    <x v="33"/>
    <m/>
    <m/>
    <m/>
    <m/>
    <m/>
    <m/>
    <m/>
    <m/>
    <s v="Indicação Iranilson Alves, combinado 5% do equipamento (verificar impacto). Cliente apartamento, cobertura, possui telhado que fará reforço e limite de espaço e sombra. Cabem 8 paineis."/>
    <m/>
    <m/>
    <m/>
    <m/>
    <m/>
    <m/>
    <m/>
    <m/>
    <m/>
    <m/>
    <m/>
    <m/>
    <m/>
  </r>
  <r>
    <m/>
    <s v="P0190"/>
    <m/>
    <x v="7"/>
    <m/>
    <x v="9"/>
    <m/>
    <m/>
    <m/>
    <m/>
    <m/>
    <m/>
    <m/>
    <m/>
    <m/>
    <s v=""/>
    <m/>
    <m/>
    <m/>
    <m/>
    <m/>
    <m/>
    <m/>
    <m/>
    <m/>
    <m/>
    <m/>
    <m/>
    <m/>
    <m/>
    <x v="33"/>
    <m/>
    <m/>
    <m/>
    <m/>
    <s v=""/>
    <m/>
    <m/>
    <m/>
    <m/>
    <m/>
    <m/>
    <m/>
    <m/>
    <m/>
    <m/>
    <m/>
    <m/>
    <m/>
    <m/>
    <m/>
    <m/>
    <m/>
  </r>
  <r>
    <m/>
    <s v="P0191"/>
    <m/>
    <x v="7"/>
    <m/>
    <x v="9"/>
    <m/>
    <m/>
    <m/>
    <m/>
    <m/>
    <m/>
    <m/>
    <m/>
    <m/>
    <s v=""/>
    <m/>
    <m/>
    <m/>
    <m/>
    <m/>
    <m/>
    <m/>
    <m/>
    <m/>
    <m/>
    <m/>
    <m/>
    <m/>
    <m/>
    <x v="33"/>
    <m/>
    <m/>
    <m/>
    <m/>
    <s v=""/>
    <m/>
    <m/>
    <m/>
    <m/>
    <m/>
    <m/>
    <m/>
    <m/>
    <m/>
    <m/>
    <m/>
    <m/>
    <m/>
    <m/>
    <m/>
    <m/>
    <m/>
  </r>
  <r>
    <m/>
    <s v="P0192"/>
    <m/>
    <x v="7"/>
    <m/>
    <x v="9"/>
    <m/>
    <m/>
    <m/>
    <m/>
    <m/>
    <m/>
    <m/>
    <m/>
    <m/>
    <s v=""/>
    <m/>
    <m/>
    <m/>
    <m/>
    <m/>
    <m/>
    <m/>
    <m/>
    <m/>
    <m/>
    <m/>
    <m/>
    <m/>
    <m/>
    <x v="33"/>
    <m/>
    <m/>
    <m/>
    <m/>
    <s v=""/>
    <m/>
    <m/>
    <m/>
    <m/>
    <m/>
    <m/>
    <m/>
    <m/>
    <m/>
    <m/>
    <m/>
    <m/>
    <m/>
    <m/>
    <m/>
    <m/>
    <m/>
  </r>
  <r>
    <m/>
    <s v="P0193"/>
    <m/>
    <x v="7"/>
    <m/>
    <x v="9"/>
    <m/>
    <m/>
    <m/>
    <m/>
    <m/>
    <m/>
    <m/>
    <m/>
    <m/>
    <s v=""/>
    <m/>
    <m/>
    <m/>
    <m/>
    <m/>
    <m/>
    <m/>
    <m/>
    <m/>
    <m/>
    <m/>
    <m/>
    <m/>
    <m/>
    <x v="33"/>
    <m/>
    <m/>
    <m/>
    <m/>
    <s v=""/>
    <m/>
    <m/>
    <m/>
    <m/>
    <m/>
    <m/>
    <m/>
    <m/>
    <m/>
    <m/>
    <m/>
    <m/>
    <m/>
    <m/>
    <m/>
    <m/>
    <m/>
  </r>
  <r>
    <m/>
    <s v="P0194"/>
    <m/>
    <x v="7"/>
    <m/>
    <x v="9"/>
    <m/>
    <m/>
    <m/>
    <m/>
    <m/>
    <m/>
    <m/>
    <m/>
    <m/>
    <s v=""/>
    <m/>
    <m/>
    <m/>
    <m/>
    <m/>
    <m/>
    <m/>
    <m/>
    <m/>
    <m/>
    <m/>
    <m/>
    <m/>
    <m/>
    <x v="33"/>
    <m/>
    <m/>
    <m/>
    <m/>
    <s v=""/>
    <m/>
    <m/>
    <m/>
    <m/>
    <m/>
    <m/>
    <m/>
    <m/>
    <m/>
    <m/>
    <m/>
    <m/>
    <m/>
    <m/>
    <m/>
    <m/>
    <m/>
  </r>
  <r>
    <m/>
    <s v="P0195"/>
    <m/>
    <x v="7"/>
    <m/>
    <x v="9"/>
    <m/>
    <m/>
    <m/>
    <m/>
    <m/>
    <m/>
    <m/>
    <m/>
    <m/>
    <s v=""/>
    <m/>
    <m/>
    <m/>
    <m/>
    <m/>
    <m/>
    <m/>
    <m/>
    <m/>
    <m/>
    <m/>
    <m/>
    <m/>
    <m/>
    <x v="33"/>
    <m/>
    <m/>
    <m/>
    <m/>
    <s v=""/>
    <m/>
    <m/>
    <m/>
    <m/>
    <m/>
    <m/>
    <m/>
    <m/>
    <m/>
    <m/>
    <m/>
    <m/>
    <m/>
    <m/>
    <m/>
    <m/>
    <m/>
  </r>
  <r>
    <m/>
    <s v="P0196"/>
    <m/>
    <x v="7"/>
    <m/>
    <x v="9"/>
    <m/>
    <m/>
    <m/>
    <m/>
    <m/>
    <m/>
    <m/>
    <m/>
    <m/>
    <s v=""/>
    <m/>
    <m/>
    <m/>
    <m/>
    <m/>
    <m/>
    <m/>
    <m/>
    <m/>
    <m/>
    <m/>
    <m/>
    <m/>
    <m/>
    <x v="33"/>
    <m/>
    <m/>
    <m/>
    <m/>
    <s v=""/>
    <m/>
    <m/>
    <m/>
    <m/>
    <m/>
    <m/>
    <m/>
    <m/>
    <m/>
    <m/>
    <m/>
    <m/>
    <m/>
    <m/>
    <m/>
    <m/>
    <m/>
  </r>
  <r>
    <m/>
    <s v="P0197"/>
    <m/>
    <x v="7"/>
    <m/>
    <x v="9"/>
    <m/>
    <m/>
    <m/>
    <m/>
    <m/>
    <m/>
    <m/>
    <m/>
    <m/>
    <s v=""/>
    <m/>
    <m/>
    <m/>
    <m/>
    <m/>
    <m/>
    <m/>
    <m/>
    <m/>
    <m/>
    <m/>
    <m/>
    <m/>
    <m/>
    <x v="33"/>
    <m/>
    <m/>
    <m/>
    <m/>
    <s v=""/>
    <m/>
    <m/>
    <m/>
    <m/>
    <m/>
    <m/>
    <m/>
    <m/>
    <m/>
    <m/>
    <m/>
    <m/>
    <m/>
    <m/>
    <m/>
    <m/>
    <m/>
  </r>
  <r>
    <m/>
    <s v="P0198"/>
    <m/>
    <x v="7"/>
    <m/>
    <x v="9"/>
    <m/>
    <m/>
    <m/>
    <m/>
    <m/>
    <m/>
    <m/>
    <m/>
    <m/>
    <s v=""/>
    <m/>
    <m/>
    <m/>
    <m/>
    <m/>
    <m/>
    <m/>
    <m/>
    <m/>
    <m/>
    <m/>
    <m/>
    <m/>
    <m/>
    <x v="33"/>
    <m/>
    <m/>
    <m/>
    <m/>
    <s v=""/>
    <m/>
    <m/>
    <m/>
    <m/>
    <m/>
    <m/>
    <m/>
    <m/>
    <m/>
    <m/>
    <m/>
    <m/>
    <m/>
    <m/>
    <m/>
    <m/>
    <m/>
  </r>
  <r>
    <m/>
    <s v="P0199"/>
    <m/>
    <x v="7"/>
    <m/>
    <x v="9"/>
    <m/>
    <m/>
    <m/>
    <m/>
    <m/>
    <m/>
    <m/>
    <m/>
    <m/>
    <s v=""/>
    <m/>
    <m/>
    <m/>
    <m/>
    <m/>
    <m/>
    <m/>
    <m/>
    <m/>
    <m/>
    <m/>
    <m/>
    <m/>
    <m/>
    <x v="33"/>
    <m/>
    <m/>
    <m/>
    <m/>
    <s v=""/>
    <m/>
    <m/>
    <m/>
    <m/>
    <m/>
    <m/>
    <m/>
    <m/>
    <m/>
    <m/>
    <m/>
    <m/>
    <m/>
    <m/>
    <m/>
    <m/>
    <m/>
  </r>
  <r>
    <m/>
    <s v="P0200"/>
    <m/>
    <x v="7"/>
    <m/>
    <x v="9"/>
    <m/>
    <m/>
    <m/>
    <m/>
    <m/>
    <m/>
    <m/>
    <m/>
    <m/>
    <s v=""/>
    <m/>
    <m/>
    <m/>
    <m/>
    <m/>
    <m/>
    <m/>
    <m/>
    <m/>
    <m/>
    <m/>
    <m/>
    <m/>
    <m/>
    <x v="33"/>
    <m/>
    <m/>
    <m/>
    <m/>
    <s v=""/>
    <m/>
    <m/>
    <m/>
    <m/>
    <m/>
    <m/>
    <m/>
    <m/>
    <m/>
    <m/>
    <m/>
    <m/>
    <m/>
    <m/>
    <m/>
    <m/>
    <m/>
  </r>
  <r>
    <m/>
    <s v="P0201"/>
    <m/>
    <x v="7"/>
    <m/>
    <x v="9"/>
    <m/>
    <m/>
    <m/>
    <m/>
    <m/>
    <m/>
    <m/>
    <m/>
    <m/>
    <s v=""/>
    <m/>
    <m/>
    <m/>
    <m/>
    <m/>
    <m/>
    <m/>
    <m/>
    <m/>
    <m/>
    <m/>
    <m/>
    <m/>
    <m/>
    <x v="33"/>
    <m/>
    <m/>
    <m/>
    <m/>
    <s v=""/>
    <m/>
    <m/>
    <m/>
    <m/>
    <m/>
    <m/>
    <m/>
    <m/>
    <m/>
    <m/>
    <m/>
    <m/>
    <m/>
    <m/>
    <m/>
    <m/>
    <m/>
  </r>
  <r>
    <m/>
    <s v="P0202"/>
    <m/>
    <x v="7"/>
    <m/>
    <x v="9"/>
    <m/>
    <m/>
    <m/>
    <m/>
    <m/>
    <m/>
    <m/>
    <m/>
    <m/>
    <s v=""/>
    <m/>
    <m/>
    <m/>
    <m/>
    <m/>
    <m/>
    <m/>
    <m/>
    <m/>
    <m/>
    <m/>
    <m/>
    <m/>
    <m/>
    <x v="33"/>
    <m/>
    <m/>
    <m/>
    <m/>
    <s v=""/>
    <m/>
    <m/>
    <m/>
    <m/>
    <m/>
    <m/>
    <m/>
    <m/>
    <m/>
    <m/>
    <m/>
    <m/>
    <m/>
    <m/>
    <m/>
    <m/>
    <m/>
  </r>
  <r>
    <m/>
    <s v="P0203"/>
    <m/>
    <x v="7"/>
    <m/>
    <x v="9"/>
    <m/>
    <m/>
    <m/>
    <m/>
    <m/>
    <m/>
    <m/>
    <m/>
    <m/>
    <s v=""/>
    <m/>
    <m/>
    <m/>
    <m/>
    <m/>
    <m/>
    <m/>
    <m/>
    <m/>
    <m/>
    <m/>
    <m/>
    <m/>
    <m/>
    <x v="33"/>
    <m/>
    <m/>
    <m/>
    <m/>
    <s v=""/>
    <m/>
    <m/>
    <m/>
    <m/>
    <m/>
    <m/>
    <m/>
    <m/>
    <m/>
    <m/>
    <m/>
    <m/>
    <m/>
    <m/>
    <m/>
    <m/>
    <m/>
  </r>
  <r>
    <m/>
    <s v="P0204"/>
    <m/>
    <x v="7"/>
    <m/>
    <x v="9"/>
    <m/>
    <m/>
    <m/>
    <m/>
    <m/>
    <m/>
    <m/>
    <m/>
    <m/>
    <s v=""/>
    <m/>
    <m/>
    <m/>
    <m/>
    <m/>
    <m/>
    <m/>
    <m/>
    <m/>
    <m/>
    <m/>
    <m/>
    <m/>
    <m/>
    <x v="33"/>
    <m/>
    <m/>
    <m/>
    <m/>
    <s v=""/>
    <m/>
    <m/>
    <m/>
    <m/>
    <m/>
    <m/>
    <m/>
    <m/>
    <m/>
    <m/>
    <m/>
    <m/>
    <m/>
    <m/>
    <m/>
    <m/>
    <m/>
  </r>
  <r>
    <m/>
    <s v="P0205"/>
    <m/>
    <x v="7"/>
    <m/>
    <x v="9"/>
    <m/>
    <m/>
    <m/>
    <m/>
    <m/>
    <m/>
    <m/>
    <m/>
    <m/>
    <s v=""/>
    <m/>
    <m/>
    <m/>
    <m/>
    <m/>
    <m/>
    <m/>
    <m/>
    <m/>
    <m/>
    <m/>
    <m/>
    <m/>
    <m/>
    <x v="33"/>
    <m/>
    <m/>
    <m/>
    <m/>
    <s v=""/>
    <m/>
    <m/>
    <m/>
    <m/>
    <m/>
    <m/>
    <m/>
    <m/>
    <m/>
    <m/>
    <m/>
    <m/>
    <m/>
    <m/>
    <m/>
    <m/>
    <m/>
  </r>
  <r>
    <m/>
    <s v="P0206"/>
    <m/>
    <x v="7"/>
    <m/>
    <x v="9"/>
    <m/>
    <m/>
    <m/>
    <m/>
    <m/>
    <m/>
    <m/>
    <m/>
    <m/>
    <s v=""/>
    <m/>
    <m/>
    <m/>
    <m/>
    <m/>
    <m/>
    <m/>
    <m/>
    <m/>
    <m/>
    <m/>
    <m/>
    <m/>
    <m/>
    <x v="33"/>
    <m/>
    <m/>
    <m/>
    <m/>
    <s v=""/>
    <m/>
    <m/>
    <m/>
    <m/>
    <m/>
    <m/>
    <m/>
    <m/>
    <m/>
    <m/>
    <m/>
    <m/>
    <m/>
    <m/>
    <m/>
    <m/>
    <m/>
  </r>
  <r>
    <m/>
    <s v="P0207"/>
    <m/>
    <x v="7"/>
    <m/>
    <x v="9"/>
    <m/>
    <m/>
    <m/>
    <m/>
    <m/>
    <m/>
    <m/>
    <m/>
    <m/>
    <s v=""/>
    <m/>
    <m/>
    <m/>
    <m/>
    <m/>
    <m/>
    <m/>
    <m/>
    <m/>
    <m/>
    <m/>
    <m/>
    <m/>
    <m/>
    <x v="33"/>
    <m/>
    <m/>
    <m/>
    <m/>
    <s v=""/>
    <m/>
    <m/>
    <m/>
    <m/>
    <m/>
    <m/>
    <m/>
    <m/>
    <m/>
    <m/>
    <m/>
    <m/>
    <m/>
    <m/>
    <m/>
    <m/>
    <m/>
  </r>
  <r>
    <m/>
    <s v="P0208"/>
    <m/>
    <x v="7"/>
    <m/>
    <x v="9"/>
    <m/>
    <m/>
    <m/>
    <m/>
    <m/>
    <m/>
    <m/>
    <m/>
    <m/>
    <s v=""/>
    <m/>
    <m/>
    <m/>
    <m/>
    <m/>
    <m/>
    <m/>
    <m/>
    <m/>
    <m/>
    <m/>
    <m/>
    <m/>
    <m/>
    <x v="33"/>
    <m/>
    <m/>
    <m/>
    <m/>
    <s v=""/>
    <m/>
    <m/>
    <m/>
    <m/>
    <m/>
    <m/>
    <m/>
    <m/>
    <m/>
    <m/>
    <m/>
    <m/>
    <m/>
    <m/>
    <m/>
    <m/>
    <m/>
  </r>
  <r>
    <m/>
    <s v="P0209"/>
    <m/>
    <x v="7"/>
    <m/>
    <x v="9"/>
    <m/>
    <m/>
    <m/>
    <m/>
    <m/>
    <m/>
    <m/>
    <m/>
    <m/>
    <s v=""/>
    <m/>
    <m/>
    <m/>
    <m/>
    <m/>
    <m/>
    <m/>
    <m/>
    <m/>
    <m/>
    <m/>
    <m/>
    <m/>
    <m/>
    <x v="33"/>
    <m/>
    <m/>
    <m/>
    <m/>
    <s v=""/>
    <m/>
    <m/>
    <m/>
    <m/>
    <m/>
    <m/>
    <m/>
    <m/>
    <m/>
    <m/>
    <m/>
    <m/>
    <m/>
    <m/>
    <m/>
    <m/>
    <m/>
  </r>
  <r>
    <m/>
    <s v="P0210"/>
    <m/>
    <x v="7"/>
    <m/>
    <x v="9"/>
    <m/>
    <m/>
    <m/>
    <m/>
    <m/>
    <m/>
    <m/>
    <m/>
    <m/>
    <s v=""/>
    <m/>
    <m/>
    <m/>
    <m/>
    <m/>
    <m/>
    <m/>
    <m/>
    <m/>
    <m/>
    <m/>
    <m/>
    <m/>
    <m/>
    <x v="33"/>
    <m/>
    <m/>
    <m/>
    <m/>
    <s v=""/>
    <m/>
    <m/>
    <m/>
    <m/>
    <m/>
    <m/>
    <m/>
    <m/>
    <m/>
    <m/>
    <m/>
    <m/>
    <m/>
    <m/>
    <m/>
    <m/>
    <m/>
  </r>
  <r>
    <m/>
    <s v="P0211"/>
    <m/>
    <x v="7"/>
    <m/>
    <x v="9"/>
    <m/>
    <m/>
    <m/>
    <m/>
    <m/>
    <m/>
    <m/>
    <m/>
    <m/>
    <s v=""/>
    <m/>
    <m/>
    <m/>
    <m/>
    <m/>
    <m/>
    <m/>
    <m/>
    <m/>
    <m/>
    <m/>
    <m/>
    <m/>
    <m/>
    <x v="33"/>
    <m/>
    <m/>
    <m/>
    <m/>
    <s v=""/>
    <m/>
    <m/>
    <m/>
    <m/>
    <m/>
    <m/>
    <m/>
    <m/>
    <m/>
    <m/>
    <m/>
    <m/>
    <m/>
    <m/>
    <m/>
    <m/>
    <m/>
  </r>
  <r>
    <m/>
    <s v="P0212"/>
    <s v="MARCELO HERMANO"/>
    <x v="2"/>
    <d v="2023-10-23T00:00:00"/>
    <x v="7"/>
    <s v="+55 21 98100 0321"/>
    <s v="R. José Vicente, 46"/>
    <s v="20540-330"/>
    <s v="RJ"/>
    <s v="RIO DE JANEIRO"/>
    <s v="GRAJAÚ"/>
    <s v="Light"/>
    <s v="B1 - Residencial"/>
    <s v="Trifásico"/>
    <n v="472"/>
    <n v="721"/>
    <n v="641"/>
    <n v="634"/>
    <n v="593"/>
    <n v="343"/>
    <n v="233"/>
    <n v="210"/>
    <n v="245"/>
    <n v="314"/>
    <n v="499"/>
    <n v="510"/>
    <n v="721"/>
    <s v="Junto à Carga"/>
    <s v="RESIDENCIAL"/>
    <x v="33"/>
    <m/>
    <m/>
    <m/>
    <m/>
    <s v=""/>
    <m/>
    <m/>
    <m/>
    <m/>
    <m/>
    <m/>
    <m/>
    <m/>
    <m/>
    <m/>
    <m/>
    <m/>
    <m/>
    <m/>
    <m/>
    <m/>
    <m/>
  </r>
  <r>
    <m/>
    <s v="P0213"/>
    <m/>
    <x v="7"/>
    <m/>
    <x v="9"/>
    <m/>
    <m/>
    <m/>
    <m/>
    <m/>
    <m/>
    <m/>
    <m/>
    <m/>
    <s v=""/>
    <m/>
    <m/>
    <m/>
    <m/>
    <m/>
    <m/>
    <m/>
    <m/>
    <m/>
    <m/>
    <m/>
    <m/>
    <m/>
    <m/>
    <x v="33"/>
    <m/>
    <m/>
    <m/>
    <m/>
    <s v=""/>
    <m/>
    <m/>
    <m/>
    <m/>
    <m/>
    <m/>
    <m/>
    <m/>
    <m/>
    <m/>
    <m/>
    <m/>
    <m/>
    <m/>
    <m/>
    <m/>
    <m/>
  </r>
  <r>
    <m/>
    <s v="P0214"/>
    <m/>
    <x v="7"/>
    <m/>
    <x v="9"/>
    <m/>
    <m/>
    <m/>
    <m/>
    <m/>
    <m/>
    <m/>
    <m/>
    <m/>
    <s v=""/>
    <m/>
    <m/>
    <m/>
    <m/>
    <m/>
    <m/>
    <m/>
    <m/>
    <m/>
    <m/>
    <m/>
    <m/>
    <m/>
    <m/>
    <x v="33"/>
    <m/>
    <m/>
    <m/>
    <m/>
    <s v=""/>
    <m/>
    <m/>
    <m/>
    <m/>
    <m/>
    <m/>
    <m/>
    <m/>
    <m/>
    <m/>
    <m/>
    <m/>
    <m/>
    <m/>
    <m/>
    <m/>
    <m/>
  </r>
  <r>
    <m/>
    <s v="P0215"/>
    <m/>
    <x v="7"/>
    <m/>
    <x v="9"/>
    <m/>
    <m/>
    <m/>
    <m/>
    <m/>
    <m/>
    <m/>
    <m/>
    <m/>
    <s v=""/>
    <m/>
    <m/>
    <m/>
    <m/>
    <m/>
    <m/>
    <m/>
    <m/>
    <m/>
    <m/>
    <m/>
    <m/>
    <m/>
    <m/>
    <x v="33"/>
    <m/>
    <m/>
    <m/>
    <m/>
    <s v=""/>
    <m/>
    <m/>
    <m/>
    <m/>
    <m/>
    <m/>
    <m/>
    <m/>
    <m/>
    <m/>
    <m/>
    <m/>
    <m/>
    <m/>
    <m/>
    <m/>
    <m/>
  </r>
  <r>
    <m/>
    <s v="P0216"/>
    <m/>
    <x v="7"/>
    <m/>
    <x v="9"/>
    <m/>
    <m/>
    <m/>
    <m/>
    <m/>
    <m/>
    <m/>
    <m/>
    <m/>
    <s v=""/>
    <m/>
    <m/>
    <m/>
    <m/>
    <m/>
    <m/>
    <m/>
    <m/>
    <m/>
    <m/>
    <m/>
    <m/>
    <m/>
    <m/>
    <x v="33"/>
    <m/>
    <m/>
    <m/>
    <m/>
    <s v=""/>
    <m/>
    <m/>
    <m/>
    <m/>
    <m/>
    <m/>
    <m/>
    <m/>
    <m/>
    <m/>
    <m/>
    <m/>
    <m/>
    <m/>
    <m/>
    <m/>
    <m/>
  </r>
  <r>
    <m/>
    <s v="P0217"/>
    <m/>
    <x v="7"/>
    <m/>
    <x v="9"/>
    <m/>
    <m/>
    <m/>
    <m/>
    <m/>
    <m/>
    <m/>
    <m/>
    <m/>
    <s v=""/>
    <m/>
    <m/>
    <m/>
    <m/>
    <m/>
    <m/>
    <m/>
    <m/>
    <m/>
    <m/>
    <m/>
    <m/>
    <m/>
    <m/>
    <x v="33"/>
    <m/>
    <m/>
    <m/>
    <m/>
    <s v=""/>
    <m/>
    <m/>
    <m/>
    <m/>
    <m/>
    <m/>
    <m/>
    <m/>
    <m/>
    <m/>
    <m/>
    <m/>
    <m/>
    <m/>
    <m/>
    <m/>
    <m/>
  </r>
  <r>
    <m/>
    <s v="P0218"/>
    <m/>
    <x v="7"/>
    <m/>
    <x v="9"/>
    <m/>
    <m/>
    <m/>
    <m/>
    <m/>
    <m/>
    <m/>
    <m/>
    <m/>
    <s v=""/>
    <m/>
    <m/>
    <m/>
    <m/>
    <m/>
    <m/>
    <m/>
    <m/>
    <m/>
    <m/>
    <m/>
    <m/>
    <m/>
    <m/>
    <x v="33"/>
    <m/>
    <m/>
    <m/>
    <m/>
    <s v=""/>
    <m/>
    <m/>
    <m/>
    <m/>
    <m/>
    <m/>
    <m/>
    <m/>
    <m/>
    <m/>
    <m/>
    <m/>
    <m/>
    <m/>
    <m/>
    <m/>
    <m/>
  </r>
  <r>
    <m/>
    <s v="P0219"/>
    <m/>
    <x v="7"/>
    <m/>
    <x v="9"/>
    <m/>
    <m/>
    <m/>
    <m/>
    <m/>
    <m/>
    <m/>
    <m/>
    <m/>
    <s v=""/>
    <m/>
    <m/>
    <m/>
    <m/>
    <m/>
    <m/>
    <m/>
    <m/>
    <m/>
    <m/>
    <m/>
    <m/>
    <m/>
    <m/>
    <x v="33"/>
    <m/>
    <m/>
    <m/>
    <m/>
    <s v=""/>
    <m/>
    <m/>
    <m/>
    <m/>
    <m/>
    <m/>
    <m/>
    <m/>
    <m/>
    <m/>
    <m/>
    <m/>
    <m/>
    <m/>
    <m/>
    <m/>
    <m/>
  </r>
  <r>
    <m/>
    <s v="P0220"/>
    <m/>
    <x v="7"/>
    <m/>
    <x v="9"/>
    <m/>
    <m/>
    <m/>
    <m/>
    <m/>
    <m/>
    <m/>
    <m/>
    <m/>
    <s v=""/>
    <m/>
    <m/>
    <m/>
    <m/>
    <m/>
    <m/>
    <m/>
    <m/>
    <m/>
    <m/>
    <m/>
    <m/>
    <m/>
    <m/>
    <x v="33"/>
    <m/>
    <m/>
    <m/>
    <m/>
    <s v=""/>
    <m/>
    <m/>
    <m/>
    <m/>
    <m/>
    <m/>
    <m/>
    <m/>
    <m/>
    <m/>
    <m/>
    <m/>
    <m/>
    <m/>
    <m/>
    <m/>
    <m/>
  </r>
  <r>
    <m/>
    <s v="P0221"/>
    <m/>
    <x v="7"/>
    <m/>
    <x v="9"/>
    <m/>
    <m/>
    <m/>
    <m/>
    <m/>
    <m/>
    <m/>
    <m/>
    <m/>
    <s v=""/>
    <m/>
    <m/>
    <m/>
    <m/>
    <m/>
    <m/>
    <m/>
    <m/>
    <m/>
    <m/>
    <m/>
    <m/>
    <m/>
    <m/>
    <x v="33"/>
    <m/>
    <m/>
    <m/>
    <m/>
    <s v=""/>
    <m/>
    <m/>
    <m/>
    <m/>
    <m/>
    <m/>
    <m/>
    <m/>
    <m/>
    <m/>
    <m/>
    <m/>
    <m/>
    <m/>
    <m/>
    <m/>
    <m/>
  </r>
  <r>
    <m/>
    <s v="P0222"/>
    <m/>
    <x v="7"/>
    <m/>
    <x v="9"/>
    <m/>
    <m/>
    <m/>
    <m/>
    <m/>
    <m/>
    <m/>
    <m/>
    <m/>
    <s v=""/>
    <m/>
    <m/>
    <m/>
    <m/>
    <m/>
    <m/>
    <m/>
    <m/>
    <m/>
    <m/>
    <m/>
    <m/>
    <m/>
    <m/>
    <x v="33"/>
    <m/>
    <m/>
    <m/>
    <m/>
    <s v=""/>
    <m/>
    <m/>
    <m/>
    <m/>
    <m/>
    <m/>
    <m/>
    <m/>
    <m/>
    <m/>
    <m/>
    <m/>
    <m/>
    <m/>
    <m/>
    <m/>
    <m/>
  </r>
  <r>
    <m/>
    <s v="P0223"/>
    <m/>
    <x v="7"/>
    <m/>
    <x v="9"/>
    <m/>
    <m/>
    <m/>
    <m/>
    <m/>
    <m/>
    <m/>
    <m/>
    <m/>
    <s v=""/>
    <m/>
    <m/>
    <m/>
    <m/>
    <m/>
    <m/>
    <m/>
    <m/>
    <m/>
    <m/>
    <m/>
    <m/>
    <m/>
    <m/>
    <x v="33"/>
    <m/>
    <m/>
    <m/>
    <m/>
    <s v=""/>
    <m/>
    <m/>
    <m/>
    <m/>
    <m/>
    <m/>
    <m/>
    <m/>
    <m/>
    <m/>
    <m/>
    <m/>
    <m/>
    <m/>
    <m/>
    <m/>
    <m/>
  </r>
  <r>
    <m/>
    <s v="P0224"/>
    <m/>
    <x v="7"/>
    <m/>
    <x v="9"/>
    <m/>
    <m/>
    <m/>
    <m/>
    <m/>
    <m/>
    <m/>
    <m/>
    <m/>
    <s v=""/>
    <m/>
    <m/>
    <m/>
    <m/>
    <m/>
    <m/>
    <m/>
    <m/>
    <m/>
    <m/>
    <m/>
    <m/>
    <m/>
    <m/>
    <x v="33"/>
    <m/>
    <m/>
    <m/>
    <m/>
    <s v=""/>
    <m/>
    <m/>
    <m/>
    <m/>
    <m/>
    <m/>
    <m/>
    <m/>
    <m/>
    <m/>
    <m/>
    <m/>
    <m/>
    <m/>
    <m/>
    <m/>
    <m/>
  </r>
  <r>
    <m/>
    <s v="P0225"/>
    <m/>
    <x v="7"/>
    <m/>
    <x v="9"/>
    <m/>
    <m/>
    <m/>
    <m/>
    <m/>
    <m/>
    <m/>
    <m/>
    <m/>
    <s v=""/>
    <m/>
    <m/>
    <m/>
    <m/>
    <m/>
    <m/>
    <m/>
    <m/>
    <m/>
    <m/>
    <m/>
    <m/>
    <m/>
    <m/>
    <x v="33"/>
    <m/>
    <m/>
    <m/>
    <m/>
    <s v=""/>
    <m/>
    <m/>
    <m/>
    <m/>
    <m/>
    <m/>
    <m/>
    <m/>
    <m/>
    <m/>
    <m/>
    <m/>
    <m/>
    <m/>
    <m/>
    <m/>
    <m/>
  </r>
  <r>
    <m/>
    <s v="P0226"/>
    <m/>
    <x v="7"/>
    <m/>
    <x v="9"/>
    <m/>
    <m/>
    <m/>
    <m/>
    <m/>
    <m/>
    <m/>
    <m/>
    <m/>
    <s v=""/>
    <m/>
    <m/>
    <m/>
    <m/>
    <m/>
    <m/>
    <m/>
    <m/>
    <m/>
    <m/>
    <m/>
    <m/>
    <m/>
    <m/>
    <x v="33"/>
    <m/>
    <m/>
    <m/>
    <m/>
    <s v=""/>
    <m/>
    <m/>
    <m/>
    <m/>
    <m/>
    <m/>
    <m/>
    <m/>
    <m/>
    <m/>
    <m/>
    <m/>
    <m/>
    <m/>
    <m/>
    <m/>
    <m/>
  </r>
  <r>
    <m/>
    <s v="P0227"/>
    <m/>
    <x v="7"/>
    <m/>
    <x v="9"/>
    <m/>
    <m/>
    <m/>
    <m/>
    <m/>
    <m/>
    <m/>
    <m/>
    <m/>
    <s v=""/>
    <m/>
    <m/>
    <m/>
    <m/>
    <m/>
    <m/>
    <m/>
    <m/>
    <m/>
    <m/>
    <m/>
    <m/>
    <m/>
    <m/>
    <x v="33"/>
    <m/>
    <m/>
    <m/>
    <m/>
    <s v=""/>
    <m/>
    <m/>
    <m/>
    <m/>
    <m/>
    <m/>
    <m/>
    <m/>
    <m/>
    <m/>
    <m/>
    <m/>
    <m/>
    <m/>
    <m/>
    <m/>
    <m/>
  </r>
  <r>
    <m/>
    <s v="P0228"/>
    <m/>
    <x v="7"/>
    <m/>
    <x v="9"/>
    <m/>
    <m/>
    <m/>
    <m/>
    <m/>
    <m/>
    <m/>
    <m/>
    <m/>
    <s v=""/>
    <m/>
    <m/>
    <m/>
    <m/>
    <m/>
    <m/>
    <m/>
    <m/>
    <m/>
    <m/>
    <m/>
    <m/>
    <m/>
    <m/>
    <x v="33"/>
    <m/>
    <m/>
    <m/>
    <m/>
    <s v=""/>
    <m/>
    <m/>
    <m/>
    <m/>
    <m/>
    <m/>
    <m/>
    <m/>
    <m/>
    <m/>
    <m/>
    <m/>
    <m/>
    <m/>
    <m/>
    <m/>
    <m/>
  </r>
  <r>
    <m/>
    <s v="P0229"/>
    <m/>
    <x v="7"/>
    <m/>
    <x v="9"/>
    <m/>
    <m/>
    <m/>
    <m/>
    <m/>
    <m/>
    <m/>
    <m/>
    <m/>
    <s v=""/>
    <m/>
    <m/>
    <m/>
    <m/>
    <m/>
    <m/>
    <m/>
    <m/>
    <m/>
    <m/>
    <m/>
    <m/>
    <m/>
    <m/>
    <x v="33"/>
    <m/>
    <m/>
    <m/>
    <m/>
    <s v=""/>
    <m/>
    <m/>
    <m/>
    <m/>
    <m/>
    <m/>
    <m/>
    <m/>
    <m/>
    <m/>
    <m/>
    <m/>
    <m/>
    <m/>
    <m/>
    <m/>
    <m/>
  </r>
  <r>
    <m/>
    <s v="P0230"/>
    <m/>
    <x v="7"/>
    <m/>
    <x v="9"/>
    <m/>
    <m/>
    <m/>
    <m/>
    <m/>
    <m/>
    <m/>
    <m/>
    <m/>
    <s v=""/>
    <m/>
    <m/>
    <m/>
    <m/>
    <m/>
    <m/>
    <m/>
    <m/>
    <m/>
    <m/>
    <m/>
    <m/>
    <m/>
    <m/>
    <x v="33"/>
    <m/>
    <m/>
    <m/>
    <m/>
    <s v=""/>
    <m/>
    <m/>
    <m/>
    <m/>
    <m/>
    <m/>
    <m/>
    <m/>
    <m/>
    <m/>
    <m/>
    <m/>
    <m/>
    <m/>
    <m/>
    <m/>
    <m/>
  </r>
  <r>
    <m/>
    <s v="P0231"/>
    <m/>
    <x v="7"/>
    <m/>
    <x v="9"/>
    <m/>
    <m/>
    <m/>
    <m/>
    <m/>
    <m/>
    <m/>
    <m/>
    <m/>
    <s v=""/>
    <m/>
    <m/>
    <m/>
    <m/>
    <m/>
    <m/>
    <m/>
    <m/>
    <m/>
    <m/>
    <m/>
    <m/>
    <m/>
    <m/>
    <x v="33"/>
    <m/>
    <m/>
    <m/>
    <m/>
    <s v=""/>
    <m/>
    <m/>
    <m/>
    <m/>
    <m/>
    <m/>
    <m/>
    <m/>
    <m/>
    <m/>
    <m/>
    <m/>
    <m/>
    <m/>
    <m/>
    <m/>
    <m/>
  </r>
  <r>
    <m/>
    <s v="P0232"/>
    <m/>
    <x v="7"/>
    <m/>
    <x v="9"/>
    <m/>
    <m/>
    <m/>
    <m/>
    <m/>
    <m/>
    <m/>
    <m/>
    <m/>
    <s v=""/>
    <m/>
    <m/>
    <m/>
    <m/>
    <m/>
    <m/>
    <m/>
    <m/>
    <m/>
    <m/>
    <m/>
    <m/>
    <m/>
    <m/>
    <x v="33"/>
    <m/>
    <m/>
    <m/>
    <m/>
    <s v=""/>
    <m/>
    <m/>
    <m/>
    <m/>
    <m/>
    <m/>
    <m/>
    <m/>
    <m/>
    <m/>
    <m/>
    <m/>
    <m/>
    <m/>
    <m/>
    <m/>
    <m/>
  </r>
  <r>
    <m/>
    <s v="P0233"/>
    <m/>
    <x v="7"/>
    <m/>
    <x v="9"/>
    <m/>
    <m/>
    <m/>
    <m/>
    <m/>
    <m/>
    <m/>
    <m/>
    <m/>
    <s v=""/>
    <m/>
    <m/>
    <m/>
    <m/>
    <m/>
    <m/>
    <m/>
    <m/>
    <m/>
    <m/>
    <m/>
    <m/>
    <m/>
    <m/>
    <x v="33"/>
    <m/>
    <m/>
    <m/>
    <m/>
    <s v=""/>
    <m/>
    <m/>
    <m/>
    <m/>
    <m/>
    <m/>
    <m/>
    <m/>
    <m/>
    <m/>
    <m/>
    <m/>
    <m/>
    <m/>
    <m/>
    <m/>
    <m/>
  </r>
  <r>
    <m/>
    <s v="P0234"/>
    <s v="FATIMA"/>
    <x v="7"/>
    <m/>
    <x v="9"/>
    <s v="+55 21 96662 5685"/>
    <m/>
    <m/>
    <m/>
    <m/>
    <m/>
    <m/>
    <m/>
    <m/>
    <n v="900"/>
    <n v="1296"/>
    <n v="1242"/>
    <n v="1037"/>
    <n v="961"/>
    <n v="756"/>
    <n v="648"/>
    <n v="648"/>
    <n v="724"/>
    <n v="756"/>
    <n v="788"/>
    <n v="864"/>
    <n v="1080"/>
    <m/>
    <m/>
    <x v="33"/>
    <m/>
    <m/>
    <m/>
    <m/>
    <s v=""/>
    <m/>
    <m/>
    <m/>
    <m/>
    <m/>
    <m/>
    <m/>
    <m/>
    <m/>
    <m/>
    <m/>
    <m/>
    <m/>
    <m/>
    <m/>
    <m/>
    <m/>
  </r>
  <r>
    <m/>
    <s v="P0235"/>
    <m/>
    <x v="7"/>
    <m/>
    <x v="9"/>
    <m/>
    <m/>
    <m/>
    <m/>
    <m/>
    <m/>
    <m/>
    <m/>
    <m/>
    <s v=""/>
    <m/>
    <m/>
    <m/>
    <m/>
    <m/>
    <m/>
    <m/>
    <m/>
    <m/>
    <m/>
    <m/>
    <m/>
    <m/>
    <m/>
    <x v="33"/>
    <m/>
    <m/>
    <m/>
    <m/>
    <s v=""/>
    <m/>
    <m/>
    <m/>
    <m/>
    <m/>
    <m/>
    <m/>
    <m/>
    <m/>
    <m/>
    <m/>
    <m/>
    <m/>
    <m/>
    <m/>
    <m/>
    <m/>
  </r>
  <r>
    <m/>
    <s v="P0236"/>
    <m/>
    <x v="7"/>
    <m/>
    <x v="9"/>
    <m/>
    <m/>
    <m/>
    <m/>
    <m/>
    <m/>
    <m/>
    <m/>
    <m/>
    <s v=""/>
    <m/>
    <m/>
    <m/>
    <m/>
    <m/>
    <m/>
    <m/>
    <m/>
    <m/>
    <m/>
    <m/>
    <m/>
    <m/>
    <m/>
    <x v="33"/>
    <m/>
    <m/>
    <m/>
    <m/>
    <s v=""/>
    <m/>
    <m/>
    <m/>
    <m/>
    <m/>
    <m/>
    <m/>
    <m/>
    <m/>
    <m/>
    <m/>
    <m/>
    <m/>
    <m/>
    <m/>
    <m/>
    <m/>
  </r>
  <r>
    <m/>
    <s v="P0237"/>
    <s v="CADU GAMA"/>
    <x v="5"/>
    <d v="2023-10-27T00:00:00"/>
    <x v="0"/>
    <s v="(21) 98157-4767"/>
    <s v="RUA ARATICUM SN LT 24 QD 2"/>
    <n v="22753501"/>
    <s v="RJ"/>
    <s v="RIO DE JANEIRO"/>
    <s v="ANIL"/>
    <s v="Light"/>
    <s v="B1 - Residencial"/>
    <s v="Trifásico"/>
    <n v="1000"/>
    <n v="1440"/>
    <n v="1380"/>
    <n v="1152"/>
    <n v="1068"/>
    <n v="840"/>
    <n v="720"/>
    <n v="720"/>
    <n v="804"/>
    <n v="840"/>
    <n v="876"/>
    <n v="960"/>
    <n v="1200"/>
    <s v="Junto a Carga"/>
    <s v="RESIDENCIAL"/>
    <x v="33"/>
    <m/>
    <m/>
    <m/>
    <m/>
    <s v=""/>
    <m/>
    <m/>
    <m/>
    <s v="Veio através do grupo do condomínio do bosque dos esquilos. Esta finalizando a obra na rua araticum e irá se mudar._x000a__x000a_Falou para não considerar o consumo da fatura e usar uma estimativa de 1.000kWh/mês (disse não ter ideia exata do consumo)._x000a__x000a_Pediu para passar lá algum dia pela manhã que fica trabalhando de home na casa. _x000a__x000a_Agendado visita segunda feira dia 30/10/23"/>
    <m/>
    <m/>
    <m/>
    <m/>
    <m/>
    <m/>
    <m/>
    <m/>
    <m/>
    <m/>
    <m/>
    <m/>
    <m/>
  </r>
  <r>
    <m/>
    <s v="P0238"/>
    <m/>
    <x v="7"/>
    <m/>
    <x v="9"/>
    <m/>
    <m/>
    <m/>
    <m/>
    <m/>
    <m/>
    <m/>
    <m/>
    <m/>
    <s v=""/>
    <m/>
    <m/>
    <m/>
    <m/>
    <m/>
    <m/>
    <m/>
    <m/>
    <m/>
    <m/>
    <m/>
    <m/>
    <m/>
    <m/>
    <x v="33"/>
    <m/>
    <m/>
    <m/>
    <m/>
    <s v=""/>
    <m/>
    <m/>
    <m/>
    <m/>
    <m/>
    <m/>
    <m/>
    <m/>
    <m/>
    <m/>
    <m/>
    <m/>
    <m/>
    <m/>
    <m/>
    <m/>
    <m/>
  </r>
  <r>
    <m/>
    <s v="P0239"/>
    <m/>
    <x v="7"/>
    <m/>
    <x v="9"/>
    <m/>
    <m/>
    <m/>
    <m/>
    <m/>
    <m/>
    <m/>
    <m/>
    <m/>
    <s v=""/>
    <m/>
    <m/>
    <m/>
    <m/>
    <m/>
    <m/>
    <m/>
    <m/>
    <m/>
    <m/>
    <m/>
    <m/>
    <m/>
    <m/>
    <x v="33"/>
    <m/>
    <m/>
    <m/>
    <m/>
    <s v=""/>
    <m/>
    <m/>
    <m/>
    <m/>
    <m/>
    <m/>
    <m/>
    <m/>
    <m/>
    <m/>
    <m/>
    <m/>
    <m/>
    <m/>
    <m/>
    <m/>
    <m/>
  </r>
  <r>
    <m/>
    <s v="P0240"/>
    <m/>
    <x v="7"/>
    <m/>
    <x v="9"/>
    <m/>
    <m/>
    <m/>
    <m/>
    <m/>
    <m/>
    <m/>
    <m/>
    <m/>
    <s v=""/>
    <m/>
    <m/>
    <m/>
    <m/>
    <m/>
    <m/>
    <m/>
    <m/>
    <m/>
    <m/>
    <m/>
    <m/>
    <m/>
    <m/>
    <x v="33"/>
    <m/>
    <m/>
    <m/>
    <m/>
    <s v=""/>
    <m/>
    <m/>
    <m/>
    <m/>
    <m/>
    <m/>
    <m/>
    <m/>
    <m/>
    <m/>
    <m/>
    <m/>
    <m/>
    <m/>
    <m/>
    <m/>
    <m/>
  </r>
  <r>
    <m/>
    <s v="P0241"/>
    <m/>
    <x v="7"/>
    <m/>
    <x v="9"/>
    <m/>
    <m/>
    <m/>
    <m/>
    <m/>
    <m/>
    <m/>
    <m/>
    <m/>
    <s v=""/>
    <m/>
    <m/>
    <m/>
    <m/>
    <m/>
    <m/>
    <m/>
    <m/>
    <m/>
    <m/>
    <m/>
    <m/>
    <m/>
    <m/>
    <x v="33"/>
    <m/>
    <m/>
    <m/>
    <m/>
    <s v=""/>
    <m/>
    <m/>
    <m/>
    <m/>
    <m/>
    <m/>
    <m/>
    <m/>
    <m/>
    <m/>
    <m/>
    <m/>
    <m/>
    <m/>
    <m/>
    <m/>
    <m/>
  </r>
  <r>
    <m/>
    <s v="P0242"/>
    <s v="CARLOS HENRIQUE FIGUEIREDO ALVES"/>
    <x v="5"/>
    <d v="2023-10-30T00:00:00"/>
    <x v="0"/>
    <s v="(21) 98860-8080"/>
    <s v="RUA ARATICUM SN LT 24 QD 2"/>
    <n v="22753501"/>
    <s v="RJ"/>
    <s v="RIO DE JANEIRO"/>
    <s v="ANIL"/>
    <s v="Light"/>
    <s v="B1 - Residencial"/>
    <s v="Trifásico"/>
    <n v="1000"/>
    <n v="1440"/>
    <n v="1380"/>
    <n v="1152"/>
    <n v="1068"/>
    <n v="840"/>
    <n v="720"/>
    <n v="720"/>
    <n v="804"/>
    <n v="840"/>
    <n v="876"/>
    <n v="960"/>
    <n v="1200"/>
    <s v="Junto a Carga"/>
    <s v="RESIDENCIAL"/>
    <x v="33"/>
    <m/>
    <m/>
    <m/>
    <m/>
    <s v=""/>
    <m/>
    <m/>
    <m/>
    <s v="Vizinho do P0237 - CADU, estava realizando a VT nele e solicitou uma visita também"/>
    <m/>
    <m/>
    <m/>
    <m/>
    <m/>
    <m/>
    <m/>
    <m/>
    <m/>
    <m/>
    <m/>
    <m/>
    <m/>
  </r>
  <r>
    <m/>
    <s v="P0243"/>
    <m/>
    <x v="7"/>
    <m/>
    <x v="9"/>
    <m/>
    <m/>
    <m/>
    <m/>
    <m/>
    <m/>
    <m/>
    <m/>
    <m/>
    <m/>
    <m/>
    <m/>
    <m/>
    <m/>
    <m/>
    <m/>
    <m/>
    <m/>
    <m/>
    <m/>
    <m/>
    <m/>
    <m/>
    <m/>
    <x v="33"/>
    <m/>
    <m/>
    <m/>
    <m/>
    <s v=""/>
    <m/>
    <m/>
    <m/>
    <m/>
    <n v="1380"/>
    <n v="1152"/>
    <n v="1068"/>
    <n v="840"/>
    <n v="720"/>
    <n v="720"/>
    <n v="804"/>
    <n v="840"/>
    <n v="876"/>
    <n v="960"/>
    <n v="1200"/>
    <s v="Junto a Carga"/>
    <s v="RESIDENCIAL"/>
  </r>
  <r>
    <m/>
    <s v="P0244"/>
    <m/>
    <x v="7"/>
    <m/>
    <x v="9"/>
    <m/>
    <m/>
    <m/>
    <m/>
    <m/>
    <m/>
    <m/>
    <m/>
    <m/>
    <s v=""/>
    <m/>
    <m/>
    <m/>
    <m/>
    <m/>
    <m/>
    <m/>
    <m/>
    <m/>
    <m/>
    <m/>
    <m/>
    <m/>
    <m/>
    <x v="33"/>
    <m/>
    <m/>
    <m/>
    <m/>
    <s v=""/>
    <m/>
    <m/>
    <m/>
    <m/>
    <m/>
    <m/>
    <m/>
    <m/>
    <m/>
    <m/>
    <m/>
    <m/>
    <m/>
    <m/>
    <m/>
    <m/>
    <m/>
  </r>
  <r>
    <m/>
    <s v="P0245"/>
    <m/>
    <x v="7"/>
    <m/>
    <x v="9"/>
    <m/>
    <m/>
    <m/>
    <m/>
    <m/>
    <m/>
    <m/>
    <m/>
    <m/>
    <s v=""/>
    <m/>
    <m/>
    <m/>
    <m/>
    <m/>
    <m/>
    <m/>
    <m/>
    <m/>
    <m/>
    <m/>
    <m/>
    <m/>
    <m/>
    <x v="33"/>
    <m/>
    <m/>
    <m/>
    <m/>
    <s v=""/>
    <m/>
    <m/>
    <m/>
    <m/>
    <m/>
    <m/>
    <m/>
    <m/>
    <m/>
    <m/>
    <m/>
    <m/>
    <m/>
    <m/>
    <m/>
    <m/>
    <m/>
  </r>
  <r>
    <m/>
    <s v="P0246"/>
    <m/>
    <x v="7"/>
    <m/>
    <x v="9"/>
    <m/>
    <m/>
    <m/>
    <m/>
    <m/>
    <m/>
    <m/>
    <m/>
    <m/>
    <s v=""/>
    <m/>
    <m/>
    <m/>
    <m/>
    <m/>
    <m/>
    <m/>
    <m/>
    <m/>
    <m/>
    <m/>
    <m/>
    <m/>
    <m/>
    <x v="33"/>
    <m/>
    <m/>
    <m/>
    <m/>
    <s v=""/>
    <m/>
    <m/>
    <m/>
    <m/>
    <m/>
    <m/>
    <m/>
    <m/>
    <m/>
    <m/>
    <m/>
    <m/>
    <m/>
    <m/>
    <m/>
    <m/>
    <m/>
  </r>
  <r>
    <m/>
    <s v="P0247"/>
    <m/>
    <x v="7"/>
    <m/>
    <x v="9"/>
    <m/>
    <m/>
    <m/>
    <m/>
    <m/>
    <m/>
    <m/>
    <m/>
    <m/>
    <s v=""/>
    <m/>
    <m/>
    <m/>
    <m/>
    <m/>
    <m/>
    <m/>
    <m/>
    <m/>
    <m/>
    <m/>
    <m/>
    <m/>
    <m/>
    <x v="33"/>
    <m/>
    <m/>
    <m/>
    <m/>
    <s v=""/>
    <m/>
    <m/>
    <m/>
    <m/>
    <m/>
    <m/>
    <m/>
    <m/>
    <m/>
    <m/>
    <m/>
    <m/>
    <m/>
    <m/>
    <m/>
    <m/>
    <m/>
  </r>
  <r>
    <m/>
    <s v="P0248"/>
    <m/>
    <x v="7"/>
    <m/>
    <x v="9"/>
    <m/>
    <m/>
    <m/>
    <m/>
    <m/>
    <m/>
    <m/>
    <m/>
    <m/>
    <s v=""/>
    <m/>
    <m/>
    <m/>
    <m/>
    <m/>
    <m/>
    <m/>
    <m/>
    <m/>
    <m/>
    <m/>
    <m/>
    <m/>
    <m/>
    <x v="33"/>
    <m/>
    <m/>
    <m/>
    <m/>
    <s v=""/>
    <m/>
    <m/>
    <m/>
    <m/>
    <m/>
    <m/>
    <m/>
    <m/>
    <m/>
    <m/>
    <m/>
    <m/>
    <m/>
    <m/>
    <m/>
    <m/>
    <m/>
  </r>
  <r>
    <m/>
    <s v="P0249"/>
    <m/>
    <x v="7"/>
    <m/>
    <x v="9"/>
    <m/>
    <m/>
    <m/>
    <m/>
    <m/>
    <m/>
    <m/>
    <m/>
    <m/>
    <s v=""/>
    <m/>
    <m/>
    <m/>
    <m/>
    <m/>
    <m/>
    <m/>
    <m/>
    <m/>
    <m/>
    <m/>
    <m/>
    <m/>
    <m/>
    <x v="33"/>
    <m/>
    <m/>
    <m/>
    <m/>
    <s v=""/>
    <m/>
    <m/>
    <m/>
    <m/>
    <m/>
    <m/>
    <m/>
    <m/>
    <m/>
    <m/>
    <m/>
    <m/>
    <m/>
    <m/>
    <m/>
    <m/>
    <m/>
  </r>
  <r>
    <m/>
    <s v="P0250"/>
    <m/>
    <x v="7"/>
    <m/>
    <x v="9"/>
    <m/>
    <m/>
    <m/>
    <m/>
    <m/>
    <m/>
    <m/>
    <m/>
    <m/>
    <s v=""/>
    <m/>
    <m/>
    <m/>
    <m/>
    <m/>
    <m/>
    <m/>
    <m/>
    <m/>
    <m/>
    <m/>
    <m/>
    <m/>
    <m/>
    <x v="33"/>
    <m/>
    <m/>
    <m/>
    <m/>
    <s v=""/>
    <m/>
    <m/>
    <m/>
    <m/>
    <m/>
    <m/>
    <m/>
    <m/>
    <m/>
    <m/>
    <m/>
    <m/>
    <m/>
    <m/>
    <m/>
    <m/>
    <m/>
  </r>
  <r>
    <m/>
    <s v="P0251"/>
    <m/>
    <x v="7"/>
    <m/>
    <x v="9"/>
    <m/>
    <m/>
    <m/>
    <m/>
    <m/>
    <m/>
    <m/>
    <m/>
    <m/>
    <s v=""/>
    <m/>
    <m/>
    <m/>
    <m/>
    <m/>
    <m/>
    <m/>
    <m/>
    <m/>
    <m/>
    <m/>
    <m/>
    <m/>
    <m/>
    <x v="33"/>
    <m/>
    <m/>
    <m/>
    <m/>
    <s v=""/>
    <m/>
    <m/>
    <m/>
    <m/>
    <m/>
    <m/>
    <m/>
    <m/>
    <m/>
    <m/>
    <m/>
    <m/>
    <m/>
    <m/>
    <m/>
    <m/>
    <m/>
  </r>
  <r>
    <m/>
    <s v="P0252"/>
    <m/>
    <x v="7"/>
    <m/>
    <x v="9"/>
    <m/>
    <m/>
    <m/>
    <m/>
    <m/>
    <m/>
    <m/>
    <m/>
    <m/>
    <s v=""/>
    <m/>
    <m/>
    <m/>
    <m/>
    <m/>
    <m/>
    <m/>
    <m/>
    <m/>
    <m/>
    <m/>
    <m/>
    <m/>
    <m/>
    <x v="33"/>
    <m/>
    <m/>
    <m/>
    <m/>
    <s v=""/>
    <m/>
    <m/>
    <m/>
    <m/>
    <m/>
    <m/>
    <m/>
    <m/>
    <m/>
    <m/>
    <m/>
    <m/>
    <m/>
    <m/>
    <m/>
    <m/>
    <m/>
  </r>
  <r>
    <m/>
    <s v="P0253"/>
    <m/>
    <x v="7"/>
    <m/>
    <x v="9"/>
    <m/>
    <m/>
    <m/>
    <m/>
    <m/>
    <m/>
    <m/>
    <m/>
    <m/>
    <s v=""/>
    <m/>
    <m/>
    <m/>
    <m/>
    <m/>
    <m/>
    <m/>
    <m/>
    <m/>
    <m/>
    <m/>
    <m/>
    <m/>
    <m/>
    <x v="33"/>
    <m/>
    <m/>
    <m/>
    <m/>
    <s v=""/>
    <m/>
    <m/>
    <m/>
    <m/>
    <m/>
    <m/>
    <m/>
    <m/>
    <m/>
    <m/>
    <m/>
    <m/>
    <m/>
    <m/>
    <m/>
    <m/>
    <m/>
  </r>
  <r>
    <m/>
    <s v="P0254"/>
    <m/>
    <x v="7"/>
    <m/>
    <x v="9"/>
    <m/>
    <m/>
    <m/>
    <m/>
    <m/>
    <m/>
    <m/>
    <m/>
    <m/>
    <s v=""/>
    <m/>
    <m/>
    <m/>
    <m/>
    <m/>
    <m/>
    <m/>
    <m/>
    <m/>
    <m/>
    <m/>
    <m/>
    <m/>
    <m/>
    <x v="33"/>
    <m/>
    <m/>
    <m/>
    <m/>
    <s v=""/>
    <m/>
    <m/>
    <m/>
    <m/>
    <m/>
    <m/>
    <m/>
    <m/>
    <m/>
    <m/>
    <m/>
    <m/>
    <m/>
    <m/>
    <m/>
    <m/>
    <m/>
  </r>
  <r>
    <m/>
    <s v="P0255"/>
    <m/>
    <x v="7"/>
    <m/>
    <x v="9"/>
    <m/>
    <m/>
    <m/>
    <m/>
    <m/>
    <m/>
    <m/>
    <m/>
    <m/>
    <s v=""/>
    <m/>
    <m/>
    <m/>
    <m/>
    <m/>
    <m/>
    <m/>
    <m/>
    <m/>
    <m/>
    <m/>
    <m/>
    <m/>
    <m/>
    <x v="33"/>
    <m/>
    <m/>
    <m/>
    <m/>
    <s v=""/>
    <m/>
    <m/>
    <m/>
    <m/>
    <m/>
    <m/>
    <m/>
    <m/>
    <m/>
    <m/>
    <m/>
    <m/>
    <m/>
    <m/>
    <m/>
    <m/>
    <m/>
  </r>
  <r>
    <m/>
    <s v="P0256"/>
    <m/>
    <x v="7"/>
    <m/>
    <x v="9"/>
    <m/>
    <m/>
    <m/>
    <m/>
    <m/>
    <m/>
    <m/>
    <m/>
    <m/>
    <s v=""/>
    <m/>
    <m/>
    <m/>
    <m/>
    <m/>
    <m/>
    <m/>
    <m/>
    <m/>
    <m/>
    <m/>
    <m/>
    <m/>
    <m/>
    <x v="33"/>
    <m/>
    <m/>
    <m/>
    <m/>
    <s v=""/>
    <m/>
    <m/>
    <m/>
    <m/>
    <m/>
    <m/>
    <m/>
    <m/>
    <m/>
    <m/>
    <m/>
    <m/>
    <m/>
    <m/>
    <m/>
    <m/>
    <m/>
  </r>
  <r>
    <m/>
    <s v="P0257"/>
    <m/>
    <x v="7"/>
    <m/>
    <x v="9"/>
    <m/>
    <m/>
    <m/>
    <m/>
    <m/>
    <m/>
    <m/>
    <m/>
    <m/>
    <s v=""/>
    <m/>
    <m/>
    <m/>
    <m/>
    <m/>
    <m/>
    <m/>
    <m/>
    <m/>
    <m/>
    <m/>
    <m/>
    <m/>
    <m/>
    <x v="33"/>
    <m/>
    <m/>
    <m/>
    <m/>
    <s v=""/>
    <m/>
    <m/>
    <m/>
    <m/>
    <m/>
    <m/>
    <m/>
    <m/>
    <m/>
    <m/>
    <m/>
    <m/>
    <m/>
    <m/>
    <m/>
    <m/>
    <m/>
  </r>
  <r>
    <m/>
    <s v="P0258"/>
    <m/>
    <x v="7"/>
    <m/>
    <x v="9"/>
    <m/>
    <m/>
    <m/>
    <m/>
    <m/>
    <m/>
    <m/>
    <m/>
    <m/>
    <s v=""/>
    <m/>
    <m/>
    <m/>
    <m/>
    <m/>
    <m/>
    <m/>
    <m/>
    <m/>
    <m/>
    <m/>
    <m/>
    <m/>
    <m/>
    <x v="33"/>
    <m/>
    <m/>
    <m/>
    <m/>
    <s v=""/>
    <m/>
    <m/>
    <m/>
    <m/>
    <m/>
    <m/>
    <m/>
    <m/>
    <m/>
    <m/>
    <m/>
    <m/>
    <m/>
    <m/>
    <m/>
    <m/>
    <m/>
  </r>
  <r>
    <m/>
    <s v="P0259"/>
    <m/>
    <x v="7"/>
    <m/>
    <x v="9"/>
    <m/>
    <m/>
    <m/>
    <m/>
    <m/>
    <m/>
    <m/>
    <m/>
    <m/>
    <s v=""/>
    <m/>
    <m/>
    <m/>
    <m/>
    <m/>
    <m/>
    <m/>
    <m/>
    <m/>
    <m/>
    <m/>
    <m/>
    <m/>
    <m/>
    <x v="33"/>
    <m/>
    <m/>
    <m/>
    <m/>
    <s v=""/>
    <m/>
    <m/>
    <m/>
    <m/>
    <m/>
    <m/>
    <m/>
    <m/>
    <m/>
    <m/>
    <m/>
    <m/>
    <m/>
    <m/>
    <m/>
    <m/>
    <m/>
  </r>
  <r>
    <m/>
    <s v="P0260"/>
    <m/>
    <x v="7"/>
    <m/>
    <x v="9"/>
    <m/>
    <m/>
    <m/>
    <m/>
    <m/>
    <m/>
    <m/>
    <m/>
    <m/>
    <s v=""/>
    <m/>
    <m/>
    <m/>
    <m/>
    <m/>
    <m/>
    <m/>
    <m/>
    <m/>
    <m/>
    <m/>
    <m/>
    <m/>
    <m/>
    <x v="33"/>
    <m/>
    <m/>
    <m/>
    <m/>
    <s v=""/>
    <m/>
    <m/>
    <m/>
    <m/>
    <m/>
    <m/>
    <m/>
    <m/>
    <m/>
    <m/>
    <m/>
    <m/>
    <m/>
    <m/>
    <m/>
    <m/>
    <m/>
  </r>
  <r>
    <m/>
    <s v="P0261"/>
    <m/>
    <x v="7"/>
    <m/>
    <x v="9"/>
    <m/>
    <m/>
    <m/>
    <m/>
    <m/>
    <m/>
    <m/>
    <m/>
    <m/>
    <s v=""/>
    <m/>
    <m/>
    <m/>
    <m/>
    <m/>
    <m/>
    <m/>
    <m/>
    <m/>
    <m/>
    <m/>
    <m/>
    <m/>
    <m/>
    <x v="33"/>
    <m/>
    <m/>
    <m/>
    <m/>
    <s v=""/>
    <m/>
    <m/>
    <m/>
    <m/>
    <m/>
    <m/>
    <m/>
    <m/>
    <m/>
    <m/>
    <m/>
    <m/>
    <m/>
    <m/>
    <m/>
    <m/>
    <m/>
  </r>
  <r>
    <m/>
    <s v="P0262"/>
    <m/>
    <x v="7"/>
    <m/>
    <x v="9"/>
    <m/>
    <m/>
    <m/>
    <m/>
    <m/>
    <m/>
    <m/>
    <m/>
    <m/>
    <s v=""/>
    <m/>
    <m/>
    <m/>
    <m/>
    <m/>
    <m/>
    <m/>
    <m/>
    <m/>
    <m/>
    <m/>
    <m/>
    <m/>
    <m/>
    <x v="33"/>
    <m/>
    <m/>
    <m/>
    <m/>
    <s v=""/>
    <m/>
    <m/>
    <m/>
    <m/>
    <m/>
    <m/>
    <m/>
    <m/>
    <m/>
    <m/>
    <m/>
    <m/>
    <m/>
    <m/>
    <m/>
    <m/>
    <m/>
  </r>
  <r>
    <m/>
    <s v="P0263"/>
    <m/>
    <x v="7"/>
    <m/>
    <x v="9"/>
    <m/>
    <m/>
    <m/>
    <m/>
    <m/>
    <m/>
    <m/>
    <m/>
    <m/>
    <s v=""/>
    <m/>
    <m/>
    <m/>
    <m/>
    <m/>
    <m/>
    <m/>
    <m/>
    <m/>
    <m/>
    <m/>
    <m/>
    <m/>
    <m/>
    <x v="33"/>
    <m/>
    <m/>
    <m/>
    <m/>
    <s v=""/>
    <m/>
    <m/>
    <m/>
    <m/>
    <m/>
    <m/>
    <m/>
    <m/>
    <m/>
    <m/>
    <m/>
    <m/>
    <m/>
    <m/>
    <m/>
    <m/>
    <m/>
  </r>
  <r>
    <m/>
    <s v="P0264"/>
    <m/>
    <x v="7"/>
    <m/>
    <x v="9"/>
    <m/>
    <m/>
    <m/>
    <m/>
    <m/>
    <m/>
    <m/>
    <m/>
    <m/>
    <s v=""/>
    <m/>
    <m/>
    <m/>
    <m/>
    <m/>
    <m/>
    <m/>
    <m/>
    <m/>
    <m/>
    <m/>
    <m/>
    <m/>
    <m/>
    <x v="33"/>
    <m/>
    <m/>
    <m/>
    <m/>
    <s v=""/>
    <m/>
    <m/>
    <m/>
    <m/>
    <m/>
    <m/>
    <m/>
    <m/>
    <m/>
    <m/>
    <m/>
    <m/>
    <m/>
    <m/>
    <m/>
    <m/>
    <m/>
  </r>
  <r>
    <m/>
    <s v="P0265"/>
    <m/>
    <x v="7"/>
    <m/>
    <x v="9"/>
    <m/>
    <m/>
    <m/>
    <m/>
    <m/>
    <m/>
    <m/>
    <m/>
    <m/>
    <s v=""/>
    <m/>
    <m/>
    <m/>
    <m/>
    <m/>
    <m/>
    <m/>
    <m/>
    <m/>
    <m/>
    <m/>
    <m/>
    <m/>
    <m/>
    <x v="33"/>
    <m/>
    <m/>
    <m/>
    <m/>
    <s v=""/>
    <m/>
    <m/>
    <m/>
    <m/>
    <m/>
    <m/>
    <m/>
    <m/>
    <m/>
    <m/>
    <m/>
    <m/>
    <m/>
    <m/>
    <m/>
    <m/>
    <m/>
  </r>
  <r>
    <m/>
    <s v="P0266"/>
    <m/>
    <x v="7"/>
    <m/>
    <x v="9"/>
    <m/>
    <m/>
    <m/>
    <m/>
    <m/>
    <m/>
    <m/>
    <m/>
    <m/>
    <s v=""/>
    <m/>
    <m/>
    <m/>
    <m/>
    <m/>
    <m/>
    <m/>
    <m/>
    <m/>
    <m/>
    <m/>
    <m/>
    <m/>
    <m/>
    <x v="33"/>
    <m/>
    <m/>
    <m/>
    <m/>
    <s v=""/>
    <m/>
    <m/>
    <m/>
    <m/>
    <m/>
    <m/>
    <m/>
    <m/>
    <m/>
    <m/>
    <m/>
    <m/>
    <m/>
    <m/>
    <m/>
    <m/>
    <m/>
  </r>
  <r>
    <m/>
    <s v="P0267"/>
    <m/>
    <x v="7"/>
    <m/>
    <x v="9"/>
    <m/>
    <m/>
    <m/>
    <m/>
    <m/>
    <m/>
    <m/>
    <m/>
    <m/>
    <s v=""/>
    <m/>
    <m/>
    <m/>
    <m/>
    <m/>
    <m/>
    <m/>
    <m/>
    <m/>
    <m/>
    <m/>
    <m/>
    <m/>
    <m/>
    <x v="33"/>
    <m/>
    <m/>
    <m/>
    <m/>
    <s v=""/>
    <m/>
    <m/>
    <m/>
    <m/>
    <m/>
    <m/>
    <m/>
    <m/>
    <m/>
    <m/>
    <m/>
    <m/>
    <m/>
    <m/>
    <m/>
    <m/>
    <m/>
  </r>
  <r>
    <m/>
    <s v="P0268"/>
    <m/>
    <x v="7"/>
    <m/>
    <x v="9"/>
    <m/>
    <m/>
    <m/>
    <m/>
    <m/>
    <m/>
    <m/>
    <m/>
    <m/>
    <s v=""/>
    <m/>
    <m/>
    <m/>
    <m/>
    <m/>
    <m/>
    <m/>
    <m/>
    <m/>
    <m/>
    <m/>
    <m/>
    <m/>
    <m/>
    <x v="33"/>
    <m/>
    <m/>
    <m/>
    <m/>
    <s v=""/>
    <m/>
    <m/>
    <m/>
    <m/>
    <m/>
    <m/>
    <m/>
    <m/>
    <m/>
    <m/>
    <m/>
    <m/>
    <m/>
    <m/>
    <m/>
    <m/>
    <m/>
  </r>
  <r>
    <m/>
    <s v="P0269"/>
    <m/>
    <x v="7"/>
    <m/>
    <x v="9"/>
    <m/>
    <m/>
    <m/>
    <m/>
    <m/>
    <m/>
    <m/>
    <m/>
    <m/>
    <s v=""/>
    <m/>
    <m/>
    <m/>
    <m/>
    <m/>
    <m/>
    <m/>
    <m/>
    <m/>
    <m/>
    <m/>
    <m/>
    <m/>
    <m/>
    <x v="33"/>
    <m/>
    <m/>
    <m/>
    <m/>
    <s v=""/>
    <m/>
    <m/>
    <m/>
    <m/>
    <m/>
    <m/>
    <m/>
    <m/>
    <m/>
    <m/>
    <m/>
    <m/>
    <m/>
    <m/>
    <m/>
    <m/>
    <m/>
  </r>
  <r>
    <m/>
    <s v="P0270"/>
    <m/>
    <x v="7"/>
    <m/>
    <x v="9"/>
    <m/>
    <m/>
    <m/>
    <m/>
    <m/>
    <m/>
    <m/>
    <m/>
    <m/>
    <s v=""/>
    <m/>
    <m/>
    <m/>
    <m/>
    <m/>
    <m/>
    <m/>
    <m/>
    <m/>
    <m/>
    <m/>
    <m/>
    <m/>
    <m/>
    <x v="33"/>
    <m/>
    <m/>
    <m/>
    <m/>
    <s v=""/>
    <m/>
    <m/>
    <m/>
    <m/>
    <m/>
    <m/>
    <m/>
    <m/>
    <m/>
    <m/>
    <m/>
    <m/>
    <m/>
    <m/>
    <m/>
    <m/>
    <m/>
  </r>
  <r>
    <m/>
    <s v="P0271"/>
    <m/>
    <x v="7"/>
    <m/>
    <x v="9"/>
    <m/>
    <m/>
    <m/>
    <m/>
    <m/>
    <m/>
    <m/>
    <m/>
    <m/>
    <s v=""/>
    <m/>
    <m/>
    <m/>
    <m/>
    <m/>
    <m/>
    <m/>
    <m/>
    <m/>
    <m/>
    <m/>
    <m/>
    <m/>
    <m/>
    <x v="33"/>
    <m/>
    <m/>
    <m/>
    <m/>
    <s v=""/>
    <m/>
    <m/>
    <m/>
    <m/>
    <m/>
    <m/>
    <m/>
    <m/>
    <m/>
    <m/>
    <m/>
    <m/>
    <m/>
    <m/>
    <m/>
    <m/>
    <m/>
  </r>
  <r>
    <m/>
    <s v="P0272"/>
    <m/>
    <x v="7"/>
    <m/>
    <x v="9"/>
    <m/>
    <m/>
    <m/>
    <m/>
    <m/>
    <m/>
    <m/>
    <m/>
    <m/>
    <s v=""/>
    <m/>
    <m/>
    <m/>
    <m/>
    <m/>
    <m/>
    <m/>
    <m/>
    <m/>
    <m/>
    <m/>
    <m/>
    <m/>
    <m/>
    <x v="33"/>
    <m/>
    <m/>
    <m/>
    <m/>
    <s v=""/>
    <m/>
    <m/>
    <m/>
    <m/>
    <m/>
    <m/>
    <m/>
    <m/>
    <m/>
    <m/>
    <m/>
    <m/>
    <m/>
    <m/>
    <m/>
    <m/>
    <m/>
  </r>
  <r>
    <m/>
    <s v="P0273"/>
    <s v="TAIS EMILIA BRAZ"/>
    <x v="2"/>
    <d v="2023-11-03T00:00:00"/>
    <x v="7"/>
    <s v="+55 21 98756 8525"/>
    <s v="R. Escritor Rodrigo Melo Franco, 160 - 4 1403"/>
    <s v="22783-124"/>
    <s v="RJ"/>
    <s v="RIO DE JANEIRO"/>
    <s v="BARRA DA TIJUCA"/>
    <s v="Light"/>
    <s v="B1 - Residencial"/>
    <s v="Trifásico"/>
    <n v="473.91666666666669"/>
    <n v="436"/>
    <n v="447"/>
    <n v="521"/>
    <n v="577"/>
    <n v="441"/>
    <n v="445"/>
    <n v="497"/>
    <n v="411"/>
    <n v="496"/>
    <n v="468"/>
    <n v="492"/>
    <n v="456"/>
    <s v="Autoconsumo Remoto"/>
    <s v="RESIDENCIAL"/>
    <x v="33"/>
    <m/>
    <m/>
    <m/>
    <m/>
    <s v=""/>
    <m/>
    <m/>
    <m/>
    <m/>
    <m/>
    <m/>
    <m/>
    <m/>
    <m/>
    <m/>
    <m/>
    <m/>
    <m/>
    <m/>
    <m/>
    <m/>
    <m/>
  </r>
  <r>
    <m/>
    <s v="P0274"/>
    <s v="Wellington da Rosa"/>
    <x v="2"/>
    <m/>
    <x v="4"/>
    <n v="21964607983"/>
    <m/>
    <m/>
    <s v="RJ"/>
    <s v="RIO DE JANEIRO"/>
    <m/>
    <s v="Light"/>
    <m/>
    <m/>
    <n v="1200"/>
    <n v="1728"/>
    <n v="1656"/>
    <n v="1382"/>
    <n v="1282"/>
    <n v="1008"/>
    <n v="864"/>
    <n v="864"/>
    <n v="965"/>
    <n v="1008"/>
    <n v="1051"/>
    <n v="1152"/>
    <n v="1440"/>
    <s v="Junto a Carga"/>
    <s v="RESIDENCIAL"/>
    <x v="33"/>
    <m/>
    <m/>
    <m/>
    <m/>
    <s v=""/>
    <m/>
    <m/>
    <m/>
    <m/>
    <m/>
    <m/>
    <m/>
    <m/>
    <m/>
    <m/>
    <m/>
    <m/>
    <m/>
    <m/>
    <m/>
    <m/>
    <m/>
  </r>
  <r>
    <m/>
    <s v="P0275"/>
    <m/>
    <x v="7"/>
    <m/>
    <x v="9"/>
    <m/>
    <m/>
    <m/>
    <m/>
    <m/>
    <m/>
    <m/>
    <m/>
    <m/>
    <s v=""/>
    <m/>
    <m/>
    <m/>
    <m/>
    <m/>
    <m/>
    <m/>
    <m/>
    <m/>
    <m/>
    <m/>
    <m/>
    <m/>
    <m/>
    <x v="33"/>
    <m/>
    <m/>
    <m/>
    <m/>
    <s v=""/>
    <m/>
    <m/>
    <m/>
    <m/>
    <m/>
    <m/>
    <m/>
    <m/>
    <m/>
    <m/>
    <m/>
    <m/>
    <m/>
    <m/>
    <m/>
    <m/>
    <m/>
  </r>
  <r>
    <m/>
    <s v="P0276"/>
    <m/>
    <x v="7"/>
    <m/>
    <x v="9"/>
    <m/>
    <m/>
    <m/>
    <m/>
    <m/>
    <m/>
    <m/>
    <m/>
    <m/>
    <s v=""/>
    <m/>
    <m/>
    <m/>
    <m/>
    <m/>
    <m/>
    <m/>
    <m/>
    <m/>
    <m/>
    <m/>
    <m/>
    <m/>
    <m/>
    <x v="33"/>
    <m/>
    <m/>
    <m/>
    <m/>
    <s v=""/>
    <m/>
    <m/>
    <m/>
    <m/>
    <m/>
    <m/>
    <m/>
    <m/>
    <m/>
    <m/>
    <m/>
    <m/>
    <m/>
    <m/>
    <m/>
    <m/>
    <m/>
  </r>
  <r>
    <m/>
    <s v="P0277"/>
    <s v="VANESSA TEIXEIRA LINS"/>
    <x v="2"/>
    <d v="2023-11-04T00:00:00"/>
    <x v="7"/>
    <s v="+55 21 98809 6922"/>
    <s v="Estr. dos Bandeirantes, 16243"/>
    <s v="22783-118"/>
    <s v="RJ"/>
    <s v="RIO DE JANEIRO"/>
    <s v="VARGEM PEQUENA"/>
    <s v="Light"/>
    <s v="B1 - Residencial"/>
    <s v="Trifásico"/>
    <n v="804.83333333333337"/>
    <n v="589"/>
    <n v="1053"/>
    <n v="1363"/>
    <n v="1162"/>
    <n v="715"/>
    <n v="553"/>
    <n v="516"/>
    <n v="551"/>
    <n v="635"/>
    <n v="788"/>
    <n v="812"/>
    <n v="921"/>
    <s v="Junto à Carga"/>
    <s v="RESIDENCIAL"/>
    <x v="33"/>
    <m/>
    <m/>
    <m/>
    <m/>
    <s v=""/>
    <m/>
    <m/>
    <m/>
    <m/>
    <m/>
    <m/>
    <m/>
    <m/>
    <m/>
    <m/>
    <m/>
    <m/>
    <m/>
    <m/>
    <m/>
    <m/>
    <m/>
  </r>
  <r>
    <m/>
    <s v="P0278"/>
    <m/>
    <x v="7"/>
    <m/>
    <x v="9"/>
    <m/>
    <m/>
    <m/>
    <m/>
    <m/>
    <m/>
    <m/>
    <m/>
    <m/>
    <s v=""/>
    <m/>
    <m/>
    <m/>
    <m/>
    <m/>
    <m/>
    <m/>
    <m/>
    <m/>
    <m/>
    <m/>
    <m/>
    <m/>
    <m/>
    <x v="33"/>
    <m/>
    <m/>
    <m/>
    <m/>
    <s v=""/>
    <m/>
    <m/>
    <m/>
    <m/>
    <m/>
    <m/>
    <m/>
    <m/>
    <m/>
    <m/>
    <m/>
    <m/>
    <m/>
    <m/>
    <m/>
    <m/>
    <m/>
  </r>
  <r>
    <m/>
    <s v="P0279"/>
    <m/>
    <x v="7"/>
    <m/>
    <x v="9"/>
    <m/>
    <m/>
    <m/>
    <m/>
    <m/>
    <m/>
    <m/>
    <m/>
    <m/>
    <s v=""/>
    <m/>
    <m/>
    <m/>
    <m/>
    <m/>
    <m/>
    <m/>
    <m/>
    <m/>
    <m/>
    <m/>
    <m/>
    <m/>
    <m/>
    <x v="33"/>
    <m/>
    <m/>
    <m/>
    <m/>
    <s v=""/>
    <m/>
    <m/>
    <m/>
    <m/>
    <m/>
    <m/>
    <m/>
    <m/>
    <m/>
    <m/>
    <m/>
    <m/>
    <m/>
    <m/>
    <m/>
    <m/>
    <m/>
  </r>
  <r>
    <m/>
    <s v="P0280"/>
    <s v="[FV01] Rocky Garden Brew Cafe"/>
    <x v="7"/>
    <m/>
    <x v="9"/>
    <m/>
    <s v="Estr. União e Indústria, 12708"/>
    <s v="25730-775"/>
    <s v="RJ"/>
    <s v="PETRÓPOLIS"/>
    <s v="ITAIPAVA"/>
    <s v="Enel"/>
    <s v="B1 - Residencial"/>
    <s v="Trifásico"/>
    <n v="2937"/>
    <n v="2800"/>
    <n v="2054"/>
    <n v="3029"/>
    <n v="3372"/>
    <n v="2879"/>
    <n v="2421"/>
    <n v="2630"/>
    <n v="3429"/>
    <n v="2765"/>
    <n v="3348"/>
    <n v="3232"/>
    <n v="3285"/>
    <m/>
    <s v="COMERCIAL"/>
    <x v="33"/>
    <m/>
    <m/>
    <m/>
    <m/>
    <s v=""/>
    <m/>
    <m/>
    <m/>
    <m/>
    <m/>
    <m/>
    <m/>
    <m/>
    <m/>
    <m/>
    <m/>
    <m/>
    <m/>
    <m/>
    <m/>
    <m/>
    <m/>
  </r>
  <r>
    <m/>
    <s v="P0281"/>
    <s v="[FV01] Marcelo Lopes Fuly"/>
    <x v="7"/>
    <m/>
    <x v="9"/>
    <m/>
    <s v="R. Dr. Bernardino, 559 - 1 casa 4 "/>
    <s v="21320-020"/>
    <s v="RJ"/>
    <s v="RIO DE JANEIRO"/>
    <s v="PRACA SECA"/>
    <s v="Light"/>
    <s v="B1 - Residencial"/>
    <s v="Trifásico"/>
    <n v="524.91666666666663"/>
    <n v="706"/>
    <n v="637"/>
    <n v="841"/>
    <n v="498"/>
    <n v="393"/>
    <n v="272"/>
    <n v="263"/>
    <n v="220"/>
    <n v="553"/>
    <n v="434"/>
    <n v="714"/>
    <n v="768"/>
    <s v="Junto à Carga"/>
    <s v="RESIDENCIAL"/>
    <x v="33"/>
    <m/>
    <m/>
    <m/>
    <m/>
    <s v=""/>
    <m/>
    <m/>
    <m/>
    <m/>
    <m/>
    <m/>
    <m/>
    <m/>
    <m/>
    <m/>
    <m/>
    <m/>
    <m/>
    <m/>
    <m/>
    <m/>
    <m/>
  </r>
  <r>
    <m/>
    <s v="P0282"/>
    <m/>
    <x v="7"/>
    <m/>
    <x v="9"/>
    <m/>
    <m/>
    <m/>
    <m/>
    <m/>
    <m/>
    <m/>
    <m/>
    <m/>
    <s v=""/>
    <m/>
    <m/>
    <m/>
    <m/>
    <m/>
    <m/>
    <m/>
    <m/>
    <m/>
    <m/>
    <m/>
    <m/>
    <m/>
    <m/>
    <x v="33"/>
    <m/>
    <m/>
    <m/>
    <m/>
    <s v=""/>
    <m/>
    <m/>
    <m/>
    <m/>
    <m/>
    <m/>
    <m/>
    <m/>
    <m/>
    <m/>
    <m/>
    <m/>
    <m/>
    <m/>
    <m/>
    <m/>
    <m/>
  </r>
  <r>
    <m/>
    <s v="P0283"/>
    <m/>
    <x v="7"/>
    <m/>
    <x v="9"/>
    <m/>
    <m/>
    <m/>
    <m/>
    <m/>
    <m/>
    <m/>
    <m/>
    <m/>
    <s v=""/>
    <m/>
    <m/>
    <m/>
    <m/>
    <m/>
    <m/>
    <m/>
    <m/>
    <m/>
    <m/>
    <m/>
    <m/>
    <m/>
    <m/>
    <x v="33"/>
    <m/>
    <m/>
    <m/>
    <m/>
    <s v=""/>
    <m/>
    <m/>
    <m/>
    <m/>
    <m/>
    <m/>
    <m/>
    <m/>
    <m/>
    <m/>
    <m/>
    <m/>
    <m/>
    <m/>
    <m/>
    <m/>
    <m/>
  </r>
  <r>
    <m/>
    <s v="P0284"/>
    <m/>
    <x v="7"/>
    <m/>
    <x v="9"/>
    <m/>
    <m/>
    <m/>
    <m/>
    <m/>
    <m/>
    <m/>
    <m/>
    <m/>
    <s v=""/>
    <m/>
    <m/>
    <m/>
    <m/>
    <m/>
    <m/>
    <m/>
    <m/>
    <m/>
    <m/>
    <m/>
    <m/>
    <m/>
    <m/>
    <x v="33"/>
    <m/>
    <m/>
    <m/>
    <m/>
    <s v=""/>
    <m/>
    <m/>
    <m/>
    <m/>
    <m/>
    <m/>
    <m/>
    <m/>
    <m/>
    <m/>
    <m/>
    <m/>
    <m/>
    <m/>
    <m/>
    <m/>
    <m/>
  </r>
  <r>
    <m/>
    <s v="P0285"/>
    <m/>
    <x v="7"/>
    <m/>
    <x v="9"/>
    <m/>
    <m/>
    <m/>
    <m/>
    <m/>
    <m/>
    <m/>
    <m/>
    <m/>
    <s v=""/>
    <m/>
    <m/>
    <m/>
    <m/>
    <m/>
    <m/>
    <m/>
    <m/>
    <m/>
    <m/>
    <m/>
    <m/>
    <m/>
    <m/>
    <x v="33"/>
    <m/>
    <m/>
    <m/>
    <m/>
    <s v=""/>
    <m/>
    <m/>
    <m/>
    <m/>
    <m/>
    <m/>
    <m/>
    <m/>
    <m/>
    <m/>
    <m/>
    <m/>
    <m/>
    <m/>
    <m/>
    <m/>
    <m/>
  </r>
  <r>
    <m/>
    <s v="P0286"/>
    <m/>
    <x v="7"/>
    <m/>
    <x v="9"/>
    <m/>
    <m/>
    <m/>
    <m/>
    <m/>
    <m/>
    <m/>
    <m/>
    <m/>
    <s v=""/>
    <m/>
    <m/>
    <m/>
    <m/>
    <m/>
    <m/>
    <m/>
    <m/>
    <m/>
    <m/>
    <m/>
    <m/>
    <m/>
    <m/>
    <x v="33"/>
    <m/>
    <m/>
    <m/>
    <m/>
    <s v=""/>
    <m/>
    <m/>
    <m/>
    <m/>
    <m/>
    <m/>
    <m/>
    <m/>
    <m/>
    <m/>
    <m/>
    <m/>
    <m/>
    <m/>
    <m/>
    <m/>
    <m/>
  </r>
  <r>
    <m/>
    <s v="P0287"/>
    <m/>
    <x v="7"/>
    <m/>
    <x v="9"/>
    <m/>
    <m/>
    <m/>
    <m/>
    <m/>
    <m/>
    <m/>
    <m/>
    <m/>
    <s v=""/>
    <m/>
    <m/>
    <m/>
    <m/>
    <m/>
    <m/>
    <m/>
    <m/>
    <m/>
    <m/>
    <m/>
    <m/>
    <m/>
    <m/>
    <x v="33"/>
    <m/>
    <m/>
    <m/>
    <m/>
    <s v=""/>
    <m/>
    <m/>
    <m/>
    <m/>
    <m/>
    <m/>
    <m/>
    <m/>
    <m/>
    <m/>
    <m/>
    <m/>
    <m/>
    <m/>
    <m/>
    <m/>
    <m/>
  </r>
  <r>
    <m/>
    <s v="P0288"/>
    <m/>
    <x v="7"/>
    <m/>
    <x v="9"/>
    <m/>
    <m/>
    <m/>
    <m/>
    <m/>
    <m/>
    <m/>
    <m/>
    <m/>
    <s v=""/>
    <m/>
    <m/>
    <m/>
    <m/>
    <m/>
    <m/>
    <m/>
    <m/>
    <m/>
    <m/>
    <m/>
    <m/>
    <m/>
    <m/>
    <x v="33"/>
    <m/>
    <m/>
    <m/>
    <m/>
    <s v=""/>
    <m/>
    <m/>
    <m/>
    <m/>
    <m/>
    <m/>
    <m/>
    <m/>
    <m/>
    <m/>
    <m/>
    <m/>
    <m/>
    <m/>
    <m/>
    <m/>
    <m/>
  </r>
  <r>
    <m/>
    <s v="P0289"/>
    <s v="PERNINHA BARBERSHOP"/>
    <x v="2"/>
    <d v="2023-11-17T00:00:00"/>
    <x v="0"/>
    <n v="21988118821"/>
    <s v="EST TRES RIOS 506"/>
    <n v="22745005"/>
    <s v="RJ"/>
    <s v="RIO DE JANEIRO"/>
    <s v="FREGUESIA"/>
    <s v="Light"/>
    <s v="B1 - Residencial"/>
    <s v="Trifásico"/>
    <n v="3024.1666666666665"/>
    <n v="3255"/>
    <n v="3443"/>
    <n v="3536"/>
    <n v="3421"/>
    <n v="1761"/>
    <n v="2219"/>
    <n v="1763"/>
    <n v="2259"/>
    <n v="3050"/>
    <n v="3545"/>
    <n v="3931"/>
    <n v="4107"/>
    <s v="Junto à Carga"/>
    <s v="COMERCIAL"/>
    <x v="33"/>
    <m/>
    <m/>
    <m/>
    <m/>
    <s v=""/>
    <m/>
    <m/>
    <m/>
    <m/>
    <m/>
    <m/>
    <m/>
    <m/>
    <m/>
    <m/>
    <m/>
    <m/>
    <m/>
    <m/>
    <m/>
    <m/>
    <m/>
  </r>
  <r>
    <m/>
    <s v="P0290"/>
    <m/>
    <x v="7"/>
    <m/>
    <x v="9"/>
    <m/>
    <m/>
    <m/>
    <m/>
    <m/>
    <m/>
    <m/>
    <m/>
    <m/>
    <s v=""/>
    <m/>
    <m/>
    <m/>
    <m/>
    <m/>
    <m/>
    <m/>
    <m/>
    <m/>
    <m/>
    <m/>
    <m/>
    <m/>
    <m/>
    <x v="33"/>
    <m/>
    <m/>
    <m/>
    <m/>
    <s v=""/>
    <m/>
    <m/>
    <m/>
    <m/>
    <m/>
    <m/>
    <m/>
    <m/>
    <m/>
    <m/>
    <m/>
    <m/>
    <m/>
    <m/>
    <m/>
    <m/>
    <m/>
  </r>
  <r>
    <m/>
    <s v="P0291"/>
    <m/>
    <x v="7"/>
    <m/>
    <x v="9"/>
    <m/>
    <m/>
    <m/>
    <m/>
    <m/>
    <m/>
    <m/>
    <m/>
    <m/>
    <s v=""/>
    <m/>
    <m/>
    <m/>
    <m/>
    <m/>
    <m/>
    <m/>
    <m/>
    <m/>
    <m/>
    <m/>
    <m/>
    <m/>
    <m/>
    <x v="33"/>
    <m/>
    <m/>
    <m/>
    <m/>
    <s v=""/>
    <m/>
    <m/>
    <m/>
    <m/>
    <m/>
    <m/>
    <m/>
    <m/>
    <m/>
    <m/>
    <m/>
    <m/>
    <m/>
    <m/>
    <m/>
    <m/>
    <m/>
  </r>
  <r>
    <m/>
    <s v="P0292"/>
    <m/>
    <x v="7"/>
    <m/>
    <x v="9"/>
    <m/>
    <m/>
    <m/>
    <m/>
    <m/>
    <m/>
    <m/>
    <m/>
    <m/>
    <s v=""/>
    <m/>
    <m/>
    <m/>
    <m/>
    <m/>
    <m/>
    <m/>
    <m/>
    <m/>
    <m/>
    <m/>
    <m/>
    <m/>
    <m/>
    <x v="33"/>
    <m/>
    <m/>
    <m/>
    <m/>
    <s v=""/>
    <m/>
    <m/>
    <m/>
    <m/>
    <m/>
    <m/>
    <m/>
    <m/>
    <m/>
    <m/>
    <m/>
    <m/>
    <m/>
    <m/>
    <m/>
    <m/>
    <m/>
  </r>
  <r>
    <m/>
    <s v="P0293"/>
    <m/>
    <x v="7"/>
    <m/>
    <x v="9"/>
    <m/>
    <m/>
    <m/>
    <m/>
    <m/>
    <m/>
    <m/>
    <m/>
    <m/>
    <s v=""/>
    <m/>
    <m/>
    <m/>
    <m/>
    <m/>
    <m/>
    <m/>
    <m/>
    <m/>
    <m/>
    <m/>
    <m/>
    <m/>
    <m/>
    <x v="33"/>
    <m/>
    <m/>
    <m/>
    <m/>
    <s v=""/>
    <m/>
    <m/>
    <m/>
    <m/>
    <m/>
    <m/>
    <m/>
    <m/>
    <m/>
    <m/>
    <m/>
    <m/>
    <m/>
    <m/>
    <m/>
    <m/>
    <m/>
  </r>
  <r>
    <m/>
    <s v="P0294"/>
    <m/>
    <x v="7"/>
    <m/>
    <x v="9"/>
    <m/>
    <m/>
    <m/>
    <m/>
    <m/>
    <m/>
    <m/>
    <m/>
    <m/>
    <s v=""/>
    <m/>
    <m/>
    <m/>
    <m/>
    <m/>
    <m/>
    <m/>
    <m/>
    <m/>
    <m/>
    <m/>
    <m/>
    <m/>
    <m/>
    <x v="33"/>
    <m/>
    <m/>
    <m/>
    <m/>
    <s v=""/>
    <m/>
    <m/>
    <m/>
    <m/>
    <m/>
    <m/>
    <m/>
    <m/>
    <m/>
    <m/>
    <m/>
    <m/>
    <m/>
    <m/>
    <m/>
    <m/>
    <m/>
  </r>
  <r>
    <m/>
    <s v="P0295"/>
    <s v="RAQUEL REGLY"/>
    <x v="2"/>
    <d v="2023-12-06T00:00:00"/>
    <x v="0"/>
    <s v="+55 21 97286 8147"/>
    <s v="R. Piauí, 409"/>
    <s v="20770-130"/>
    <s v="RJ"/>
    <s v="RIO DE JANEIRO"/>
    <s v="TODOS OS SANTOS"/>
    <s v="Light"/>
    <s v="B1 - Residencial"/>
    <s v="Trifásico"/>
    <n v="270.25"/>
    <n v="390"/>
    <n v="321"/>
    <n v="358"/>
    <n v="259"/>
    <n v="210"/>
    <n v="161"/>
    <n v="168"/>
    <n v="167"/>
    <n v="226"/>
    <n v="262"/>
    <n v="331"/>
    <n v="390"/>
    <s v="Junto à Carga"/>
    <s v="RESIDENCIAL"/>
    <x v="33"/>
    <m/>
    <m/>
    <m/>
    <m/>
    <s v=""/>
    <m/>
    <m/>
    <m/>
    <m/>
    <m/>
    <m/>
    <m/>
    <m/>
    <m/>
    <m/>
    <m/>
    <m/>
    <m/>
    <m/>
    <m/>
    <m/>
    <m/>
  </r>
  <r>
    <m/>
    <s v="P0296"/>
    <s v="RENATO FERNANDES"/>
    <x v="2"/>
    <d v="2023-12-06T00:00:00"/>
    <x v="4"/>
    <s v="+55 21 98114 1255"/>
    <s v="Av. Célia Ribeiro da Silva Mendes, 500 - 9 301"/>
    <s v="22790-711"/>
    <s v="RJ"/>
    <s v="RIO DE JANEIRO"/>
    <s v="RECREIO DOS BANDEIRANTES"/>
    <s v="Light"/>
    <s v="B1 - Residencial"/>
    <s v="Trifásico"/>
    <n v="761.66666666666663"/>
    <n v="916"/>
    <n v="859"/>
    <n v="1161"/>
    <n v="763"/>
    <n v="759"/>
    <n v="678"/>
    <n v="442"/>
    <n v="622"/>
    <n v="771"/>
    <n v="929"/>
    <n v="475"/>
    <n v="765"/>
    <s v="Junto à Carga"/>
    <s v="RESIDENCIAL"/>
    <x v="33"/>
    <m/>
    <m/>
    <m/>
    <m/>
    <s v=""/>
    <m/>
    <m/>
    <m/>
    <m/>
    <m/>
    <m/>
    <m/>
    <m/>
    <m/>
    <m/>
    <m/>
    <m/>
    <m/>
    <m/>
    <m/>
    <m/>
    <m/>
  </r>
  <r>
    <m/>
    <s v="P0297"/>
    <s v="GABRIELE CUNHA"/>
    <x v="8"/>
    <d v="2023-12-07T00:00:00"/>
    <x v="0"/>
    <s v="+55 21 99788 0142"/>
    <s v="R. Araticum, 1435"/>
    <s v="RJ, 22753-501"/>
    <s v="RJ"/>
    <s v="RIO DE JANEIRO"/>
    <s v="JACAREPAGUA"/>
    <s v="Light"/>
    <s v="B1 - Residencial"/>
    <s v="Trifásico"/>
    <n v="308.66666666666669"/>
    <n v="256"/>
    <n v="320"/>
    <n v="401"/>
    <n v="374"/>
    <n v="263"/>
    <n v="237"/>
    <n v="294"/>
    <n v="250"/>
    <n v="288"/>
    <n v="304"/>
    <n v="349"/>
    <n v="368"/>
    <s v="Junto à Carga"/>
    <s v="RESIDENCIAL"/>
    <x v="33"/>
    <m/>
    <m/>
    <m/>
    <m/>
    <s v=""/>
    <m/>
    <m/>
    <m/>
    <m/>
    <m/>
    <m/>
    <m/>
    <m/>
    <m/>
    <m/>
    <m/>
    <m/>
    <m/>
    <m/>
    <m/>
    <m/>
    <m/>
  </r>
  <r>
    <m/>
    <s v="P0298"/>
    <s v="IAGO DE SOUZA"/>
    <x v="2"/>
    <d v="2024-12-14T00:00:00"/>
    <x v="10"/>
    <s v="+55 21 98171 0760"/>
    <s v="R. Apólo, 65"/>
    <s v="26011-040"/>
    <s v="RJ"/>
    <s v="NOVA IGUAÇU"/>
    <s v="MONTE LIBANO"/>
    <s v="Light"/>
    <s v="B1 - Residencial"/>
    <s v="Trifásico"/>
    <n v="743.75"/>
    <n v="1080"/>
    <n v="1035"/>
    <n v="864"/>
    <n v="825"/>
    <n v="620"/>
    <n v="562"/>
    <n v="418"/>
    <n v="510"/>
    <n v="517"/>
    <n v="700"/>
    <n v="839"/>
    <n v="955"/>
    <s v="Junto à Carga"/>
    <s v="RESIDENCIAL"/>
    <x v="33"/>
    <m/>
    <m/>
    <m/>
    <m/>
    <s v=""/>
    <m/>
    <m/>
    <m/>
    <m/>
    <m/>
    <m/>
    <m/>
    <m/>
    <m/>
    <m/>
    <m/>
    <m/>
    <m/>
    <m/>
    <m/>
    <m/>
    <m/>
  </r>
  <r>
    <m/>
    <s v="P0299"/>
    <s v="MANUEL VIEIRA RIBEIRO"/>
    <x v="2"/>
    <d v="2023-12-12T00:00:00"/>
    <x v="4"/>
    <s v="+55 21 99971 8373"/>
    <s v="R. Barão, 361"/>
    <s v="21321-620"/>
    <s v="RJ"/>
    <s v="RIO DE JANEIRO"/>
    <s v="PRACA SECA"/>
    <s v="Light"/>
    <s v="B1 - Residencial"/>
    <s v="Trifásico"/>
    <n v="330.16666666666669"/>
    <n v="355"/>
    <n v="368"/>
    <n v="427"/>
    <n v="311"/>
    <n v="289"/>
    <n v="246"/>
    <n v="266"/>
    <n v="276"/>
    <n v="323"/>
    <n v="334"/>
    <n v="389"/>
    <n v="378"/>
    <s v="Junto à Carga"/>
    <s v="RESIDENCIAL"/>
    <x v="33"/>
    <m/>
    <m/>
    <m/>
    <m/>
    <s v=""/>
    <m/>
    <m/>
    <m/>
    <m/>
    <m/>
    <m/>
    <m/>
    <m/>
    <m/>
    <m/>
    <m/>
    <m/>
    <m/>
    <m/>
    <m/>
    <m/>
    <m/>
  </r>
  <r>
    <m/>
    <s v="P0300"/>
    <m/>
    <x v="7"/>
    <m/>
    <x v="9"/>
    <m/>
    <m/>
    <m/>
    <m/>
    <m/>
    <m/>
    <m/>
    <m/>
    <m/>
    <s v=""/>
    <m/>
    <m/>
    <m/>
    <m/>
    <m/>
    <m/>
    <m/>
    <m/>
    <m/>
    <m/>
    <m/>
    <m/>
    <m/>
    <m/>
    <x v="33"/>
    <m/>
    <m/>
    <m/>
    <m/>
    <s v=""/>
    <m/>
    <m/>
    <m/>
    <m/>
    <m/>
    <m/>
    <m/>
    <m/>
    <m/>
    <m/>
    <m/>
    <m/>
    <m/>
    <m/>
    <m/>
    <m/>
    <m/>
  </r>
  <r>
    <m/>
    <s v="P0301"/>
    <s v="JÉSSICA CAMPELLO"/>
    <x v="8"/>
    <d v="2024-01-16T00:00:00"/>
    <x v="1"/>
    <s v="+55 21 99924 4912"/>
    <m/>
    <m/>
    <s v="RJ"/>
    <m/>
    <m/>
    <s v="Light"/>
    <m/>
    <m/>
    <n v="899.5"/>
    <n v="1250"/>
    <n v="1242"/>
    <n v="1037"/>
    <n v="961"/>
    <n v="756"/>
    <n v="648"/>
    <n v="648"/>
    <n v="724"/>
    <n v="756"/>
    <n v="788"/>
    <n v="864"/>
    <n v="1120"/>
    <m/>
    <m/>
    <x v="33"/>
    <m/>
    <m/>
    <m/>
    <m/>
    <s v=""/>
    <m/>
    <m/>
    <m/>
    <m/>
    <m/>
    <m/>
    <m/>
    <m/>
    <m/>
    <m/>
    <m/>
    <m/>
    <m/>
    <m/>
    <m/>
    <m/>
    <m/>
  </r>
  <r>
    <m/>
    <s v="P0302"/>
    <s v="MICHELLE EINERT"/>
    <x v="2"/>
    <d v="2024-01-16T00:00:00"/>
    <x v="4"/>
    <s v="+55 21 99550 7454"/>
    <s v="Rua Edgard Werneck, 629"/>
    <s v="22763-197"/>
    <s v="RJ"/>
    <s v="RIO DE JANEIRO"/>
    <s v="PECHINCHA"/>
    <s v="Light"/>
    <s v="B1 - Residencial"/>
    <s v="Trifásico"/>
    <n v="357.33333333333331"/>
    <n v="397"/>
    <n v="397"/>
    <n v="378"/>
    <n v="400"/>
    <n v="366"/>
    <n v="338"/>
    <n v="302"/>
    <n v="312"/>
    <n v="309"/>
    <n v="375"/>
    <n v="317"/>
    <n v="397"/>
    <m/>
    <m/>
    <x v="33"/>
    <m/>
    <m/>
    <m/>
    <m/>
    <s v=""/>
    <m/>
    <m/>
    <m/>
    <m/>
    <m/>
    <m/>
    <m/>
    <m/>
    <m/>
    <m/>
    <m/>
    <m/>
    <m/>
    <m/>
    <m/>
    <m/>
    <m/>
  </r>
  <r>
    <m/>
    <s v="P0303"/>
    <s v="JOSE ADEMIR CARVALHO"/>
    <x v="2"/>
    <d v="2024-01-16T00:00:00"/>
    <x v="1"/>
    <s v="+55 21 99762 1811"/>
    <m/>
    <m/>
    <s v="RJ"/>
    <m/>
    <m/>
    <s v="Light"/>
    <m/>
    <m/>
    <n v="349.41666666666669"/>
    <n v="450"/>
    <n v="205"/>
    <n v="380"/>
    <n v="410"/>
    <n v="257"/>
    <n v="222"/>
    <n v="288"/>
    <n v="368"/>
    <n v="382"/>
    <n v="414"/>
    <n v="307"/>
    <n v="510"/>
    <m/>
    <m/>
    <x v="33"/>
    <m/>
    <m/>
    <m/>
    <m/>
    <s v=""/>
    <m/>
    <m/>
    <m/>
    <m/>
    <m/>
    <m/>
    <m/>
    <m/>
    <m/>
    <m/>
    <m/>
    <m/>
    <m/>
    <m/>
    <m/>
    <m/>
    <m/>
  </r>
  <r>
    <m/>
    <s v="P0304"/>
    <s v=" VERA"/>
    <x v="2"/>
    <d v="2024-01-17T00:00:00"/>
    <x v="4"/>
    <s v="+55 21 99505 9481"/>
    <s v="R. Mamoré, 25 - CASA 106"/>
    <s v="22760-080"/>
    <s v="RJ"/>
    <s v="RIO DE JANEIRO"/>
    <s v="FREGUESIA"/>
    <s v="Light"/>
    <s v="B1 - Residencial"/>
    <s v="Bifásico"/>
    <n v="485.91666666666669"/>
    <n v="561"/>
    <n v="515"/>
    <n v="836"/>
    <n v="661"/>
    <n v="547"/>
    <n v="376"/>
    <n v="318"/>
    <n v="329"/>
    <n v="355"/>
    <n v="400"/>
    <n v="397"/>
    <n v="536"/>
    <s v="Junto à Carga"/>
    <s v="RESIDENCIAL"/>
    <x v="33"/>
    <m/>
    <m/>
    <m/>
    <m/>
    <s v=""/>
    <m/>
    <m/>
    <m/>
    <m/>
    <m/>
    <m/>
    <m/>
    <m/>
    <m/>
    <m/>
    <m/>
    <m/>
    <m/>
    <m/>
    <m/>
    <m/>
    <m/>
  </r>
  <r>
    <m/>
    <s v="P0305"/>
    <m/>
    <x v="7"/>
    <m/>
    <x v="9"/>
    <m/>
    <m/>
    <m/>
    <m/>
    <m/>
    <m/>
    <m/>
    <m/>
    <m/>
    <s v=""/>
    <m/>
    <m/>
    <m/>
    <m/>
    <m/>
    <m/>
    <m/>
    <m/>
    <m/>
    <m/>
    <m/>
    <m/>
    <m/>
    <m/>
    <x v="33"/>
    <m/>
    <m/>
    <m/>
    <m/>
    <s v=""/>
    <m/>
    <m/>
    <m/>
    <m/>
    <m/>
    <m/>
    <m/>
    <m/>
    <m/>
    <m/>
    <m/>
    <m/>
    <m/>
    <m/>
    <m/>
    <m/>
    <m/>
  </r>
  <r>
    <m/>
    <s v="P0306"/>
    <s v="CONDOMINIO BOSQUE II"/>
    <x v="7"/>
    <d v="2024-01-30T00:00:00"/>
    <x v="1"/>
    <s v="21 97101-2732"/>
    <s v="Av. Ten. Cel Muniz de Aragão 892"/>
    <m/>
    <s v="RJ"/>
    <s v="RIO DE JANEIRO"/>
    <s v="ANIL"/>
    <s v="Light"/>
    <s v="B3 - Comercial"/>
    <s v="Trifásico"/>
    <s v=""/>
    <m/>
    <m/>
    <m/>
    <m/>
    <m/>
    <m/>
    <m/>
    <m/>
    <m/>
    <m/>
    <m/>
    <m/>
    <m/>
    <m/>
    <x v="33"/>
    <m/>
    <m/>
    <m/>
    <m/>
    <s v=""/>
    <m/>
    <m/>
    <m/>
    <m/>
    <m/>
    <m/>
    <m/>
    <m/>
    <m/>
    <m/>
    <m/>
    <m/>
    <m/>
    <m/>
    <m/>
    <m/>
    <m/>
  </r>
  <r>
    <m/>
    <s v="P0307"/>
    <s v="P0307 - PEDRO CAVALCANTI"/>
    <x v="9"/>
    <s v="4 dias atrás"/>
    <x v="4"/>
    <s v="+55 21 99367 1564"/>
    <s v="Rua Geminiano Góis, 882 - 10 101"/>
    <s v="22743-670"/>
    <s v="RJ"/>
    <s v="RIO DE JANEIRO"/>
    <s v="FREGUESIA"/>
    <s v="Light"/>
    <s v="B1 - Residencial"/>
    <s v="Trifásico"/>
    <n v="500"/>
    <n v="720"/>
    <n v="690"/>
    <n v="576"/>
    <n v="534"/>
    <n v="420"/>
    <n v="360"/>
    <n v="360"/>
    <n v="402"/>
    <n v="420"/>
    <n v="438"/>
    <n v="480"/>
    <n v="600"/>
    <m/>
    <m/>
    <x v="33"/>
    <m/>
    <m/>
    <m/>
    <m/>
    <s v=""/>
    <m/>
    <m/>
    <m/>
    <m/>
    <m/>
    <m/>
    <m/>
    <m/>
    <m/>
    <m/>
    <m/>
    <m/>
    <m/>
    <m/>
    <m/>
    <m/>
    <m/>
  </r>
  <r>
    <m/>
    <s v="P0308"/>
    <s v="P0308 - RICARDO ROSA MARTINS"/>
    <x v="9"/>
    <d v="2024-02-22T00:00:00"/>
    <x v="0"/>
    <s v="+55 21 99240 8169"/>
    <s v="Estr. do Portela, 118"/>
    <s v="21351-051"/>
    <s v="RJ"/>
    <s v="RIO DE JANEIRO"/>
    <s v="MADUREIRA"/>
    <s v="Light"/>
    <s v="B1 - Residencial"/>
    <s v="Trifásico"/>
    <n v="868.58333333333337"/>
    <n v="1167"/>
    <n v="1042"/>
    <n v="1159"/>
    <n v="782"/>
    <n v="666"/>
    <n v="654"/>
    <n v="629"/>
    <n v="627"/>
    <n v="738"/>
    <n v="913"/>
    <n v="1084"/>
    <n v="962"/>
    <m/>
    <m/>
    <x v="33"/>
    <m/>
    <m/>
    <m/>
    <m/>
    <s v=""/>
    <m/>
    <m/>
    <m/>
    <m/>
    <m/>
    <m/>
    <m/>
    <m/>
    <m/>
    <m/>
    <m/>
    <m/>
    <m/>
    <m/>
    <m/>
    <m/>
    <m/>
  </r>
  <r>
    <m/>
    <s v="P0309"/>
    <s v="P0309 - CARLA NOGUEIRA LEANDRO"/>
    <x v="9"/>
    <d v="2024-01-25T00:00:00"/>
    <x v="0"/>
    <s v="+55 21 96973 1651"/>
    <s v="R. Dom Casmurro, 567 - 01"/>
    <s v="22753-390"/>
    <s v="RJ"/>
    <s v="RIO DE JANEIRO"/>
    <s v="ANIL"/>
    <s v="Light"/>
    <s v="B1 - Residencial"/>
    <s v="Trifásico"/>
    <s v=""/>
    <m/>
    <m/>
    <m/>
    <m/>
    <m/>
    <m/>
    <m/>
    <m/>
    <m/>
    <m/>
    <m/>
    <m/>
    <m/>
    <m/>
    <x v="33"/>
    <m/>
    <m/>
    <m/>
    <m/>
    <s v=""/>
    <m/>
    <m/>
    <m/>
    <m/>
    <m/>
    <m/>
    <m/>
    <m/>
    <m/>
    <m/>
    <m/>
    <m/>
    <m/>
    <m/>
    <m/>
    <m/>
    <m/>
  </r>
  <r>
    <m/>
    <s v="P0310"/>
    <s v="MARIA CRISTINA SANTOS FERNANDES ARAUJO"/>
    <x v="7"/>
    <m/>
    <x v="9"/>
    <m/>
    <m/>
    <m/>
    <s v="RJ"/>
    <s v="RIO DE JANEIRO"/>
    <s v="MÉIER"/>
    <s v="Light"/>
    <m/>
    <m/>
    <n v="419.66666666666669"/>
    <n v="451"/>
    <n v="496"/>
    <n v="595"/>
    <n v="653"/>
    <n v="389"/>
    <n v="306"/>
    <n v="319"/>
    <n v="330"/>
    <n v="361"/>
    <n v="384"/>
    <n v="351"/>
    <n v="401"/>
    <m/>
    <m/>
    <x v="33"/>
    <m/>
    <m/>
    <m/>
    <m/>
    <s v=""/>
    <m/>
    <m/>
    <m/>
    <m/>
    <m/>
    <m/>
    <m/>
    <m/>
    <m/>
    <m/>
    <m/>
    <m/>
    <m/>
    <m/>
    <m/>
    <m/>
    <m/>
  </r>
  <r>
    <m/>
    <s v="P0311"/>
    <s v="Rodrigo Gesualdi"/>
    <x v="7"/>
    <m/>
    <x v="9"/>
    <n v="21968111239"/>
    <s v="R PIO BORGES DE CASTRO 25"/>
    <n v="22793325"/>
    <s v="RJ"/>
    <s v="RIO DE JANEIRO"/>
    <s v="BARRA DA TIJUCA"/>
    <s v="Light"/>
    <s v="B1 - Residencial"/>
    <s v="Trifásico"/>
    <n v="2500"/>
    <n v="3600"/>
    <n v="3450"/>
    <n v="2880"/>
    <n v="2670"/>
    <n v="2100"/>
    <n v="1800"/>
    <n v="1800"/>
    <n v="2010"/>
    <n v="2100"/>
    <n v="2190"/>
    <n v="2400"/>
    <n v="3000"/>
    <s v="Junto à Carga"/>
    <s v="RESIDENCIAL"/>
    <x v="33"/>
    <m/>
    <m/>
    <m/>
    <m/>
    <s v=""/>
    <m/>
    <m/>
    <m/>
    <m/>
    <m/>
    <m/>
    <m/>
    <m/>
    <m/>
    <m/>
    <m/>
    <m/>
    <m/>
    <m/>
    <m/>
    <m/>
    <m/>
  </r>
  <r>
    <m/>
    <s v="P0312"/>
    <m/>
    <x v="7"/>
    <m/>
    <x v="9"/>
    <m/>
    <m/>
    <m/>
    <m/>
    <m/>
    <m/>
    <m/>
    <m/>
    <m/>
    <s v=""/>
    <m/>
    <m/>
    <m/>
    <m/>
    <m/>
    <m/>
    <m/>
    <m/>
    <m/>
    <m/>
    <m/>
    <m/>
    <m/>
    <m/>
    <x v="33"/>
    <m/>
    <m/>
    <m/>
    <m/>
    <s v=""/>
    <m/>
    <m/>
    <m/>
    <m/>
    <m/>
    <m/>
    <m/>
    <m/>
    <m/>
    <m/>
    <m/>
    <m/>
    <m/>
    <m/>
    <m/>
    <m/>
    <m/>
  </r>
  <r>
    <m/>
    <s v="P0313"/>
    <s v="Rodrigo Systello"/>
    <x v="7"/>
    <m/>
    <x v="9"/>
    <m/>
    <s v="R. Oscar Niemeyer, 230"/>
    <s v="24900-000"/>
    <s v="RJ"/>
    <s v="MARICÁ"/>
    <s v="ITAIPUAÇU"/>
    <s v="Enel"/>
    <m/>
    <m/>
    <n v="1000"/>
    <n v="1440"/>
    <n v="1380"/>
    <n v="1152"/>
    <n v="1068"/>
    <n v="840"/>
    <n v="720"/>
    <n v="720"/>
    <n v="804"/>
    <n v="840"/>
    <n v="876"/>
    <n v="960"/>
    <n v="1200"/>
    <s v="Junto à Carga"/>
    <s v="RESIDENCIAL"/>
    <x v="33"/>
    <m/>
    <m/>
    <m/>
    <m/>
    <s v=""/>
    <m/>
    <m/>
    <m/>
    <m/>
    <m/>
    <m/>
    <m/>
    <m/>
    <m/>
    <m/>
    <m/>
    <m/>
    <m/>
    <m/>
    <m/>
    <m/>
    <m/>
  </r>
  <r>
    <m/>
    <s v="P0314"/>
    <s v="Fernanda Kelly"/>
    <x v="7"/>
    <m/>
    <x v="9"/>
    <m/>
    <s v="R. Lagoa Grande, 423 - casa 1"/>
    <s v="22755-340"/>
    <s v="RJ"/>
    <s v="RIO DE JANEIRO"/>
    <s v="ANIL"/>
    <s v="Light"/>
    <s v="B1 - Residencial"/>
    <m/>
    <n v="1000"/>
    <n v="1440"/>
    <n v="1380"/>
    <n v="1152"/>
    <n v="1068"/>
    <n v="840"/>
    <n v="720"/>
    <n v="720"/>
    <n v="804"/>
    <n v="840"/>
    <n v="876"/>
    <n v="960"/>
    <n v="1200"/>
    <s v="Junto à Carga"/>
    <s v="RESIDENCIAL"/>
    <x v="33"/>
    <m/>
    <m/>
    <m/>
    <m/>
    <s v=""/>
    <m/>
    <m/>
    <m/>
    <m/>
    <m/>
    <m/>
    <m/>
    <m/>
    <m/>
    <m/>
    <m/>
    <m/>
    <m/>
    <m/>
    <m/>
    <m/>
    <m/>
  </r>
  <r>
    <m/>
    <s v="P0315"/>
    <s v="Luiz Carlos"/>
    <x v="7"/>
    <m/>
    <x v="9"/>
    <m/>
    <s v="Rua Geminiano Góis, 882 - 10 casa 106"/>
    <s v="22743-670"/>
    <s v="RJ"/>
    <s v="RIO DE JANEIRO"/>
    <s v="FREGUESIA"/>
    <s v="Light"/>
    <m/>
    <m/>
    <n v="1300"/>
    <n v="1872"/>
    <n v="1794"/>
    <n v="1498"/>
    <n v="1388"/>
    <n v="1092"/>
    <n v="936"/>
    <n v="936"/>
    <n v="1045"/>
    <n v="1092"/>
    <n v="1139"/>
    <n v="1248"/>
    <n v="1560"/>
    <s v="Junto à Carga"/>
    <s v="RESIDENCIAL"/>
    <x v="33"/>
    <m/>
    <m/>
    <m/>
    <m/>
    <s v=""/>
    <m/>
    <m/>
    <m/>
    <m/>
    <m/>
    <m/>
    <m/>
    <m/>
    <m/>
    <m/>
    <m/>
    <m/>
    <m/>
    <m/>
    <m/>
    <m/>
    <m/>
  </r>
  <r>
    <m/>
    <s v="P0316"/>
    <s v="Ricardo Soares"/>
    <x v="7"/>
    <m/>
    <x v="0"/>
    <s v="21 97936-8668"/>
    <s v="Est Ver Alceu de Carvalho 2865 ca 64"/>
    <n v="22790879"/>
    <s v="RJ"/>
    <s v="RIO DE JANEIRO"/>
    <s v="RECREIO DOS BANDEIRANTES"/>
    <s v="Light"/>
    <s v="B1 - Residencial"/>
    <s v="Trifásico"/>
    <n v="1300"/>
    <n v="1872"/>
    <n v="1794"/>
    <n v="1498"/>
    <n v="1388"/>
    <n v="1092"/>
    <n v="936"/>
    <n v="936"/>
    <n v="1045"/>
    <n v="1092"/>
    <n v="1139"/>
    <n v="1248"/>
    <n v="1560"/>
    <s v="Junto à Carga"/>
    <s v="RESIDENCIAL"/>
    <x v="33"/>
    <m/>
    <m/>
    <m/>
    <m/>
    <s v=""/>
    <m/>
    <m/>
    <m/>
    <m/>
    <m/>
    <m/>
    <m/>
    <m/>
    <m/>
    <m/>
    <m/>
    <m/>
    <m/>
    <m/>
    <m/>
    <m/>
    <m/>
  </r>
  <r>
    <m/>
    <s v="P0317"/>
    <m/>
    <x v="7"/>
    <m/>
    <x v="9"/>
    <m/>
    <m/>
    <m/>
    <m/>
    <m/>
    <m/>
    <m/>
    <m/>
    <m/>
    <s v=""/>
    <m/>
    <m/>
    <m/>
    <m/>
    <m/>
    <m/>
    <m/>
    <m/>
    <m/>
    <m/>
    <m/>
    <m/>
    <m/>
    <m/>
    <x v="33"/>
    <m/>
    <m/>
    <m/>
    <m/>
    <s v=""/>
    <m/>
    <m/>
    <m/>
    <m/>
    <m/>
    <m/>
    <m/>
    <m/>
    <m/>
    <m/>
    <m/>
    <m/>
    <m/>
    <m/>
    <m/>
    <m/>
    <m/>
  </r>
  <r>
    <m/>
    <s v="P0318"/>
    <m/>
    <x v="7"/>
    <m/>
    <x v="9"/>
    <m/>
    <m/>
    <m/>
    <m/>
    <m/>
    <m/>
    <m/>
    <m/>
    <m/>
    <s v=""/>
    <m/>
    <m/>
    <m/>
    <m/>
    <m/>
    <m/>
    <m/>
    <m/>
    <m/>
    <m/>
    <m/>
    <m/>
    <m/>
    <m/>
    <x v="33"/>
    <m/>
    <m/>
    <m/>
    <m/>
    <s v=""/>
    <m/>
    <m/>
    <m/>
    <m/>
    <m/>
    <m/>
    <m/>
    <m/>
    <m/>
    <m/>
    <m/>
    <m/>
    <m/>
    <m/>
    <m/>
    <m/>
    <m/>
  </r>
  <r>
    <m/>
    <s v="P0319"/>
    <m/>
    <x v="7"/>
    <m/>
    <x v="9"/>
    <m/>
    <m/>
    <m/>
    <m/>
    <m/>
    <m/>
    <m/>
    <m/>
    <m/>
    <s v=""/>
    <m/>
    <m/>
    <m/>
    <m/>
    <m/>
    <m/>
    <m/>
    <m/>
    <m/>
    <m/>
    <m/>
    <m/>
    <m/>
    <m/>
    <x v="33"/>
    <m/>
    <m/>
    <m/>
    <m/>
    <s v=""/>
    <m/>
    <m/>
    <m/>
    <m/>
    <m/>
    <m/>
    <m/>
    <m/>
    <m/>
    <m/>
    <m/>
    <m/>
    <m/>
    <m/>
    <m/>
    <m/>
    <m/>
  </r>
  <r>
    <m/>
    <s v="P0320"/>
    <m/>
    <x v="7"/>
    <m/>
    <x v="9"/>
    <m/>
    <m/>
    <m/>
    <m/>
    <m/>
    <m/>
    <m/>
    <m/>
    <m/>
    <s v=""/>
    <m/>
    <m/>
    <m/>
    <m/>
    <m/>
    <m/>
    <m/>
    <m/>
    <m/>
    <m/>
    <m/>
    <m/>
    <m/>
    <m/>
    <x v="33"/>
    <m/>
    <m/>
    <m/>
    <m/>
    <s v=""/>
    <m/>
    <m/>
    <m/>
    <m/>
    <m/>
    <m/>
    <m/>
    <m/>
    <m/>
    <m/>
    <m/>
    <m/>
    <m/>
    <m/>
    <m/>
    <m/>
    <m/>
  </r>
  <r>
    <m/>
    <s v="P0321"/>
    <m/>
    <x v="7"/>
    <m/>
    <x v="9"/>
    <m/>
    <m/>
    <m/>
    <m/>
    <m/>
    <m/>
    <m/>
    <m/>
    <m/>
    <s v=""/>
    <m/>
    <m/>
    <m/>
    <m/>
    <m/>
    <m/>
    <m/>
    <m/>
    <m/>
    <m/>
    <m/>
    <m/>
    <m/>
    <m/>
    <x v="33"/>
    <m/>
    <m/>
    <m/>
    <m/>
    <s v=""/>
    <m/>
    <m/>
    <m/>
    <m/>
    <m/>
    <m/>
    <m/>
    <m/>
    <m/>
    <m/>
    <m/>
    <m/>
    <m/>
    <m/>
    <m/>
    <m/>
    <m/>
  </r>
  <r>
    <m/>
    <s v="P0322"/>
    <m/>
    <x v="7"/>
    <m/>
    <x v="9"/>
    <m/>
    <m/>
    <m/>
    <m/>
    <m/>
    <m/>
    <m/>
    <m/>
    <m/>
    <s v=""/>
    <m/>
    <m/>
    <m/>
    <m/>
    <m/>
    <m/>
    <m/>
    <m/>
    <m/>
    <m/>
    <m/>
    <m/>
    <m/>
    <m/>
    <x v="33"/>
    <m/>
    <m/>
    <m/>
    <m/>
    <s v=""/>
    <m/>
    <m/>
    <m/>
    <m/>
    <m/>
    <m/>
    <m/>
    <m/>
    <m/>
    <m/>
    <m/>
    <m/>
    <m/>
    <m/>
    <m/>
    <m/>
    <m/>
  </r>
  <r>
    <m/>
    <s v="P0323"/>
    <m/>
    <x v="7"/>
    <m/>
    <x v="9"/>
    <m/>
    <m/>
    <m/>
    <m/>
    <m/>
    <m/>
    <m/>
    <m/>
    <m/>
    <s v=""/>
    <m/>
    <m/>
    <m/>
    <m/>
    <m/>
    <m/>
    <m/>
    <m/>
    <m/>
    <m/>
    <m/>
    <m/>
    <m/>
    <m/>
    <x v="33"/>
    <m/>
    <m/>
    <m/>
    <m/>
    <s v=""/>
    <m/>
    <m/>
    <m/>
    <m/>
    <m/>
    <m/>
    <m/>
    <m/>
    <m/>
    <m/>
    <m/>
    <m/>
    <m/>
    <m/>
    <m/>
    <m/>
    <m/>
  </r>
  <r>
    <m/>
    <s v="P0324"/>
    <m/>
    <x v="7"/>
    <m/>
    <x v="9"/>
    <m/>
    <m/>
    <m/>
    <m/>
    <m/>
    <m/>
    <m/>
    <m/>
    <m/>
    <s v=""/>
    <m/>
    <m/>
    <m/>
    <m/>
    <m/>
    <m/>
    <m/>
    <m/>
    <m/>
    <m/>
    <m/>
    <m/>
    <m/>
    <m/>
    <x v="33"/>
    <m/>
    <m/>
    <m/>
    <m/>
    <s v=""/>
    <m/>
    <m/>
    <m/>
    <m/>
    <m/>
    <m/>
    <m/>
    <m/>
    <m/>
    <m/>
    <m/>
    <m/>
    <m/>
    <m/>
    <m/>
    <m/>
    <m/>
  </r>
  <r>
    <m/>
    <s v="P0325"/>
    <m/>
    <x v="7"/>
    <m/>
    <x v="9"/>
    <m/>
    <m/>
    <m/>
    <m/>
    <m/>
    <m/>
    <m/>
    <m/>
    <m/>
    <s v=""/>
    <m/>
    <m/>
    <m/>
    <m/>
    <m/>
    <m/>
    <m/>
    <m/>
    <m/>
    <m/>
    <m/>
    <m/>
    <m/>
    <m/>
    <x v="33"/>
    <m/>
    <m/>
    <m/>
    <m/>
    <s v=""/>
    <m/>
    <m/>
    <m/>
    <m/>
    <m/>
    <m/>
    <m/>
    <m/>
    <m/>
    <m/>
    <m/>
    <m/>
    <m/>
    <m/>
    <m/>
    <m/>
    <m/>
  </r>
  <r>
    <m/>
    <s v="P0326"/>
    <m/>
    <x v="7"/>
    <m/>
    <x v="9"/>
    <m/>
    <m/>
    <m/>
    <m/>
    <m/>
    <m/>
    <m/>
    <m/>
    <m/>
    <s v=""/>
    <m/>
    <m/>
    <m/>
    <m/>
    <m/>
    <m/>
    <m/>
    <m/>
    <m/>
    <m/>
    <m/>
    <m/>
    <m/>
    <m/>
    <x v="33"/>
    <m/>
    <m/>
    <m/>
    <m/>
    <s v=""/>
    <m/>
    <m/>
    <m/>
    <m/>
    <m/>
    <m/>
    <m/>
    <m/>
    <m/>
    <m/>
    <m/>
    <m/>
    <m/>
    <m/>
    <m/>
    <m/>
    <m/>
  </r>
  <r>
    <m/>
    <s v="P0327"/>
    <m/>
    <x v="7"/>
    <m/>
    <x v="9"/>
    <m/>
    <m/>
    <m/>
    <m/>
    <m/>
    <m/>
    <m/>
    <m/>
    <m/>
    <s v=""/>
    <m/>
    <m/>
    <m/>
    <m/>
    <m/>
    <m/>
    <m/>
    <m/>
    <m/>
    <m/>
    <m/>
    <m/>
    <m/>
    <m/>
    <x v="33"/>
    <m/>
    <m/>
    <m/>
    <m/>
    <s v=""/>
    <m/>
    <m/>
    <m/>
    <m/>
    <m/>
    <m/>
    <m/>
    <m/>
    <m/>
    <m/>
    <m/>
    <m/>
    <m/>
    <m/>
    <m/>
    <m/>
    <m/>
  </r>
  <r>
    <m/>
    <s v="P0328"/>
    <m/>
    <x v="7"/>
    <m/>
    <x v="9"/>
    <m/>
    <m/>
    <m/>
    <m/>
    <m/>
    <m/>
    <m/>
    <m/>
    <m/>
    <s v=""/>
    <m/>
    <m/>
    <m/>
    <m/>
    <m/>
    <m/>
    <m/>
    <m/>
    <m/>
    <m/>
    <m/>
    <m/>
    <m/>
    <m/>
    <x v="33"/>
    <m/>
    <m/>
    <m/>
    <m/>
    <s v=""/>
    <m/>
    <m/>
    <m/>
    <m/>
    <m/>
    <m/>
    <m/>
    <m/>
    <m/>
    <m/>
    <m/>
    <m/>
    <m/>
    <m/>
    <m/>
    <m/>
    <m/>
  </r>
  <r>
    <m/>
    <s v="P0329"/>
    <m/>
    <x v="7"/>
    <m/>
    <x v="9"/>
    <m/>
    <m/>
    <m/>
    <m/>
    <m/>
    <m/>
    <m/>
    <m/>
    <m/>
    <s v=""/>
    <m/>
    <m/>
    <m/>
    <m/>
    <m/>
    <m/>
    <m/>
    <m/>
    <m/>
    <m/>
    <m/>
    <m/>
    <m/>
    <m/>
    <x v="33"/>
    <m/>
    <m/>
    <m/>
    <m/>
    <s v=""/>
    <m/>
    <m/>
    <m/>
    <m/>
    <m/>
    <m/>
    <m/>
    <m/>
    <m/>
    <m/>
    <m/>
    <m/>
    <m/>
    <m/>
    <m/>
    <m/>
    <m/>
  </r>
  <r>
    <m/>
    <s v="P0330"/>
    <m/>
    <x v="7"/>
    <m/>
    <x v="9"/>
    <m/>
    <m/>
    <m/>
    <m/>
    <m/>
    <m/>
    <m/>
    <m/>
    <m/>
    <s v=""/>
    <m/>
    <m/>
    <m/>
    <m/>
    <m/>
    <m/>
    <m/>
    <m/>
    <m/>
    <m/>
    <m/>
    <m/>
    <m/>
    <m/>
    <x v="33"/>
    <m/>
    <m/>
    <m/>
    <m/>
    <s v=""/>
    <m/>
    <m/>
    <m/>
    <m/>
    <m/>
    <m/>
    <m/>
    <m/>
    <m/>
    <m/>
    <m/>
    <m/>
    <m/>
    <m/>
    <m/>
    <m/>
    <m/>
  </r>
  <r>
    <m/>
    <s v="P0331"/>
    <m/>
    <x v="7"/>
    <m/>
    <x v="9"/>
    <m/>
    <m/>
    <m/>
    <m/>
    <m/>
    <m/>
    <m/>
    <m/>
    <m/>
    <s v=""/>
    <m/>
    <m/>
    <m/>
    <m/>
    <m/>
    <m/>
    <m/>
    <m/>
    <m/>
    <m/>
    <m/>
    <m/>
    <m/>
    <m/>
    <x v="33"/>
    <m/>
    <m/>
    <m/>
    <m/>
    <s v=""/>
    <m/>
    <m/>
    <m/>
    <m/>
    <m/>
    <m/>
    <m/>
    <m/>
    <m/>
    <m/>
    <m/>
    <m/>
    <m/>
    <m/>
    <m/>
    <m/>
    <m/>
  </r>
  <r>
    <m/>
    <s v="P0332"/>
    <m/>
    <x v="7"/>
    <m/>
    <x v="9"/>
    <m/>
    <m/>
    <m/>
    <m/>
    <m/>
    <m/>
    <m/>
    <m/>
    <m/>
    <s v=""/>
    <m/>
    <m/>
    <m/>
    <m/>
    <m/>
    <m/>
    <m/>
    <m/>
    <m/>
    <m/>
    <m/>
    <m/>
    <m/>
    <m/>
    <x v="33"/>
    <m/>
    <m/>
    <m/>
    <m/>
    <s v=""/>
    <m/>
    <m/>
    <m/>
    <m/>
    <m/>
    <m/>
    <m/>
    <m/>
    <m/>
    <m/>
    <m/>
    <m/>
    <m/>
    <m/>
    <m/>
    <m/>
    <m/>
  </r>
  <r>
    <m/>
    <s v="P0333"/>
    <m/>
    <x v="7"/>
    <m/>
    <x v="9"/>
    <m/>
    <m/>
    <m/>
    <m/>
    <m/>
    <m/>
    <m/>
    <m/>
    <m/>
    <s v=""/>
    <m/>
    <m/>
    <m/>
    <m/>
    <m/>
    <m/>
    <m/>
    <m/>
    <m/>
    <m/>
    <m/>
    <m/>
    <m/>
    <m/>
    <x v="33"/>
    <m/>
    <m/>
    <m/>
    <m/>
    <s v=""/>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22F7F4-C5DC-42B4-8D88-A0318C1B439C}" name="Tabela dinâ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3">
  <location ref="E2:F14" firstHeaderRow="1" firstDataRow="1" firstDataCol="1"/>
  <pivotFields count="56">
    <pivotField showAll="0"/>
    <pivotField showAll="0"/>
    <pivotField showAll="0"/>
    <pivotField showAll="0"/>
    <pivotField showAll="0"/>
    <pivotField axis="axisRow" dataField="1" showAll="0" sortType="ascending">
      <items count="13">
        <item m="1" x="11"/>
        <item x="1"/>
        <item x="4"/>
        <item x="3"/>
        <item x="10"/>
        <item x="0"/>
        <item x="9"/>
        <item x="8"/>
        <item x="2"/>
        <item x="5"/>
        <item x="6"/>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8">
        <item x="1"/>
        <item x="2"/>
        <item x="6"/>
        <item x="5"/>
        <item x="7"/>
        <item x="9"/>
        <item x="14"/>
        <item x="10"/>
        <item x="16"/>
        <item x="17"/>
        <item x="12"/>
        <item x="25"/>
        <item x="19"/>
        <item x="40"/>
        <item x="46"/>
        <item x="34"/>
        <item x="48"/>
        <item x="49"/>
        <item x="45"/>
        <item x="52"/>
        <item x="55"/>
        <item x="54"/>
        <item x="56"/>
        <item x="3"/>
        <item x="24"/>
        <item x="58"/>
        <item x="33"/>
        <item x="0"/>
        <item x="8"/>
        <item m="1" x="76"/>
        <item m="1" x="75"/>
        <item x="13"/>
        <item x="15"/>
        <item x="18"/>
        <item x="20"/>
        <item x="21"/>
        <item x="22"/>
        <item x="23"/>
        <item x="26"/>
        <item x="27"/>
        <item x="28"/>
        <item x="29"/>
        <item x="30"/>
        <item x="31"/>
        <item x="32"/>
        <item x="35"/>
        <item x="36"/>
        <item x="37"/>
        <item x="38"/>
        <item x="39"/>
        <item x="41"/>
        <item x="42"/>
        <item x="43"/>
        <item x="44"/>
        <item x="47"/>
        <item x="50"/>
        <item x="51"/>
        <item x="53"/>
        <item x="57"/>
        <item m="1" x="73"/>
        <item x="61"/>
        <item x="62"/>
        <item x="63"/>
        <item x="64"/>
        <item x="67"/>
        <item m="1" x="74"/>
        <item x="4"/>
        <item x="68"/>
        <item x="11"/>
        <item x="59"/>
        <item x="60"/>
        <item x="65"/>
        <item x="66"/>
        <item x="69"/>
        <item x="70"/>
        <item x="71"/>
        <item x="7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12">
    <i>
      <x v="6"/>
    </i>
    <i>
      <x v="7"/>
    </i>
    <i>
      <x v="4"/>
    </i>
    <i>
      <x v="8"/>
    </i>
    <i>
      <x v="9"/>
    </i>
    <i>
      <x v="10"/>
    </i>
    <i>
      <x v="1"/>
    </i>
    <i>
      <x v="3"/>
    </i>
    <i>
      <x v="5"/>
    </i>
    <i>
      <x v="11"/>
    </i>
    <i>
      <x v="2"/>
    </i>
    <i t="grand">
      <x/>
    </i>
  </rowItems>
  <colItems count="1">
    <i/>
  </colItems>
  <dataFields count="1">
    <dataField name="Contagem de Origem" fld="5" subtotal="count" baseField="0" baseItem="0"/>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C82C6C-A340-48DD-BDDE-2884A812186E}" name="Tabela dinâ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Q2:R13" firstHeaderRow="1" firstDataRow="1" firstDataCol="1"/>
  <pivotFields count="56">
    <pivotField showAll="0"/>
    <pivotField showAll="0"/>
    <pivotField showAll="0"/>
    <pivotField axis="axisRow" dataField="1" showAll="0">
      <items count="13">
        <item m="1" x="10"/>
        <item x="1"/>
        <item x="3"/>
        <item x="0"/>
        <item x="7"/>
        <item x="6"/>
        <item x="2"/>
        <item x="4"/>
        <item x="5"/>
        <item m="1" x="11"/>
        <item x="8"/>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8">
        <item x="1"/>
        <item x="2"/>
        <item x="6"/>
        <item x="5"/>
        <item x="7"/>
        <item x="9"/>
        <item x="14"/>
        <item x="10"/>
        <item x="16"/>
        <item x="17"/>
        <item x="12"/>
        <item x="25"/>
        <item x="19"/>
        <item x="40"/>
        <item x="46"/>
        <item x="34"/>
        <item x="48"/>
        <item x="49"/>
        <item x="45"/>
        <item x="52"/>
        <item x="55"/>
        <item x="54"/>
        <item x="56"/>
        <item x="3"/>
        <item x="24"/>
        <item x="58"/>
        <item x="33"/>
        <item x="0"/>
        <item x="8"/>
        <item m="1" x="76"/>
        <item m="1" x="75"/>
        <item x="13"/>
        <item x="15"/>
        <item x="18"/>
        <item x="20"/>
        <item x="21"/>
        <item x="22"/>
        <item x="23"/>
        <item x="26"/>
        <item x="27"/>
        <item x="28"/>
        <item x="29"/>
        <item x="30"/>
        <item x="31"/>
        <item x="32"/>
        <item x="35"/>
        <item x="36"/>
        <item x="37"/>
        <item x="38"/>
        <item x="39"/>
        <item x="41"/>
        <item x="42"/>
        <item x="43"/>
        <item x="44"/>
        <item x="47"/>
        <item x="50"/>
        <item x="51"/>
        <item x="53"/>
        <item x="57"/>
        <item m="1" x="73"/>
        <item x="61"/>
        <item x="62"/>
        <item x="63"/>
        <item x="64"/>
        <item x="67"/>
        <item m="1" x="74"/>
        <item x="4"/>
        <item x="68"/>
        <item x="11"/>
        <item x="59"/>
        <item x="60"/>
        <item x="65"/>
        <item x="66"/>
        <item x="69"/>
        <item x="70"/>
        <item x="71"/>
        <item x="7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11">
    <i>
      <x v="1"/>
    </i>
    <i>
      <x v="2"/>
    </i>
    <i>
      <x v="3"/>
    </i>
    <i>
      <x v="4"/>
    </i>
    <i>
      <x v="5"/>
    </i>
    <i>
      <x v="6"/>
    </i>
    <i>
      <x v="7"/>
    </i>
    <i>
      <x v="8"/>
    </i>
    <i>
      <x v="10"/>
    </i>
    <i>
      <x v="11"/>
    </i>
    <i t="grand">
      <x/>
    </i>
  </rowItems>
  <colItems count="1">
    <i/>
  </colItems>
  <dataFields count="1">
    <dataField name="Contagem de Etapa"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8FD48D-C7DB-4D21-8332-49539929EC65}" name="TDfaturamentototal"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location ref="H5:H6" firstHeaderRow="1" firstDataRow="1" firstDataCol="0"/>
  <pivotFields count="5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8">
        <item x="1"/>
        <item x="2"/>
        <item x="6"/>
        <item x="5"/>
        <item x="7"/>
        <item x="9"/>
        <item x="14"/>
        <item x="10"/>
        <item x="16"/>
        <item x="17"/>
        <item x="12"/>
        <item x="25"/>
        <item x="19"/>
        <item x="40"/>
        <item x="46"/>
        <item x="34"/>
        <item x="48"/>
        <item x="49"/>
        <item x="45"/>
        <item x="52"/>
        <item x="55"/>
        <item x="54"/>
        <item x="56"/>
        <item x="3"/>
        <item x="24"/>
        <item x="58"/>
        <item x="33"/>
        <item x="0"/>
        <item x="8"/>
        <item m="1" x="76"/>
        <item m="1" x="75"/>
        <item x="13"/>
        <item x="15"/>
        <item x="18"/>
        <item x="20"/>
        <item x="21"/>
        <item x="22"/>
        <item x="23"/>
        <item x="26"/>
        <item x="27"/>
        <item x="28"/>
        <item x="29"/>
        <item x="30"/>
        <item x="31"/>
        <item x="32"/>
        <item x="35"/>
        <item x="36"/>
        <item x="37"/>
        <item x="38"/>
        <item x="39"/>
        <item x="41"/>
        <item x="42"/>
        <item x="43"/>
        <item x="44"/>
        <item x="47"/>
        <item x="50"/>
        <item x="51"/>
        <item x="53"/>
        <item x="57"/>
        <item m="1" x="73"/>
        <item x="61"/>
        <item x="62"/>
        <item x="63"/>
        <item x="64"/>
        <item x="67"/>
        <item m="1" x="74"/>
        <item x="4"/>
        <item x="68"/>
        <item x="11"/>
        <item x="59"/>
        <item x="60"/>
        <item x="65"/>
        <item x="66"/>
        <item x="69"/>
        <item x="70"/>
        <item x="71"/>
        <item x="72"/>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oma de Valor" fld="32" baseField="0" baseItem="43974656" numFmtId="2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E0A496-6AFD-4829-A35A-A225E83543FE}" name="TDpotenciatotal"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location ref="J2:J3" firstHeaderRow="1" firstDataRow="1" firstDataCol="0"/>
  <pivotFields count="5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8">
        <item x="1"/>
        <item x="2"/>
        <item x="6"/>
        <item x="5"/>
        <item x="7"/>
        <item x="9"/>
        <item x="14"/>
        <item x="10"/>
        <item x="16"/>
        <item x="17"/>
        <item x="12"/>
        <item x="25"/>
        <item x="19"/>
        <item x="40"/>
        <item x="46"/>
        <item x="34"/>
        <item x="48"/>
        <item x="49"/>
        <item x="45"/>
        <item x="52"/>
        <item x="55"/>
        <item x="54"/>
        <item x="56"/>
        <item x="3"/>
        <item x="24"/>
        <item x="58"/>
        <item x="33"/>
        <item x="0"/>
        <item x="8"/>
        <item m="1" x="76"/>
        <item m="1" x="75"/>
        <item x="13"/>
        <item x="15"/>
        <item x="18"/>
        <item x="20"/>
        <item x="21"/>
        <item x="22"/>
        <item x="23"/>
        <item x="26"/>
        <item x="27"/>
        <item x="28"/>
        <item x="29"/>
        <item x="30"/>
        <item x="31"/>
        <item x="32"/>
        <item x="35"/>
        <item x="36"/>
        <item x="37"/>
        <item x="38"/>
        <item x="39"/>
        <item x="41"/>
        <item x="42"/>
        <item x="43"/>
        <item x="44"/>
        <item x="47"/>
        <item x="50"/>
        <item x="51"/>
        <item x="53"/>
        <item x="57"/>
        <item m="1" x="73"/>
        <item x="61"/>
        <item x="62"/>
        <item x="63"/>
        <item x="64"/>
        <item x="67"/>
        <item m="1" x="74"/>
        <item x="4"/>
        <item x="68"/>
        <item x="11"/>
        <item x="59"/>
        <item x="60"/>
        <item x="65"/>
        <item x="66"/>
        <item x="69"/>
        <item x="70"/>
        <item x="71"/>
        <item x="7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oma de Pot." fld="3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51AC3B-B8B6-4EC4-8BC8-E3900F1F3761}" name="TDfunil"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44">
  <location ref="A2:B13" firstHeaderRow="1" firstDataRow="1" firstDataCol="1"/>
  <pivotFields count="56">
    <pivotField showAll="0"/>
    <pivotField showAll="0"/>
    <pivotField showAll="0"/>
    <pivotField axis="axisRow" dataField="1" showAll="0">
      <items count="13">
        <item x="6"/>
        <item x="2"/>
        <item x="4"/>
        <item x="5"/>
        <item m="1" x="11"/>
        <item m="1" x="10"/>
        <item x="1"/>
        <item x="0"/>
        <item x="3"/>
        <item x="7"/>
        <item x="8"/>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8">
        <item x="1"/>
        <item x="2"/>
        <item x="6"/>
        <item x="5"/>
        <item x="7"/>
        <item x="9"/>
        <item x="14"/>
        <item x="10"/>
        <item x="16"/>
        <item x="17"/>
        <item x="12"/>
        <item x="25"/>
        <item x="19"/>
        <item x="40"/>
        <item x="46"/>
        <item x="34"/>
        <item x="48"/>
        <item x="49"/>
        <item x="45"/>
        <item x="52"/>
        <item x="55"/>
        <item x="54"/>
        <item x="56"/>
        <item x="3"/>
        <item x="24"/>
        <item x="58"/>
        <item x="33"/>
        <item x="0"/>
        <item x="8"/>
        <item m="1" x="76"/>
        <item m="1" x="75"/>
        <item x="13"/>
        <item x="15"/>
        <item x="18"/>
        <item x="20"/>
        <item x="21"/>
        <item x="22"/>
        <item x="23"/>
        <item x="26"/>
        <item x="27"/>
        <item x="28"/>
        <item x="29"/>
        <item x="30"/>
        <item x="31"/>
        <item x="32"/>
        <item x="35"/>
        <item x="36"/>
        <item x="37"/>
        <item x="38"/>
        <item x="39"/>
        <item x="41"/>
        <item x="42"/>
        <item x="43"/>
        <item x="44"/>
        <item x="47"/>
        <item x="50"/>
        <item x="51"/>
        <item x="53"/>
        <item x="57"/>
        <item m="1" x="73"/>
        <item x="61"/>
        <item x="62"/>
        <item x="63"/>
        <item x="64"/>
        <item x="67"/>
        <item m="1" x="74"/>
        <item x="4"/>
        <item x="68"/>
        <item x="11"/>
        <item x="59"/>
        <item x="60"/>
        <item x="65"/>
        <item x="66"/>
        <item x="69"/>
        <item x="70"/>
        <item x="71"/>
        <item x="7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11">
    <i>
      <x/>
    </i>
    <i>
      <x v="1"/>
    </i>
    <i>
      <x v="2"/>
    </i>
    <i>
      <x v="3"/>
    </i>
    <i>
      <x v="6"/>
    </i>
    <i>
      <x v="7"/>
    </i>
    <i>
      <x v="8"/>
    </i>
    <i>
      <x v="9"/>
    </i>
    <i>
      <x v="10"/>
    </i>
    <i>
      <x v="11"/>
    </i>
    <i t="grand">
      <x/>
    </i>
  </rowItems>
  <colItems count="1">
    <i/>
  </colItems>
  <dataFields count="1">
    <dataField name="Contagem de Etapa"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19B179-4A12-48F7-9912-5B6B52C1AAB5}" name="TDticketmedio"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location ref="H2:H3" firstHeaderRow="1" firstDataRow="1" firstDataCol="0"/>
  <pivotFields count="5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8">
        <item x="1"/>
        <item x="2"/>
        <item x="6"/>
        <item x="5"/>
        <item x="7"/>
        <item x="9"/>
        <item x="14"/>
        <item x="10"/>
        <item x="16"/>
        <item x="17"/>
        <item x="12"/>
        <item x="25"/>
        <item x="19"/>
        <item x="40"/>
        <item x="46"/>
        <item x="34"/>
        <item x="48"/>
        <item x="49"/>
        <item x="45"/>
        <item x="52"/>
        <item x="55"/>
        <item x="54"/>
        <item x="56"/>
        <item x="3"/>
        <item x="24"/>
        <item x="58"/>
        <item x="33"/>
        <item x="0"/>
        <item x="8"/>
        <item m="1" x="76"/>
        <item m="1" x="75"/>
        <item x="13"/>
        <item x="15"/>
        <item x="18"/>
        <item x="20"/>
        <item x="21"/>
        <item x="22"/>
        <item x="23"/>
        <item x="26"/>
        <item x="27"/>
        <item x="28"/>
        <item x="29"/>
        <item x="30"/>
        <item x="31"/>
        <item x="32"/>
        <item x="35"/>
        <item x="36"/>
        <item x="37"/>
        <item x="38"/>
        <item x="39"/>
        <item x="41"/>
        <item x="42"/>
        <item x="43"/>
        <item x="44"/>
        <item x="47"/>
        <item x="50"/>
        <item x="51"/>
        <item x="53"/>
        <item x="57"/>
        <item m="1" x="73"/>
        <item x="61"/>
        <item x="62"/>
        <item x="63"/>
        <item x="64"/>
        <item x="67"/>
        <item m="1" x="74"/>
        <item x="4"/>
        <item x="68"/>
        <item x="11"/>
        <item x="59"/>
        <item x="60"/>
        <item x="65"/>
        <item x="66"/>
        <item x="69"/>
        <item x="70"/>
        <item x="71"/>
        <item x="72"/>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Média de Valor" fld="32" subtotal="average" baseField="0" baseItem="43974656" numFmtId="2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FA28CEF-79EE-4F2B-829C-07DB891510F5}" name="TDpotmedia"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location ref="J5:J6" firstHeaderRow="1" firstDataRow="1" firstDataCol="0"/>
  <pivotFields count="5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8">
        <item x="1"/>
        <item x="2"/>
        <item x="6"/>
        <item x="5"/>
        <item x="7"/>
        <item x="9"/>
        <item x="14"/>
        <item x="10"/>
        <item x="16"/>
        <item x="17"/>
        <item x="12"/>
        <item x="25"/>
        <item x="19"/>
        <item x="40"/>
        <item x="46"/>
        <item x="34"/>
        <item x="48"/>
        <item x="49"/>
        <item x="45"/>
        <item x="52"/>
        <item x="55"/>
        <item x="54"/>
        <item x="56"/>
        <item x="3"/>
        <item x="24"/>
        <item x="58"/>
        <item x="33"/>
        <item x="0"/>
        <item x="8"/>
        <item m="1" x="76"/>
        <item m="1" x="75"/>
        <item x="13"/>
        <item x="15"/>
        <item x="18"/>
        <item x="20"/>
        <item x="21"/>
        <item x="22"/>
        <item x="23"/>
        <item x="26"/>
        <item x="27"/>
        <item x="28"/>
        <item x="29"/>
        <item x="30"/>
        <item x="31"/>
        <item x="32"/>
        <item x="35"/>
        <item x="36"/>
        <item x="37"/>
        <item x="38"/>
        <item x="39"/>
        <item x="41"/>
        <item x="42"/>
        <item x="43"/>
        <item x="44"/>
        <item x="47"/>
        <item x="50"/>
        <item x="51"/>
        <item x="53"/>
        <item x="57"/>
        <item m="1" x="73"/>
        <item x="61"/>
        <item x="62"/>
        <item x="63"/>
        <item x="64"/>
        <item x="67"/>
        <item m="1" x="74"/>
        <item x="4"/>
        <item x="68"/>
        <item x="11"/>
        <item x="59"/>
        <item x="60"/>
        <item x="65"/>
        <item x="66"/>
        <item x="69"/>
        <item x="70"/>
        <item x="71"/>
        <item x="7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Média de Pot." fld="31" subtotal="average" baseField="0" baseItem="43974656" numFmtId="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C584ACB-F48D-4E68-AB31-B5813AF59226}" name="TDfaturamento" cacheId="0" applyNumberFormats="0" applyBorderFormats="0" applyFontFormats="0" applyPatternFormats="0" applyAlignmentFormats="0" applyWidthHeightFormats="1" dataCaption="Valores" updatedVersion="8" minRefreshableVersion="5" useAutoFormatting="1" rowGrandTotals="0" colGrandTotals="0" itemPrintTitles="1" createdVersion="8" indent="0" outline="1" outlineData="1" multipleFieldFilters="0" chartFormat="20">
  <location ref="Q14:R27" firstHeaderRow="1" firstDataRow="1" firstDataCol="1"/>
  <pivotFields count="56">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77">
        <item x="1"/>
        <item x="2"/>
        <item x="6"/>
        <item x="5"/>
        <item x="7"/>
        <item x="9"/>
        <item x="14"/>
        <item x="10"/>
        <item x="16"/>
        <item x="17"/>
        <item x="12"/>
        <item x="25"/>
        <item x="19"/>
        <item x="40"/>
        <item x="46"/>
        <item x="34"/>
        <item x="48"/>
        <item x="49"/>
        <item x="45"/>
        <item x="52"/>
        <item x="55"/>
        <item x="54"/>
        <item x="56"/>
        <item x="3"/>
        <item x="24"/>
        <item x="58"/>
        <item x="33"/>
        <item x="0"/>
        <item x="8"/>
        <item m="1" x="76"/>
        <item m="1" x="75"/>
        <item x="13"/>
        <item x="15"/>
        <item x="18"/>
        <item x="20"/>
        <item x="21"/>
        <item x="22"/>
        <item x="23"/>
        <item x="26"/>
        <item x="27"/>
        <item x="28"/>
        <item x="29"/>
        <item x="30"/>
        <item x="31"/>
        <item x="32"/>
        <item x="35"/>
        <item x="36"/>
        <item x="37"/>
        <item x="38"/>
        <item x="39"/>
        <item x="41"/>
        <item x="42"/>
        <item x="43"/>
        <item x="44"/>
        <item x="47"/>
        <item x="50"/>
        <item x="51"/>
        <item x="53"/>
        <item x="57"/>
        <item m="1" x="73"/>
        <item x="61"/>
        <item x="62"/>
        <item x="63"/>
        <item x="64"/>
        <item x="67"/>
        <item m="1" x="74"/>
        <item x="4"/>
        <item x="68"/>
        <item x="11"/>
        <item x="59"/>
        <item x="60"/>
        <item x="65"/>
        <item x="66"/>
        <item x="69"/>
        <item x="70"/>
        <item x="71"/>
        <item x="72"/>
      </items>
    </pivotField>
    <pivotField showAll="0" defaultSubtotal="0"/>
    <pivotField dataField="1" showAll="0" defaultSubtotal="0"/>
    <pivotField showAll="0" defaultSubtotal="0"/>
    <pivotField showAll="0" defaultSubtotal="0"/>
    <pivotField showAll="0" defaultSubtotal="0"/>
    <pivotField showAll="0" defaultSubtotal="0"/>
    <pivotField subtotalTop="0" showAll="0" defaultSubtotal="0"/>
    <pivotField subtotalTop="0"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x="5"/>
      </items>
    </pivotField>
    <pivotField showAll="0" defaultSubtotal="0">
      <items count="6">
        <item sd="0" x="0"/>
        <item x="1"/>
        <item x="2"/>
        <item x="3"/>
        <item x="4"/>
        <item x="5"/>
      </items>
    </pivotField>
  </pivotFields>
  <rowFields count="1">
    <field x="53"/>
  </rowFields>
  <rowItems count="13">
    <i>
      <x/>
    </i>
    <i>
      <x v="1"/>
    </i>
    <i>
      <x v="2"/>
    </i>
    <i>
      <x v="3"/>
    </i>
    <i>
      <x v="4"/>
    </i>
    <i>
      <x v="5"/>
    </i>
    <i>
      <x v="6"/>
    </i>
    <i>
      <x v="7"/>
    </i>
    <i>
      <x v="8"/>
    </i>
    <i>
      <x v="9"/>
    </i>
    <i>
      <x v="10"/>
    </i>
    <i>
      <x v="11"/>
    </i>
    <i>
      <x v="12"/>
    </i>
  </rowItems>
  <colItems count="1">
    <i/>
  </colItems>
  <dataFields count="1">
    <dataField name="Soma de Valor" fld="32" baseField="39" baseItem="9" numFmtId="210"/>
  </dataFields>
  <chartFormats count="4">
    <chartFormat chart="13" format="1"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154181A-88A6-4989-8655-A4ADBA995BBB}" name="TDnfechamentos"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17">
  <location ref="M2:N16" firstHeaderRow="1" firstDataRow="1" firstDataCol="1"/>
  <pivotFields count="5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8">
        <item x="1"/>
        <item x="2"/>
        <item x="6"/>
        <item x="5"/>
        <item x="7"/>
        <item x="9"/>
        <item x="14"/>
        <item x="10"/>
        <item x="16"/>
        <item x="17"/>
        <item x="12"/>
        <item x="25"/>
        <item x="19"/>
        <item x="40"/>
        <item x="46"/>
        <item x="34"/>
        <item x="48"/>
        <item x="49"/>
        <item x="45"/>
        <item x="52"/>
        <item x="55"/>
        <item x="54"/>
        <item x="56"/>
        <item x="3"/>
        <item x="24"/>
        <item x="58"/>
        <item x="33"/>
        <item x="0"/>
        <item x="8"/>
        <item m="1" x="76"/>
        <item m="1" x="75"/>
        <item x="13"/>
        <item x="15"/>
        <item x="18"/>
        <item x="20"/>
        <item x="21"/>
        <item x="22"/>
        <item x="23"/>
        <item x="26"/>
        <item x="27"/>
        <item x="28"/>
        <item x="29"/>
        <item x="30"/>
        <item x="31"/>
        <item x="32"/>
        <item x="35"/>
        <item x="36"/>
        <item x="37"/>
        <item x="38"/>
        <item x="39"/>
        <item x="41"/>
        <item x="42"/>
        <item x="43"/>
        <item x="44"/>
        <item x="47"/>
        <item x="50"/>
        <item x="51"/>
        <item x="53"/>
        <item x="57"/>
        <item m="1" x="73"/>
        <item x="61"/>
        <item x="62"/>
        <item x="63"/>
        <item x="64"/>
        <item x="67"/>
        <item m="1" x="74"/>
        <item x="4"/>
        <item x="68"/>
        <item x="11"/>
        <item x="59"/>
        <item x="60"/>
        <item x="65"/>
        <item x="66"/>
        <item x="69"/>
        <item x="70"/>
        <item x="71"/>
        <item x="7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x="5"/>
        <item t="default"/>
      </items>
    </pivotField>
    <pivotField showAll="0">
      <items count="7">
        <item x="0"/>
        <item x="1"/>
        <item x="2"/>
        <item x="3"/>
        <item x="4"/>
        <item x="5"/>
        <item t="default"/>
      </items>
    </pivotField>
  </pivotFields>
  <rowFields count="1">
    <field x="53"/>
  </rowFields>
  <rowItems count="14">
    <i>
      <x/>
    </i>
    <i>
      <x v="1"/>
    </i>
    <i>
      <x v="2"/>
    </i>
    <i>
      <x v="3"/>
    </i>
    <i>
      <x v="4"/>
    </i>
    <i>
      <x v="5"/>
    </i>
    <i>
      <x v="6"/>
    </i>
    <i>
      <x v="7"/>
    </i>
    <i>
      <x v="8"/>
    </i>
    <i>
      <x v="9"/>
    </i>
    <i>
      <x v="10"/>
    </i>
    <i>
      <x v="11"/>
    </i>
    <i>
      <x v="12"/>
    </i>
    <i t="grand">
      <x/>
    </i>
  </rowItems>
  <colItems count="1">
    <i/>
  </colItems>
  <dataFields count="1">
    <dataField name="Contagem de Data Fechamento" fld="30" subtotal="count" baseField="0" baseItem="0"/>
  </dataFields>
  <chartFormats count="3">
    <chartFormat chart="14" format="2"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2" connectionId="4" xr16:uid="{F351226D-135A-4A46-88C6-3A0B605354C4}" autoFormatId="16" applyNumberFormats="0" applyBorderFormats="0" applyFontFormats="0" applyPatternFormats="0" applyAlignmentFormats="0" applyWidthHeightFormats="0">
  <queryTableRefresh nextId="52">
    <queryTableFields count="43">
      <queryTableField id="1" name="Estudo" tableColumnId="1"/>
      <queryTableField id="2" name="N°" tableColumnId="2"/>
      <queryTableField id="3" name="Nome" tableColumnId="3"/>
      <queryTableField id="4" name="Etapa" tableColumnId="4"/>
      <queryTableField id="5" name="Primeiro Contato" tableColumnId="5"/>
      <queryTableField id="6" name="Origem" tableColumnId="6"/>
      <queryTableField id="7" name="Telefone" tableColumnId="7"/>
      <queryTableField id="50" name="Email" tableColumnId="44"/>
      <queryTableField id="46" name="CPF" tableColumnId="42"/>
      <queryTableField id="48" name="Nascimento" tableColumnId="43"/>
      <queryTableField id="8" name="Endereço" tableColumnId="8"/>
      <queryTableField id="9" name="CEP" tableColumnId="9"/>
      <queryTableField id="10" name="Estado" tableColumnId="10"/>
      <queryTableField id="11" name="Município" tableColumnId="11"/>
      <queryTableField id="12" name="Bairro" tableColumnId="12"/>
      <queryTableField id="13" name="Concessionária" tableColumnId="13"/>
      <queryTableField id="14" name="Grupo/Sub-Grupo" tableColumnId="14"/>
      <queryTableField id="15" name="Fornecimento" tableColumnId="15"/>
      <queryTableField id="16" name="Consumo médio" tableColumnId="16"/>
      <queryTableField id="17" name="Jan" tableColumnId="17"/>
      <queryTableField id="18" name="Fev" tableColumnId="18"/>
      <queryTableField id="19" name="Mar" tableColumnId="19"/>
      <queryTableField id="20" name="Abr" tableColumnId="20"/>
      <queryTableField id="21" name="Mai" tableColumnId="21"/>
      <queryTableField id="22" name="Jun" tableColumnId="22"/>
      <queryTableField id="23" name="Jul" tableColumnId="23"/>
      <queryTableField id="24" name="Ago" tableColumnId="24"/>
      <queryTableField id="25" name="Set" tableColumnId="25"/>
      <queryTableField id="26" name="Out" tableColumnId="26"/>
      <queryTableField id="27" name="Nov" tableColumnId="27"/>
      <queryTableField id="28" name="Dez" tableColumnId="28"/>
      <queryTableField id="29" name="Tipo de Geração" tableColumnId="29"/>
      <queryTableField id="30" name="Local de Instalação" tableColumnId="30"/>
      <queryTableField id="31" name="Data Fechamento" tableColumnId="31"/>
      <queryTableField id="32" name="Pot." tableColumnId="32"/>
      <queryTableField id="33" name="Valor" tableColumnId="33"/>
      <queryTableField id="34" name="Estrutura" tableColumnId="34"/>
      <queryTableField id="35" name="Qnt. Módulos" tableColumnId="35"/>
      <queryTableField id="36" name="Pt. Módulos" tableColumnId="36"/>
      <queryTableField id="37" name="Distância" tableColumnId="37"/>
      <queryTableField id="38" name="Remarketing?" tableColumnId="38"/>
      <queryTableField id="39" name="Motivo Perda" tableColumnId="39"/>
      <queryTableField id="40" name="Obs.:" tableColumnId="4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dosExternos_1" connectionId="2" xr16:uid="{00000000-0016-0000-0800-000000000000}" autoFormatId="16" applyNumberFormats="0" applyBorderFormats="0" applyFontFormats="0" applyPatternFormats="0" applyAlignmentFormats="0" applyWidthHeightFormats="0">
  <queryTableRefresh nextId="24">
    <queryTableFields count="14">
      <queryTableField id="1" name="Distribuidor" tableColumnId="1"/>
      <queryTableField id="2" name="Inversor" tableColumnId="2"/>
      <queryTableField id="3" name="Estrutura" tableColumnId="3"/>
      <queryTableField id="4" name="Kit" tableColumnId="4"/>
      <queryTableField id="5" name="Preço" tableColumnId="5"/>
      <queryTableField id="19" name="R$/Wp" tableColumnId="16"/>
      <queryTableField id="8" name="Frete" tableColumnId="8"/>
      <queryTableField id="9" name="Preço com frete" tableColumnId="9"/>
      <queryTableField id="10" name="R$/Wp c/frete" tableColumnId="10"/>
      <queryTableField id="11" name="Prazo" tableColumnId="11"/>
      <queryTableField id="16" name="Validade" tableColumnId="12"/>
      <queryTableField id="13" name="Escolhido" tableColumnId="13"/>
      <queryTableField id="20" name="Módulo" tableColumnId="17"/>
      <queryTableField id="14" name="Descrição" tableColumnId="14"/>
    </queryTableFields>
    <queryTableDeletedFields count="2">
      <deletedField name="Pré-Venda"/>
      <deletedField name="R$/Wp"/>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dosExternos_1" connectionId="3" xr16:uid="{00000000-0016-0000-1100-000001000000}" autoFormatId="16" applyNumberFormats="0" applyBorderFormats="0" applyFontFormats="0" applyPatternFormats="0" applyAlignmentFormats="0" applyWidthHeightFormats="0">
  <queryTableRefresh nextId="31">
    <queryTableFields count="30">
      <queryTableField id="1" name="Fabricante" tableColumnId="1"/>
      <queryTableField id="2" name="Modelo" tableColumnId="2"/>
      <queryTableField id="3" name="Tecnologia" tableColumnId="3"/>
      <queryTableField id="4" name="Pmax" tableColumnId="4"/>
      <queryTableField id="5" name="Eficiência" tableColumnId="5"/>
      <queryTableField id="6" name="N° de Célualas" tableColumnId="6"/>
      <queryTableField id="7" name="Half-cell?" tableColumnId="7"/>
      <queryTableField id="8" name="Imp" tableColumnId="8"/>
      <queryTableField id="9" name="Vmp" tableColumnId="9"/>
      <queryTableField id="10" name="Isc" tableColumnId="10"/>
      <queryTableField id="11" name="Voc" tableColumnId="11"/>
      <queryTableField id="12" name="Power Tolerance" tableColumnId="12"/>
      <queryTableField id="13" name="Temp. Coef. Pmax" tableColumnId="13"/>
      <queryTableField id="14" name="Temp. Coef. Voc" tableColumnId="14"/>
      <queryTableField id="15" name="Temp. Coef. Isc" tableColumnId="15"/>
      <queryTableField id="16" name="Imax Series Fuse" tableColumnId="16"/>
      <queryTableField id="17" name="Mín Operating Temp" tableColumnId="17"/>
      <queryTableField id="18" name="Máx Operating Temp" tableColumnId="18"/>
      <queryTableField id="19" name="Peso" tableColumnId="19"/>
      <queryTableField id="20" name="Comprimento" tableColumnId="20"/>
      <queryTableField id="21" name="Largura" tableColumnId="21"/>
      <queryTableField id="22" name="Profundidade" tableColumnId="22"/>
      <queryTableField id="23" name="Conector" tableColumnId="23"/>
      <queryTableField id="24" name="ByPass Diodes" tableColumnId="24"/>
      <queryTableField id="25" name="Qnt BusBar" tableColumnId="25"/>
      <queryTableField id="26" name="Garantia" tableColumnId="26"/>
      <queryTableField id="27" name="Performance" tableColumnId="27"/>
      <queryTableField id="28" name="Coef. Drepreciação do módulo" tableColumnId="28"/>
      <queryTableField id="29" name="Datasheet" tableColumnId="29"/>
      <queryTableField id="30" name="Obs" tableColumnId="3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dosExternos_1" connectionId="1" xr16:uid="{00000000-0016-0000-1200-000002000000}" autoFormatId="16" applyNumberFormats="0" applyBorderFormats="0" applyFontFormats="0" applyPatternFormats="0" applyAlignmentFormats="0" applyWidthHeightFormats="0">
  <queryTableRefresh nextId="45">
    <queryTableFields count="42">
      <queryTableField id="1" name="Fabricante" tableColumnId="1"/>
      <queryTableField id="2" name="Modelo" tableColumnId="2"/>
      <queryTableField id="3" name="Tipo" tableColumnId="3"/>
      <queryTableField id="4" name="Pmax_DC" tableColumnId="4"/>
      <queryTableField id="5" name="Vmax_DC" tableColumnId="5"/>
      <queryTableField id="6" name="VStart-up" tableColumnId="6"/>
      <queryTableField id="7" name="Vmin_MPPT" tableColumnId="7"/>
      <queryTableField id="8" name="Vmax_MPPT" tableColumnId="8"/>
      <queryTableField id="9" name="Imax_DC" tableColumnId="9"/>
      <queryTableField id="39" name="Imax_sc" tableColumnId="39"/>
      <queryTableField id="10" name="Nº de MPPTs" tableColumnId="10"/>
      <queryTableField id="11" name="Pn" tableColumnId="11"/>
      <queryTableField id="12" name="Pmax" tableColumnId="12"/>
      <queryTableField id="13" name="Vgrid" tableColumnId="13"/>
      <queryTableField id="14" name="In" tableColumnId="14"/>
      <queryTableField id="15" name="Imax_AC" tableColumnId="15"/>
      <queryTableField id="16" name="Fases" tableColumnId="16"/>
      <queryTableField id="17" name="Conexão FN-FF?" tableColumnId="17"/>
      <queryTableField id="18" name="FP" tableColumnId="18"/>
      <queryTableField id="19" name="THDi" tableColumnId="19"/>
      <queryTableField id="20" name="Eficiência Max." tableColumnId="20"/>
      <queryTableField id="21" name="Eficiência EU" tableColumnId="21"/>
      <queryTableField id="22" name="Eficiência MPPT" tableColumnId="22"/>
      <queryTableField id="23" name="Polaridade Reversa?" tableColumnId="23"/>
      <queryTableField id="24" name="Curto circuito?" tableColumnId="24"/>
      <queryTableField id="25" name="Sobrecorrente" tableColumnId="25"/>
      <queryTableField id="26" name="Sobretensão" tableColumnId="26"/>
      <queryTableField id="27" name="Ventilação Forçada?" tableColumnId="27"/>
      <queryTableField id="28" name="Display?" tableColumnId="28"/>
      <queryTableField id="29" name="Peso" tableColumnId="29"/>
      <queryTableField id="30" name="Altura" tableColumnId="30"/>
      <queryTableField id="31" name="Largura" tableColumnId="31"/>
      <queryTableField id="32" name="Profundidade" tableColumnId="32"/>
      <queryTableField id="33" name="Emissão de Ruído" tableColumnId="33"/>
      <queryTableField id="34" name="Vida útil" tableColumnId="34"/>
      <queryTableField id="35" name="Garantia" tableColumnId="35"/>
      <queryTableField id="36" name="Expansivel?" tableColumnId="36"/>
      <queryTableField id="37" name="Datasheet" tableColumnId="37"/>
      <queryTableField id="41" name="Dist. Lateral" tableColumnId="38"/>
      <queryTableField id="42" name="Dist. Lateral Entre Inv." tableColumnId="40"/>
      <queryTableField id="43" name="Dist. Vertical" tableColumnId="41"/>
      <queryTableField id="44" name="Disj. Recomendado" tableColumnId="42"/>
    </queryTableFields>
  </queryTableRefresh>
</queryTable>
</file>

<file path=xl/tables/_rels/table5.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7467D7B-6A63-48DC-B3FD-5620515574E1}" name="balanco_geracao_consumo" displayName="balanco_geracao_consumo" ref="A43:R164" totalsRowShown="0" headerRowDxfId="145">
  <autoFilter ref="A43:R164" xr:uid="{AAC42A63-0F0F-43DB-B79E-8F27B082BE4B}"/>
  <tableColumns count="18">
    <tableColumn id="1" xr3:uid="{91EF0A3D-D5C8-4BB7-8558-7EA4CDBFDEB4}" name="Ano"/>
    <tableColumn id="2" xr3:uid="{2E2A1397-228C-4221-9EB5-77401C527E25}" name="Histórico de Faturamento" dataDxfId="144"/>
    <tableColumn id="3" xr3:uid="{444A0A1E-90F8-4F9B-A0B0-C174EAFD2B1A}" name="kWh"/>
    <tableColumn id="4" xr3:uid="{B6956AA2-BEC8-47AB-BAA6-CF2DB1C2ADF1}" name="Tarifa Final" dataDxfId="143">
      <calculatedColumnFormula>((C44*$B$307/(1-(IFERROR(INDEX($I$307:$L$307,MATCH(C44-0.01,$I$311:$K$311,1)+1),$I$307)+$G$307+$H$307)))+IFERROR(INDEX($M$307:$AS$307,MATCH(C44-0.001,$M$306:$AR$306,1)+1),$M$307))*((1+$C$10)^(A44-1))</calculatedColumnFormula>
    </tableColumn>
    <tableColumn id="5" xr3:uid="{D64E7EDA-1DD5-4E24-85CB-743080C7732C}" name="Geração kWh" dataDxfId="142"/>
    <tableColumn id="6" xr3:uid="{38AB7393-5973-4392-93E1-DA6030823405}" name="AutoConsumo" dataDxfId="141">
      <calculatedColumnFormula>MIN(C44*$A$9,E44)</calculatedColumnFormula>
    </tableColumn>
    <tableColumn id="7" xr3:uid="{08290BFF-11D3-4331-8C8A-9AE54FC51197}" name="Consumido da rede" dataDxfId="140">
      <calculatedColumnFormula>C44-F44</calculatedColumnFormula>
    </tableColumn>
    <tableColumn id="8" xr3:uid="{D6ECC0A0-D76A-4FA6-B8D8-0AF2BF3566FB}" name="Injetado na rede" dataDxfId="139">
      <calculatedColumnFormula>IF(E44&lt;F44,0,E44-F44)</calculatedColumnFormula>
    </tableColumn>
    <tableColumn id="9" xr3:uid="{0F5ABB47-3192-4CBA-B622-C8EDF6FACFF6}" name="Créditos">
      <calculatedColumnFormula>IF((G44-H44)&lt;0,(H44-G44)+I43,IF((G44-H44)&lt;$C$8,I43,IF(((G44-H44)-$C$8)&lt;I43,I43-((G44-H44)-$C$8),0)))</calculatedColumnFormula>
    </tableColumn>
    <tableColumn id="10" xr3:uid="{502B05B3-CA71-48F8-A8C7-0302B631B14C}" name="Energia Fornecida" dataDxfId="138">
      <calculatedColumnFormula>IF(H44&gt;G44,G44,IF((G44-H44)&lt;$C$8,H44,IF(I43-(G44-H44-$C$8)&lt;0,I43+H44,G44-$C$8)))</calculatedColumnFormula>
    </tableColumn>
    <tableColumn id="19" xr3:uid="{C2645721-66AC-469B-80BC-154E953AE36F}" name="Tarifa c/ D.A." dataDxfId="137">
      <calculatedColumnFormula>(IF(balanco_geracao_consumo[[#This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calculatedColumnFormula>
    </tableColumn>
    <tableColumn id="18" xr3:uid="{29C721C8-C4FA-43AA-B482-BE65C2941186}" name="Crédito 14.300" dataDxfId="136"/>
    <tableColumn id="17" xr3:uid="{CDF4B03A-50E4-48E9-BCC2-CF23315B5C92}" name="Energia Fornecida 14.300" dataDxfId="135">
      <calculatedColumnFormula>IF(balanco_geracao_consumo[[#This Row],[Consumido da rede]]&lt;$C$8,0,IF((balanco_geracao_consumo[[#This Row],[Injetado na rede]]+L43)&gt;balanco_geracao_consumo[[#This Row],[Consumido da rede]],balanco_geracao_consumo[[#This Row],[Consumido da rede]],balanco_geracao_consumo[[#This Row],[Injetado na rede]]+L43))</calculatedColumnFormula>
    </tableColumn>
    <tableColumn id="16" xr3:uid="{3A59A0A3-BD60-4440-97DA-CD956D5A6D74}" name="Custo FioB" dataDxfId="134">
      <calculatedColumnFormula>IFERROR(VLOOKUP(balanco_geracao_consumo[[#This Row],[Ano]],$B$321:$C$327,2,FALSE),1)*$E$307*balanco_geracao_consumo[[#This Row],[Energia Fornecida 14.300]]</calculatedColumnFormula>
    </tableColumn>
    <tableColumn id="15" xr3:uid="{984D1D4E-0E1D-4AB1-B941-9E10DAD592F4}" name="Tarifa 14.300" dataDxfId="133">
      <calculatedColumnFormula>(IF(balanco_geracao_consumo[[#This Row],[Consumido da rede]]&lt;$C$8,($C$8*$B$307/(1-(IFERROR(INDEX($I$307:$L$307,MATCH(balanco_geracao_consumo[[#This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calculatedColumnFormula>
    </tableColumn>
    <tableColumn id="11" xr3:uid="{A7DCF9B0-8062-4622-8870-73292E2BF426}" name="Tarifa c/ FV" dataDxfId="132">
      <calculatedColumnFormula>balanco_geracao_consumo[[#This Row],[Tarifa 14.300]]</calculatedColumnFormula>
    </tableColumn>
    <tableColumn id="13" xr3:uid="{78644BCD-C72A-4F34-990B-2CC5DDD9E932}" name="Economia" dataDxfId="131">
      <calculatedColumnFormula>D44-P44</calculatedColumnFormula>
    </tableColumn>
    <tableColumn id="14" xr3:uid="{7D997A38-B7DB-4FFA-B4C2-74356F5FB918}" name="Fluxo de Caixa" dataDxfId="130">
      <calculatedColumnFormula>-$C$5</calculatedColumnFormula>
    </tableColumn>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64B4989-8188-4460-B044-73727B424027}" name="Tarifas7" displayName="Tarifas7" ref="A311:AS314" totalsRowShown="0" headerRowDxfId="129">
  <autoFilter ref="A311:AS314" xr:uid="{164B4989-8188-4460-B044-73727B424027}"/>
  <tableColumns count="45">
    <tableColumn id="1" xr3:uid="{6783E2DD-1ADC-4F7C-B3AB-5EE8FFBE3DCA}" name="Concessionária"/>
    <tableColumn id="2" xr3:uid="{A0D7D26B-D464-4669-B3CE-3990E116BE4A}" name="Tarifa base B1"/>
    <tableColumn id="3" xr3:uid="{90BB415F-219D-4DDF-A464-5C393E382BB4}" name="TUSD"/>
    <tableColumn id="4" xr3:uid="{1FDEAAE4-AF3F-4B89-9C16-5D66F7E7212C}" name="TE"/>
    <tableColumn id="44" xr3:uid="{73BA0617-F940-498E-A050-E2BC3621A82F}" name="FioB"/>
    <tableColumn id="45" xr3:uid="{8761EAA0-C73B-48F4-9F5D-B3241B40149E}" name="%FioB" dataDxfId="128">
      <calculatedColumnFormula>Tarifas7[[#This Row],[FioB]]/Tarifas7[[#This Row],[Tarifa base B1]]</calculatedColumnFormula>
    </tableColumn>
    <tableColumn id="5" xr3:uid="{D2CF8A43-1165-470F-8DF1-5FF56C1C7017}" name="PIS"/>
    <tableColumn id="6" xr3:uid="{E5568F9E-B701-435C-8E4F-E2E6625A9D7E}" name="COFINS"/>
    <tableColumn id="7" xr3:uid="{5057828D-B2BC-46EC-A5D3-96C98ECB18A0}" name="até 50kWh"/>
    <tableColumn id="8" xr3:uid="{7D39B6C8-5FED-4A26-A6ED-B43AB1F8646D}" name="até 299kWh"/>
    <tableColumn id="9" xr3:uid="{15F1BA83-D575-4565-9395-3019B21AE95A}" name="até 450kWh"/>
    <tableColumn id="10" xr3:uid="{8256E6F2-5C91-468F-94AF-28B9A4CACEDD}" name="&gt; 450kWh"/>
    <tableColumn id="11" xr3:uid="{CE13995C-8B02-4646-86AE-ED53AA24D38F}" name="até 80kWh" dataDxfId="127"/>
    <tableColumn id="12" xr3:uid="{9AB08D24-FB95-4FA4-A780-9E2219C5EF93}" name="até 100kWh" dataDxfId="126"/>
    <tableColumn id="13" xr3:uid="{82E985E6-57CE-4F6B-A53F-4600FBAFAD54}" name="até 140kWh"/>
    <tableColumn id="14" xr3:uid="{E2B988C7-1154-485C-9CA0-0A22FCAB5261}" name="até 200kWh"/>
    <tableColumn id="15" xr3:uid="{6DB24D64-C070-4DEA-ABD1-BC862785E79F}" name="até 300kWh"/>
    <tableColumn id="16" xr3:uid="{17039916-337B-48B1-B756-025CAAD861F3}" name="até 400kWh"/>
    <tableColumn id="17" xr3:uid="{7A0166CA-D07C-48B8-9082-00A4CB97A963}" name="até 500kWh"/>
    <tableColumn id="18" xr3:uid="{CAC2E129-C80A-47A0-985A-A98C3473B1B7}" name="até 600kWh"/>
    <tableColumn id="19" xr3:uid="{4B10F5A7-F601-4A07-A3B5-AC908F16FC8F}" name="até 700kWh"/>
    <tableColumn id="20" xr3:uid="{7ABEE878-438B-442D-9540-3AC107FA6C43}" name="até 800kWh"/>
    <tableColumn id="21" xr3:uid="{1F3251E2-51C9-402E-AE89-75FDF70A7DCB}" name="até 900kWh"/>
    <tableColumn id="22" xr3:uid="{B48B4912-A1F8-4830-A88F-21C0F777AFF5}" name="até 1000kWh"/>
    <tableColumn id="23" xr3:uid="{4BD4D45C-E0D1-46ED-A01B-F6D626B7EB3C}" name="até 2000kWh"/>
    <tableColumn id="24" xr3:uid="{A2B1B427-E5A0-457B-BCB4-97A35CD6973F}" name="até 3000kWh"/>
    <tableColumn id="25" xr3:uid="{0931E22E-74C1-4A14-97C5-0B0B6757C806}" name="até 4000kWh"/>
    <tableColumn id="26" xr3:uid="{099E0E45-CB4E-4074-91A2-C2C83DCB34CC}" name="até 5000kWh"/>
    <tableColumn id="27" xr3:uid="{2A7C551E-39DA-45ED-A0CC-AE457A791970}" name="até 6000kWh"/>
    <tableColumn id="28" xr3:uid="{FFDFB3B8-AB39-4472-8243-2008017E409E}" name="até 7000kWh"/>
    <tableColumn id="29" xr3:uid="{9FEC3C18-D3D1-496E-A41E-AC2F4129CE4B}" name="até 8000kWh"/>
    <tableColumn id="30" xr3:uid="{13D91BAA-42B0-40E9-B87F-568BEDE1BD39}" name="até 9000kWh"/>
    <tableColumn id="31" xr3:uid="{8540A5D6-B7F4-4B69-83C7-6A5F7CBF5B80}" name="até 10000kWh"/>
    <tableColumn id="32" xr3:uid="{7BA2217F-CA4C-449F-B6DD-D75B1D8862CE}" name="até 15000kWh"/>
    <tableColumn id="33" xr3:uid="{CE862728-8405-4472-B5A2-AFA4294C71DA}" name="até 20000kWh"/>
    <tableColumn id="34" xr3:uid="{519E64D0-D157-4264-A1F6-A674B5ADFBD1}" name="até 25000kWh"/>
    <tableColumn id="35" xr3:uid="{123535C5-ADD2-4A35-894E-5FC37BBDFF67}" name="até 30000kWh"/>
    <tableColumn id="36" xr3:uid="{3DD63B33-CEB3-489C-B36E-C215285F002E}" name="até 35000kWh"/>
    <tableColumn id="37" xr3:uid="{66FEC377-DEB8-4ED7-9BF5-FA12121FF5DF}" name="até 40000kWh"/>
    <tableColumn id="38" xr3:uid="{BFC03659-7021-45F3-9F85-51B8EEB22CBC}" name="até 45000kWh"/>
    <tableColumn id="39" xr3:uid="{C24F0AF2-55F4-464F-9BE0-5882906C86A4}" name="até 50000kWh"/>
    <tableColumn id="40" xr3:uid="{A52DD732-476E-4F03-9BF8-D928926B3C18}" name="até 75000kWh"/>
    <tableColumn id="41" xr3:uid="{51903D40-1D5E-44B1-8C0E-E857400DF20D}" name="até 100000kWh"/>
    <tableColumn id="42" xr3:uid="{0FC28F33-082C-4EFC-A5F0-3E6BB3FBF1ED}" name="até 200000kWh"/>
    <tableColumn id="43" xr3:uid="{F3F3CA4F-F7D3-45B1-82B5-A5FDA0985755}" name="&gt; 200000kWh"/>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8EAA33E-7686-4016-9BA4-EAEDF9BED7C1}" name="Tabela2" displayName="Tabela2" ref="A2:D423" totalsRowShown="0" headerRowDxfId="207" dataDxfId="206">
  <autoFilter ref="A2:D423" xr:uid="{B8EAA33E-7686-4016-9BA4-EAEDF9BED7C1}"/>
  <tableColumns count="4">
    <tableColumn id="1" xr3:uid="{7CD912F2-59C7-4377-AB80-33B15F9C9226}" name="Usuário" dataDxfId="205"/>
    <tableColumn id="2" xr3:uid="{47E4F6F8-660E-4A8B-B048-99C6E4A3E835}" name="Início" dataDxfId="204"/>
    <tableColumn id="3" xr3:uid="{9767B79D-9355-44D1-B2F4-F7489A7F1559}" name="Final" dataDxfId="203"/>
    <tableColumn id="4" xr3:uid="{8675C06C-05D6-410A-BBF4-8AB0BF68EA89}" name="Duração" dataDxfId="202">
      <calculatedColumnFormula>Tabela2[[#This Row],[Final]]-Tabela2[[#This Row],[Início]]</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645D310-BCF1-4553-8C7B-C27E582F1D4B}" name="Tabela10" displayName="Tabela10" ref="BA1:BH4" totalsRowShown="0" headerRowDxfId="201" dataDxfId="200">
  <autoFilter ref="BA1:BH4" xr:uid="{3645D310-BCF1-4553-8C7B-C27E582F1D4B}"/>
  <tableColumns count="8">
    <tableColumn id="1" xr3:uid="{BA4916B4-BCF2-4EC4-AB4D-13038F56A24D}" name="Usuário" dataDxfId="199"/>
    <tableColumn id="2" xr3:uid="{559F5671-FFD9-4E88-8774-42232608D678}" name="Senha" dataDxfId="198"/>
    <tableColumn id="3" xr3:uid="{3C6A8595-BA55-4034-A889-5E0DCA7F27DC}" name="Acesso Automático" dataDxfId="197"/>
    <tableColumn id="4" xr3:uid="{1B53AF1E-C738-4FC4-AE1E-1D12A707446B}" name="Cargo" dataDxfId="196"/>
    <tableColumn id="5" xr3:uid="{3EAA8A12-E81D-4C19-B688-60CD180A9499}" name="Admin" dataDxfId="195"/>
    <tableColumn id="6" xr3:uid="{E1C973F6-5DC3-4F70-810F-2FF1E27FCB7C}" name="Comercial" dataDxfId="194"/>
    <tableColumn id="7" xr3:uid="{38EDB77E-128E-4EBD-8D6A-74CA2BAFDE35}" name="Projetos" dataDxfId="193"/>
    <tableColumn id="8" xr3:uid="{A23D730D-65CA-4C5B-BF3C-19A84FAB167D}" name="Link Pasta de Salvamento" dataDxfId="192"/>
  </tableColumns>
  <tableStyleInfo name="TableStyleLight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C3DFA90-3EE1-416C-BA37-0BDDC3C2D533}" name="PROSPECTOS" displayName="PROSPECTOS" ref="A1:AQ569" tableType="queryTable" totalsRowShown="0">
  <autoFilter ref="A1:AQ569" xr:uid="{8C3DFA90-3EE1-416C-BA37-0BDDC3C2D533}"/>
  <tableColumns count="43">
    <tableColumn id="1" xr3:uid="{081C286B-0466-4EF4-9760-AAA1665BDD2E}" uniqueName="1" name="Estudo" queryTableFieldId="1" dataDxfId="54"/>
    <tableColumn id="2" xr3:uid="{D9FABB1E-24B0-4666-9BF1-DB40D1941567}" uniqueName="2" name="N°" queryTableFieldId="2" dataDxfId="53"/>
    <tableColumn id="3" xr3:uid="{00F39A6C-A879-4261-9587-AAE56328D460}" uniqueName="3" name="Nome" queryTableFieldId="3" dataDxfId="52"/>
    <tableColumn id="4" xr3:uid="{9047D2B2-34A7-4735-8B4E-82B3D27EA82D}" uniqueName="4" name="Etapa" queryTableFieldId="4" dataDxfId="51"/>
    <tableColumn id="5" xr3:uid="{8C49F761-F312-429E-A429-627D06027BE1}" uniqueName="5" name="Primeiro Contato" queryTableFieldId="5" dataDxfId="50"/>
    <tableColumn id="6" xr3:uid="{667AAD08-D092-4BB6-8593-AB209437D587}" uniqueName="6" name="Origem" queryTableFieldId="6" dataDxfId="49"/>
    <tableColumn id="7" xr3:uid="{F71FEBE7-F15E-4361-A155-DB1AAAD49655}" uniqueName="7" name="Telefone" queryTableFieldId="7" dataDxfId="48"/>
    <tableColumn id="44" xr3:uid="{7A0C1B94-DF3C-4D35-84C0-3C8863F6C6AF}" uniqueName="44" name="Email" queryTableFieldId="50"/>
    <tableColumn id="42" xr3:uid="{72445247-129B-498E-8D74-A601889EFDBA}" uniqueName="42" name="CPF" queryTableFieldId="46" dataDxfId="47"/>
    <tableColumn id="43" xr3:uid="{00316AEB-6B83-462D-B653-6847F7427BE9}" uniqueName="43" name="Nascimento" queryTableFieldId="48" dataDxfId="46"/>
    <tableColumn id="8" xr3:uid="{16480C27-BD03-4217-B87F-F938CD00B582}" uniqueName="8" name="Endereço" queryTableFieldId="8" dataDxfId="45"/>
    <tableColumn id="9" xr3:uid="{A8FAED67-4785-4F82-ADBD-801187FCE754}" uniqueName="9" name="CEP" queryTableFieldId="9"/>
    <tableColumn id="10" xr3:uid="{155427B8-4C90-40D3-88BD-AFAA88E3CD92}" uniqueName="10" name="Estado" queryTableFieldId="10" dataDxfId="44"/>
    <tableColumn id="11" xr3:uid="{33D693A2-3159-4C50-A1B9-320EAC3EC3C7}" uniqueName="11" name="Município" queryTableFieldId="11" dataDxfId="43"/>
    <tableColumn id="12" xr3:uid="{FB3A13A1-F776-4BE9-80A6-1F4A4E20DB55}" uniqueName="12" name="Bairro" queryTableFieldId="12" dataDxfId="42"/>
    <tableColumn id="13" xr3:uid="{BF2CF571-E414-41B9-B4A4-3CE0EBD8A565}" uniqueName="13" name="Concessionária" queryTableFieldId="13" dataDxfId="41"/>
    <tableColumn id="14" xr3:uid="{3E78B11F-C08C-4BE5-9C4D-E13738F3B054}" uniqueName="14" name="Grupo/Sub-Grupo" queryTableFieldId="14" dataDxfId="40"/>
    <tableColumn id="15" xr3:uid="{9FC4F671-A513-403A-ABBF-A5A060E36939}" uniqueName="15" name="Fornecimento" queryTableFieldId="15" dataDxfId="39"/>
    <tableColumn id="16" xr3:uid="{90C545C4-1646-43D5-B5CE-3D5F41D25AF0}" uniqueName="16" name="Consumo médio" queryTableFieldId="16"/>
    <tableColumn id="17" xr3:uid="{35CC80C6-29B5-459D-BC7B-BE89C4B77876}" uniqueName="17" name="Jan" queryTableFieldId="17"/>
    <tableColumn id="18" xr3:uid="{C3C8AFA9-F547-4222-B796-9CB81B4D1552}" uniqueName="18" name="Fev" queryTableFieldId="18"/>
    <tableColumn id="19" xr3:uid="{42F1E008-D011-4A99-A037-BE38939603BA}" uniqueName="19" name="Mar" queryTableFieldId="19"/>
    <tableColumn id="20" xr3:uid="{32B187AF-B445-4652-960F-DA5FE29B522F}" uniqueName="20" name="Abr" queryTableFieldId="20"/>
    <tableColumn id="21" xr3:uid="{908AF227-253D-47E7-9861-BCCC2231B1C8}" uniqueName="21" name="Mai" queryTableFieldId="21"/>
    <tableColumn id="22" xr3:uid="{EB139A39-9C70-4D9B-9095-9BD7069F7E5E}" uniqueName="22" name="Jun" queryTableFieldId="22"/>
    <tableColumn id="23" xr3:uid="{AAB54B74-CEF6-4CC6-AD8C-276D76C06414}" uniqueName="23" name="Jul" queryTableFieldId="23"/>
    <tableColumn id="24" xr3:uid="{6BD07358-DE60-440B-8548-5B245F7A3CD9}" uniqueName="24" name="Ago" queryTableFieldId="24"/>
    <tableColumn id="25" xr3:uid="{BD78B469-3961-43FC-B457-0AD6979CBCA6}" uniqueName="25" name="Set" queryTableFieldId="25"/>
    <tableColumn id="26" xr3:uid="{95E46096-A1CA-417B-84D3-DD5E723D8D3A}" uniqueName="26" name="Out" queryTableFieldId="26"/>
    <tableColumn id="27" xr3:uid="{9F04A6DF-6CE9-4A30-87BD-0CE69D031269}" uniqueName="27" name="Nov" queryTableFieldId="27"/>
    <tableColumn id="28" xr3:uid="{ABE1A7B4-393A-4C89-BEED-392543080E2E}" uniqueName="28" name="Dez" queryTableFieldId="28"/>
    <tableColumn id="29" xr3:uid="{A6CE4E5B-0E6D-4F99-8E3E-F625F69754F0}" uniqueName="29" name="Tipo de Geração" queryTableFieldId="29" dataDxfId="38"/>
    <tableColumn id="30" xr3:uid="{677B8D1D-3B16-4221-83A1-BAD941FEFB14}" uniqueName="30" name="Local de Instalação" queryTableFieldId="30" dataDxfId="37"/>
    <tableColumn id="31" xr3:uid="{832C58AD-62B4-4179-8DA4-E06EEB96275F}" uniqueName="31" name="Data Fechamento" queryTableFieldId="31" dataDxfId="36"/>
    <tableColumn id="32" xr3:uid="{369B0B99-E471-4229-AACC-74D288DD1FAF}" uniqueName="32" name="Pot." queryTableFieldId="32"/>
    <tableColumn id="33" xr3:uid="{5C0DD2AD-84D9-4880-B7B8-890BDC84A8F1}" uniqueName="33" name="Valor" queryTableFieldId="33"/>
    <tableColumn id="34" xr3:uid="{AD792276-F011-40E9-AC8C-B6EE171204CD}" uniqueName="34" name="Estrutura" queryTableFieldId="34" dataDxfId="35"/>
    <tableColumn id="35" xr3:uid="{31E0D049-E8C6-480F-939E-C111427D9BB0}" uniqueName="35" name="Qnt. Módulos" queryTableFieldId="35"/>
    <tableColumn id="36" xr3:uid="{8363DE34-2544-407C-A798-CB3785BFB751}" uniqueName="36" name="Pt. Módulos" queryTableFieldId="36"/>
    <tableColumn id="37" xr3:uid="{B78F6C89-669B-42AE-9FE1-91CA44F9FFB5}" uniqueName="37" name="Distância" queryTableFieldId="37"/>
    <tableColumn id="38" xr3:uid="{5B9CF4D2-B282-48FE-A5A0-E3B29A5FECBE}" uniqueName="38" name="Remarketing?" queryTableFieldId="38" dataDxfId="34"/>
    <tableColumn id="39" xr3:uid="{CB04A333-4A53-4F6E-9061-98E20D96AF4C}" uniqueName="39" name="Motivo Perda" queryTableFieldId="39" dataDxfId="33"/>
    <tableColumn id="40" xr3:uid="{C8A1441B-A60B-4FA0-832B-83704B4D608C}" uniqueName="40" name="Obs.:" queryTableFieldId="40" dataDxfId="3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938C91A-7086-4A16-ACC0-3822FB6D7BDD}" name="Tabela25" displayName="Tabela25" ref="A72:O80" totalsRowShown="0" headerRowDxfId="191" dataDxfId="190">
  <autoFilter ref="A72:O80" xr:uid="{C938C91A-7086-4A16-ACC0-3822FB6D7BDD}"/>
  <sortState xmlns:xlrd2="http://schemas.microsoft.com/office/spreadsheetml/2017/richdata2" ref="A73:O80">
    <sortCondition ref="A72:A80"/>
  </sortState>
  <tableColumns count="15">
    <tableColumn id="8" xr3:uid="{39D8C504-0669-4DEB-BCA6-EE1C033AD988}" name="Versão" dataDxfId="189"/>
    <tableColumn id="1" xr3:uid="{0E048890-765E-4518-84BE-2FE5F17F00AD}" name="Inversor" dataDxfId="188"/>
    <tableColumn id="2" xr3:uid="{9CB3D918-65EB-4507-9220-10628BDBC562}" name="Módulos" dataDxfId="187"/>
    <tableColumn id="3" xr3:uid="{E48CFE34-3E18-40AF-8268-6B957B673823}" name="kWp" dataDxfId="186"/>
    <tableColumn id="15" xr3:uid="{EF47915C-E0C2-4012-9E1B-20DF821DD006}" name="Consumo Médio" dataDxfId="185">
      <calculatedColumnFormula>Tabela25[[#This Row],[Geração média]]+Início!$K$10</calculatedColumnFormula>
    </tableColumn>
    <tableColumn id="7" xr3:uid="{E4BEB834-6C8E-47F7-A535-238E1D3018EC}" name="Preço Final" dataDxfId="184"/>
    <tableColumn id="9" xr3:uid="{B1122BE0-A583-4F0E-BDEF-A5475E5997E7}" name="R$/kWp" dataDxfId="183">
      <calculatedColumnFormula>Tabela25[[#This Row],[Preço Final]]/Tabela25[[#This Row],[kWp]]/1000</calculatedColumnFormula>
    </tableColumn>
    <tableColumn id="14" xr3:uid="{B3294256-817F-42F4-98D3-04DB82C6914D}" name="PayBack" dataDxfId="182">
      <calculatedColumnFormula>_xlfn.CONCAT(INT(Tabela25[[#This Row],[PB]])," anos e ",INT((Tabela25[[#This Row],[PB]]-INT(Tabela25[[#This Row],[PB]]))*12)," meses")</calculatedColumnFormula>
    </tableColumn>
    <tableColumn id="4" xr3:uid="{CBB371ED-80AC-4A18-ADAE-73F99D4D0D97}" name="Geração média" dataDxfId="181"/>
    <tableColumn id="12" xr3:uid="{062188BB-14CC-4EA6-AEFC-9C9737724A2B}" name="PB" dataDxfId="180"/>
    <tableColumn id="11" xr3:uid="{55B63864-B4FC-40C2-A013-AF137262D01F}" name="Valor/geração" dataDxfId="179">
      <calculatedColumnFormula>Tabela25[[#This Row],[Preço Final]]/Tabela25[[#This Row],[Geração média]]</calculatedColumnFormula>
    </tableColumn>
    <tableColumn id="5" xr3:uid="{78B957CF-6198-457D-959B-9C7E5945E6C9}" name="Valor kit" dataDxfId="178"/>
    <tableColumn id="6" xr3:uid="{000CCE3E-9841-409E-8DCE-C9E65E3D4337}" name="R$/kWp kit" dataDxfId="177">
      <calculatedColumnFormula>L73/D73/1000</calculatedColumnFormula>
    </tableColumn>
    <tableColumn id="10" xr3:uid="{CD5ED2DC-59C0-4CE4-A1EB-F05512F91022}" name="Lucro" dataDxfId="176"/>
    <tableColumn id="13" xr3:uid="{02383767-C700-4D06-B2B0-73458DB5A41B}" name="Lucro %" dataDxfId="175">
      <calculatedColumnFormula>Tabela25[[#This Row],[Lucro]]/Tabela25[[#This Row],[Preço Final]]</calculatedColumnFormula>
    </tableColumn>
  </tableColumns>
  <tableStyleInfo name="TableStyleMedium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A04813E-6C06-4312-A691-4DE1D12A045D}" name="ConsumoEquipamentos" displayName="ConsumoEquipamentos" ref="A39:E58" totalsRowShown="0" headerRowDxfId="174" dataDxfId="173">
  <autoFilter ref="A39:E58" xr:uid="{4A04813E-6C06-4312-A691-4DE1D12A045D}"/>
  <tableColumns count="5">
    <tableColumn id="1" xr3:uid="{F01D319D-D03B-4A15-AAF8-6DD48C53FC6D}" name="Faixa de cons." dataDxfId="172"/>
    <tableColumn id="5" xr3:uid="{54C4F171-D8E9-4CF3-AF66-EBE385206C46}" name="Categoria" dataDxfId="171"/>
    <tableColumn id="2" xr3:uid="{23506592-20DE-4385-A51C-5771984E3CFD}" name="Equipamento" dataDxfId="170"/>
    <tableColumn id="3" xr3:uid="{A9C4250A-C1D0-4C53-9466-0FCE08147001}" name="1h*30d (kWh)" dataDxfId="169"/>
    <tableColumn id="4" xr3:uid="{5730AD60-5637-4C9F-879E-89A15A9F0454}" name="Obs." dataDxfId="168"/>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F6AF7E6-30FF-4732-908D-12523248FF35}" name="Tabela8" displayName="Tabela8" ref="A22:H36" totalsRowCount="1" headerRowDxfId="167" dataDxfId="166">
  <autoFilter ref="A22:H35" xr:uid="{7F6AF7E6-30FF-4732-908D-12523248FF35}"/>
  <tableColumns count="8">
    <tableColumn id="2" xr3:uid="{93710776-E0CB-469A-AFC3-22F0599C83F6}" name="Consumo médio" dataDxfId="165" totalsRowDxfId="164">
      <calculatedColumnFormula>_xlfn.XLOOKUP(Tabela8[[#This Row],[Equipamento]],ConsumoEquipamentos[Equipamento],ConsumoEquipamentos[1h*30d (kWh)],"",0)</calculatedColumnFormula>
    </tableColumn>
    <tableColumn id="1" xr3:uid="{AD930781-0DA7-409C-A15D-CB6A7494AFDA}" name="Equipamento" totalsRowLabel="Total" dataDxfId="163" totalsRowDxfId="162"/>
    <tableColumn id="3" xr3:uid="{55F546EA-B87D-4CBA-B56D-DCEEE36671F9}" name="Quantidade" dataDxfId="161" totalsRowDxfId="160"/>
    <tableColumn id="5" xr3:uid="{621BA285-12B2-4FFE-A945-E02098288513}" name="horas por dia" dataDxfId="159" totalsRowDxfId="158"/>
    <tableColumn id="4" xr3:uid="{898EC84A-DEB5-4CC9-8BED-0DB9249940A0}" name="Dias de uso" dataDxfId="157" totalsRowDxfId="156"/>
    <tableColumn id="6" xr3:uid="{A10A9A05-0E8E-42AE-9EA7-C04C92F23827}" name="Consumo" totalsRowFunction="sum" dataDxfId="155" totalsRowDxfId="154">
      <calculatedColumnFormula>IFERROR((Tabela8[[#This Row],[Quantidade]]/30)*Tabela8[[#This Row],[Consumo médio]]*Tabela8[[#This Row],[Dias de uso]]*Tabela8[[#This Row],[horas por dia]],"")</calculatedColumnFormula>
    </tableColumn>
    <tableColumn id="7" xr3:uid="{24887723-DA55-4CE8-908E-BED524A5101E}" name="Méd. sazonal" totalsRowFunction="sum" dataDxfId="153" totalsRowDxfId="152">
      <calculatedColumnFormula>IFERROR(Tabela8[[#This Row],[Consumo]]/12*$K$22,"")</calculatedColumnFormula>
    </tableColumn>
    <tableColumn id="8" xr3:uid="{870435C7-3002-468E-9339-A2298C3CB5D3}" name="obs" dataDxfId="151" totalsRowDxfId="150">
      <calculatedColumnFormula>_xlfn.XLOOKUP(Tabela8[[#This Row],[Equipamento]],ConsumoEquipamentos[Equipamento],ConsumoEquipamentos[Obs.],"",0)</calculatedColumnFormula>
    </tableColumn>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7734970-FD98-41DE-81BB-732CA9B191C8}" name="KIT_FV" displayName="KIT_FV" ref="A2:N1736" tableType="queryTable" totalsRowShown="0">
  <autoFilter ref="A2:N1736" xr:uid="{0CD5E94D-85FB-4F00-AFF1-740D984C37B5}">
    <filterColumn colId="2">
      <filters>
        <filter val="FIBROCIMENTO"/>
      </filters>
    </filterColumn>
  </autoFilter>
  <sortState xmlns:xlrd2="http://schemas.microsoft.com/office/spreadsheetml/2017/richdata2" ref="A3:N1736">
    <sortCondition ref="D2:D1736"/>
  </sortState>
  <tableColumns count="14">
    <tableColumn id="1" xr3:uid="{225E3A26-E68D-41FB-9454-76B8F195B6B0}" uniqueName="1" name="Distribuidor" queryTableFieldId="1" dataDxfId="149"/>
    <tableColumn id="2" xr3:uid="{F0A2C000-4849-4C35-A24E-592FF7132934}" uniqueName="2" name="Inversor" queryTableFieldId="2" dataDxfId="148"/>
    <tableColumn id="3" xr3:uid="{522A38A2-9817-41A4-89F3-65512359C148}" uniqueName="3" name="Estrutura" queryTableFieldId="3" dataDxfId="147"/>
    <tableColumn id="4" xr3:uid="{5207B113-BB6F-46A4-A953-E2ED8AE1BBDD}" uniqueName="4" name="Kit" queryTableFieldId="4" dataDxfId="31"/>
    <tableColumn id="5" xr3:uid="{4F5404E1-DF45-4E5F-A0B3-23716CC3860E}" uniqueName="5" name="Preço" queryTableFieldId="5" dataDxfId="30" dataCellStyle="Moeda"/>
    <tableColumn id="16" xr3:uid="{82A07116-3935-4715-A950-1F3E446C8A0D}" uniqueName="16" name="R$/Wp" queryTableFieldId="19" dataDxfId="29" dataCellStyle="Moeda"/>
    <tableColumn id="8" xr3:uid="{DFD61E85-14BC-4B7E-A2B5-2939A78CC339}" uniqueName="8" name="Frete" queryTableFieldId="8"/>
    <tableColumn id="9" xr3:uid="{B6AB93BE-715F-49D8-B3C3-EC8B0FFE1197}" uniqueName="9" name="Preço com frete" queryTableFieldId="9" dataDxfId="28" dataCellStyle="Moeda"/>
    <tableColumn id="10" xr3:uid="{E151D793-188E-4DBF-B758-7CB37D1C2AF7}" uniqueName="10" name="R$/Wp c/frete" queryTableFieldId="10" dataDxfId="27" dataCellStyle="Moeda"/>
    <tableColumn id="11" xr3:uid="{F569A82F-023B-429B-94FE-49A1B13C6804}" uniqueName="11" name="Prazo" queryTableFieldId="11"/>
    <tableColumn id="12" xr3:uid="{3C6DDF88-F65F-4CBC-BE43-3C9E5E53EB42}" uniqueName="12" name="Validade" queryTableFieldId="16" dataDxfId="26"/>
    <tableColumn id="13" xr3:uid="{91043FDA-C8BF-4B72-A23A-A68042625D17}" uniqueName="13" name="Escolhido" queryTableFieldId="13"/>
    <tableColumn id="17" xr3:uid="{7F23CD07-0A14-406D-8854-906C0D6716B5}" uniqueName="17" name="Módulo" queryTableFieldId="20"/>
    <tableColumn id="14" xr3:uid="{4D97DF82-6F57-4133-A2E5-31F743C65E7E}" uniqueName="14" name="Descrição" queryTableFieldId="14" dataDxfId="14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8C8B922-B58D-458D-BBB9-C4A50543C390}" name="MÓDULOS" displayName="MÓDULOS" ref="A2:AD18" tableType="queryTable" totalsRowShown="0">
  <autoFilter ref="A2:AD18" xr:uid="{0324E1C1-13D3-4F50-9C94-D881A7647BEE}"/>
  <tableColumns count="30">
    <tableColumn id="1" xr3:uid="{F9FA209F-17C5-4166-9A20-568FA087ED6F}" uniqueName="1" name="Fabricante" queryTableFieldId="1" dataDxfId="125"/>
    <tableColumn id="2" xr3:uid="{51904EC1-CFBE-4690-9F9E-1F9CCDCABA81}" uniqueName="2" name="Modelo" queryTableFieldId="2" dataDxfId="124"/>
    <tableColumn id="3" xr3:uid="{9311673B-D984-453A-A962-A3BF04984EC4}" uniqueName="3" name="Tecnologia" queryTableFieldId="3" dataDxfId="123"/>
    <tableColumn id="4" xr3:uid="{725A9423-5BEF-472D-BBBE-A633B214220A}" uniqueName="4" name="Pmax" queryTableFieldId="4" dataDxfId="25"/>
    <tableColumn id="5" xr3:uid="{40721DCC-E354-4552-87E8-63E7B9F7A847}" uniqueName="5" name="Eficiência" queryTableFieldId="5" dataDxfId="24" dataCellStyle="Porcentagem"/>
    <tableColumn id="6" xr3:uid="{B8FC865A-8608-4522-8928-AF7E126C64B6}" uniqueName="6" name="N° de Célualas" queryTableFieldId="6" dataDxfId="23"/>
    <tableColumn id="7" xr3:uid="{61A90B0E-0BEC-42F7-9944-7AF30B5836DF}" uniqueName="7" name="Half-cell?" queryTableFieldId="7" dataDxfId="22"/>
    <tableColumn id="8" xr3:uid="{20AE2B47-5CCB-4075-B1CF-1AFBD3DE2549}" uniqueName="8" name="Imp" queryTableFieldId="8" dataDxfId="21"/>
    <tableColumn id="9" xr3:uid="{4A490BCA-B1FE-4AD4-96C7-C6922E96ECF6}" uniqueName="9" name="Vmp" queryTableFieldId="9" dataDxfId="20"/>
    <tableColumn id="10" xr3:uid="{DA3D74A7-A66D-45DA-98C9-048153AF9C24}" uniqueName="10" name="Isc" queryTableFieldId="10" dataDxfId="19"/>
    <tableColumn id="11" xr3:uid="{28253225-A34F-4DB4-9BB6-8B7673DE2A6D}" uniqueName="11" name="Voc" queryTableFieldId="11" dataDxfId="18"/>
    <tableColumn id="12" xr3:uid="{EC0F5E8D-784F-415F-800B-9840F6E79672}" uniqueName="12" name="Power Tolerance" queryTableFieldId="12" dataDxfId="17"/>
    <tableColumn id="13" xr3:uid="{5F35F301-A84B-43BD-9415-786EDF6EC853}" uniqueName="13" name="Temp. Coef. Pmax" queryTableFieldId="13" dataDxfId="16" dataCellStyle="Porcentagem"/>
    <tableColumn id="14" xr3:uid="{B26C93A7-2DC4-401A-B8F5-C6453D5635EA}" uniqueName="14" name="Temp. Coef. Voc" queryTableFieldId="14" dataDxfId="15" dataCellStyle="Porcentagem"/>
    <tableColumn id="15" xr3:uid="{DA3C844A-6C4E-46DB-81FC-EC9A4623CCA2}" uniqueName="15" name="Temp. Coef. Isc" queryTableFieldId="15" dataDxfId="14" dataCellStyle="Porcentagem"/>
    <tableColumn id="16" xr3:uid="{5D5F7C5D-1320-4645-A0DC-C29E71D40FFF}" uniqueName="16" name="Imax Series Fuse" queryTableFieldId="16" dataDxfId="13"/>
    <tableColumn id="17" xr3:uid="{A114FF3B-72FB-4BF5-BD02-C632B9884111}" uniqueName="17" name="Mín Operating Temp" queryTableFieldId="17" dataDxfId="12"/>
    <tableColumn id="18" xr3:uid="{F7108BCF-614B-474A-A0CC-F10B241D64A5}" uniqueName="18" name="Máx Operating Temp" queryTableFieldId="18" dataDxfId="11"/>
    <tableColumn id="19" xr3:uid="{EC71007A-6144-4843-8B35-9B6B16BF1BB9}" uniqueName="19" name="Peso" queryTableFieldId="19" dataDxfId="10"/>
    <tableColumn id="20" xr3:uid="{DBFFF0F6-8CF4-4E0A-B6D2-C8708E3534BE}" uniqueName="20" name="Comprimento" queryTableFieldId="20" dataDxfId="9"/>
    <tableColumn id="21" xr3:uid="{AEBCFB3F-1E15-48EE-A18C-696E86B597A5}" uniqueName="21" name="Largura" queryTableFieldId="21" dataDxfId="8"/>
    <tableColumn id="22" xr3:uid="{7CBB0421-4817-45E3-AA61-FE266831EB71}" uniqueName="22" name="Profundidade" queryTableFieldId="22" dataDxfId="7"/>
    <tableColumn id="23" xr3:uid="{B2C13E76-BBDC-4DF7-A413-B47BD71BC4A2}" uniqueName="23" name="Conector" queryTableFieldId="23" dataDxfId="6"/>
    <tableColumn id="24" xr3:uid="{F3BFB34B-FACD-4EF0-AEB0-ED8B7AC0FD20}" uniqueName="24" name="ByPass Diodes" queryTableFieldId="24" dataDxfId="5" dataCellStyle="Porcentagem"/>
    <tableColumn id="25" xr3:uid="{7F85DA68-5E9C-49E2-AAD9-2C18542AAF2B}" uniqueName="25" name="Qnt BusBar" queryTableFieldId="25" dataDxfId="4" dataCellStyle="Porcentagem"/>
    <tableColumn id="26" xr3:uid="{3DBB2BB3-94FE-473E-BC0E-99B33579DD6F}" uniqueName="26" name="Garantia" queryTableFieldId="26" dataDxfId="3"/>
    <tableColumn id="27" xr3:uid="{1EEF41DD-3FDF-4FE6-8640-EB5731E0D5C7}" uniqueName="27" name="Performance" queryTableFieldId="27" dataDxfId="2"/>
    <tableColumn id="28" xr3:uid="{66CC451C-149E-49D8-BA36-3C679D2AA914}" uniqueName="28" name="Coef. Drepreciação do módulo" queryTableFieldId="28" dataDxfId="1" dataCellStyle="Porcentagem"/>
    <tableColumn id="29" xr3:uid="{79AAF118-4EBA-4FDF-B531-3B99AB62E7AC}" uniqueName="29" name="Datasheet" queryTableFieldId="29" dataDxfId="0" dataCellStyle="Hiperlink"/>
    <tableColumn id="30" xr3:uid="{BBC113C8-B248-4D03-B84B-AA189856C400}" uniqueName="30" name="Obs" queryTableFieldId="30" dataDxfId="122"/>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82D58CF-CA85-4A4A-B68F-A59DD570E55E}" name="INVERSORES" displayName="INVERSORES" ref="A2:AP33" tableType="queryTable" totalsRowShown="0">
  <autoFilter ref="A2:AP33" xr:uid="{9A49E528-CAC2-4B81-8D08-9CAD3574CBC3}"/>
  <sortState xmlns:xlrd2="http://schemas.microsoft.com/office/spreadsheetml/2017/richdata2" ref="A3:AP33">
    <sortCondition ref="L2:L33"/>
  </sortState>
  <tableColumns count="42">
    <tableColumn id="1" xr3:uid="{662BD3E4-D26C-4121-BA6C-A8E6BF4A1DF0}" uniqueName="1" name="Fabricante" queryTableFieldId="1" dataDxfId="121"/>
    <tableColumn id="2" xr3:uid="{7253DAAE-2033-49E4-B000-0ADC6EF3835F}" uniqueName="2" name="Modelo" queryTableFieldId="2" dataDxfId="120"/>
    <tableColumn id="3" xr3:uid="{94A38C0D-ED59-4055-AEA0-D902C9E23691}" uniqueName="3" name="Tipo" queryTableFieldId="3" dataDxfId="119"/>
    <tableColumn id="4" xr3:uid="{3FA9DFED-2EF8-4BD7-A54D-0E50306BEB81}" uniqueName="4" name="Pmax_DC" queryTableFieldId="4"/>
    <tableColumn id="5" xr3:uid="{13523889-9320-4DD0-AF02-D5C5539AF756}" uniqueName="5" name="Vmax_DC" queryTableFieldId="5"/>
    <tableColumn id="6" xr3:uid="{6B550E89-128F-448F-B525-DEA9857B66C6}" uniqueName="6" name="VStart-up" queryTableFieldId="6"/>
    <tableColumn id="7" xr3:uid="{DFD932D4-B6CC-4968-83CE-05AA1B669586}" uniqueName="7" name="Vmin_MPPT" queryTableFieldId="7"/>
    <tableColumn id="8" xr3:uid="{121DD425-8C5F-4C48-B4A3-B77867F4248A}" uniqueName="8" name="Vmax_MPPT" queryTableFieldId="8"/>
    <tableColumn id="9" xr3:uid="{897119ED-3484-466B-82C2-81752A15E286}" uniqueName="9" name="Imax_DC" queryTableFieldId="9"/>
    <tableColumn id="39" xr3:uid="{F317DC64-6530-484E-8327-1FEA72EDF02B}" uniqueName="39" name="Imax_sc" queryTableFieldId="39"/>
    <tableColumn id="10" xr3:uid="{5C141270-AA0A-4DF6-8D01-0A26AB0E1B9B}" uniqueName="10" name="Nº de MPPTs" queryTableFieldId="10"/>
    <tableColumn id="11" xr3:uid="{278325C9-64F3-4354-91AE-EA7246AAF205}" uniqueName="11" name="Pn" queryTableFieldId="11"/>
    <tableColumn id="12" xr3:uid="{79D57E99-902C-4007-BE7A-1611650F39B1}" uniqueName="12" name="Pmax" queryTableFieldId="12"/>
    <tableColumn id="13" xr3:uid="{C1D51C5B-9481-4EF5-A07E-7746810B04F8}" uniqueName="13" name="Vgrid" queryTableFieldId="13"/>
    <tableColumn id="14" xr3:uid="{8DA61FB9-661A-4394-95F4-60328315B373}" uniqueName="14" name="In" queryTableFieldId="14"/>
    <tableColumn id="15" xr3:uid="{4F7882B1-A467-469F-9450-019B753E0A63}" uniqueName="15" name="Imax_AC" queryTableFieldId="15"/>
    <tableColumn id="16" xr3:uid="{A102E8E6-2C79-4D32-BAAE-ABC4AD5F2647}" uniqueName="16" name="Fases" queryTableFieldId="16" dataDxfId="118"/>
    <tableColumn id="17" xr3:uid="{1D20B949-83E3-4547-81F5-FD9BB9F5D033}" uniqueName="17" name="Conexão FN-FF?" queryTableFieldId="17" dataDxfId="117"/>
    <tableColumn id="18" xr3:uid="{ED50BE5C-2FDC-4F55-A99D-CECCCAFDEFB4}" uniqueName="18" name="FP" queryTableFieldId="18" dataDxfId="116"/>
    <tableColumn id="19" xr3:uid="{4932C5AC-4DB1-457F-818C-2EF5404CAD60}" uniqueName="19" name="THDi" queryTableFieldId="19"/>
    <tableColumn id="20" xr3:uid="{B55268D8-0E89-40DD-BF91-DBE650A8E13C}" uniqueName="20" name="Eficiência Max." queryTableFieldId="20"/>
    <tableColumn id="21" xr3:uid="{FB952C40-BC47-4148-9192-3C4019753643}" uniqueName="21" name="Eficiência EU" queryTableFieldId="21"/>
    <tableColumn id="22" xr3:uid="{44BB0690-E909-41A7-8E88-1C9E47078138}" uniqueName="22" name="Eficiência MPPT" queryTableFieldId="22"/>
    <tableColumn id="23" xr3:uid="{C70584D0-6C3B-4E30-B300-2FE99C630923}" uniqueName="23" name="Polaridade Reversa?" queryTableFieldId="23" dataDxfId="115"/>
    <tableColumn id="24" xr3:uid="{B9AB8D72-6D58-467C-8904-C762406957D3}" uniqueName="24" name="Curto circuito?" queryTableFieldId="24" dataDxfId="114"/>
    <tableColumn id="25" xr3:uid="{5C8F47C9-A2DA-4C0A-865A-1A92DAB193E8}" uniqueName="25" name="Sobrecorrente" queryTableFieldId="25" dataDxfId="113"/>
    <tableColumn id="26" xr3:uid="{42EC5F34-4008-4DBB-B99D-CCF598B10BC5}" uniqueName="26" name="Sobretensão" queryTableFieldId="26" dataDxfId="112"/>
    <tableColumn id="27" xr3:uid="{F99B27A5-9884-4A2C-9471-D11F11CD3CE5}" uniqueName="27" name="Ventilação Forçada?" queryTableFieldId="27" dataDxfId="111"/>
    <tableColumn id="28" xr3:uid="{5425457A-9F48-49A1-8739-9DCF7C70E07B}" uniqueName="28" name="Display?" queryTableFieldId="28" dataDxfId="110"/>
    <tableColumn id="29" xr3:uid="{73051C34-930A-42CA-8B7C-C8956A5145CE}" uniqueName="29" name="Peso" queryTableFieldId="29"/>
    <tableColumn id="30" xr3:uid="{4CDFB49B-034D-4011-A2A5-BEB3C0FDA7B3}" uniqueName="30" name="Altura" queryTableFieldId="30"/>
    <tableColumn id="31" xr3:uid="{95AA5BE3-FE8F-4048-9C7B-DAA173599B36}" uniqueName="31" name="Largura" queryTableFieldId="31"/>
    <tableColumn id="32" xr3:uid="{B732E414-91BE-45B6-BFF1-26AF582F4B28}" uniqueName="32" name="Profundidade" queryTableFieldId="32"/>
    <tableColumn id="33" xr3:uid="{7711E93C-C4E0-483C-9EF7-A5218011B8A8}" uniqueName="33" name="Emissão de Ruído" queryTableFieldId="33"/>
    <tableColumn id="34" xr3:uid="{58002783-9DEA-4FE1-A0C3-BC1782FE6FEB}" uniqueName="34" name="Vida útil" queryTableFieldId="34"/>
    <tableColumn id="35" xr3:uid="{26A18F96-F264-486C-ACF1-E2AA0F24E8A0}" uniqueName="35" name="Garantia" queryTableFieldId="35"/>
    <tableColumn id="36" xr3:uid="{DAD34017-D479-4D5F-A9A6-63AA2763E0EB}" uniqueName="36" name="Expansivel?" queryTableFieldId="36"/>
    <tableColumn id="37" xr3:uid="{E784681F-EA05-4064-B81B-919F2CCC0CFD}" uniqueName="37" name="Datasheet" queryTableFieldId="37" dataDxfId="109"/>
    <tableColumn id="38" xr3:uid="{3AF21DBF-E692-412A-8FE8-4FD57B4B4DB0}" uniqueName="38" name="Dist. Lateral" queryTableFieldId="41"/>
    <tableColumn id="40" xr3:uid="{CEBF47C7-B451-4A54-A423-784E5EE22A6A}" uniqueName="40" name="Dist. Lateral Entre Inv." queryTableFieldId="42"/>
    <tableColumn id="41" xr3:uid="{1B4BDE8E-EB0A-4F0F-83EC-AA5F7B64ADF3}" uniqueName="41" name="Dist. Vertical" queryTableFieldId="43"/>
    <tableColumn id="42" xr3:uid="{3A968366-4576-420C-B71D-172883079DED}" uniqueName="42" name="Disj. Recomendado" queryTableFieldId="44"/>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D917B88-987D-4D5C-BB30-4F20360CE6A1}" name="Tabela3" displayName="Tabela3" ref="A4:P338" totalsRowShown="0" headerRowDxfId="108" dataDxfId="106" headerRowBorderDxfId="107" headerRowCellStyle="60% - Ênfase4 2">
  <autoFilter ref="A4:P338" xr:uid="{3C4EE59D-D63E-40E6-ACB7-BE55FF3F2023}"/>
  <tableColumns count="16">
    <tableColumn id="1" xr3:uid="{E25DB4EE-AFDF-4428-8F39-C27B07FD6B87}" name="Código " dataDxfId="105"/>
    <tableColumn id="2" xr3:uid="{48E27E7A-6DB4-43BF-B802-874895B5C01F}" name="Nome da Estação" dataDxfId="104"/>
    <tableColumn id="3" xr3:uid="{6011E2A5-1C8E-44A4-A530-E7E08D56D086}" name="UF" dataDxfId="103"/>
    <tableColumn id="4" xr3:uid="{D87E8688-3AAE-41C5-9A34-31B22F4142DE}" name="Janeiro" dataDxfId="102"/>
    <tableColumn id="5" xr3:uid="{7C33A329-2103-4E8F-89F0-EF7CC66F9427}" name="Fevereiro" dataDxfId="101"/>
    <tableColumn id="6" xr3:uid="{A96644E0-A9E3-400D-B10A-E19EAA8BEE39}" name="Março" dataDxfId="100"/>
    <tableColumn id="7" xr3:uid="{8D8ABAED-0136-4F84-BC1E-6694E0C2FFE1}" name="Abril" dataDxfId="99"/>
    <tableColumn id="8" xr3:uid="{ED5DDE61-EA0C-479A-AFA8-9FBD47CEC37E}" name="Maio" dataDxfId="98"/>
    <tableColumn id="9" xr3:uid="{A77BCE06-C93F-44E5-A7F1-8C74C8A09A60}" name="Junho" dataDxfId="97"/>
    <tableColumn id="10" xr3:uid="{519BF3DA-ED0A-414F-8A8A-3CCD902EDB24}" name="Julho" dataDxfId="96"/>
    <tableColumn id="11" xr3:uid="{08428250-0186-4605-BCC5-3853DBA60477}" name="Agosto" dataDxfId="95"/>
    <tableColumn id="12" xr3:uid="{22785FBD-C3BE-4791-A582-41E76B66FEBE}" name="Setembro" dataDxfId="94"/>
    <tableColumn id="13" xr3:uid="{90A2BCF9-61DF-4ACE-A363-8F459ED7DC69}" name="Outubro" dataDxfId="93"/>
    <tableColumn id="14" xr3:uid="{23D3CBF7-0EA6-4FA5-AF2A-40E5C4C4AF81}" name="Novembro" dataDxfId="92"/>
    <tableColumn id="15" xr3:uid="{D4057146-4F59-42D8-97B0-EA348C489A2E}" name="Dezembro" dataDxfId="91"/>
    <tableColumn id="16" xr3:uid="{92CA168D-29F3-47CE-BBA0-6BD674C742D7}" name="Ano" dataDxfId="90"/>
  </tableColumns>
  <tableStyleInfo name="TableStyleMedium2" showFirstColumn="0" showLastColumn="0" showRowStripes="1" showColumnStripes="0"/>
</table>
</file>

<file path=xl/theme/theme1.xml><?xml version="1.0" encoding="utf-8"?>
<a:theme xmlns:a="http://schemas.openxmlformats.org/drawingml/2006/main" name="Tema do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a_Fechamento" xr10:uid="{C38D88DC-5C1A-44C4-9CE3-9B008D59C711}" sourceName="Data Fechamento">
  <pivotTables>
    <pivotTable tabId="45" name="TDfaturamento"/>
    <pivotTable tabId="45" name="TDfaturamentototal"/>
    <pivotTable tabId="45" name="TDfunil"/>
    <pivotTable tabId="45" name="TDnfechamentos"/>
    <pivotTable tabId="45" name="TDpotenciatotal"/>
    <pivotTable tabId="45" name="TDpotmedia"/>
    <pivotTable tabId="45" name="TDticketmedio"/>
  </pivotTables>
  <state minimalRefreshVersion="6" lastRefreshVersion="6" pivotCacheId="665844325" filterType="unknown">
    <bounds startDate="2020-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Fechamento 1" xr10:uid="{5D5DFAA3-EE04-4A15-9D2B-62A268A111AA}" cache="NativeTimeline_Data_Fechamento" caption="Data Fechamento" level="2" selectionLevel="2" scrollPosition="2022-10-01T00:00:00"/>
  <timeline name="Data Fechamento 2" xr10:uid="{6FE3583F-5F57-4D04-93C6-88C33A64A99C}" cache="NativeTimeline_Data_Fechamento" caption="Data Fechamento" showHeader="0" showSelectionLabel="0" showTimeLevel="0" showHorizontalScrollbar="0" level="0" selectionLevel="2" scrollPosition="2020-01-01T00:00:00" style="TimeSlicerStyleLight6"/>
</timelines>
</file>

<file path=xl/worksheets/_rels/sheet1.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drawing" Target="../drawings/drawing1.xml"/><Relationship Id="rId7"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www2.aneel.gov.br/aplicacoes_liferay/tarifa/" TargetMode="External"/><Relationship Id="rId6" Type="http://schemas.openxmlformats.org/officeDocument/2006/relationships/ctrlProp" Target="../ctrlProps/ctrlProp2.xml"/><Relationship Id="rId5" Type="http://schemas.openxmlformats.org/officeDocument/2006/relationships/ctrlProp" Target="../ctrlProps/ctrlProp1.xml"/><Relationship Id="rId4" Type="http://schemas.openxmlformats.org/officeDocument/2006/relationships/vmlDrawing" Target="../drawings/vmlDrawing1.vml"/><Relationship Id="rId9"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11/relationships/timeline" Target="../timelines/timeline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printerSettings" Target="../printerSettings/printerSettings3.bin"/><Relationship Id="rId7" Type="http://schemas.openxmlformats.org/officeDocument/2006/relationships/ctrlProp" Target="../ctrlProps/ctrlProp4.xml"/><Relationship Id="rId2" Type="http://schemas.openxmlformats.org/officeDocument/2006/relationships/hyperlink" Target="http://natureba.com.br/energia-eletrodomesticos.htm" TargetMode="External"/><Relationship Id="rId1" Type="http://schemas.openxmlformats.org/officeDocument/2006/relationships/hyperlink" Target="http://www.procelinfo.com.br/main.asp?View=%7BE6BC2A5F-E787-48AF-B485-439862B17000%7D" TargetMode="External"/><Relationship Id="rId6" Type="http://schemas.openxmlformats.org/officeDocument/2006/relationships/ctrlProp" Target="../ctrlProps/ctrlProp3.xml"/><Relationship Id="rId5" Type="http://schemas.openxmlformats.org/officeDocument/2006/relationships/vmlDrawing" Target="../drawings/vmlDrawing2.vml"/><Relationship Id="rId10" Type="http://schemas.openxmlformats.org/officeDocument/2006/relationships/table" Target="../tables/table8.xml"/><Relationship Id="rId4" Type="http://schemas.openxmlformats.org/officeDocument/2006/relationships/drawing" Target="../drawings/drawing3.xml"/><Relationship Id="rId9" Type="http://schemas.openxmlformats.org/officeDocument/2006/relationships/table" Target="../tables/table7.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agenciavirtual1.light.com.br/formularios/EnergiaAlternativa/Index" TargetMode="External"/><Relationship Id="rId1" Type="http://schemas.openxmlformats.org/officeDocument/2006/relationships/hyperlink" Target="https://creaonline.crea-rj.org.br/creaOnLine/home/efetuarloginAction.do?action=inicioProfissional" TargetMode="External"/><Relationship Id="rId6" Type="http://schemas.openxmlformats.org/officeDocument/2006/relationships/comments" Target="../comments2.xml"/><Relationship Id="rId5" Type="http://schemas.openxmlformats.org/officeDocument/2006/relationships/vmlDrawing" Target="../drawings/vmlDrawing3.vml"/><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8" Type="http://schemas.openxmlformats.org/officeDocument/2006/relationships/ctrlProp" Target="../ctrlProps/ctrlProp9.xml"/><Relationship Id="rId3" Type="http://schemas.openxmlformats.org/officeDocument/2006/relationships/vmlDrawing" Target="../drawings/vmlDrawing4.vml"/><Relationship Id="rId7" Type="http://schemas.openxmlformats.org/officeDocument/2006/relationships/ctrlProp" Target="../ctrlProps/ctrlProp8.xml"/><Relationship Id="rId2" Type="http://schemas.openxmlformats.org/officeDocument/2006/relationships/drawing" Target="../drawings/drawing6.xml"/><Relationship Id="rId1" Type="http://schemas.openxmlformats.org/officeDocument/2006/relationships/printerSettings" Target="../printerSettings/printerSettings5.bin"/><Relationship Id="rId6" Type="http://schemas.openxmlformats.org/officeDocument/2006/relationships/ctrlProp" Target="../ctrlProps/ctrlProp7.xml"/><Relationship Id="rId5" Type="http://schemas.openxmlformats.org/officeDocument/2006/relationships/ctrlProp" Target="../ctrlProps/ctrlProp6.xml"/><Relationship Id="rId4" Type="http://schemas.openxmlformats.org/officeDocument/2006/relationships/ctrlProp" Target="../ctrlProps/ctrlProp5.xml"/><Relationship Id="rId9"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mailto:atendimentotecnico@light.com.br" TargetMode="External"/><Relationship Id="rId7" Type="http://schemas.openxmlformats.org/officeDocument/2006/relationships/drawing" Target="../drawings/drawing8.xml"/><Relationship Id="rId2" Type="http://schemas.openxmlformats.org/officeDocument/2006/relationships/hyperlink" Target="https://agenciavirtual1.light.com.br/formularios/EnergiaAlternativa/Index" TargetMode="External"/><Relationship Id="rId1" Type="http://schemas.openxmlformats.org/officeDocument/2006/relationships/hyperlink" Target="https://www.eneldistribuicao.com.br/PortalGD/ENELRJ/Acessante/" TargetMode="External"/><Relationship Id="rId6" Type="http://schemas.openxmlformats.org/officeDocument/2006/relationships/printerSettings" Target="../printerSettings/printerSettings7.bin"/><Relationship Id="rId5" Type="http://schemas.openxmlformats.org/officeDocument/2006/relationships/hyperlink" Target="https://agenciavirtual1.light.com.br/formularios/EnergiaAlternativa/Index" TargetMode="External"/><Relationship Id="rId4" Type="http://schemas.openxmlformats.org/officeDocument/2006/relationships/hyperlink" Target="https://creaonline.crea-rj.org.br/creaOnLine/home/efetuarloginAction.do?action=inicioProfissional" TargetMode="External"/><Relationship Id="rId9"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mailto:vinicius@energiacactos.com.br" TargetMode="External"/><Relationship Id="rId1" Type="http://schemas.openxmlformats.org/officeDocument/2006/relationships/hyperlink" Target="mailto:vinicius@energiacactos.com.br" TargetMode="External"/><Relationship Id="rId5" Type="http://schemas.openxmlformats.org/officeDocument/2006/relationships/comments" Target="../comments6.xml"/><Relationship Id="rId4"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contato@cactossolucoesemenergia.com.br" TargetMode="External"/><Relationship Id="rId1" Type="http://schemas.openxmlformats.org/officeDocument/2006/relationships/hyperlink" Target="mailto:contato@cactossolucoesemenergia.com.br" TargetMode="External"/><Relationship Id="rId5" Type="http://schemas.openxmlformats.org/officeDocument/2006/relationships/comments" Target="../comments7.xml"/><Relationship Id="rId4"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1.xml"/><Relationship Id="rId1" Type="http://schemas.openxmlformats.org/officeDocument/2006/relationships/printerSettings" Target="../printerSettings/printerSettings10.bin"/><Relationship Id="rId4" Type="http://schemas.openxmlformats.org/officeDocument/2006/relationships/ctrlProp" Target="../ctrlProps/ctrlProp10.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2.xml"/><Relationship Id="rId1" Type="http://schemas.openxmlformats.org/officeDocument/2006/relationships/printerSettings" Target="../printerSettings/printerSettings11.bin"/><Relationship Id="rId4" Type="http://schemas.openxmlformats.org/officeDocument/2006/relationships/ctrlProp" Target="../ctrlProps/ctrlProp11.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neel.gov.br/scg" TargetMode="External"/><Relationship Id="rId1" Type="http://schemas.openxmlformats.org/officeDocument/2006/relationships/hyperlink" Target="http://www.aneel.gov.br/scg" TargetMode="External"/><Relationship Id="rId4" Type="http://schemas.openxmlformats.org/officeDocument/2006/relationships/drawing" Target="../drawings/drawing14.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C9B53-FCA3-4A77-8808-436C6F13262B}">
  <sheetPr codeName="Planilha7">
    <tabColor rgb="FFFFFF00"/>
  </sheetPr>
  <dimension ref="A1:BG327"/>
  <sheetViews>
    <sheetView tabSelected="1" topLeftCell="A261" zoomScale="85" zoomScaleNormal="85" workbookViewId="0">
      <selection activeCell="Z3" sqref="Z3"/>
    </sheetView>
  </sheetViews>
  <sheetFormatPr defaultRowHeight="15"/>
  <cols>
    <col min="1" max="1" width="15.28515625" customWidth="1"/>
    <col min="2" max="2" width="23.42578125" customWidth="1"/>
    <col min="3" max="3" width="15.28515625" customWidth="1"/>
    <col min="4" max="4" width="14.42578125" customWidth="1"/>
    <col min="5" max="6" width="13.28515625" customWidth="1"/>
    <col min="7" max="7" width="15.5703125" customWidth="1"/>
    <col min="8" max="8" width="15.140625" customWidth="1"/>
    <col min="9" max="9" width="14.42578125" customWidth="1"/>
    <col min="10" max="10" width="18.140625" customWidth="1"/>
    <col min="11" max="11" width="15.5703125" customWidth="1"/>
    <col min="12" max="12" width="12.85546875" customWidth="1"/>
    <col min="13" max="13" width="13.42578125" customWidth="1"/>
    <col min="14" max="15" width="15.140625" customWidth="1"/>
    <col min="16" max="16" width="14.85546875" customWidth="1"/>
    <col min="17" max="17" width="13.28515625" customWidth="1"/>
    <col min="18" max="18" width="18.42578125" bestFit="1" customWidth="1"/>
    <col min="19" max="19" width="10.7109375" customWidth="1"/>
    <col min="20" max="20" width="16.7109375" customWidth="1"/>
    <col min="21" max="21" width="13.42578125" bestFit="1" customWidth="1"/>
    <col min="22" max="22" width="14.5703125" bestFit="1" customWidth="1"/>
    <col min="23" max="23" width="17.28515625" customWidth="1"/>
    <col min="24" max="24" width="16.7109375" bestFit="1" customWidth="1"/>
    <col min="25" max="25" width="14" customWidth="1"/>
    <col min="26" max="26" width="10.85546875" customWidth="1"/>
    <col min="27" max="27" width="13.85546875" customWidth="1"/>
    <col min="28" max="28" width="14.42578125" customWidth="1"/>
    <col min="29" max="29" width="13.7109375" customWidth="1"/>
    <col min="30" max="30" width="13.5703125" customWidth="1"/>
    <col min="31" max="31" width="15.7109375" customWidth="1"/>
    <col min="32" max="32" width="16.5703125" customWidth="1"/>
    <col min="33" max="33" width="14.85546875" customWidth="1"/>
    <col min="34" max="34" width="21.28515625" customWidth="1"/>
    <col min="35" max="35" width="18.42578125" customWidth="1"/>
    <col min="36" max="40" width="14.85546875" customWidth="1"/>
    <col min="41" max="42" width="15.85546875" customWidth="1"/>
    <col min="43" max="43" width="14" customWidth="1"/>
    <col min="44" max="46" width="11.85546875" bestFit="1" customWidth="1"/>
    <col min="47" max="51" width="12.7109375" bestFit="1" customWidth="1"/>
    <col min="52" max="52" width="15.5703125" customWidth="1"/>
    <col min="53" max="53" width="17.42578125" customWidth="1"/>
    <col min="54" max="54" width="20.140625" bestFit="1" customWidth="1"/>
    <col min="55" max="55" width="13.85546875" customWidth="1"/>
    <col min="56" max="56" width="14.140625" customWidth="1"/>
    <col min="57" max="58" width="13.85546875" bestFit="1" customWidth="1"/>
    <col min="59" max="60" width="12.7109375" bestFit="1" customWidth="1"/>
    <col min="61" max="62" width="13.85546875" bestFit="1" customWidth="1"/>
    <col min="63" max="63" width="10.42578125" bestFit="1" customWidth="1"/>
  </cols>
  <sheetData>
    <row r="1" spans="1:28" ht="15.75" thickBot="1"/>
    <row r="2" spans="1:28" ht="28.9" customHeight="1" thickBot="1">
      <c r="B2" t="s">
        <v>2175</v>
      </c>
      <c r="C2" t="s">
        <v>2176</v>
      </c>
      <c r="S2" s="116" t="s">
        <v>2177</v>
      </c>
      <c r="T2" s="105"/>
      <c r="U2" s="105"/>
      <c r="V2" s="105"/>
      <c r="W2" s="105"/>
      <c r="X2" s="105"/>
      <c r="Y2" s="105"/>
      <c r="Z2" s="105"/>
      <c r="AA2" s="106"/>
    </row>
    <row r="3" spans="1:28">
      <c r="J3" s="104" t="s">
        <v>2178</v>
      </c>
      <c r="K3" s="110">
        <f ca="1">Simulação!$F$18+Simulação!$F$19+Simulação!$F$22+Simulação!$F$23</f>
        <v>0.86499999999999988</v>
      </c>
      <c r="L3" s="105"/>
      <c r="M3" s="105"/>
      <c r="N3" s="105"/>
      <c r="O3" s="115" t="s">
        <v>2179</v>
      </c>
      <c r="P3" s="104"/>
      <c r="Q3" s="106"/>
      <c r="S3" s="107"/>
      <c r="Y3" s="28" t="s">
        <v>2180</v>
      </c>
      <c r="Z3" s="504">
        <v>2</v>
      </c>
      <c r="AA3" s="108"/>
    </row>
    <row r="4" spans="1:28">
      <c r="J4" s="107"/>
      <c r="K4" t="s">
        <v>1692</v>
      </c>
      <c r="L4" t="s">
        <v>1715</v>
      </c>
      <c r="M4" t="s">
        <v>1716</v>
      </c>
      <c r="N4" t="s">
        <v>2181</v>
      </c>
      <c r="O4" s="108" t="s">
        <v>2182</v>
      </c>
      <c r="P4" s="107" t="s">
        <v>2183</v>
      </c>
      <c r="Q4" s="108" t="s">
        <v>2184</v>
      </c>
      <c r="S4" s="107" t="s">
        <v>1663</v>
      </c>
      <c r="T4" t="s">
        <v>2185</v>
      </c>
      <c r="U4" t="s">
        <v>2186</v>
      </c>
      <c r="V4" t="s">
        <v>2187</v>
      </c>
      <c r="W4" t="s">
        <v>2188</v>
      </c>
      <c r="X4" t="s">
        <v>2189</v>
      </c>
      <c r="Y4" t="s">
        <v>2190</v>
      </c>
      <c r="Z4" t="s">
        <v>2191</v>
      </c>
      <c r="AA4" s="108" t="s">
        <v>2192</v>
      </c>
    </row>
    <row r="5" spans="1:28">
      <c r="B5" t="s">
        <v>2193</v>
      </c>
      <c r="C5" s="13">
        <f>Resumo!J347</f>
        <v>23440</v>
      </c>
      <c r="J5" s="107" t="s">
        <v>96</v>
      </c>
      <c r="K5" s="111">
        <f>Simulação!$F$19*-0.109304948000054</f>
        <v>-8.7443958400043181E-3</v>
      </c>
      <c r="L5" s="111">
        <f>Simulação!$F$22*0.6</f>
        <v>6.0000000000000001E-3</v>
      </c>
      <c r="M5" s="111">
        <f ca="1">-INDEX(MÓDULOS[Temp. Coef. Pmax],Simulação!$F$12)*Simulação_Dados!$E13</f>
        <v>9.6600000000000005E-2</v>
      </c>
      <c r="N5" s="12">
        <f t="shared" ref="N5:N16" ca="1" si="0">$K$3-SUM(K5:M5)</f>
        <v>0.77114439584000416</v>
      </c>
      <c r="O5" s="108">
        <v>31</v>
      </c>
      <c r="P5" s="122">
        <f ca="1">Simulação!$M$17*Simulação_Dados!$C13*Financeiro!$N5*$O5</f>
        <v>1092.4850466817879</v>
      </c>
      <c r="Q5" s="108">
        <f ca="1">Simulação!I19</f>
        <v>0</v>
      </c>
      <c r="S5" s="107" t="s">
        <v>96</v>
      </c>
      <c r="T5" s="397">
        <f ca="1">INDEX(balanco_geracao_consumo[kWh],MATCH($Z$3&amp;S5,INDEX(balanco_geracao_consumo[Ano]&amp;balanco_geracao_consumo[Histórico de Faturamento],),0))</f>
        <v>1202.6880000000001</v>
      </c>
      <c r="U5" s="397">
        <f ca="1">INDEX(balanco_geracao_consumo[Geração kWh],MATCH($Z$3&amp;S5,INDEX(balanco_geracao_consumo[Ano]&amp;balanco_geracao_consumo[Histórico de Faturamento],),0))</f>
        <v>1084.8376513550154</v>
      </c>
      <c r="V5" s="397">
        <f t="shared" ref="V5:V16" ca="1" si="1">IF(U5&gt;T5,T5,U5)</f>
        <v>1084.8376513550154</v>
      </c>
      <c r="W5" s="397">
        <f t="shared" ref="W5:W16" ca="1" si="2">IF(Z5&lt;0,ABS(Z5)+V5,"")</f>
        <v>1202.6880000000001</v>
      </c>
      <c r="X5" s="397" t="str">
        <f t="shared" ref="X5:X16" ca="1" si="3">IF(Z5&gt;0,ABS(Z5)+V5,"")</f>
        <v/>
      </c>
      <c r="Y5" s="397">
        <f t="shared" ref="Y5:Y16" ca="1" si="4">ABS(Z5)+V5</f>
        <v>1202.6880000000001</v>
      </c>
      <c r="Z5" s="397" cm="1">
        <f t="array" aca="1" ref="Z5" ca="1">INDEX(balanco_geracao_consumo[Injetado na rede],MATCH($Z$3&amp;S5,INDEX(balanco_geracao_consumo[Ano]&amp;balanco_geracao_consumo[Histórico de Faturamento],),0))-INDEX(balanco_geracao_consumo[Energia Fornecida 14.300],MATCH($Z$3&amp;S5,INDEX(balanco_geracao_consumo[Ano]&amp;balanco_geracao_consumo[Histórico de Faturamento],),0))</f>
        <v>-117.85034864498471</v>
      </c>
      <c r="AA5" s="398">
        <f t="shared" ref="AA5:AA16" ca="1" si="5">T5-U5</f>
        <v>117.85034864498471</v>
      </c>
      <c r="AB5" s="127" t="s">
        <v>2194</v>
      </c>
    </row>
    <row r="6" spans="1:28">
      <c r="J6" s="107" t="s">
        <v>98</v>
      </c>
      <c r="K6" s="111">
        <f>Simulação!$F$19*0.284774036302801</f>
        <v>2.2781922904224077E-2</v>
      </c>
      <c r="L6" s="111">
        <f>Simulação!$F$22*0.7</f>
        <v>6.9999999999999993E-3</v>
      </c>
      <c r="M6" s="111">
        <f ca="1">-INDEX(MÓDULOS[Temp. Coef. Pmax],Simulação!$F$12)*Simulação_Dados!$E14</f>
        <v>9.3600000000000003E-2</v>
      </c>
      <c r="N6" s="12">
        <f t="shared" ca="1" si="0"/>
        <v>0.74161807709577576</v>
      </c>
      <c r="O6" s="108">
        <v>29</v>
      </c>
      <c r="P6" s="122">
        <f ca="1">Simulação!$M$17*Simulação_Dados!$C14*Financeiro!$N6*$O6</f>
        <v>1060.3730911359264</v>
      </c>
      <c r="Q6" s="108">
        <f ca="1">Simulação!I20</f>
        <v>0</v>
      </c>
      <c r="S6" s="107" t="s">
        <v>98</v>
      </c>
      <c r="T6" s="397">
        <f ca="1">INDEX(balanco_geracao_consumo[kWh],MATCH($Z$3&amp;S6,INDEX(balanco_geracao_consumo[Ano]&amp;balanco_geracao_consumo[Histórico de Faturamento],),0))</f>
        <v>1202.6880000000001</v>
      </c>
      <c r="U6" s="397">
        <f ca="1">INDEX(balanco_geracao_consumo[Geração kWh],MATCH($Z$3&amp;S6,INDEX(balanco_geracao_consumo[Ano]&amp;balanco_geracao_consumo[Histórico de Faturamento],),0))</f>
        <v>1052.9504794979748</v>
      </c>
      <c r="V6" s="397">
        <f t="shared" ca="1" si="1"/>
        <v>1052.9504794979748</v>
      </c>
      <c r="W6" s="397">
        <f t="shared" ca="1" si="2"/>
        <v>1202.6880000000001</v>
      </c>
      <c r="X6" s="397" t="str">
        <f t="shared" ca="1" si="3"/>
        <v/>
      </c>
      <c r="Y6" s="397">
        <f t="shared" ca="1" si="4"/>
        <v>1202.6880000000001</v>
      </c>
      <c r="Z6" s="397" cm="1">
        <f t="array" aca="1" ref="Z6" ca="1">INDEX(balanco_geracao_consumo[Injetado na rede],MATCH($Z$3&amp;S6,INDEX(balanco_geracao_consumo[Ano]&amp;balanco_geracao_consumo[Histórico de Faturamento],),0))-INDEX(balanco_geracao_consumo[Energia Fornecida 14.300],MATCH($Z$3&amp;S6,INDEX(balanco_geracao_consumo[Ano]&amp;balanco_geracao_consumo[Histórico de Faturamento],),0))</f>
        <v>-149.73752050202529</v>
      </c>
      <c r="AA6" s="398">
        <f t="shared" ca="1" si="5"/>
        <v>149.73752050202529</v>
      </c>
    </row>
    <row r="7" spans="1:28">
      <c r="J7" s="107" t="s">
        <v>99</v>
      </c>
      <c r="K7" s="111">
        <f>Simulação!$F$19*0.912716784891843</f>
        <v>7.3017342791347431E-2</v>
      </c>
      <c r="L7" s="111">
        <f>Simulação!$F$22*0.8</f>
        <v>8.0000000000000002E-3</v>
      </c>
      <c r="M7" s="111">
        <f ca="1">-INDEX(MÓDULOS[Temp. Coef. Pmax],Simulação!$F$12)*Simulação_Dados!$E15</f>
        <v>0.09</v>
      </c>
      <c r="N7" s="12">
        <f t="shared" ca="1" si="0"/>
        <v>0.69398265720865249</v>
      </c>
      <c r="O7" s="108">
        <v>31</v>
      </c>
      <c r="P7" s="122">
        <f ca="1">Simulação!$M$17*Simulação_Dados!$C15*Financeiro!$N7*$O7</f>
        <v>923.26314583481292</v>
      </c>
      <c r="Q7" s="108">
        <f ca="1">Simulação!I21</f>
        <v>0</v>
      </c>
      <c r="S7" s="107" t="s">
        <v>99</v>
      </c>
      <c r="T7" s="397">
        <f ca="1">INDEX(balanco_geracao_consumo[kWh],MATCH($Z$3&amp;S7,INDEX(balanco_geracao_consumo[Ano]&amp;balanco_geracao_consumo[Histórico de Faturamento],),0))</f>
        <v>1002.24</v>
      </c>
      <c r="U7" s="397">
        <f ca="1">INDEX(balanco_geracao_consumo[Geração kWh],MATCH($Z$3&amp;S7,INDEX(balanco_geracao_consumo[Ano]&amp;balanco_geracao_consumo[Histórico de Faturamento],),0))</f>
        <v>916.80030381396921</v>
      </c>
      <c r="V7" s="397">
        <f t="shared" ca="1" si="1"/>
        <v>916.80030381396921</v>
      </c>
      <c r="W7" s="397">
        <f t="shared" ca="1" si="2"/>
        <v>1002.2399999999999</v>
      </c>
      <c r="X7" s="397" t="str">
        <f t="shared" ca="1" si="3"/>
        <v/>
      </c>
      <c r="Y7" s="397">
        <f t="shared" ca="1" si="4"/>
        <v>1002.2399999999999</v>
      </c>
      <c r="Z7" s="397" cm="1">
        <f t="array" aca="1" ref="Z7" ca="1">INDEX(balanco_geracao_consumo[Injetado na rede],MATCH($Z$3&amp;S7,INDEX(balanco_geracao_consumo[Ano]&amp;balanco_geracao_consumo[Histórico de Faturamento],),0))-INDEX(balanco_geracao_consumo[Energia Fornecida 14.300],MATCH($Z$3&amp;S7,INDEX(balanco_geracao_consumo[Ano]&amp;balanco_geracao_consumo[Histórico de Faturamento],),0))</f>
        <v>-85.439696186030687</v>
      </c>
      <c r="AA7" s="398">
        <f t="shared" ca="1" si="5"/>
        <v>85.439696186030801</v>
      </c>
    </row>
    <row r="8" spans="1:28">
      <c r="B8" s="3" t="s">
        <v>2195</v>
      </c>
      <c r="C8" s="119">
        <f>Início!$O$10</f>
        <v>100</v>
      </c>
      <c r="J8" s="107" t="s">
        <v>103</v>
      </c>
      <c r="K8" s="111">
        <f>Simulação!$F$19*1.49786356977016</f>
        <v>0.11982908558161279</v>
      </c>
      <c r="L8" s="111">
        <f>Simulação!$F$22*1.1</f>
        <v>1.1000000000000001E-2</v>
      </c>
      <c r="M8" s="111">
        <f ca="1">-INDEX(MÓDULOS[Temp. Coef. Pmax],Simulação!$F$12)*Simulação_Dados!$E16</f>
        <v>8.3400000000000002E-2</v>
      </c>
      <c r="N8" s="12">
        <f t="shared" ca="1" si="0"/>
        <v>0.65077091441838708</v>
      </c>
      <c r="O8" s="108">
        <v>30</v>
      </c>
      <c r="P8" s="122">
        <f ca="1">Simulação!$M$17*Simulação_Dados!$C16*Financeiro!$N8*$O8</f>
        <v>786.68051526918066</v>
      </c>
      <c r="Q8" s="108">
        <f ca="1">Simulação!I22</f>
        <v>0</v>
      </c>
      <c r="S8" s="107" t="s">
        <v>103</v>
      </c>
      <c r="T8" s="397">
        <f ca="1">INDEX(balanco_geracao_consumo[kWh],MATCH($Z$3&amp;S8,INDEX(balanco_geracao_consumo[Ano]&amp;balanco_geracao_consumo[Histórico de Faturamento],),0))</f>
        <v>902.01600000000008</v>
      </c>
      <c r="U8" s="397">
        <f ca="1">INDEX(balanco_geracao_consumo[Geração kWh],MATCH($Z$3&amp;S8,INDEX(balanco_geracao_consumo[Ano]&amp;balanco_geracao_consumo[Histórico de Faturamento],),0))</f>
        <v>781.17375166229635</v>
      </c>
      <c r="V8" s="397">
        <f t="shared" ca="1" si="1"/>
        <v>781.17375166229635</v>
      </c>
      <c r="W8" s="397">
        <f t="shared" ca="1" si="2"/>
        <v>902.01600000000008</v>
      </c>
      <c r="X8" s="397" t="str">
        <f t="shared" ca="1" si="3"/>
        <v/>
      </c>
      <c r="Y8" s="397">
        <f t="shared" ca="1" si="4"/>
        <v>902.01600000000008</v>
      </c>
      <c r="Z8" s="397" cm="1">
        <f t="array" aca="1" ref="Z8" ca="1">INDEX(balanco_geracao_consumo[Injetado na rede],MATCH($Z$3&amp;S8,INDEX(balanco_geracao_consumo[Ano]&amp;balanco_geracao_consumo[Histórico de Faturamento],),0))-INDEX(balanco_geracao_consumo[Energia Fornecida 14.300],MATCH($Z$3&amp;S8,INDEX(balanco_geracao_consumo[Ano]&amp;balanco_geracao_consumo[Histórico de Faturamento],),0))</f>
        <v>-120.84224833770367</v>
      </c>
      <c r="AA8" s="398">
        <f t="shared" ca="1" si="5"/>
        <v>120.84224833770372</v>
      </c>
    </row>
    <row r="9" spans="1:28">
      <c r="A9" s="11">
        <f>Resumo!E362</f>
        <v>0.3</v>
      </c>
      <c r="B9" s="6" t="s">
        <v>1725</v>
      </c>
      <c r="C9" s="25">
        <f>Simulação!$P$33</f>
        <v>0.3</v>
      </c>
      <c r="G9" s="11"/>
      <c r="J9" s="107" t="s">
        <v>106</v>
      </c>
      <c r="K9" s="111">
        <f>Simulação!$F$19*2.20297153586687</f>
        <v>0.17623772286934955</v>
      </c>
      <c r="L9" s="111">
        <f>Simulação!$F$22*1.3</f>
        <v>1.3000000000000001E-2</v>
      </c>
      <c r="M9" s="111">
        <f ca="1">-INDEX(MÓDULOS[Temp. Coef. Pmax],Simulação!$F$12)*Simulação_Dados!$E17</f>
        <v>8.0100000000000005E-2</v>
      </c>
      <c r="N9" s="12">
        <f t="shared" ca="1" si="0"/>
        <v>0.59566227713065034</v>
      </c>
      <c r="O9" s="108">
        <v>31</v>
      </c>
      <c r="P9" s="122">
        <f ca="1">Simulação!$M$17*Simulação_Dados!$C17*Financeiro!$N9*$O9</f>
        <v>653.3252447358276</v>
      </c>
      <c r="Q9" s="108">
        <f ca="1">Simulação!I23</f>
        <v>0</v>
      </c>
      <c r="S9" s="107" t="s">
        <v>106</v>
      </c>
      <c r="T9" s="397">
        <f ca="1">INDEX(balanco_geracao_consumo[kWh],MATCH($Z$3&amp;S9,INDEX(balanco_geracao_consumo[Ano]&amp;balanco_geracao_consumo[Histórico de Faturamento],),0))</f>
        <v>701.56799999999998</v>
      </c>
      <c r="U9" s="397">
        <f ca="1">INDEX(balanco_geracao_consumo[Geração kWh],MATCH($Z$3&amp;S9,INDEX(balanco_geracao_consumo[Ano]&amp;balanco_geracao_consumo[Histórico de Faturamento],),0))</f>
        <v>648.75196802267681</v>
      </c>
      <c r="V9" s="397">
        <f t="shared" ca="1" si="1"/>
        <v>648.75196802267681</v>
      </c>
      <c r="W9" s="397">
        <f t="shared" ca="1" si="2"/>
        <v>701.56799999999998</v>
      </c>
      <c r="X9" s="397" t="str">
        <f t="shared" ca="1" si="3"/>
        <v/>
      </c>
      <c r="Y9" s="397">
        <f t="shared" ca="1" si="4"/>
        <v>701.56799999999998</v>
      </c>
      <c r="Z9" s="397" cm="1">
        <f t="array" aca="1" ref="Z9" ca="1">INDEX(balanco_geracao_consumo[Injetado na rede],MATCH($Z$3&amp;S9,INDEX(balanco_geracao_consumo[Ano]&amp;balanco_geracao_consumo[Histórico de Faturamento],),0))-INDEX(balanco_geracao_consumo[Energia Fornecida 14.300],MATCH($Z$3&amp;S9,INDEX(balanco_geracao_consumo[Ano]&amp;balanco_geracao_consumo[Histórico de Faturamento],),0))</f>
        <v>-52.816031977323178</v>
      </c>
      <c r="AA9" s="398">
        <f t="shared" ca="1" si="5"/>
        <v>52.816031977323178</v>
      </c>
    </row>
    <row r="10" spans="1:28">
      <c r="B10" s="6" t="s">
        <v>2196</v>
      </c>
      <c r="C10" s="25">
        <v>0.1</v>
      </c>
      <c r="J10" s="107" t="s">
        <v>114</v>
      </c>
      <c r="K10" s="111">
        <f>Simulação!$F$19*2.28112139479581</f>
        <v>0.18248971158366478</v>
      </c>
      <c r="L10" s="111">
        <f>Simulação!$F$22*1.7</f>
        <v>1.7000000000000001E-2</v>
      </c>
      <c r="M10" s="111">
        <f ca="1">-INDEX(MÓDULOS[Temp. Coef. Pmax],Simulação!$F$12)*Simulação_Dados!$E18</f>
        <v>7.9199999999999993E-2</v>
      </c>
      <c r="N10" s="12">
        <f t="shared" ca="1" si="0"/>
        <v>0.58631028841633515</v>
      </c>
      <c r="O10" s="108">
        <v>30</v>
      </c>
      <c r="P10" s="122">
        <f ca="1">Simulação!$M$17*Simulação_Dados!$C18*Financeiro!$N10*$O10</f>
        <v>602.15591027107496</v>
      </c>
      <c r="Q10" s="108">
        <f ca="1">Simulação!I24</f>
        <v>0</v>
      </c>
      <c r="S10" s="107" t="s">
        <v>114</v>
      </c>
      <c r="T10" s="397">
        <f ca="1">INDEX(balanco_geracao_consumo[kWh],MATCH($Z$3&amp;S10,INDEX(balanco_geracao_consumo[Ano]&amp;balanco_geracao_consumo[Histórico de Faturamento],),0))</f>
        <v>601.34400000000005</v>
      </c>
      <c r="U10" s="397">
        <f ca="1">INDEX(balanco_geracao_consumo[Geração kWh],MATCH($Z$3&amp;S10,INDEX(balanco_geracao_consumo[Ano]&amp;balanco_geracao_consumo[Histórico de Faturamento],),0))</f>
        <v>597.94081889917743</v>
      </c>
      <c r="V10" s="397">
        <f t="shared" ca="1" si="1"/>
        <v>597.94081889917743</v>
      </c>
      <c r="W10" s="397">
        <f t="shared" ca="1" si="2"/>
        <v>601.34400000000005</v>
      </c>
      <c r="X10" s="397" t="str">
        <f t="shared" ca="1" si="3"/>
        <v/>
      </c>
      <c r="Y10" s="397">
        <f t="shared" ca="1" si="4"/>
        <v>601.34400000000005</v>
      </c>
      <c r="Z10" s="397" cm="1">
        <f t="array" aca="1" ref="Z10" ca="1">INDEX(balanco_geracao_consumo[Injetado na rede],MATCH($Z$3&amp;S10,INDEX(balanco_geracao_consumo[Ano]&amp;balanco_geracao_consumo[Histórico de Faturamento],),0))-INDEX(balanco_geracao_consumo[Energia Fornecida 14.300],MATCH($Z$3&amp;S10,INDEX(balanco_geracao_consumo[Ano]&amp;balanco_geracao_consumo[Histórico de Faturamento],),0))</f>
        <v>-3.4031811008226214</v>
      </c>
      <c r="AA10" s="398">
        <f t="shared" ca="1" si="5"/>
        <v>3.4031811008226214</v>
      </c>
    </row>
    <row r="11" spans="1:28">
      <c r="B11" t="s">
        <v>2197</v>
      </c>
      <c r="C11" s="11">
        <v>0.02</v>
      </c>
      <c r="J11" s="107" t="s">
        <v>119</v>
      </c>
      <c r="K11" s="111">
        <f>Simulação!$F$19*2.31218317633449</f>
        <v>0.1849746541067592</v>
      </c>
      <c r="L11" s="111">
        <f>Simulação!$F$22*1.4</f>
        <v>1.3999999999999999E-2</v>
      </c>
      <c r="M11" s="111">
        <f ca="1">-INDEX(MÓDULOS[Temp. Coef. Pmax],Simulação!$F$12)*Simulação_Dados!$E19</f>
        <v>8.1000000000000003E-2</v>
      </c>
      <c r="N11" s="12">
        <f t="shared" ca="1" si="0"/>
        <v>0.58502534589324062</v>
      </c>
      <c r="O11" s="108">
        <v>31</v>
      </c>
      <c r="P11" s="122">
        <f ca="1">Simulação!$M$17*Simulação_Dados!$C19*Financeiro!$N11*$O11</f>
        <v>606.01090708084621</v>
      </c>
      <c r="Q11" s="108">
        <f ca="1">Simulação!I25</f>
        <v>0</v>
      </c>
      <c r="S11" s="107" t="s">
        <v>119</v>
      </c>
      <c r="T11" s="397">
        <f ca="1">INDEX(balanco_geracao_consumo[kWh],MATCH($Z$3&amp;S11,INDEX(balanco_geracao_consumo[Ano]&amp;balanco_geracao_consumo[Histórico de Faturamento],),0))</f>
        <v>601.34400000000005</v>
      </c>
      <c r="U11" s="397">
        <f ca="1">INDEX(balanco_geracao_consumo[Geração kWh],MATCH($Z$3&amp;S11,INDEX(balanco_geracao_consumo[Ano]&amp;balanco_geracao_consumo[Histórico de Faturamento],),0))</f>
        <v>601.76883073128033</v>
      </c>
      <c r="V11" s="397">
        <f t="shared" ca="1" si="1"/>
        <v>601.34400000000005</v>
      </c>
      <c r="W11" s="397" t="str">
        <f t="shared" ca="1" si="2"/>
        <v/>
      </c>
      <c r="X11" s="397">
        <f t="shared" ca="1" si="3"/>
        <v>601.76883073128033</v>
      </c>
      <c r="Y11" s="397">
        <f t="shared" ca="1" si="4"/>
        <v>601.76883073128033</v>
      </c>
      <c r="Z11" s="397" cm="1">
        <f t="array" aca="1" ref="Z11" ca="1">INDEX(balanco_geracao_consumo[Injetado na rede],MATCH($Z$3&amp;S11,INDEX(balanco_geracao_consumo[Ano]&amp;balanco_geracao_consumo[Histórico de Faturamento],),0))-INDEX(balanco_geracao_consumo[Energia Fornecida 14.300],MATCH($Z$3&amp;S11,INDEX(balanco_geracao_consumo[Ano]&amp;balanco_geracao_consumo[Histórico de Faturamento],),0))</f>
        <v>0.42483073128028082</v>
      </c>
      <c r="AA11" s="398">
        <f t="shared" ca="1" si="5"/>
        <v>-0.42483073128028082</v>
      </c>
    </row>
    <row r="12" spans="1:28">
      <c r="B12" s="6" t="s">
        <v>2198</v>
      </c>
      <c r="C12" s="26">
        <v>7.0000000000000001E-3</v>
      </c>
      <c r="J12" s="107" t="s">
        <v>122</v>
      </c>
      <c r="K12" s="111">
        <f>Simulação!$F$19*1.66891783020218</f>
        <v>0.13351342641617439</v>
      </c>
      <c r="L12" s="111">
        <f>Simulação!$F$22*1.2</f>
        <v>1.2E-2</v>
      </c>
      <c r="M12" s="111">
        <f ca="1">-INDEX(MÓDULOS[Temp. Coef. Pmax],Simulação!$F$12)*Simulação_Dados!$E20</f>
        <v>8.0100000000000005E-2</v>
      </c>
      <c r="N12" s="12">
        <f t="shared" ca="1" si="0"/>
        <v>0.63938657358382545</v>
      </c>
      <c r="O12" s="108">
        <v>31</v>
      </c>
      <c r="P12" s="122">
        <f ca="1">Simulação!$M$17*Simulação_Dados!$C20*Financeiro!$N12*$O12</f>
        <v>780.82585297421963</v>
      </c>
      <c r="Q12" s="108">
        <f ca="1">Simulação!I26</f>
        <v>0</v>
      </c>
      <c r="S12" s="107" t="s">
        <v>122</v>
      </c>
      <c r="T12" s="397">
        <f ca="1">INDEX(balanco_geracao_consumo[kWh],MATCH($Z$3&amp;S12,INDEX(balanco_geracao_consumo[Ano]&amp;balanco_geracao_consumo[Histórico de Faturamento],),0))</f>
        <v>701.56799999999998</v>
      </c>
      <c r="U12" s="397">
        <f ca="1">INDEX(balanco_geracao_consumo[Geração kWh],MATCH($Z$3&amp;S12,INDEX(balanco_geracao_consumo[Ano]&amp;balanco_geracao_consumo[Histórico de Faturamento],),0))</f>
        <v>775.36007200340009</v>
      </c>
      <c r="V12" s="397">
        <f t="shared" ca="1" si="1"/>
        <v>701.56799999999998</v>
      </c>
      <c r="W12" s="397" t="str">
        <f t="shared" ca="1" si="2"/>
        <v/>
      </c>
      <c r="X12" s="397">
        <f t="shared" ca="1" si="3"/>
        <v>775.36007200340009</v>
      </c>
      <c r="Y12" s="397">
        <f t="shared" ca="1" si="4"/>
        <v>775.36007200340009</v>
      </c>
      <c r="Z12" s="397" cm="1">
        <f t="array" aca="1" ref="Z12" ca="1">INDEX(balanco_geracao_consumo[Injetado na rede],MATCH($Z$3&amp;S12,INDEX(balanco_geracao_consumo[Ano]&amp;balanco_geracao_consumo[Histórico de Faturamento],),0))-INDEX(balanco_geracao_consumo[Energia Fornecida 14.300],MATCH($Z$3&amp;S12,INDEX(balanco_geracao_consumo[Ano]&amp;balanco_geracao_consumo[Histórico de Faturamento],),0))</f>
        <v>73.792072003400165</v>
      </c>
      <c r="AA12" s="398">
        <f t="shared" ca="1" si="5"/>
        <v>-73.792072003400108</v>
      </c>
    </row>
    <row r="13" spans="1:28">
      <c r="B13" s="120" t="s">
        <v>2199</v>
      </c>
      <c r="C13" s="27">
        <v>0</v>
      </c>
      <c r="D13" s="14">
        <f>C13*C5</f>
        <v>0</v>
      </c>
      <c r="J13" s="107" t="s">
        <v>123</v>
      </c>
      <c r="K13" s="111">
        <f>Simulação!$F$19*1.1308370374298</f>
        <v>9.046696299438399E-2</v>
      </c>
      <c r="L13" s="111">
        <f>Simulação!$F$22*1.1</f>
        <v>1.1000000000000001E-2</v>
      </c>
      <c r="M13" s="111">
        <f ca="1">-INDEX(MÓDULOS[Temp. Coef. Pmax],Simulação!$F$12)*Simulação_Dados!$E21</f>
        <v>8.4599999999999995E-2</v>
      </c>
      <c r="N13" s="12">
        <f t="shared" ca="1" si="0"/>
        <v>0.67893303700561591</v>
      </c>
      <c r="O13" s="108">
        <v>30</v>
      </c>
      <c r="P13" s="122">
        <f ca="1">Simulação!$M$17*Simulação_Dados!$C21*Financeiro!$N13*$O13</f>
        <v>770.67997402833282</v>
      </c>
      <c r="Q13" s="108">
        <f ca="1">Simulação!I27</f>
        <v>0</v>
      </c>
      <c r="S13" s="107" t="s">
        <v>123</v>
      </c>
      <c r="T13" s="397">
        <f ca="1">INDEX(balanco_geracao_consumo[kWh],MATCH($Z$3&amp;S13,INDEX(balanco_geracao_consumo[Ano]&amp;balanco_geracao_consumo[Histórico de Faturamento],),0))</f>
        <v>701.56799999999998</v>
      </c>
      <c r="U13" s="397">
        <f ca="1">INDEX(balanco_geracao_consumo[Geração kWh],MATCH($Z$3&amp;S13,INDEX(balanco_geracao_consumo[Ano]&amp;balanco_geracao_consumo[Histórico de Faturamento],),0))</f>
        <v>765.28521421013454</v>
      </c>
      <c r="V13" s="397">
        <f t="shared" ca="1" si="1"/>
        <v>701.56799999999998</v>
      </c>
      <c r="W13" s="397" t="str">
        <f t="shared" ca="1" si="2"/>
        <v/>
      </c>
      <c r="X13" s="397">
        <f t="shared" ca="1" si="3"/>
        <v>765.28521421013443</v>
      </c>
      <c r="Y13" s="397">
        <f t="shared" ca="1" si="4"/>
        <v>765.28521421013443</v>
      </c>
      <c r="Z13" s="397" cm="1">
        <f t="array" aca="1" ref="Z13" ca="1">INDEX(balanco_geracao_consumo[Injetado na rede],MATCH($Z$3&amp;S13,INDEX(balanco_geracao_consumo[Ano]&amp;balanco_geracao_consumo[Histórico de Faturamento],),0))-INDEX(balanco_geracao_consumo[Energia Fornecida 14.300],MATCH($Z$3&amp;S13,INDEX(balanco_geracao_consumo[Ano]&amp;balanco_geracao_consumo[Histórico de Faturamento],),0))</f>
        <v>63.7172142101345</v>
      </c>
      <c r="AA13" s="398">
        <f t="shared" ca="1" si="5"/>
        <v>-63.717214210134557</v>
      </c>
    </row>
    <row r="14" spans="1:28">
      <c r="J14" s="107" t="s">
        <v>124</v>
      </c>
      <c r="K14" s="111">
        <f>Simulação!$F$19*0.415313163591021</f>
        <v>3.3225053087281672E-2</v>
      </c>
      <c r="L14" s="111">
        <f>Simulação!$F$22*0.8</f>
        <v>8.0000000000000002E-3</v>
      </c>
      <c r="M14" s="111">
        <f ca="1">-INDEX(MÓDULOS[Temp. Coef. Pmax],Simulação!$F$12)*Simulação_Dados!$E22</f>
        <v>8.8200000000000001E-2</v>
      </c>
      <c r="N14" s="12">
        <f t="shared" ca="1" si="0"/>
        <v>0.73557494691271819</v>
      </c>
      <c r="O14" s="108">
        <v>31</v>
      </c>
      <c r="P14" s="122">
        <f ca="1">Simulação!$M$17*Simulação_Dados!$C22*Financeiro!$N14*$O14</f>
        <v>924.4378601947667</v>
      </c>
      <c r="Q14" s="108">
        <f ca="1">Simulação!I28</f>
        <v>0</v>
      </c>
      <c r="S14" s="107" t="s">
        <v>124</v>
      </c>
      <c r="T14" s="397">
        <f ca="1">INDEX(balanco_geracao_consumo[kWh],MATCH($Z$3&amp;S14,INDEX(balanco_geracao_consumo[Ano]&amp;balanco_geracao_consumo[Histórico de Faturamento],),0))</f>
        <v>701.56799999999998</v>
      </c>
      <c r="U14" s="397">
        <f ca="1">INDEX(balanco_geracao_consumo[Geração kWh],MATCH($Z$3&amp;S14,INDEX(balanco_geracao_consumo[Ano]&amp;balanco_geracao_consumo[Histórico de Faturamento],),0))</f>
        <v>917.96679517340328</v>
      </c>
      <c r="V14" s="397">
        <f t="shared" ca="1" si="1"/>
        <v>701.56799999999998</v>
      </c>
      <c r="W14" s="397" t="str">
        <f t="shared" ca="1" si="2"/>
        <v/>
      </c>
      <c r="X14" s="397">
        <f t="shared" ca="1" si="3"/>
        <v>917.96679517340317</v>
      </c>
      <c r="Y14" s="397">
        <f t="shared" ca="1" si="4"/>
        <v>917.96679517340317</v>
      </c>
      <c r="Z14" s="397" cm="1">
        <f t="array" aca="1" ref="Z14" ca="1">INDEX(balanco_geracao_consumo[Injetado na rede],MATCH($Z$3&amp;S14,INDEX(balanco_geracao_consumo[Ano]&amp;balanco_geracao_consumo[Histórico de Faturamento],),0))-INDEX(balanco_geracao_consumo[Energia Fornecida 14.300],MATCH($Z$3&amp;S14,INDEX(balanco_geracao_consumo[Ano]&amp;balanco_geracao_consumo[Histórico de Faturamento],),0))</f>
        <v>216.39879517340324</v>
      </c>
      <c r="AA14" s="398">
        <f t="shared" ca="1" si="5"/>
        <v>-216.3987951734033</v>
      </c>
    </row>
    <row r="15" spans="1:28">
      <c r="J15" s="107" t="s">
        <v>125</v>
      </c>
      <c r="K15" s="111">
        <f>Simulação!$F$19*-0.165779171133416</f>
        <v>-1.3262333690673278E-2</v>
      </c>
      <c r="L15" s="111">
        <f>Simulação!$F$22*0.7</f>
        <v>6.9999999999999993E-3</v>
      </c>
      <c r="M15" s="111">
        <f ca="1">-INDEX(MÓDULOS[Temp. Coef. Pmax],Simulação!$F$12)*Simulação_Dados!$E23</f>
        <v>9.0900000000000009E-2</v>
      </c>
      <c r="N15" s="12">
        <f t="shared" ca="1" si="0"/>
        <v>0.78036233369067309</v>
      </c>
      <c r="O15" s="108">
        <v>30</v>
      </c>
      <c r="P15" s="122">
        <f ca="1">Simulação!$M$17*Simulação_Dados!$C23*Financeiro!$N15*$O15</f>
        <v>926.08017262306612</v>
      </c>
      <c r="Q15" s="108">
        <f ca="1">Simulação!I29</f>
        <v>0</v>
      </c>
      <c r="S15" s="107" t="s">
        <v>125</v>
      </c>
      <c r="T15" s="397">
        <f ca="1">INDEX(balanco_geracao_consumo[kWh],MATCH($Z$3&amp;S15,INDEX(balanco_geracao_consumo[Ano]&amp;balanco_geracao_consumo[Histórico de Faturamento],),0))</f>
        <v>801.79200000000003</v>
      </c>
      <c r="U15" s="397">
        <f ca="1">INDEX(balanco_geracao_consumo[Geração kWh],MATCH($Z$3&amp;S15,INDEX(balanco_geracao_consumo[Ano]&amp;balanco_geracao_consumo[Histórico de Faturamento],),0))</f>
        <v>919.5976114147046</v>
      </c>
      <c r="V15" s="397">
        <f t="shared" ca="1" si="1"/>
        <v>801.79200000000003</v>
      </c>
      <c r="W15" s="397" t="str">
        <f t="shared" ca="1" si="2"/>
        <v/>
      </c>
      <c r="X15" s="397">
        <f t="shared" ca="1" si="3"/>
        <v>919.5976114147046</v>
      </c>
      <c r="Y15" s="397">
        <f t="shared" ca="1" si="4"/>
        <v>919.5976114147046</v>
      </c>
      <c r="Z15" s="397" cm="1">
        <f t="array" aca="1" ref="Z15" ca="1">INDEX(balanco_geracao_consumo[Injetado na rede],MATCH($Z$3&amp;S15,INDEX(balanco_geracao_consumo[Ano]&amp;balanco_geracao_consumo[Histórico de Faturamento],),0))-INDEX(balanco_geracao_consumo[Energia Fornecida 14.300],MATCH($Z$3&amp;S15,INDEX(balanco_geracao_consumo[Ano]&amp;balanco_geracao_consumo[Histórico de Faturamento],),0))</f>
        <v>117.80561141470457</v>
      </c>
      <c r="AA15" s="398">
        <f t="shared" ca="1" si="5"/>
        <v>-117.80561141470457</v>
      </c>
    </row>
    <row r="16" spans="1:28" ht="15.75" thickBot="1">
      <c r="J16" s="109" t="s">
        <v>126</v>
      </c>
      <c r="K16" s="112">
        <f>Simulação!$F$19*-0.431614410051498</f>
        <v>-3.4529152804119834E-2</v>
      </c>
      <c r="L16" s="112">
        <f>Simulação!$F$22*0.6</f>
        <v>6.0000000000000001E-3</v>
      </c>
      <c r="M16" s="112">
        <f ca="1">-INDEX(MÓDULOS[Temp. Coef. Pmax],Simulação!$F$12)*Simulação_Dados!$E24</f>
        <v>8.7000000000000008E-2</v>
      </c>
      <c r="N16" s="113">
        <f t="shared" ca="1" si="0"/>
        <v>0.80652915280411974</v>
      </c>
      <c r="O16" s="114">
        <v>31</v>
      </c>
      <c r="P16" s="123">
        <f ca="1">Simulação!$M$17*Simulação_Dados!$C24*Financeiro!$N16*$O16</f>
        <v>1097.5655202051475</v>
      </c>
      <c r="Q16" s="114">
        <f ca="1">Simulação!I30</f>
        <v>0</v>
      </c>
      <c r="S16" s="107" t="s">
        <v>126</v>
      </c>
      <c r="T16" s="397">
        <f ca="1">INDEX(balanco_geracao_consumo[kWh],MATCH($Z$3&amp;S16,INDEX(balanco_geracao_consumo[Ano]&amp;balanco_geracao_consumo[Histórico de Faturamento],),0))</f>
        <v>1002.24</v>
      </c>
      <c r="U16" s="397">
        <f ca="1">INDEX(balanco_geracao_consumo[Geração kWh],MATCH($Z$3&amp;S16,INDEX(balanco_geracao_consumo[Ano]&amp;balanco_geracao_consumo[Histórico de Faturamento],),0))</f>
        <v>1089.8825615637115</v>
      </c>
      <c r="V16" s="397">
        <f t="shared" ca="1" si="1"/>
        <v>1002.24</v>
      </c>
      <c r="W16" s="397" t="str">
        <f t="shared" ca="1" si="2"/>
        <v/>
      </c>
      <c r="X16" s="397">
        <f t="shared" ca="1" si="3"/>
        <v>1089.8825615637115</v>
      </c>
      <c r="Y16" s="397">
        <f t="shared" ca="1" si="4"/>
        <v>1089.8825615637115</v>
      </c>
      <c r="Z16" s="397" cm="1">
        <f t="array" aca="1" ref="Z16" ca="1">INDEX(balanco_geracao_consumo[Injetado na rede],MATCH($Z$3&amp;S16,INDEX(balanco_geracao_consumo[Ano]&amp;balanco_geracao_consumo[Histórico de Faturamento],),0))-INDEX(balanco_geracao_consumo[Energia Fornecida 14.300],MATCH($Z$3&amp;S16,INDEX(balanco_geracao_consumo[Ano]&amp;balanco_geracao_consumo[Histórico de Faturamento],),0))</f>
        <v>87.642561563711524</v>
      </c>
      <c r="AA16" s="398">
        <f t="shared" ca="1" si="5"/>
        <v>-87.642561563711524</v>
      </c>
    </row>
    <row r="17" spans="1:27" ht="15.75" thickBot="1">
      <c r="B17" s="29"/>
      <c r="C17" s="444">
        <v>1</v>
      </c>
      <c r="O17" t="s">
        <v>164</v>
      </c>
      <c r="P17" s="17">
        <f ca="1">SUM(P5:P16)</f>
        <v>10223.88324103499</v>
      </c>
      <c r="Q17" s="17">
        <f ca="1">SUM(Q5:Q16)</f>
        <v>0</v>
      </c>
      <c r="S17" s="109" t="s">
        <v>138</v>
      </c>
      <c r="T17" s="399">
        <f ca="1">AVERAGE(T5:T16)</f>
        <v>843.55200000000002</v>
      </c>
      <c r="U17" s="399">
        <f ca="1">AVERAGE(U5:U16)</f>
        <v>846.02633819564528</v>
      </c>
      <c r="V17" s="399"/>
      <c r="W17" s="399"/>
      <c r="X17" s="399"/>
      <c r="Y17" s="399">
        <f ca="1">U17</f>
        <v>846.02633819564528</v>
      </c>
      <c r="Z17" s="399"/>
      <c r="AA17" s="400"/>
    </row>
    <row r="18" spans="1:27">
      <c r="D18" t="s">
        <v>2200</v>
      </c>
    </row>
    <row r="19" spans="1:27">
      <c r="B19" s="236" t="s">
        <v>2201</v>
      </c>
      <c r="C19" s="437">
        <f>Simulação!$P$17</f>
        <v>4.3999999999999997E-2</v>
      </c>
      <c r="D19" s="176">
        <f ca="1">(($H$35*0.99)-$C$35)/$A$35</f>
        <v>-1.0103046363051272E-4</v>
      </c>
      <c r="E19" s="127" t="s">
        <v>2202</v>
      </c>
      <c r="I19">
        <f ca="1">C24*Resumo!$E$362</f>
        <v>360.8064</v>
      </c>
      <c r="L19" t="s">
        <v>1891</v>
      </c>
      <c r="M19">
        <f ca="1">IF((J24-K24)&lt;0,(K24-J24)+M23,IF((J24-K24)&lt;$C$8,M23,IF(((J24-K24)-$C$8)&lt;M23,M23-((J24-K24)-$C$8),0)))</f>
        <v>0</v>
      </c>
      <c r="N19">
        <f ca="1">IF(K24&gt;J24,J24,IF((J24-K24)&lt;$C$8,K24,IF(M23-(J24-K24-$C$8)&lt;0,M23+K24,J24-$C$8)))</f>
        <v>699.56669113592648</v>
      </c>
    </row>
    <row r="20" spans="1:27">
      <c r="B20" s="236" t="s">
        <v>2203</v>
      </c>
      <c r="C20" s="216">
        <f>Simulação!$P$18</f>
        <v>0</v>
      </c>
      <c r="I20">
        <f ca="1">MIN(C24*Resumo!$E$362,H24)</f>
        <v>360.8064</v>
      </c>
      <c r="L20" t="s">
        <v>2204</v>
      </c>
      <c r="M20">
        <f ca="1">IF((J24-K24)&lt;$C$8,K24-MAX(J24-$C$8,0)+M23,IF(((J24-K24)-$C$8)&lt;M23,M23-((J24-K24)-$C$8),0))</f>
        <v>0</v>
      </c>
      <c r="N20">
        <f ca="1">IF((J24-K24)&lt;$C$8,MAX(J24-$C$8,0),IF(M23-(J24-K24-$C$8)&lt;0,M23+K24,J24-$C$8))</f>
        <v>699.56669113592648</v>
      </c>
      <c r="U20" s="242" t="s">
        <v>2205</v>
      </c>
      <c r="V20" s="4"/>
      <c r="W20" s="5"/>
    </row>
    <row r="21" spans="1:27">
      <c r="I21" s="380" t="s">
        <v>2206</v>
      </c>
      <c r="M21" t="s">
        <v>2207</v>
      </c>
      <c r="N21" t="s">
        <v>2208</v>
      </c>
      <c r="U21" s="3"/>
      <c r="V21" s="4" t="s">
        <v>2209</v>
      </c>
      <c r="W21" s="5" t="s">
        <v>2210</v>
      </c>
    </row>
    <row r="22" spans="1:27">
      <c r="A22" t="s">
        <v>2211</v>
      </c>
      <c r="B22" t="s">
        <v>2212</v>
      </c>
      <c r="C22" t="s">
        <v>2209</v>
      </c>
      <c r="D22" t="s">
        <v>2213</v>
      </c>
      <c r="E22" t="s">
        <v>2214</v>
      </c>
      <c r="F22" t="s">
        <v>2215</v>
      </c>
      <c r="G22" t="s">
        <v>2210</v>
      </c>
      <c r="H22" t="s">
        <v>2216</v>
      </c>
      <c r="I22" t="s">
        <v>2217</v>
      </c>
      <c r="J22" t="s">
        <v>2218</v>
      </c>
      <c r="K22" t="s">
        <v>2219</v>
      </c>
      <c r="L22" t="s">
        <v>1659</v>
      </c>
      <c r="M22" t="s">
        <v>2220</v>
      </c>
      <c r="N22" t="s">
        <v>2221</v>
      </c>
      <c r="O22" t="s">
        <v>2222</v>
      </c>
      <c r="P22" t="s">
        <v>2215</v>
      </c>
      <c r="Q22" t="s">
        <v>2223</v>
      </c>
      <c r="U22" s="6" t="s">
        <v>96</v>
      </c>
      <c r="V22">
        <f>Início!K17</f>
        <v>1152</v>
      </c>
      <c r="W22" s="239">
        <f t="shared" ref="W22:W33" ca="1" si="6">(V22*$B$307/(1-(IFERROR(INDEX($I$307:$L$307,MATCH(V22-0.01,$I$306:$K$306,1)+1),$I$307)+$G$307+$H$307)))+IFERROR(INDEX($M$307:$AS$307,MATCH(V22-0.001,$M$306:$AR$306,1)+1),$M$307)</f>
        <v>1368.5187090406632</v>
      </c>
    </row>
    <row r="23" spans="1:27">
      <c r="A23">
        <f ca="1">OFFSET(Resumo!F38,,$C$17-1)</f>
        <v>1152</v>
      </c>
      <c r="B23" s="1" t="s">
        <v>96</v>
      </c>
      <c r="C23">
        <f ca="1">A23*(1+$C$19)+$C$20+Simulação!P20</f>
        <v>1202.6880000000001</v>
      </c>
      <c r="D23" s="14">
        <f t="shared" ref="D23:D36" ca="1" si="7">C23*$B$307</f>
        <v>1038.276942336</v>
      </c>
      <c r="E23" s="14">
        <f t="shared" ref="E23:E34" ca="1" si="8">(C23*$B$307/(1-(IFERROR(INDEX($I$307:$L$307,MATCH(C23-0.01,$I$306:$K$306,1)+1),$I$307)+$G$307+$H$307)))</f>
        <v>1366.3336522384525</v>
      </c>
      <c r="F23" s="14">
        <f t="shared" ref="F23:F34" ca="1" si="9">IFERROR(INDEX($M$307:$AS$307,MATCH(C23-0.001,$M$306:$AR$306,1)+1),$M$307)</f>
        <v>59.77</v>
      </c>
      <c r="G23" s="14">
        <f t="shared" ref="G23:G34" ca="1" si="10">E23+F23</f>
        <v>1426.1036522384525</v>
      </c>
      <c r="H23" s="17">
        <f ca="1">OFFSET(P4,1,Resumo!$E$103-1)</f>
        <v>1092.4850466817879</v>
      </c>
      <c r="I23" s="17">
        <f ca="1">MIN(C23*Resumo!$E$362,H23)</f>
        <v>360.8064</v>
      </c>
      <c r="J23" s="17">
        <f t="shared" ref="J23:J34" ca="1" si="11">C23-I23</f>
        <v>841.88160000000016</v>
      </c>
      <c r="K23" s="17">
        <f t="shared" ref="K23:K34" ca="1" si="12">IF(H23&lt;I23,0,H23-I23)</f>
        <v>731.678646681788</v>
      </c>
      <c r="L23" s="17">
        <f t="shared" ref="L23:L34" ca="1" si="13">J23-K23</f>
        <v>110.20295331821217</v>
      </c>
      <c r="M23">
        <f ca="1">IF(($J$23-$K$23)&lt;$C$8,$K$23-MAX($J$23-$C$8,0)+0,IF((($J$23-$K$23)-$C$8)&lt;0,0-(($J$23-$K$23)-$C$8),0))</f>
        <v>0</v>
      </c>
      <c r="N23" s="17">
        <f ca="1">IF((J23-K23)&lt;$C$8,MAX(J23-$C$8,0),IF(0-(J23-K23-$C$8)&lt;0,0+K23,J23-$C$8))</f>
        <v>731.678646681788</v>
      </c>
      <c r="O23" s="13">
        <f t="shared" ref="O23:O34" ca="1" si="14">IF($C$2="Sim",0,N23*($C$307+$D$307)/(1-(IFERROR(INDEX($I$307:$L$307,MATCH(J23-0.01,$I$306:$K$306,1)+1),$I$307)+$G$307+$H$307))-N23*($C$307/(1-($G$307+$H$307))+$D$307/(1-(IFERROR(INDEX($I$307:$L$307,MATCH(J23-0.01,$I$306:$K$306,1)+1),$I$307)+$G$307+$H$307))))+IF(N23&lt;J23,(J23-N23)*$B$307/(1-(IFERROR(INDEX($I$307:$L$307,MATCH(J23-0.01,$I$306:$K$306,1)+1),$I$307)+$G$307+$H$307)),0)+IF((J23-N23)&gt;$C$8,0,($C$8-(J23-N23))*$B$307/(1-(IFERROR(INDEX($I$307:$L$307,MATCH(J23-0.01,$I$306:$K$306,1)+1),$I$307)+$G$307+$H$307)))</f>
        <v>216.88672104894337</v>
      </c>
      <c r="P23" s="14">
        <f t="shared" ref="P23:P34" ca="1" si="15">IFERROR(INDEX($M$307:$AS$307,MATCH(J23-0.001,$M$306:$AR$306,1)+1),$M$307)</f>
        <v>31.86</v>
      </c>
      <c r="Q23" s="14">
        <f t="shared" ref="Q23:Q34" ca="1" si="16">O23+P23</f>
        <v>248.74672104894336</v>
      </c>
      <c r="U23" s="6" t="s">
        <v>98</v>
      </c>
      <c r="V23">
        <f>Início!K18</f>
        <v>1152</v>
      </c>
      <c r="W23" s="239">
        <f t="shared" ca="1" si="6"/>
        <v>1368.5187090406632</v>
      </c>
    </row>
    <row r="24" spans="1:27">
      <c r="A24">
        <f ca="1">OFFSET(Resumo!F39,,$C$17-1)</f>
        <v>1152</v>
      </c>
      <c r="B24" s="1" t="s">
        <v>98</v>
      </c>
      <c r="C24">
        <f ca="1">A24*(1+$C$19)+$C$20+Simulação!P21</f>
        <v>1202.6880000000001</v>
      </c>
      <c r="D24" s="14">
        <f t="shared" ca="1" si="7"/>
        <v>1038.276942336</v>
      </c>
      <c r="E24" s="14">
        <f t="shared" ca="1" si="8"/>
        <v>1366.3336522384525</v>
      </c>
      <c r="F24" s="14">
        <f t="shared" ca="1" si="9"/>
        <v>59.77</v>
      </c>
      <c r="G24" s="14">
        <f t="shared" ca="1" si="10"/>
        <v>1426.1036522384525</v>
      </c>
      <c r="H24" s="17">
        <f ca="1">OFFSET(P5,1,Resumo!$E$103-1)</f>
        <v>1060.3730911359264</v>
      </c>
      <c r="I24" s="17">
        <f ca="1">MIN(C24*Resumo!$E$362,H24)</f>
        <v>360.8064</v>
      </c>
      <c r="J24" s="17">
        <f t="shared" ca="1" si="11"/>
        <v>841.88160000000016</v>
      </c>
      <c r="K24" s="17">
        <f t="shared" ca="1" si="12"/>
        <v>699.56669113592648</v>
      </c>
      <c r="L24" s="17">
        <f t="shared" ca="1" si="13"/>
        <v>142.31490886407369</v>
      </c>
      <c r="M24">
        <f t="shared" ref="M24:M34" ca="1" si="17">IF((J24-K24)&lt;$C$8,K24-MAX(J24-$C$8,0)+M23,IF(((J24-K24)-$C$8)&lt;M23,M23-((J24-K24)-$C$8),0))</f>
        <v>0</v>
      </c>
      <c r="N24" s="17">
        <f t="shared" ref="N24:N34" ca="1" si="18">IF((J24-K24)&lt;$C$8,MAX(J24-$C$8,0),IF(M23-(J24-K24-$C$8)&lt;0,M23+K24,J24-$C$8))</f>
        <v>699.56669113592648</v>
      </c>
      <c r="O24" s="13">
        <f t="shared" ca="1" si="14"/>
        <v>249.3439961299313</v>
      </c>
      <c r="P24" s="14">
        <f t="shared" ca="1" si="15"/>
        <v>31.86</v>
      </c>
      <c r="Q24" s="14">
        <f t="shared" ca="1" si="16"/>
        <v>281.20399612993128</v>
      </c>
      <c r="U24" s="243" t="s">
        <v>99</v>
      </c>
      <c r="V24">
        <f>Início!K19</f>
        <v>960</v>
      </c>
      <c r="W24" s="239">
        <f t="shared" ca="1" si="6"/>
        <v>1122.4839242005526</v>
      </c>
    </row>
    <row r="25" spans="1:27">
      <c r="A25">
        <f ca="1">OFFSET(Resumo!F40,,$C$17-1)</f>
        <v>960</v>
      </c>
      <c r="B25" s="1" t="s">
        <v>99</v>
      </c>
      <c r="C25">
        <f ca="1">A25*(1+$C$19)+$C$20+Simulação!P22</f>
        <v>1002.24</v>
      </c>
      <c r="D25" s="14">
        <f t="shared" ca="1" si="7"/>
        <v>865.23078527999996</v>
      </c>
      <c r="E25" s="14">
        <f t="shared" ca="1" si="8"/>
        <v>1138.611376865377</v>
      </c>
      <c r="F25" s="14">
        <f t="shared" ca="1" si="9"/>
        <v>59.77</v>
      </c>
      <c r="G25" s="14">
        <f t="shared" ca="1" si="10"/>
        <v>1198.381376865377</v>
      </c>
      <c r="H25" s="17">
        <f ca="1">OFFSET(P6,1,Resumo!$E$103-1)</f>
        <v>923.26314583481292</v>
      </c>
      <c r="I25" s="17">
        <f ca="1">MIN(C25*Resumo!$E$362,H25)</f>
        <v>300.67199999999997</v>
      </c>
      <c r="J25" s="17">
        <f t="shared" ca="1" si="11"/>
        <v>701.56799999999998</v>
      </c>
      <c r="K25" s="17">
        <f t="shared" ca="1" si="12"/>
        <v>622.59114583481301</v>
      </c>
      <c r="L25" s="17">
        <f t="shared" ca="1" si="13"/>
        <v>78.976854165186978</v>
      </c>
      <c r="M25">
        <f t="shared" ca="1" si="17"/>
        <v>21.023145834813022</v>
      </c>
      <c r="N25" s="17">
        <f t="shared" ca="1" si="18"/>
        <v>601.56799999999998</v>
      </c>
      <c r="O25" s="13">
        <f t="shared" ca="1" si="14"/>
        <v>188.99093448083815</v>
      </c>
      <c r="P25" s="14">
        <f t="shared" ca="1" si="15"/>
        <v>31.86</v>
      </c>
      <c r="Q25" s="14">
        <f t="shared" ca="1" si="16"/>
        <v>220.85093448083813</v>
      </c>
      <c r="U25" s="243" t="s">
        <v>103</v>
      </c>
      <c r="V25">
        <f>Início!K20</f>
        <v>864</v>
      </c>
      <c r="W25" s="239">
        <f t="shared" ca="1" si="6"/>
        <v>1013.4215317804974</v>
      </c>
    </row>
    <row r="26" spans="1:27">
      <c r="A26">
        <f ca="1">OFFSET(Resumo!F41,,$C$17-1)</f>
        <v>864</v>
      </c>
      <c r="B26" s="1" t="s">
        <v>103</v>
      </c>
      <c r="C26">
        <f ca="1">A26*(1+$C$19)+$C$20+Simulação!P23</f>
        <v>902.01600000000008</v>
      </c>
      <c r="D26" s="14">
        <f t="shared" ca="1" si="7"/>
        <v>778.70770675200004</v>
      </c>
      <c r="E26" s="14">
        <f t="shared" ca="1" si="8"/>
        <v>1024.7502391788394</v>
      </c>
      <c r="F26" s="14">
        <f t="shared" ca="1" si="9"/>
        <v>31.86</v>
      </c>
      <c r="G26" s="14">
        <f t="shared" ca="1" si="10"/>
        <v>1056.6102391788393</v>
      </c>
      <c r="H26" s="17">
        <f ca="1">OFFSET(P7,1,Resumo!$E$103-1)</f>
        <v>786.68051526918066</v>
      </c>
      <c r="I26" s="17">
        <f ca="1">MIN(C26*Resumo!$E$362,H26)</f>
        <v>270.60480000000001</v>
      </c>
      <c r="J26" s="17">
        <f t="shared" ca="1" si="11"/>
        <v>631.41120000000001</v>
      </c>
      <c r="K26" s="17">
        <f t="shared" ca="1" si="12"/>
        <v>516.07571526918059</v>
      </c>
      <c r="L26" s="17">
        <f t="shared" ca="1" si="13"/>
        <v>115.33548473081942</v>
      </c>
      <c r="M26">
        <f t="shared" ca="1" si="17"/>
        <v>5.6876611039936051</v>
      </c>
      <c r="N26" s="17">
        <f t="shared" ca="1" si="18"/>
        <v>531.41120000000001</v>
      </c>
      <c r="O26" s="13">
        <f t="shared" ca="1" si="14"/>
        <v>180.19937716042281</v>
      </c>
      <c r="P26" s="14">
        <f t="shared" ca="1" si="15"/>
        <v>31.86</v>
      </c>
      <c r="Q26" s="14">
        <f t="shared" ca="1" si="16"/>
        <v>212.0593771604228</v>
      </c>
      <c r="U26" s="243" t="s">
        <v>106</v>
      </c>
      <c r="V26">
        <f>Início!K21</f>
        <v>672</v>
      </c>
      <c r="W26" s="239">
        <f t="shared" ca="1" si="6"/>
        <v>795.29674694038692</v>
      </c>
    </row>
    <row r="27" spans="1:27">
      <c r="A27">
        <f ca="1">OFFSET(Resumo!F42,,$C$17-1)</f>
        <v>672</v>
      </c>
      <c r="B27" s="1" t="s">
        <v>106</v>
      </c>
      <c r="C27">
        <f ca="1">A27*(1+$C$19)+$C$20+Simulação!P24</f>
        <v>701.56799999999998</v>
      </c>
      <c r="D27" s="14">
        <f t="shared" ca="1" si="7"/>
        <v>605.66154969599995</v>
      </c>
      <c r="E27" s="14">
        <f t="shared" ca="1" si="8"/>
        <v>797.02796380576387</v>
      </c>
      <c r="F27" s="14">
        <f t="shared" ca="1" si="9"/>
        <v>31.86</v>
      </c>
      <c r="G27" s="14">
        <f t="shared" ca="1" si="10"/>
        <v>828.88796380576389</v>
      </c>
      <c r="H27" s="17">
        <f ca="1">OFFSET(P8,1,Resumo!$E$103-1)</f>
        <v>653.3252447358276</v>
      </c>
      <c r="I27" s="17">
        <f ca="1">MIN(C27*Resumo!$E$362,H27)</f>
        <v>210.47039999999998</v>
      </c>
      <c r="J27" s="17">
        <f t="shared" ca="1" si="11"/>
        <v>491.0976</v>
      </c>
      <c r="K27" s="17">
        <f t="shared" ca="1" si="12"/>
        <v>442.85484473582761</v>
      </c>
      <c r="L27" s="17">
        <f t="shared" ca="1" si="13"/>
        <v>48.242755264172388</v>
      </c>
      <c r="M27">
        <f t="shared" ca="1" si="17"/>
        <v>57.444905839821217</v>
      </c>
      <c r="N27" s="17">
        <f t="shared" ca="1" si="18"/>
        <v>391.0976</v>
      </c>
      <c r="O27" s="13">
        <f t="shared" ca="1" si="14"/>
        <v>162.61626251959214</v>
      </c>
      <c r="P27" s="14">
        <f t="shared" ca="1" si="15"/>
        <v>23.45</v>
      </c>
      <c r="Q27" s="14">
        <f t="shared" ca="1" si="16"/>
        <v>186.06626251959213</v>
      </c>
      <c r="U27" s="6" t="s">
        <v>114</v>
      </c>
      <c r="V27">
        <f>Início!K22</f>
        <v>576</v>
      </c>
      <c r="W27" s="239">
        <f t="shared" ca="1" si="6"/>
        <v>683.0243545203316</v>
      </c>
    </row>
    <row r="28" spans="1:27">
      <c r="A28">
        <f ca="1">OFFSET(Resumo!F43,,$C$17-1)</f>
        <v>576</v>
      </c>
      <c r="B28" s="1" t="s">
        <v>114</v>
      </c>
      <c r="C28">
        <f ca="1">A28*(1+$C$19)+$C$20+Simulação!P25</f>
        <v>601.34400000000005</v>
      </c>
      <c r="D28" s="14">
        <f t="shared" ca="1" si="7"/>
        <v>519.13847116800002</v>
      </c>
      <c r="E28" s="14">
        <f t="shared" ca="1" si="8"/>
        <v>683.16682611922624</v>
      </c>
      <c r="F28" s="14">
        <f t="shared" ca="1" si="9"/>
        <v>31.86</v>
      </c>
      <c r="G28" s="14">
        <f t="shared" ca="1" si="10"/>
        <v>715.02682611922626</v>
      </c>
      <c r="H28" s="17">
        <f ca="1">OFFSET(P9,1,Resumo!$E$103-1)</f>
        <v>602.15591027107496</v>
      </c>
      <c r="I28" s="17">
        <f ca="1">MIN(C28*Resumo!$E$362,H28)</f>
        <v>180.4032</v>
      </c>
      <c r="J28" s="17">
        <f t="shared" ca="1" si="11"/>
        <v>420.94080000000008</v>
      </c>
      <c r="K28" s="17">
        <f t="shared" ca="1" si="12"/>
        <v>421.75271027107499</v>
      </c>
      <c r="L28" s="17">
        <f t="shared" ca="1" si="13"/>
        <v>-0.81191027107490754</v>
      </c>
      <c r="M28">
        <f t="shared" ca="1" si="17"/>
        <v>158.25681611089612</v>
      </c>
      <c r="N28" s="17">
        <f t="shared" ca="1" si="18"/>
        <v>320.94080000000008</v>
      </c>
      <c r="O28" s="13">
        <f t="shared" ca="1" si="14"/>
        <v>153.82470519917675</v>
      </c>
      <c r="P28" s="14">
        <f t="shared" ca="1" si="15"/>
        <v>23.45</v>
      </c>
      <c r="Q28" s="14">
        <f t="shared" ca="1" si="16"/>
        <v>177.27470519917674</v>
      </c>
      <c r="U28" s="6" t="s">
        <v>119</v>
      </c>
      <c r="V28">
        <f>Início!K23</f>
        <v>576</v>
      </c>
      <c r="W28" s="239">
        <f t="shared" ca="1" si="6"/>
        <v>683.0243545203316</v>
      </c>
    </row>
    <row r="29" spans="1:27">
      <c r="A29">
        <f ca="1">OFFSET(Resumo!F44,,$C$17-1)</f>
        <v>576</v>
      </c>
      <c r="B29" s="1" t="s">
        <v>119</v>
      </c>
      <c r="C29">
        <f ca="1">A29*(1+$C$19)+$C$20+Simulação!P26</f>
        <v>601.34400000000005</v>
      </c>
      <c r="D29" s="14">
        <f t="shared" ca="1" si="7"/>
        <v>519.13847116800002</v>
      </c>
      <c r="E29" s="14">
        <f t="shared" ca="1" si="8"/>
        <v>683.16682611922624</v>
      </c>
      <c r="F29" s="14">
        <f t="shared" ca="1" si="9"/>
        <v>31.86</v>
      </c>
      <c r="G29" s="14">
        <f t="shared" ca="1" si="10"/>
        <v>715.02682611922626</v>
      </c>
      <c r="H29" s="17">
        <f ca="1">OFFSET(P10,1,Resumo!$E$103-1)</f>
        <v>606.01090708084621</v>
      </c>
      <c r="I29" s="17">
        <f ca="1">MIN(C29*Resumo!$E$362,H29)</f>
        <v>180.4032</v>
      </c>
      <c r="J29" s="17">
        <f t="shared" ca="1" si="11"/>
        <v>420.94080000000008</v>
      </c>
      <c r="K29" s="17">
        <f t="shared" ca="1" si="12"/>
        <v>425.60770708084624</v>
      </c>
      <c r="L29" s="17">
        <f t="shared" ca="1" si="13"/>
        <v>-4.6669070808461584</v>
      </c>
      <c r="M29">
        <f t="shared" ca="1" si="17"/>
        <v>262.92372319174228</v>
      </c>
      <c r="N29" s="17">
        <f t="shared" ca="1" si="18"/>
        <v>320.94080000000008</v>
      </c>
      <c r="O29" s="13">
        <f t="shared" ca="1" si="14"/>
        <v>153.82470519917675</v>
      </c>
      <c r="P29" s="14">
        <f t="shared" ca="1" si="15"/>
        <v>23.45</v>
      </c>
      <c r="Q29" s="14">
        <f t="shared" ca="1" si="16"/>
        <v>177.27470519917674</v>
      </c>
      <c r="U29" s="6" t="s">
        <v>122</v>
      </c>
      <c r="V29">
        <f>Início!K24</f>
        <v>672</v>
      </c>
      <c r="W29" s="239">
        <f t="shared" ca="1" si="6"/>
        <v>795.29674694038692</v>
      </c>
    </row>
    <row r="30" spans="1:27">
      <c r="A30">
        <f ca="1">OFFSET(Resumo!F45,,$C$17-1)</f>
        <v>672</v>
      </c>
      <c r="B30" s="1" t="s">
        <v>122</v>
      </c>
      <c r="C30">
        <f ca="1">A30*(1+$C$19)+$C$20+Simulação!P27</f>
        <v>701.56799999999998</v>
      </c>
      <c r="D30" s="14">
        <f t="shared" ca="1" si="7"/>
        <v>605.66154969599995</v>
      </c>
      <c r="E30" s="14">
        <f t="shared" ca="1" si="8"/>
        <v>797.02796380576387</v>
      </c>
      <c r="F30" s="14">
        <f t="shared" ca="1" si="9"/>
        <v>31.86</v>
      </c>
      <c r="G30" s="14">
        <f t="shared" ca="1" si="10"/>
        <v>828.88796380576389</v>
      </c>
      <c r="H30" s="17">
        <f ca="1">OFFSET(P11,1,Resumo!$E$103-1)</f>
        <v>780.82585297421963</v>
      </c>
      <c r="I30" s="17">
        <f ca="1">MIN(C30*Resumo!$E$362,H30)</f>
        <v>210.47039999999998</v>
      </c>
      <c r="J30" s="17">
        <f t="shared" ca="1" si="11"/>
        <v>491.0976</v>
      </c>
      <c r="K30" s="17">
        <f t="shared" ca="1" si="12"/>
        <v>570.35545297421959</v>
      </c>
      <c r="L30" s="17">
        <f t="shared" ca="1" si="13"/>
        <v>-79.257852974219588</v>
      </c>
      <c r="M30">
        <f t="shared" ca="1" si="17"/>
        <v>442.18157616596187</v>
      </c>
      <c r="N30" s="17">
        <f t="shared" ca="1" si="18"/>
        <v>391.0976</v>
      </c>
      <c r="O30" s="13">
        <f t="shared" ca="1" si="14"/>
        <v>162.61626251959214</v>
      </c>
      <c r="P30" s="14">
        <f t="shared" ca="1" si="15"/>
        <v>23.45</v>
      </c>
      <c r="Q30" s="14">
        <f t="shared" ca="1" si="16"/>
        <v>186.06626251959213</v>
      </c>
      <c r="U30" s="6" t="s">
        <v>123</v>
      </c>
      <c r="V30">
        <f>Início!K25</f>
        <v>672</v>
      </c>
      <c r="W30" s="239">
        <f t="shared" ca="1" si="6"/>
        <v>795.29674694038692</v>
      </c>
    </row>
    <row r="31" spans="1:27">
      <c r="A31">
        <f ca="1">OFFSET(Resumo!F46,,$C$17-1)</f>
        <v>672</v>
      </c>
      <c r="B31" s="1" t="s">
        <v>123</v>
      </c>
      <c r="C31">
        <f ca="1">A31*(1+$C$19)+$C$20+Simulação!P28</f>
        <v>701.56799999999998</v>
      </c>
      <c r="D31" s="14">
        <f t="shared" ca="1" si="7"/>
        <v>605.66154969599995</v>
      </c>
      <c r="E31" s="14">
        <f t="shared" ca="1" si="8"/>
        <v>797.02796380576387</v>
      </c>
      <c r="F31" s="14">
        <f t="shared" ca="1" si="9"/>
        <v>31.86</v>
      </c>
      <c r="G31" s="14">
        <f t="shared" ca="1" si="10"/>
        <v>828.88796380576389</v>
      </c>
      <c r="H31" s="17">
        <f ca="1">OFFSET(P12,1,Resumo!$E$103-1)</f>
        <v>770.67997402833282</v>
      </c>
      <c r="I31" s="17">
        <f ca="1">MIN(C31*Resumo!$E$362,H31)</f>
        <v>210.47039999999998</v>
      </c>
      <c r="J31" s="17">
        <f t="shared" ca="1" si="11"/>
        <v>491.0976</v>
      </c>
      <c r="K31" s="17">
        <f t="shared" ca="1" si="12"/>
        <v>560.20957402833278</v>
      </c>
      <c r="L31" s="17">
        <f t="shared" ca="1" si="13"/>
        <v>-69.111974028332781</v>
      </c>
      <c r="M31">
        <f t="shared" ca="1" si="17"/>
        <v>611.29355019429465</v>
      </c>
      <c r="N31" s="17">
        <f t="shared" ca="1" si="18"/>
        <v>391.0976</v>
      </c>
      <c r="O31" s="13">
        <f t="shared" ca="1" si="14"/>
        <v>162.61626251959214</v>
      </c>
      <c r="P31" s="14">
        <f t="shared" ca="1" si="15"/>
        <v>23.45</v>
      </c>
      <c r="Q31" s="14">
        <f t="shared" ca="1" si="16"/>
        <v>186.06626251959213</v>
      </c>
      <c r="U31" s="6" t="s">
        <v>124</v>
      </c>
      <c r="V31">
        <f>Início!K26</f>
        <v>672</v>
      </c>
      <c r="W31" s="239">
        <f t="shared" ca="1" si="6"/>
        <v>795.29674694038692</v>
      </c>
    </row>
    <row r="32" spans="1:27">
      <c r="A32">
        <f ca="1">OFFSET(Resumo!F47,,$C$17-1)</f>
        <v>672</v>
      </c>
      <c r="B32" s="1" t="s">
        <v>124</v>
      </c>
      <c r="C32">
        <f ca="1">A32*(1+$C$19)+$C$20+Simulação!P29</f>
        <v>701.56799999999998</v>
      </c>
      <c r="D32" s="14">
        <f t="shared" ca="1" si="7"/>
        <v>605.66154969599995</v>
      </c>
      <c r="E32" s="14">
        <f t="shared" ca="1" si="8"/>
        <v>797.02796380576387</v>
      </c>
      <c r="F32" s="14">
        <f t="shared" ca="1" si="9"/>
        <v>31.86</v>
      </c>
      <c r="G32" s="14">
        <f t="shared" ca="1" si="10"/>
        <v>828.88796380576389</v>
      </c>
      <c r="H32" s="17">
        <f ca="1">OFFSET(P13,1,Resumo!$E$103-1)</f>
        <v>924.4378601947667</v>
      </c>
      <c r="I32" s="17">
        <f ca="1">MIN(C32*Resumo!$E$362,H32)</f>
        <v>210.47039999999998</v>
      </c>
      <c r="J32" s="17">
        <f t="shared" ca="1" si="11"/>
        <v>491.0976</v>
      </c>
      <c r="K32" s="17">
        <f t="shared" ca="1" si="12"/>
        <v>713.96746019476677</v>
      </c>
      <c r="L32" s="17">
        <f t="shared" ca="1" si="13"/>
        <v>-222.86986019476677</v>
      </c>
      <c r="M32">
        <f t="shared" ca="1" si="17"/>
        <v>934.16341038906148</v>
      </c>
      <c r="N32" s="17">
        <f t="shared" ca="1" si="18"/>
        <v>391.0976</v>
      </c>
      <c r="O32" s="13">
        <f t="shared" ca="1" si="14"/>
        <v>162.61626251959214</v>
      </c>
      <c r="P32" s="14">
        <f t="shared" ca="1" si="15"/>
        <v>23.45</v>
      </c>
      <c r="Q32" s="14">
        <f t="shared" ca="1" si="16"/>
        <v>186.06626251959213</v>
      </c>
      <c r="U32" s="6" t="s">
        <v>125</v>
      </c>
      <c r="V32">
        <f>Início!K27</f>
        <v>768</v>
      </c>
      <c r="W32" s="239">
        <f t="shared" ca="1" si="6"/>
        <v>904.3591393604421</v>
      </c>
    </row>
    <row r="33" spans="1:23">
      <c r="A33">
        <f ca="1">OFFSET(Resumo!F48,,$C$17-1)</f>
        <v>768</v>
      </c>
      <c r="B33" s="1" t="s">
        <v>125</v>
      </c>
      <c r="C33">
        <f ca="1">A33*(1+$C$19)+$C$20+Simulação!P30</f>
        <v>801.79200000000003</v>
      </c>
      <c r="D33" s="14">
        <f t="shared" ca="1" si="7"/>
        <v>692.18462822399999</v>
      </c>
      <c r="E33" s="14">
        <f t="shared" ca="1" si="8"/>
        <v>910.88910149230162</v>
      </c>
      <c r="F33" s="14">
        <f t="shared" ca="1" si="9"/>
        <v>31.86</v>
      </c>
      <c r="G33" s="14">
        <f t="shared" ca="1" si="10"/>
        <v>942.74910149230163</v>
      </c>
      <c r="H33" s="17">
        <f ca="1">OFFSET(P14,1,Resumo!$E$103-1)</f>
        <v>926.08017262306612</v>
      </c>
      <c r="I33" s="17">
        <f ca="1">MIN(C33*Resumo!$E$362,H33)</f>
        <v>240.5376</v>
      </c>
      <c r="J33" s="17">
        <f t="shared" ca="1" si="11"/>
        <v>561.25440000000003</v>
      </c>
      <c r="K33" s="17">
        <f t="shared" ca="1" si="12"/>
        <v>685.54257262306612</v>
      </c>
      <c r="L33" s="17">
        <f t="shared" ca="1" si="13"/>
        <v>-124.28817262306609</v>
      </c>
      <c r="M33">
        <f t="shared" ca="1" si="17"/>
        <v>1158.4515830121277</v>
      </c>
      <c r="N33" s="17">
        <f t="shared" ca="1" si="18"/>
        <v>461.25440000000003</v>
      </c>
      <c r="O33" s="13">
        <f t="shared" ca="1" si="14"/>
        <v>171.40781984000753</v>
      </c>
      <c r="P33" s="14">
        <f t="shared" ca="1" si="15"/>
        <v>28.65</v>
      </c>
      <c r="Q33" s="14">
        <f t="shared" ca="1" si="16"/>
        <v>200.05781984000754</v>
      </c>
      <c r="U33" s="6" t="s">
        <v>126</v>
      </c>
      <c r="V33">
        <f>Início!K28</f>
        <v>960</v>
      </c>
      <c r="W33" s="239">
        <f t="shared" ca="1" si="6"/>
        <v>1122.4839242005526</v>
      </c>
    </row>
    <row r="34" spans="1:23">
      <c r="A34">
        <f ca="1">OFFSET(Resumo!F49,,$C$17-1)</f>
        <v>960</v>
      </c>
      <c r="B34" s="1" t="s">
        <v>126</v>
      </c>
      <c r="C34">
        <f ca="1">A34*(1+$C$19)+$C$20+Simulação!P31</f>
        <v>1002.24</v>
      </c>
      <c r="D34" s="14">
        <f t="shared" ca="1" si="7"/>
        <v>865.23078527999996</v>
      </c>
      <c r="E34" s="14">
        <f t="shared" ca="1" si="8"/>
        <v>1138.611376865377</v>
      </c>
      <c r="F34" s="14">
        <f t="shared" ca="1" si="9"/>
        <v>59.77</v>
      </c>
      <c r="G34" s="14">
        <f t="shared" ca="1" si="10"/>
        <v>1198.381376865377</v>
      </c>
      <c r="H34" s="17">
        <f ca="1">OFFSET(P15,1,Resumo!$E$103-1)</f>
        <v>1097.5655202051475</v>
      </c>
      <c r="I34" s="17">
        <f ca="1">MIN(C34*Resumo!$E$362,H34)</f>
        <v>300.67199999999997</v>
      </c>
      <c r="J34" s="17">
        <f t="shared" ca="1" si="11"/>
        <v>701.56799999999998</v>
      </c>
      <c r="K34" s="17">
        <f t="shared" ca="1" si="12"/>
        <v>796.89352020514752</v>
      </c>
      <c r="L34" s="17">
        <f t="shared" ca="1" si="13"/>
        <v>-95.325520205147541</v>
      </c>
      <c r="M34">
        <f t="shared" ca="1" si="17"/>
        <v>1353.7771032172752</v>
      </c>
      <c r="N34" s="17">
        <f t="shared" ca="1" si="18"/>
        <v>601.56799999999998</v>
      </c>
      <c r="O34" s="13">
        <f t="shared" ca="1" si="14"/>
        <v>188.99093448083815</v>
      </c>
      <c r="P34" s="14">
        <f t="shared" ca="1" si="15"/>
        <v>31.86</v>
      </c>
      <c r="Q34" s="14">
        <f t="shared" ca="1" si="16"/>
        <v>220.85093448083813</v>
      </c>
      <c r="R34" t="s">
        <v>2224</v>
      </c>
      <c r="U34" s="6"/>
      <c r="V34" s="17">
        <f>AVERAGE(V22:V33)</f>
        <v>808</v>
      </c>
      <c r="W34" s="239">
        <f ca="1">AVERAGE(W22:W33)</f>
        <v>953.91846953546508</v>
      </c>
    </row>
    <row r="35" spans="1:23">
      <c r="A35">
        <f ca="1">OFFSET(Resumo!F50,,$C$17-1)</f>
        <v>808</v>
      </c>
      <c r="B35" s="1" t="s">
        <v>2225</v>
      </c>
      <c r="C35" s="17">
        <f ca="1">AVERAGE(C23:C34)</f>
        <v>843.55200000000002</v>
      </c>
      <c r="D35" s="14">
        <f t="shared" ca="1" si="7"/>
        <v>728.23591094400001</v>
      </c>
      <c r="E35" s="14"/>
      <c r="F35" s="14"/>
      <c r="G35" s="14">
        <f ca="1">AVERAGE(G23:G34)</f>
        <v>999.49457552835895</v>
      </c>
      <c r="H35" s="17">
        <f ca="1">AVERAGE(H23:H34)</f>
        <v>851.9902700862491</v>
      </c>
      <c r="P35" s="14"/>
      <c r="Q35" s="14">
        <f ca="1">AVERAGE(Q23:Q34)</f>
        <v>206.88202030147525</v>
      </c>
      <c r="R35" s="14">
        <f ca="1">Resumo!$E$380</f>
        <v>190.3498353829211</v>
      </c>
      <c r="U35" s="8"/>
      <c r="V35" s="2">
        <f>SUM(V22:V33)</f>
        <v>9696</v>
      </c>
      <c r="W35" s="244">
        <f ca="1">SUM(W22:W33)</f>
        <v>11447.02163442558</v>
      </c>
    </row>
    <row r="36" spans="1:23">
      <c r="B36" s="1" t="s">
        <v>2226</v>
      </c>
      <c r="C36">
        <f ca="1">SUM(C23:C34)</f>
        <v>10122.624</v>
      </c>
      <c r="D36" s="14">
        <f t="shared" ca="1" si="7"/>
        <v>8738.8309313279988</v>
      </c>
      <c r="E36" s="14"/>
      <c r="F36" s="14"/>
      <c r="G36" s="14">
        <f ca="1">SUM(G23:G34)</f>
        <v>11993.934906340308</v>
      </c>
      <c r="H36" s="17">
        <f ca="1">SUM(H23:H34)</f>
        <v>10223.88324103499</v>
      </c>
      <c r="Q36" s="14">
        <f ca="1">SUM(Q23:Q34)</f>
        <v>2482.5842436177031</v>
      </c>
    </row>
    <row r="37" spans="1:23">
      <c r="B37" s="1"/>
    </row>
    <row r="38" spans="1:23">
      <c r="B38" s="1" t="s">
        <v>2227</v>
      </c>
    </row>
    <row r="39" spans="1:23">
      <c r="B39" s="1"/>
    </row>
    <row r="40" spans="1:23">
      <c r="B40" s="1"/>
      <c r="D40" t="s">
        <v>2228</v>
      </c>
    </row>
    <row r="41" spans="1:23">
      <c r="B41" s="1"/>
      <c r="O41" s="18"/>
    </row>
    <row r="42" spans="1:23">
      <c r="B42" s="1"/>
    </row>
    <row r="43" spans="1:23" ht="27" customHeight="1">
      <c r="A43" t="s">
        <v>2229</v>
      </c>
      <c r="B43" t="s">
        <v>2212</v>
      </c>
      <c r="C43" t="s">
        <v>2209</v>
      </c>
      <c r="D43" t="s">
        <v>2230</v>
      </c>
      <c r="E43" s="10" t="s">
        <v>2216</v>
      </c>
      <c r="F43" s="10" t="s">
        <v>2217</v>
      </c>
      <c r="G43" s="10" t="s">
        <v>2218</v>
      </c>
      <c r="H43" s="10" t="s">
        <v>2219</v>
      </c>
      <c r="I43" s="425" t="s">
        <v>2220</v>
      </c>
      <c r="J43" s="425" t="s">
        <v>2231</v>
      </c>
      <c r="K43" s="425" t="s">
        <v>2232</v>
      </c>
      <c r="L43" s="426" t="s">
        <v>2233</v>
      </c>
      <c r="M43" s="426" t="s">
        <v>2234</v>
      </c>
      <c r="N43" s="426" t="s">
        <v>2235</v>
      </c>
      <c r="O43" s="426" t="s">
        <v>2236</v>
      </c>
      <c r="P43" t="s">
        <v>2237</v>
      </c>
      <c r="Q43" s="10" t="s">
        <v>1804</v>
      </c>
      <c r="R43" s="121" t="s">
        <v>2238</v>
      </c>
    </row>
    <row r="44" spans="1:23">
      <c r="A44">
        <v>0</v>
      </c>
      <c r="B44" s="1"/>
      <c r="C44">
        <v>0</v>
      </c>
      <c r="D44" s="14">
        <f ca="1">((C44*$B$307/(1-(IFERROR(INDEX($I$307:$L$307,MATCH(C44-0.01,$I$306:$K$306,1)+1),$I$307)+$G$307+$H$307)))+IFERROR(INDEX($M$307:$AS$307,MATCH(C44-0.001,$M$306:$AR$306,1)+1),$M$307))*((1+$C$10)^(A44-1))</f>
        <v>0</v>
      </c>
      <c r="E44" s="17">
        <v>0</v>
      </c>
      <c r="F44" s="17">
        <f t="shared" ref="F44" si="19">MIN(C44*$A$9,E44)</f>
        <v>0</v>
      </c>
      <c r="G44" s="17">
        <f t="shared" ref="G44" si="20">C44-F44</f>
        <v>0</v>
      </c>
      <c r="H44" s="17">
        <f t="shared" ref="H44" si="21">IF(E44&lt;F44,0,E44-F44)</f>
        <v>0</v>
      </c>
      <c r="I44">
        <v>0</v>
      </c>
      <c r="J44" s="17">
        <f>H44</f>
        <v>0</v>
      </c>
      <c r="K44" s="17">
        <v>0</v>
      </c>
      <c r="L44" s="17">
        <v>0</v>
      </c>
      <c r="M44" s="17">
        <v>0</v>
      </c>
      <c r="N44" s="17">
        <v>0</v>
      </c>
      <c r="O44" s="17">
        <v>0</v>
      </c>
      <c r="P44" s="13">
        <f>balanco_geracao_consumo[[#This Row],[Tarifa 14.300]]</f>
        <v>0</v>
      </c>
      <c r="Q44" s="17">
        <f t="shared" ref="Q44:Q75" ca="1" si="22">D44-P44</f>
        <v>0</v>
      </c>
      <c r="R44" s="17">
        <f>-$C$5</f>
        <v>-23440</v>
      </c>
    </row>
    <row r="45" spans="1:23">
      <c r="A45">
        <v>1</v>
      </c>
      <c r="B45" s="1" t="s">
        <v>96</v>
      </c>
      <c r="C45">
        <f ca="1">$C$23</f>
        <v>1202.6880000000001</v>
      </c>
      <c r="D45" s="14">
        <f ca="1">(IF(balanco_geracao_consumo[[#This Row],[Consumido da rede]]&lt;$C$8,($C$8*$B$307/(1-(IFERROR(INDEX($I$307:$L$307,MATCH(balanco_geracao_consumo[[#This Row],[Consumido da rede]]-0.01,$I$306:$K$306,1)+1),$I$307)+$G$307+$H$307))),(C45*$B$307/(1-(IFERROR(INDEX($I$307:$L$307,MATCH(C45-0.01,$I$306:$K$306,1)+1),$I$307)+$G$307+$H$307))))+IFERROR(INDEX($M$307:$AS$307,MATCH(C45-0.001,$M$306:$AR$306,1)+1),$M$307))*((1+$C$10)^(A45-1))</f>
        <v>1426.1036522384525</v>
      </c>
      <c r="E45" s="17">
        <f ca="1">$H$23*((1-$C$12)^(A45-1))</f>
        <v>1092.4850466817879</v>
      </c>
      <c r="F45" s="17">
        <f t="shared" ref="F45:F76" ca="1" si="23">MIN(C45*$A$9,E45)</f>
        <v>360.8064</v>
      </c>
      <c r="G45" s="17">
        <f t="shared" ref="G45:G76" ca="1" si="24">C45-F45</f>
        <v>841.88160000000016</v>
      </c>
      <c r="H45" s="17">
        <f t="shared" ref="H45:H76" ca="1" si="25">IF(E45&lt;F45,0,E45-F45)</f>
        <v>731.678646681788</v>
      </c>
      <c r="I45" s="17">
        <f ca="1">balanco_geracao_consumo[[#This Row],[Injetado na rede]]-balanco_geracao_consumo[[#This Row],[Energia Fornecida]]+I44</f>
        <v>0</v>
      </c>
      <c r="J45" s="17">
        <f t="shared" ref="J45:J76" ca="1" si="26">IF((G45-H45)&lt;$C$8,MAX(G45-$C$8,0),IF(I44-(G45-H45-$C$8)&lt;0,I44+H45,G45-$C$8))</f>
        <v>731.678646681788</v>
      </c>
      <c r="K45"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248.74672104894336</v>
      </c>
      <c r="L45" s="17">
        <f ca="1">balanco_geracao_consumo[[#This Row],[Injetado na rede]]-balanco_geracao_consumo[[#This Row],[Energia Fornecida 14.300]]+L44</f>
        <v>0</v>
      </c>
      <c r="M45" s="17">
        <f ca="1">IF(balanco_geracao_consumo[[#This Row],[Consumido da rede]]&lt;$C$8,0,IF((balanco_geracao_consumo[[#This Row],[Injetado na rede]]+L44)&gt;balanco_geracao_consumo[[#This Row],[Consumido da rede]],balanco_geracao_consumo[[#This Row],[Consumido da rede]],balanco_geracao_consumo[[#This Row],[Injetado na rede]]+L44))</f>
        <v>731.678646681788</v>
      </c>
      <c r="N45" s="17">
        <f ca="1">IFERROR(VLOOKUP(balanco_geracao_consumo[[#This Row],[Ano]],$B$321:$C$327,2,FALSE),1)*$E$307*balanco_geracao_consumo[[#This Row],[Energia Fornecida 14.300]]</f>
        <v>64.880558425721446</v>
      </c>
      <c r="O45"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313.62727947466487</v>
      </c>
      <c r="P45" s="13">
        <f ca="1">balanco_geracao_consumo[[#This Row],[Tarifa 14.300]]</f>
        <v>313.62727947466487</v>
      </c>
      <c r="Q45" s="17">
        <f t="shared" ca="1" si="22"/>
        <v>1112.4763727637876</v>
      </c>
      <c r="R45" s="17">
        <f t="shared" ref="R45:R76" ca="1" si="27">R44+Q45</f>
        <v>-22327.523627236213</v>
      </c>
    </row>
    <row r="46" spans="1:23">
      <c r="A46">
        <v>1</v>
      </c>
      <c r="B46" s="1" t="s">
        <v>98</v>
      </c>
      <c r="C46">
        <f ca="1">$C$24</f>
        <v>1202.6880000000001</v>
      </c>
      <c r="D46" s="14">
        <f ca="1">(IF(balanco_geracao_consumo[[#This Row],[Consumido da rede]]&lt;$C$8,($C$8*$B$307/(1-(IFERROR(INDEX($I$307:$L$307,MATCH(balanco_geracao_consumo[[#This Row],[Consumido da rede]]-0.01,$I$306:$K$306,1)+1),$I$307)+$G$307+$H$307))),(C46*$B$307/(1-(IFERROR(INDEX($I$307:$L$307,MATCH(C46-0.01,$I$306:$K$306,1)+1),$I$307)+$G$307+$H$307))))+IFERROR(INDEX($M$307:$AS$307,MATCH(C46-0.001,$M$306:$AR$306,1)+1),$M$307))*((1+$C$10)^(A46-1))</f>
        <v>1426.1036522384525</v>
      </c>
      <c r="E46" s="17">
        <f ca="1">$H$24*((1-$C$12)^(A46-1))</f>
        <v>1060.3730911359264</v>
      </c>
      <c r="F46" s="17">
        <f t="shared" ca="1" si="23"/>
        <v>360.8064</v>
      </c>
      <c r="G46" s="17">
        <f t="shared" ca="1" si="24"/>
        <v>841.88160000000016</v>
      </c>
      <c r="H46" s="17">
        <f t="shared" ca="1" si="25"/>
        <v>699.56669113592648</v>
      </c>
      <c r="I46" s="17">
        <f ca="1">balanco_geracao_consumo[[#This Row],[Injetado na rede]]-balanco_geracao_consumo[[#This Row],[Energia Fornecida]]+I45</f>
        <v>0</v>
      </c>
      <c r="J46" s="17">
        <f t="shared" ca="1" si="26"/>
        <v>699.56669113592648</v>
      </c>
      <c r="K46"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281.20399612993128</v>
      </c>
      <c r="L46" s="17">
        <f ca="1">balanco_geracao_consumo[[#This Row],[Injetado na rede]]-balanco_geracao_consumo[[#This Row],[Energia Fornecida 14.300]]+L45</f>
        <v>0</v>
      </c>
      <c r="M46" s="17">
        <f ca="1">IF(balanco_geracao_consumo[[#This Row],[Consumido da rede]]&lt;$C$8,0,IF((balanco_geracao_consumo[[#This Row],[Injetado na rede]]+L45)&gt;balanco_geracao_consumo[[#This Row],[Consumido da rede]],balanco_geracao_consumo[[#This Row],[Consumido da rede]],balanco_geracao_consumo[[#This Row],[Injetado na rede]]+L45))</f>
        <v>699.56669113592648</v>
      </c>
      <c r="N46" s="17">
        <f ca="1">IFERROR(VLOOKUP(balanco_geracao_consumo[[#This Row],[Ano]],$B$321:$C$327,2,FALSE),1)*$E$307*balanco_geracao_consumo[[#This Row],[Energia Fornecida 14.300]]</f>
        <v>62.033076655676652</v>
      </c>
      <c r="O46"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343.23707278560801</v>
      </c>
      <c r="P46" s="13">
        <f ca="1">balanco_geracao_consumo[[#This Row],[Tarifa 14.300]]</f>
        <v>343.23707278560801</v>
      </c>
      <c r="Q46" s="17">
        <f t="shared" ca="1" si="22"/>
        <v>1082.8665794528445</v>
      </c>
      <c r="R46" s="17">
        <f t="shared" ca="1" si="27"/>
        <v>-21244.657047783367</v>
      </c>
    </row>
    <row r="47" spans="1:23">
      <c r="A47">
        <v>1</v>
      </c>
      <c r="B47" s="1" t="s">
        <v>99</v>
      </c>
      <c r="C47">
        <f ca="1">$C$25</f>
        <v>1002.24</v>
      </c>
      <c r="D47" s="14">
        <f ca="1">(IF(balanco_geracao_consumo[[#This Row],[Consumido da rede]]&lt;$C$8,($C$8*$B$307/(1-(IFERROR(INDEX($I$307:$L$307,MATCH(balanco_geracao_consumo[[#This Row],[Consumido da rede]]-0.01,$I$306:$K$306,1)+1),$I$307)+$G$307+$H$307))),(C47*$B$307/(1-(IFERROR(INDEX($I$307:$L$307,MATCH(C47-0.01,$I$306:$K$306,1)+1),$I$307)+$G$307+$H$307))))+IFERROR(INDEX($M$307:$AS$307,MATCH(C47-0.001,$M$306:$AR$306,1)+1),$M$307))*((1+$C$10)^(A47-1))</f>
        <v>1198.381376865377</v>
      </c>
      <c r="E47" s="17">
        <f ca="1">$H$25*((1-$C$12)^(A47-1))</f>
        <v>923.26314583481292</v>
      </c>
      <c r="F47" s="17">
        <f t="shared" ca="1" si="23"/>
        <v>300.67199999999997</v>
      </c>
      <c r="G47" s="17">
        <f t="shared" ca="1" si="24"/>
        <v>701.56799999999998</v>
      </c>
      <c r="H47" s="17">
        <f t="shared" ca="1" si="25"/>
        <v>622.59114583481301</v>
      </c>
      <c r="I47" s="17">
        <f ca="1">balanco_geracao_consumo[[#This Row],[Injetado na rede]]-balanco_geracao_consumo[[#This Row],[Energia Fornecida]]+I46</f>
        <v>21.023145834813022</v>
      </c>
      <c r="J47" s="17">
        <f t="shared" ca="1" si="26"/>
        <v>601.56799999999998</v>
      </c>
      <c r="K47"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220.85093448083813</v>
      </c>
      <c r="L47" s="17">
        <f ca="1">balanco_geracao_consumo[[#This Row],[Injetado na rede]]-balanco_geracao_consumo[[#This Row],[Energia Fornecida 14.300]]+L46</f>
        <v>0</v>
      </c>
      <c r="M47" s="17">
        <f ca="1">IF(balanco_geracao_consumo[[#This Row],[Consumido da rede]]&lt;$C$8,0,IF((balanco_geracao_consumo[[#This Row],[Injetado na rede]]+L46)&gt;balanco_geracao_consumo[[#This Row],[Consumido da rede]],balanco_geracao_consumo[[#This Row],[Consumido da rede]],balanco_geracao_consumo[[#This Row],[Injetado na rede]]+L46))</f>
        <v>622.59114583481301</v>
      </c>
      <c r="N47" s="17">
        <f ca="1">IFERROR(VLOOKUP(balanco_geracao_consumo[[#This Row],[Ano]],$B$321:$C$327,2,FALSE),1)*$E$307*balanco_geracao_consumo[[#This Row],[Energia Fornecida 14.300]]</f>
        <v>55.20738017415465</v>
      </c>
      <c r="O47"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254.80909405073129</v>
      </c>
      <c r="P47" s="13">
        <f ca="1">balanco_geracao_consumo[[#This Row],[Tarifa 14.300]]</f>
        <v>254.80909405073129</v>
      </c>
      <c r="Q47" s="17">
        <f t="shared" ca="1" si="22"/>
        <v>943.57228281464563</v>
      </c>
      <c r="R47" s="17">
        <f t="shared" ca="1" si="27"/>
        <v>-20301.08476496872</v>
      </c>
    </row>
    <row r="48" spans="1:23">
      <c r="A48">
        <v>1</v>
      </c>
      <c r="B48" s="1" t="s">
        <v>103</v>
      </c>
      <c r="C48">
        <f ca="1">$C$26</f>
        <v>902.01600000000008</v>
      </c>
      <c r="D48" s="14">
        <f ca="1">(IF(balanco_geracao_consumo[[#This Row],[Consumido da rede]]&lt;$C$8,($C$8*$B$307/(1-(IFERROR(INDEX($I$307:$L$307,MATCH(balanco_geracao_consumo[[#This Row],[Consumido da rede]]-0.01,$I$306:$K$306,1)+1),$I$307)+$G$307+$H$307))),(C48*$B$307/(1-(IFERROR(INDEX($I$307:$L$307,MATCH(C48-0.01,$I$306:$K$306,1)+1),$I$307)+$G$307+$H$307))))+IFERROR(INDEX($M$307:$AS$307,MATCH(C48-0.001,$M$306:$AR$306,1)+1),$M$307))*((1+$C$10)^(A48-1))</f>
        <v>1056.6102391788393</v>
      </c>
      <c r="E48" s="17">
        <f ca="1">$H$26*((1-$C$12)^(A48-1))</f>
        <v>786.68051526918066</v>
      </c>
      <c r="F48" s="17">
        <f t="shared" ca="1" si="23"/>
        <v>270.60480000000001</v>
      </c>
      <c r="G48" s="17">
        <f t="shared" ca="1" si="24"/>
        <v>631.41120000000001</v>
      </c>
      <c r="H48" s="17">
        <f t="shared" ca="1" si="25"/>
        <v>516.07571526918059</v>
      </c>
      <c r="I48" s="17">
        <f ca="1">balanco_geracao_consumo[[#This Row],[Injetado na rede]]-balanco_geracao_consumo[[#This Row],[Energia Fornecida]]+I47</f>
        <v>5.6876611039936051</v>
      </c>
      <c r="J48" s="17">
        <f t="shared" ca="1" si="26"/>
        <v>531.41120000000001</v>
      </c>
      <c r="K48"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212.0593771604228</v>
      </c>
      <c r="L48" s="17">
        <f ca="1">balanco_geracao_consumo[[#This Row],[Injetado na rede]]-balanco_geracao_consumo[[#This Row],[Energia Fornecida 14.300]]+L47</f>
        <v>0</v>
      </c>
      <c r="M48" s="17">
        <f ca="1">IF(balanco_geracao_consumo[[#This Row],[Consumido da rede]]&lt;$C$8,0,IF((balanco_geracao_consumo[[#This Row],[Injetado na rede]]+L47)&gt;balanco_geracao_consumo[[#This Row],[Consumido da rede]],balanco_geracao_consumo[[#This Row],[Consumido da rede]],balanco_geracao_consumo[[#This Row],[Injetado na rede]]+L47))</f>
        <v>516.07571526918059</v>
      </c>
      <c r="N48" s="17">
        <f ca="1">IFERROR(VLOOKUP(balanco_geracao_consumo[[#This Row],[Ano]],$B$321:$C$327,2,FALSE),1)*$E$307*balanco_geracao_consumo[[#This Row],[Energia Fornecida 14.300]]</f>
        <v>45.76227657929747</v>
      </c>
      <c r="O48"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273.32205033492681</v>
      </c>
      <c r="P48" s="13">
        <f ca="1">balanco_geracao_consumo[[#This Row],[Tarifa 14.300]]</f>
        <v>273.32205033492681</v>
      </c>
      <c r="Q48" s="17">
        <f t="shared" ca="1" si="22"/>
        <v>783.28818884391239</v>
      </c>
      <c r="R48" s="17">
        <f t="shared" ca="1" si="27"/>
        <v>-19517.796576124809</v>
      </c>
    </row>
    <row r="49" spans="1:22">
      <c r="A49">
        <v>1</v>
      </c>
      <c r="B49" s="1" t="s">
        <v>106</v>
      </c>
      <c r="C49">
        <f ca="1">$C$27</f>
        <v>701.56799999999998</v>
      </c>
      <c r="D49" s="14">
        <f ca="1">(IF(balanco_geracao_consumo[[#This Row],[Consumido da rede]]&lt;$C$8,($C$8*$B$307/(1-(IFERROR(INDEX($I$307:$L$307,MATCH(balanco_geracao_consumo[[#This Row],[Consumido da rede]]-0.01,$I$306:$K$306,1)+1),$I$307)+$G$307+$H$307))),(C49*$B$307/(1-(IFERROR(INDEX($I$307:$L$307,MATCH(C49-0.01,$I$306:$K$306,1)+1),$I$307)+$G$307+$H$307))))+IFERROR(INDEX($M$307:$AS$307,MATCH(C49-0.001,$M$306:$AR$306,1)+1),$M$307))*((1+$C$10)^(A49-1))</f>
        <v>828.88796380576389</v>
      </c>
      <c r="E49" s="17">
        <f ca="1">$H$27*((1-$C$12)^(A49-1))</f>
        <v>653.3252447358276</v>
      </c>
      <c r="F49" s="17">
        <f t="shared" ca="1" si="23"/>
        <v>210.47039999999998</v>
      </c>
      <c r="G49" s="17">
        <f t="shared" ca="1" si="24"/>
        <v>491.0976</v>
      </c>
      <c r="H49" s="17">
        <f t="shared" ca="1" si="25"/>
        <v>442.85484473582761</v>
      </c>
      <c r="I49" s="17">
        <f ca="1">balanco_geracao_consumo[[#This Row],[Injetado na rede]]-balanco_geracao_consumo[[#This Row],[Energia Fornecida]]+I48</f>
        <v>57.444905839821217</v>
      </c>
      <c r="J49" s="17">
        <f t="shared" ca="1" si="26"/>
        <v>391.0976</v>
      </c>
      <c r="K49"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186.06626251959213</v>
      </c>
      <c r="L49" s="17">
        <f ca="1">balanco_geracao_consumo[[#This Row],[Injetado na rede]]-balanco_geracao_consumo[[#This Row],[Energia Fornecida 14.300]]+L48</f>
        <v>0</v>
      </c>
      <c r="M49" s="17">
        <f ca="1">IF(balanco_geracao_consumo[[#This Row],[Consumido da rede]]&lt;$C$8,0,IF((balanco_geracao_consumo[[#This Row],[Injetado na rede]]+L48)&gt;balanco_geracao_consumo[[#This Row],[Consumido da rede]],balanco_geracao_consumo[[#This Row],[Consumido da rede]],balanco_geracao_consumo[[#This Row],[Injetado na rede]]+L48))</f>
        <v>442.85484473582761</v>
      </c>
      <c r="N49" s="17">
        <f ca="1">IFERROR(VLOOKUP(balanco_geracao_consumo[[#This Row],[Ano]],$B$321:$C$327,2,FALSE),1)*$E$307*balanco_geracao_consumo[[#This Row],[Energia Fornecida 14.300]]</f>
        <v>39.269520517376392</v>
      </c>
      <c r="O49"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173.02196093337295</v>
      </c>
      <c r="P49" s="13">
        <f ca="1">balanco_geracao_consumo[[#This Row],[Tarifa 14.300]]</f>
        <v>173.02196093337295</v>
      </c>
      <c r="Q49" s="17">
        <f t="shared" ca="1" si="22"/>
        <v>655.86600287239094</v>
      </c>
      <c r="R49" s="17">
        <f t="shared" ca="1" si="27"/>
        <v>-18861.930573252419</v>
      </c>
    </row>
    <row r="50" spans="1:22">
      <c r="A50">
        <v>1</v>
      </c>
      <c r="B50" s="1" t="s">
        <v>114</v>
      </c>
      <c r="C50">
        <f ca="1">$C$28</f>
        <v>601.34400000000005</v>
      </c>
      <c r="D50" s="14">
        <f ca="1">(IF(balanco_geracao_consumo[[#This Row],[Consumido da rede]]&lt;$C$8,($C$8*$B$307/(1-(IFERROR(INDEX($I$307:$L$307,MATCH(balanco_geracao_consumo[[#This Row],[Consumido da rede]]-0.01,$I$306:$K$306,1)+1),$I$307)+$G$307+$H$307))),(C50*$B$307/(1-(IFERROR(INDEX($I$307:$L$307,MATCH(C50-0.01,$I$306:$K$306,1)+1),$I$307)+$G$307+$H$307))))+IFERROR(INDEX($M$307:$AS$307,MATCH(C50-0.001,$M$306:$AR$306,1)+1),$M$307))*((1+$C$10)^(A50-1))</f>
        <v>715.02682611922626</v>
      </c>
      <c r="E50" s="17">
        <f ca="1">$H$28*((1-$C$12)^(A50-1))</f>
        <v>602.15591027107496</v>
      </c>
      <c r="F50" s="17">
        <f t="shared" ca="1" si="23"/>
        <v>180.4032</v>
      </c>
      <c r="G50" s="17">
        <f t="shared" ca="1" si="24"/>
        <v>420.94080000000008</v>
      </c>
      <c r="H50" s="17">
        <f t="shared" ca="1" si="25"/>
        <v>421.75271027107499</v>
      </c>
      <c r="I50" s="17">
        <f ca="1">balanco_geracao_consumo[[#This Row],[Injetado na rede]]-balanco_geracao_consumo[[#This Row],[Energia Fornecida]]+I49</f>
        <v>158.25681611089612</v>
      </c>
      <c r="J50" s="17">
        <f t="shared" ca="1" si="26"/>
        <v>320.94080000000008</v>
      </c>
      <c r="K50"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177.27470519917674</v>
      </c>
      <c r="L50" s="17">
        <f ca="1">balanco_geracao_consumo[[#This Row],[Injetado na rede]]-balanco_geracao_consumo[[#This Row],[Energia Fornecida 14.300]]+L49</f>
        <v>0.81191027107490754</v>
      </c>
      <c r="M50" s="17">
        <f ca="1">IF(balanco_geracao_consumo[[#This Row],[Consumido da rede]]&lt;$C$8,0,IF((balanco_geracao_consumo[[#This Row],[Injetado na rede]]+L49)&gt;balanco_geracao_consumo[[#This Row],[Consumido da rede]],balanco_geracao_consumo[[#This Row],[Consumido da rede]],balanco_geracao_consumo[[#This Row],[Injetado na rede]]+L49))</f>
        <v>420.94080000000008</v>
      </c>
      <c r="N50" s="17">
        <f ca="1">IFERROR(VLOOKUP(balanco_geracao_consumo[[#This Row],[Ano]],$B$321:$C$327,2,FALSE),1)*$E$307*balanco_geracao_consumo[[#This Row],[Energia Fornecida 14.300]]</f>
        <v>37.326323915596809</v>
      </c>
      <c r="O50"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137.05665877089089</v>
      </c>
      <c r="P50" s="13">
        <f ca="1">balanco_geracao_consumo[[#This Row],[Tarifa 14.300]]</f>
        <v>137.05665877089089</v>
      </c>
      <c r="Q50" s="17">
        <f t="shared" ca="1" si="22"/>
        <v>577.97016734833539</v>
      </c>
      <c r="R50" s="17">
        <f t="shared" ca="1" si="27"/>
        <v>-18283.960405904083</v>
      </c>
    </row>
    <row r="51" spans="1:22">
      <c r="A51">
        <v>1</v>
      </c>
      <c r="B51" s="1" t="s">
        <v>119</v>
      </c>
      <c r="C51">
        <f ca="1">$C$29</f>
        <v>601.34400000000005</v>
      </c>
      <c r="D51" s="14">
        <f ca="1">(IF(balanco_geracao_consumo[[#This Row],[Consumido da rede]]&lt;$C$8,($C$8*$B$307/(1-(IFERROR(INDEX($I$307:$L$307,MATCH(balanco_geracao_consumo[[#This Row],[Consumido da rede]]-0.01,$I$306:$K$306,1)+1),$I$307)+$G$307+$H$307))),(C51*$B$307/(1-(IFERROR(INDEX($I$307:$L$307,MATCH(C51-0.01,$I$306:$K$306,1)+1),$I$307)+$G$307+$H$307))))+IFERROR(INDEX($M$307:$AS$307,MATCH(C51-0.001,$M$306:$AR$306,1)+1),$M$307))*((1+$C$10)^(A51-1))</f>
        <v>715.02682611922626</v>
      </c>
      <c r="E51" s="17">
        <f ca="1">$H$29*((1-$C$12)^(A51-1))</f>
        <v>606.01090708084621</v>
      </c>
      <c r="F51" s="17">
        <f t="shared" ca="1" si="23"/>
        <v>180.4032</v>
      </c>
      <c r="G51" s="17">
        <f t="shared" ca="1" si="24"/>
        <v>420.94080000000008</v>
      </c>
      <c r="H51" s="17">
        <f t="shared" ca="1" si="25"/>
        <v>425.60770708084624</v>
      </c>
      <c r="I51" s="17">
        <f ca="1">balanco_geracao_consumo[[#This Row],[Injetado na rede]]-balanco_geracao_consumo[[#This Row],[Energia Fornecida]]+I50</f>
        <v>262.92372319174228</v>
      </c>
      <c r="J51" s="17">
        <f t="shared" ca="1" si="26"/>
        <v>320.94080000000008</v>
      </c>
      <c r="K51"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177.27470519917674</v>
      </c>
      <c r="L51" s="17">
        <f ca="1">balanco_geracao_consumo[[#This Row],[Injetado na rede]]-balanco_geracao_consumo[[#This Row],[Energia Fornecida 14.300]]+L50</f>
        <v>5.4788173519210659</v>
      </c>
      <c r="M51" s="17">
        <f ca="1">IF(balanco_geracao_consumo[[#This Row],[Consumido da rede]]&lt;$C$8,0,IF((balanco_geracao_consumo[[#This Row],[Injetado na rede]]+L50)&gt;balanco_geracao_consumo[[#This Row],[Consumido da rede]],balanco_geracao_consumo[[#This Row],[Consumido da rede]],balanco_geracao_consumo[[#This Row],[Injetado na rede]]+L50))</f>
        <v>420.94080000000008</v>
      </c>
      <c r="N51" s="17">
        <f ca="1">IFERROR(VLOOKUP(balanco_geracao_consumo[[#This Row],[Ano]],$B$321:$C$327,2,FALSE),1)*$E$307*balanco_geracao_consumo[[#This Row],[Energia Fornecida 14.300]]</f>
        <v>37.326323915596809</v>
      </c>
      <c r="O51"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137.05665877089089</v>
      </c>
      <c r="P51" s="13">
        <f ca="1">balanco_geracao_consumo[[#This Row],[Tarifa 14.300]]</f>
        <v>137.05665877089089</v>
      </c>
      <c r="Q51" s="17">
        <f t="shared" ca="1" si="22"/>
        <v>577.97016734833539</v>
      </c>
      <c r="R51" s="17">
        <f t="shared" ca="1" si="27"/>
        <v>-17705.990238555747</v>
      </c>
    </row>
    <row r="52" spans="1:22">
      <c r="A52">
        <v>1</v>
      </c>
      <c r="B52" s="1" t="s">
        <v>122</v>
      </c>
      <c r="C52">
        <f ca="1">$C$30</f>
        <v>701.56799999999998</v>
      </c>
      <c r="D52" s="14">
        <f ca="1">(IF(balanco_geracao_consumo[[#This Row],[Consumido da rede]]&lt;$C$8,($C$8*$B$307/(1-(IFERROR(INDEX($I$307:$L$307,MATCH(balanco_geracao_consumo[[#This Row],[Consumido da rede]]-0.01,$I$306:$K$306,1)+1),$I$307)+$G$307+$H$307))),(C52*$B$307/(1-(IFERROR(INDEX($I$307:$L$307,MATCH(C52-0.01,$I$306:$K$306,1)+1),$I$307)+$G$307+$H$307))))+IFERROR(INDEX($M$307:$AS$307,MATCH(C52-0.001,$M$306:$AR$306,1)+1),$M$307))*((1+$C$10)^(A52-1))</f>
        <v>828.88796380576389</v>
      </c>
      <c r="E52" s="17">
        <f ca="1">$H$30*((1-$C$12)^(A52-1))</f>
        <v>780.82585297421963</v>
      </c>
      <c r="F52" s="17">
        <f t="shared" ca="1" si="23"/>
        <v>210.47039999999998</v>
      </c>
      <c r="G52" s="17">
        <f t="shared" ca="1" si="24"/>
        <v>491.0976</v>
      </c>
      <c r="H52" s="17">
        <f t="shared" ca="1" si="25"/>
        <v>570.35545297421959</v>
      </c>
      <c r="I52" s="17">
        <f ca="1">balanco_geracao_consumo[[#This Row],[Injetado na rede]]-balanco_geracao_consumo[[#This Row],[Energia Fornecida]]+I51</f>
        <v>442.18157616596187</v>
      </c>
      <c r="J52" s="17">
        <f t="shared" ca="1" si="26"/>
        <v>391.0976</v>
      </c>
      <c r="K52"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186.06626251959213</v>
      </c>
      <c r="L52" s="17">
        <f ca="1">balanco_geracao_consumo[[#This Row],[Injetado na rede]]-balanco_geracao_consumo[[#This Row],[Energia Fornecida 14.300]]+L51</f>
        <v>84.736670326140654</v>
      </c>
      <c r="M52" s="17">
        <f ca="1">IF(balanco_geracao_consumo[[#This Row],[Consumido da rede]]&lt;$C$8,0,IF((balanco_geracao_consumo[[#This Row],[Injetado na rede]]+L51)&gt;balanco_geracao_consumo[[#This Row],[Consumido da rede]],balanco_geracao_consumo[[#This Row],[Consumido da rede]],balanco_geracao_consumo[[#This Row],[Injetado na rede]]+L51))</f>
        <v>491.0976</v>
      </c>
      <c r="N52" s="17">
        <f ca="1">IFERROR(VLOOKUP(balanco_geracao_consumo[[#This Row],[Ano]],$B$321:$C$327,2,FALSE),1)*$E$307*balanco_geracao_consumo[[#This Row],[Energia Fornecida 14.300]]</f>
        <v>43.5473779015296</v>
      </c>
      <c r="O52"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137.05665877089089</v>
      </c>
      <c r="P52" s="13">
        <f ca="1">balanco_geracao_consumo[[#This Row],[Tarifa 14.300]]</f>
        <v>137.05665877089089</v>
      </c>
      <c r="Q52" s="17">
        <f t="shared" ca="1" si="22"/>
        <v>691.83130503487303</v>
      </c>
      <c r="R52" s="17">
        <f t="shared" ca="1" si="27"/>
        <v>-17014.158933520874</v>
      </c>
    </row>
    <row r="53" spans="1:22">
      <c r="A53">
        <v>1</v>
      </c>
      <c r="B53" s="1" t="s">
        <v>123</v>
      </c>
      <c r="C53">
        <f ca="1">$C$31</f>
        <v>701.56799999999998</v>
      </c>
      <c r="D53" s="14">
        <f ca="1">(IF(balanco_geracao_consumo[[#This Row],[Consumido da rede]]&lt;$C$8,($C$8*$B$307/(1-(IFERROR(INDEX($I$307:$L$307,MATCH(balanco_geracao_consumo[[#This Row],[Consumido da rede]]-0.01,$I$306:$K$306,1)+1),$I$307)+$G$307+$H$307))),(C53*$B$307/(1-(IFERROR(INDEX($I$307:$L$307,MATCH(C53-0.01,$I$306:$K$306,1)+1),$I$307)+$G$307+$H$307))))+IFERROR(INDEX($M$307:$AS$307,MATCH(C53-0.001,$M$306:$AR$306,1)+1),$M$307))*((1+$C$10)^(A53-1))</f>
        <v>828.88796380576389</v>
      </c>
      <c r="E53" s="17">
        <f ca="1">$H$31*((1-$C$12)^(A53-1))</f>
        <v>770.67997402833282</v>
      </c>
      <c r="F53" s="17">
        <f t="shared" ca="1" si="23"/>
        <v>210.47039999999998</v>
      </c>
      <c r="G53" s="17">
        <f t="shared" ca="1" si="24"/>
        <v>491.0976</v>
      </c>
      <c r="H53" s="17">
        <f t="shared" ca="1" si="25"/>
        <v>560.20957402833278</v>
      </c>
      <c r="I53" s="17">
        <f ca="1">balanco_geracao_consumo[[#This Row],[Injetado na rede]]-balanco_geracao_consumo[[#This Row],[Energia Fornecida]]+I52</f>
        <v>611.29355019429465</v>
      </c>
      <c r="J53" s="17">
        <f t="shared" ca="1" si="26"/>
        <v>391.0976</v>
      </c>
      <c r="K53"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186.06626251959213</v>
      </c>
      <c r="L53" s="17">
        <f ca="1">balanco_geracao_consumo[[#This Row],[Injetado na rede]]-balanco_geracao_consumo[[#This Row],[Energia Fornecida 14.300]]+L52</f>
        <v>153.84864435447344</v>
      </c>
      <c r="M53" s="17">
        <f ca="1">IF(balanco_geracao_consumo[[#This Row],[Consumido da rede]]&lt;$C$8,0,IF((balanco_geracao_consumo[[#This Row],[Injetado na rede]]+L52)&gt;balanco_geracao_consumo[[#This Row],[Consumido da rede]],balanco_geracao_consumo[[#This Row],[Consumido da rede]],balanco_geracao_consumo[[#This Row],[Injetado na rede]]+L52))</f>
        <v>491.0976</v>
      </c>
      <c r="N53" s="17">
        <f ca="1">IFERROR(VLOOKUP(balanco_geracao_consumo[[#This Row],[Ano]],$B$321:$C$327,2,FALSE),1)*$E$307*balanco_geracao_consumo[[#This Row],[Energia Fornecida 14.300]]</f>
        <v>43.5473779015296</v>
      </c>
      <c r="O53"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137.05665877089089</v>
      </c>
      <c r="P53" s="13">
        <f ca="1">balanco_geracao_consumo[[#This Row],[Tarifa 14.300]]</f>
        <v>137.05665877089089</v>
      </c>
      <c r="Q53" s="17">
        <f t="shared" ca="1" si="22"/>
        <v>691.83130503487303</v>
      </c>
      <c r="R53" s="17">
        <f t="shared" ca="1" si="27"/>
        <v>-16322.327628486</v>
      </c>
    </row>
    <row r="54" spans="1:22">
      <c r="A54">
        <v>1</v>
      </c>
      <c r="B54" s="1" t="s">
        <v>124</v>
      </c>
      <c r="C54">
        <f ca="1">$C$32</f>
        <v>701.56799999999998</v>
      </c>
      <c r="D54" s="14">
        <f ca="1">(IF(balanco_geracao_consumo[[#This Row],[Consumido da rede]]&lt;$C$8,($C$8*$B$307/(1-(IFERROR(INDEX($I$307:$L$307,MATCH(balanco_geracao_consumo[[#This Row],[Consumido da rede]]-0.01,$I$306:$K$306,1)+1),$I$307)+$G$307+$H$307))),(C54*$B$307/(1-(IFERROR(INDEX($I$307:$L$307,MATCH(C54-0.01,$I$306:$K$306,1)+1),$I$307)+$G$307+$H$307))))+IFERROR(INDEX($M$307:$AS$307,MATCH(C54-0.001,$M$306:$AR$306,1)+1),$M$307))*((1+$C$10)^(A54-1))</f>
        <v>828.88796380576389</v>
      </c>
      <c r="E54" s="17">
        <f ca="1">$H$32*((1-$C$12)^(A54-1))</f>
        <v>924.4378601947667</v>
      </c>
      <c r="F54" s="17">
        <f t="shared" ca="1" si="23"/>
        <v>210.47039999999998</v>
      </c>
      <c r="G54" s="17">
        <f t="shared" ca="1" si="24"/>
        <v>491.0976</v>
      </c>
      <c r="H54" s="17">
        <f t="shared" ca="1" si="25"/>
        <v>713.96746019476677</v>
      </c>
      <c r="I54" s="17">
        <f ca="1">balanco_geracao_consumo[[#This Row],[Injetado na rede]]-balanco_geracao_consumo[[#This Row],[Energia Fornecida]]+I53</f>
        <v>934.16341038906148</v>
      </c>
      <c r="J54" s="17">
        <f t="shared" ca="1" si="26"/>
        <v>391.0976</v>
      </c>
      <c r="K54"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186.06626251959213</v>
      </c>
      <c r="L54" s="17">
        <f ca="1">balanco_geracao_consumo[[#This Row],[Injetado na rede]]-balanco_geracao_consumo[[#This Row],[Energia Fornecida 14.300]]+L53</f>
        <v>376.71850454924021</v>
      </c>
      <c r="M54" s="17">
        <f ca="1">IF(balanco_geracao_consumo[[#This Row],[Consumido da rede]]&lt;$C$8,0,IF((balanco_geracao_consumo[[#This Row],[Injetado na rede]]+L53)&gt;balanco_geracao_consumo[[#This Row],[Consumido da rede]],balanco_geracao_consumo[[#This Row],[Consumido da rede]],balanco_geracao_consumo[[#This Row],[Injetado na rede]]+L53))</f>
        <v>491.0976</v>
      </c>
      <c r="N54" s="17">
        <f ca="1">IFERROR(VLOOKUP(balanco_geracao_consumo[[#This Row],[Ano]],$B$321:$C$327,2,FALSE),1)*$E$307*balanco_geracao_consumo[[#This Row],[Energia Fornecida 14.300]]</f>
        <v>43.5473779015296</v>
      </c>
      <c r="O54"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137.05665877089089</v>
      </c>
      <c r="P54" s="13">
        <f ca="1">balanco_geracao_consumo[[#This Row],[Tarifa 14.300]]</f>
        <v>137.05665877089089</v>
      </c>
      <c r="Q54" s="17">
        <f t="shared" ca="1" si="22"/>
        <v>691.83130503487303</v>
      </c>
      <c r="R54" s="17">
        <f t="shared" ca="1" si="27"/>
        <v>-15630.496323451127</v>
      </c>
    </row>
    <row r="55" spans="1:22">
      <c r="A55">
        <v>1</v>
      </c>
      <c r="B55" s="1" t="s">
        <v>125</v>
      </c>
      <c r="C55">
        <f ca="1">$C$33</f>
        <v>801.79200000000003</v>
      </c>
      <c r="D55" s="14">
        <f ca="1">(IF(balanco_geracao_consumo[[#This Row],[Consumido da rede]]&lt;$C$8,($C$8*$B$307/(1-(IFERROR(INDEX($I$307:$L$307,MATCH(balanco_geracao_consumo[[#This Row],[Consumido da rede]]-0.01,$I$306:$K$306,1)+1),$I$307)+$G$307+$H$307))),(C55*$B$307/(1-(IFERROR(INDEX($I$307:$L$307,MATCH(C55-0.01,$I$306:$K$306,1)+1),$I$307)+$G$307+$H$307))))+IFERROR(INDEX($M$307:$AS$307,MATCH(C55-0.001,$M$306:$AR$306,1)+1),$M$307))*((1+$C$10)^(A55-1))</f>
        <v>942.74910149230163</v>
      </c>
      <c r="E55" s="17">
        <f ca="1">$H$33*((1-$C$12)^(A55-1))</f>
        <v>926.08017262306612</v>
      </c>
      <c r="F55" s="17">
        <f t="shared" ca="1" si="23"/>
        <v>240.5376</v>
      </c>
      <c r="G55" s="17">
        <f t="shared" ca="1" si="24"/>
        <v>561.25440000000003</v>
      </c>
      <c r="H55" s="17">
        <f t="shared" ca="1" si="25"/>
        <v>685.54257262306612</v>
      </c>
      <c r="I55" s="17">
        <f ca="1">balanco_geracao_consumo[[#This Row],[Injetado na rede]]-balanco_geracao_consumo[[#This Row],[Energia Fornecida]]+I54</f>
        <v>1158.4515830121277</v>
      </c>
      <c r="J55" s="17">
        <f t="shared" ca="1" si="26"/>
        <v>461.25440000000003</v>
      </c>
      <c r="K55"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200.05781984000754</v>
      </c>
      <c r="L55" s="17">
        <f ca="1">balanco_geracao_consumo[[#This Row],[Injetado na rede]]-balanco_geracao_consumo[[#This Row],[Energia Fornecida 14.300]]+L54</f>
        <v>501.0066771723063</v>
      </c>
      <c r="M55" s="17">
        <f ca="1">IF(balanco_geracao_consumo[[#This Row],[Consumido da rede]]&lt;$C$8,0,IF((balanco_geracao_consumo[[#This Row],[Injetado na rede]]+L54)&gt;balanco_geracao_consumo[[#This Row],[Consumido da rede]],balanco_geracao_consumo[[#This Row],[Consumido da rede]],balanco_geracao_consumo[[#This Row],[Injetado na rede]]+L54))</f>
        <v>561.25440000000003</v>
      </c>
      <c r="N55" s="17">
        <f ca="1">IFERROR(VLOOKUP(balanco_geracao_consumo[[#This Row],[Ano]],$B$321:$C$327,2,FALSE),1)*$E$307*balanco_geracao_consumo[[#This Row],[Energia Fornecida 14.300]]</f>
        <v>49.768431887462405</v>
      </c>
      <c r="O55"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148.75089045078545</v>
      </c>
      <c r="P55" s="13">
        <f ca="1">balanco_geracao_consumo[[#This Row],[Tarifa 14.300]]</f>
        <v>148.75089045078545</v>
      </c>
      <c r="Q55" s="17">
        <f t="shared" ca="1" si="22"/>
        <v>793.99821104151624</v>
      </c>
      <c r="R55" s="17">
        <f t="shared" ca="1" si="27"/>
        <v>-14836.49811240961</v>
      </c>
    </row>
    <row r="56" spans="1:22">
      <c r="A56">
        <v>1</v>
      </c>
      <c r="B56" s="1" t="s">
        <v>126</v>
      </c>
      <c r="C56">
        <f ca="1">$C$34</f>
        <v>1002.24</v>
      </c>
      <c r="D56" s="14">
        <f ca="1">(IF(balanco_geracao_consumo[[#This Row],[Consumido da rede]]&lt;$C$8,($C$8*$B$307/(1-(IFERROR(INDEX($I$307:$L$307,MATCH(balanco_geracao_consumo[[#This Row],[Consumido da rede]]-0.01,$I$306:$K$306,1)+1),$I$307)+$G$307+$H$307))),(C56*$B$307/(1-(IFERROR(INDEX($I$307:$L$307,MATCH(C56-0.01,$I$306:$K$306,1)+1),$I$307)+$G$307+$H$307))))+IFERROR(INDEX($M$307:$AS$307,MATCH(C56-0.001,$M$306:$AR$306,1)+1),$M$307))*((1+$C$10)^(A56-1))</f>
        <v>1198.381376865377</v>
      </c>
      <c r="E56" s="17">
        <f ca="1">$H$34*((1-$C$12)^(A56-1))</f>
        <v>1097.5655202051475</v>
      </c>
      <c r="F56" s="17">
        <f t="shared" ca="1" si="23"/>
        <v>300.67199999999997</v>
      </c>
      <c r="G56" s="17">
        <f t="shared" ca="1" si="24"/>
        <v>701.56799999999998</v>
      </c>
      <c r="H56" s="17">
        <f t="shared" ca="1" si="25"/>
        <v>796.89352020514752</v>
      </c>
      <c r="I56" s="17">
        <f ca="1">balanco_geracao_consumo[[#This Row],[Injetado na rede]]-balanco_geracao_consumo[[#This Row],[Energia Fornecida]]+I55</f>
        <v>1353.7771032172752</v>
      </c>
      <c r="J56" s="17">
        <f t="shared" ca="1" si="26"/>
        <v>601.56799999999998</v>
      </c>
      <c r="K56"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220.85093448083813</v>
      </c>
      <c r="L56" s="17">
        <f ca="1">balanco_geracao_consumo[[#This Row],[Injetado na rede]]-balanco_geracao_consumo[[#This Row],[Energia Fornecida 14.300]]+L55</f>
        <v>596.33219737745389</v>
      </c>
      <c r="M56" s="17">
        <f ca="1">IF(balanco_geracao_consumo[[#This Row],[Consumido da rede]]&lt;$C$8,0,IF((balanco_geracao_consumo[[#This Row],[Injetado na rede]]+L55)&gt;balanco_geracao_consumo[[#This Row],[Consumido da rede]],balanco_geracao_consumo[[#This Row],[Consumido da rede]],balanco_geracao_consumo[[#This Row],[Injetado na rede]]+L55))</f>
        <v>701.56799999999998</v>
      </c>
      <c r="N56" s="17">
        <f ca="1">IFERROR(VLOOKUP(balanco_geracao_consumo[[#This Row],[Ano]],$B$321:$C$327,2,FALSE),1)*$E$307*balanco_geracao_consumo[[#This Row],[Energia Fornecida 14.300]]</f>
        <v>62.210539859328001</v>
      </c>
      <c r="O56"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181.98611306348158</v>
      </c>
      <c r="P56" s="13">
        <f ca="1">balanco_geracao_consumo[[#This Row],[Tarifa 14.300]]</f>
        <v>181.98611306348158</v>
      </c>
      <c r="Q56" s="17">
        <f t="shared" ca="1" si="22"/>
        <v>1016.3952638018955</v>
      </c>
      <c r="R56" s="17">
        <f t="shared" ca="1" si="27"/>
        <v>-13820.102848607716</v>
      </c>
    </row>
    <row r="57" spans="1:22">
      <c r="A57">
        <v>2</v>
      </c>
      <c r="B57" s="1" t="s">
        <v>96</v>
      </c>
      <c r="C57">
        <f ca="1">$C$23</f>
        <v>1202.6880000000001</v>
      </c>
      <c r="D57" s="14">
        <f ca="1">(IF(balanco_geracao_consumo[[#This Row],[Consumido da rede]]&lt;$C$8,($C$8*$B$307/(1-(IFERROR(INDEX($I$307:$L$307,MATCH(balanco_geracao_consumo[[#This Row],[Consumido da rede]]-0.01,$I$306:$K$306,1)+1),$I$307)+$G$307+$H$307))),(C57*$B$307/(1-(IFERROR(INDEX($I$307:$L$307,MATCH(C57-0.01,$I$306:$K$306,1)+1),$I$307)+$G$307+$H$307))))+IFERROR(INDEX($M$307:$AS$307,MATCH(C57-0.001,$M$306:$AR$306,1)+1),$M$307))*((1+$C$10)^(A57-1))</f>
        <v>1568.7140174622978</v>
      </c>
      <c r="E57" s="17">
        <f ca="1">$H$23*((1-$C$12)^(A57-1))</f>
        <v>1084.8376513550154</v>
      </c>
      <c r="F57" s="17">
        <f t="shared" ca="1" si="23"/>
        <v>360.8064</v>
      </c>
      <c r="G57" s="17">
        <f t="shared" ca="1" si="24"/>
        <v>841.88160000000016</v>
      </c>
      <c r="H57" s="17">
        <f t="shared" ca="1" si="25"/>
        <v>724.03125135501546</v>
      </c>
      <c r="I57" s="17">
        <f ca="1">balanco_geracao_consumo[[#This Row],[Injetado na rede]]-balanco_geracao_consumo[[#This Row],[Energia Fornecida]]+I56</f>
        <v>1335.9267545722905</v>
      </c>
      <c r="J57" s="17">
        <f t="shared" ca="1" si="26"/>
        <v>741.88160000000016</v>
      </c>
      <c r="K57"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262.27745403383597</v>
      </c>
      <c r="L57" s="17">
        <f ca="1">balanco_geracao_consumo[[#This Row],[Injetado na rede]]-balanco_geracao_consumo[[#This Row],[Energia Fornecida 14.300]]+L56</f>
        <v>478.48184873246919</v>
      </c>
      <c r="M57" s="17">
        <f ca="1">IF(balanco_geracao_consumo[[#This Row],[Consumido da rede]]&lt;$C$8,0,IF((balanco_geracao_consumo[[#This Row],[Injetado na rede]]+L56)&gt;balanco_geracao_consumo[[#This Row],[Consumido da rede]],balanco_geracao_consumo[[#This Row],[Consumido da rede]],balanco_geracao_consumo[[#This Row],[Injetado na rede]]+L56))</f>
        <v>841.88160000000016</v>
      </c>
      <c r="N57" s="17">
        <f ca="1">IFERROR(VLOOKUP(balanco_geracao_consumo[[#This Row],[Ano]],$B$321:$C$327,2,FALSE),1)*$E$307*balanco_geracao_consumo[[#This Row],[Energia Fornecida 14.300]]</f>
        <v>99.536863774924825</v>
      </c>
      <c r="O57"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260.58510678190027</v>
      </c>
      <c r="P57" s="13">
        <f ca="1">balanco_geracao_consumo[[#This Row],[Tarifa 14.300]]</f>
        <v>260.58510678190027</v>
      </c>
      <c r="Q57" s="17">
        <f t="shared" ca="1" si="22"/>
        <v>1308.1289106803974</v>
      </c>
      <c r="R57" s="17">
        <f t="shared" ca="1" si="27"/>
        <v>-12511.973937927318</v>
      </c>
    </row>
    <row r="58" spans="1:22">
      <c r="A58">
        <v>2</v>
      </c>
      <c r="B58" s="1" t="s">
        <v>98</v>
      </c>
      <c r="C58">
        <f ca="1">$C$24</f>
        <v>1202.6880000000001</v>
      </c>
      <c r="D58" s="14">
        <f ca="1">(IF(balanco_geracao_consumo[[#This Row],[Consumido da rede]]&lt;$C$8,($C$8*$B$307/(1-(IFERROR(INDEX($I$307:$L$307,MATCH(balanco_geracao_consumo[[#This Row],[Consumido da rede]]-0.01,$I$306:$K$306,1)+1),$I$307)+$G$307+$H$307))),(C58*$B$307/(1-(IFERROR(INDEX($I$307:$L$307,MATCH(C58-0.01,$I$306:$K$306,1)+1),$I$307)+$G$307+$H$307))))+IFERROR(INDEX($M$307:$AS$307,MATCH(C58-0.001,$M$306:$AR$306,1)+1),$M$307))*((1+$C$10)^(A58-1))</f>
        <v>1568.7140174622978</v>
      </c>
      <c r="E58" s="17">
        <f ca="1">$H$24*((1-$C$12)^(A58-1))</f>
        <v>1052.9504794979748</v>
      </c>
      <c r="F58" s="17">
        <f t="shared" ca="1" si="23"/>
        <v>360.8064</v>
      </c>
      <c r="G58" s="17">
        <f t="shared" ca="1" si="24"/>
        <v>841.88160000000016</v>
      </c>
      <c r="H58" s="17">
        <f t="shared" ca="1" si="25"/>
        <v>692.14407949797487</v>
      </c>
      <c r="I58" s="17">
        <f ca="1">balanco_geracao_consumo[[#This Row],[Injetado na rede]]-balanco_geracao_consumo[[#This Row],[Energia Fornecida]]+I57</f>
        <v>1286.1892340702652</v>
      </c>
      <c r="J58" s="17">
        <f t="shared" ca="1" si="26"/>
        <v>741.88160000000016</v>
      </c>
      <c r="K58"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262.27745403383597</v>
      </c>
      <c r="L58" s="17">
        <f ca="1">balanco_geracao_consumo[[#This Row],[Injetado na rede]]-balanco_geracao_consumo[[#This Row],[Energia Fornecida 14.300]]+L57</f>
        <v>328.7443282304439</v>
      </c>
      <c r="M58" s="17">
        <f ca="1">IF(balanco_geracao_consumo[[#This Row],[Consumido da rede]]&lt;$C$8,0,IF((balanco_geracao_consumo[[#This Row],[Injetado na rede]]+L57)&gt;balanco_geracao_consumo[[#This Row],[Consumido da rede]],balanco_geracao_consumo[[#This Row],[Consumido da rede]],balanco_geracao_consumo[[#This Row],[Injetado na rede]]+L57))</f>
        <v>841.88160000000016</v>
      </c>
      <c r="N58" s="17">
        <f ca="1">IFERROR(VLOOKUP(balanco_geracao_consumo[[#This Row],[Ano]],$B$321:$C$327,2,FALSE),1)*$E$307*balanco_geracao_consumo[[#This Row],[Energia Fornecida 14.300]]</f>
        <v>99.536863774924825</v>
      </c>
      <c r="O58"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260.58510678190027</v>
      </c>
      <c r="P58" s="13">
        <f ca="1">balanco_geracao_consumo[[#This Row],[Tarifa 14.300]]</f>
        <v>260.58510678190027</v>
      </c>
      <c r="Q58" s="17">
        <f t="shared" ca="1" si="22"/>
        <v>1308.1289106803974</v>
      </c>
      <c r="R58" s="17">
        <f t="shared" ca="1" si="27"/>
        <v>-11203.84502724692</v>
      </c>
    </row>
    <row r="59" spans="1:22">
      <c r="A59">
        <v>2</v>
      </c>
      <c r="B59" s="1" t="s">
        <v>99</v>
      </c>
      <c r="C59">
        <f ca="1">$C$25</f>
        <v>1002.24</v>
      </c>
      <c r="D59" s="14">
        <f ca="1">(IF(balanco_geracao_consumo[[#This Row],[Consumido da rede]]&lt;$C$8,($C$8*$B$307/(1-(IFERROR(INDEX($I$307:$L$307,MATCH(balanco_geracao_consumo[[#This Row],[Consumido da rede]]-0.01,$I$306:$K$306,1)+1),$I$307)+$G$307+$H$307))),(C59*$B$307/(1-(IFERROR(INDEX($I$307:$L$307,MATCH(C59-0.01,$I$306:$K$306,1)+1),$I$307)+$G$307+$H$307))))+IFERROR(INDEX($M$307:$AS$307,MATCH(C59-0.001,$M$306:$AR$306,1)+1),$M$307))*((1+$C$10)^(A59-1))</f>
        <v>1318.2195145519147</v>
      </c>
      <c r="E59" s="17">
        <f ca="1">$H$25*((1-$C$12)^(A59-1))</f>
        <v>916.80030381396921</v>
      </c>
      <c r="F59" s="17">
        <f t="shared" ca="1" si="23"/>
        <v>300.67199999999997</v>
      </c>
      <c r="G59" s="17">
        <f t="shared" ca="1" si="24"/>
        <v>701.56799999999998</v>
      </c>
      <c r="H59" s="17">
        <f t="shared" ca="1" si="25"/>
        <v>616.1283038139693</v>
      </c>
      <c r="I59" s="17">
        <f ca="1">balanco_geracao_consumo[[#This Row],[Injetado na rede]]-balanco_geracao_consumo[[#This Row],[Energia Fornecida]]+I58</f>
        <v>1300.7495378842345</v>
      </c>
      <c r="J59" s="17">
        <f t="shared" ca="1" si="26"/>
        <v>601.56799999999998</v>
      </c>
      <c r="K59"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242.93602792892196</v>
      </c>
      <c r="L59" s="17">
        <f ca="1">balanco_geracao_consumo[[#This Row],[Injetado na rede]]-balanco_geracao_consumo[[#This Row],[Energia Fornecida 14.300]]+L58</f>
        <v>243.30463204441321</v>
      </c>
      <c r="M59" s="17">
        <f ca="1">IF(balanco_geracao_consumo[[#This Row],[Consumido da rede]]&lt;$C$8,0,IF((balanco_geracao_consumo[[#This Row],[Injetado na rede]]+L58)&gt;balanco_geracao_consumo[[#This Row],[Consumido da rede]],balanco_geracao_consumo[[#This Row],[Consumido da rede]],balanco_geracao_consumo[[#This Row],[Injetado na rede]]+L58))</f>
        <v>701.56799999999998</v>
      </c>
      <c r="N59" s="17">
        <f ca="1">IFERROR(VLOOKUP(balanco_geracao_consumo[[#This Row],[Ano]],$B$321:$C$327,2,FALSE),1)*$E$307*balanco_geracao_consumo[[#This Row],[Energia Fornecida 14.300]]</f>
        <v>82.947386479103997</v>
      </c>
      <c r="O59"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222.99525565158339</v>
      </c>
      <c r="P59" s="13">
        <f ca="1">balanco_geracao_consumo[[#This Row],[Tarifa 14.300]]</f>
        <v>222.99525565158339</v>
      </c>
      <c r="Q59" s="17">
        <f t="shared" ca="1" si="22"/>
        <v>1095.2242589003313</v>
      </c>
      <c r="R59" s="17">
        <f t="shared" ca="1" si="27"/>
        <v>-10108.620768346589</v>
      </c>
    </row>
    <row r="60" spans="1:22">
      <c r="A60">
        <v>2</v>
      </c>
      <c r="B60" s="1" t="s">
        <v>103</v>
      </c>
      <c r="C60">
        <f ca="1">$C$26</f>
        <v>902.01600000000008</v>
      </c>
      <c r="D60" s="14">
        <f ca="1">(IF(balanco_geracao_consumo[[#This Row],[Consumido da rede]]&lt;$C$8,($C$8*$B$307/(1-(IFERROR(INDEX($I$307:$L$307,MATCH(balanco_geracao_consumo[[#This Row],[Consumido da rede]]-0.01,$I$306:$K$306,1)+1),$I$307)+$G$307+$H$307))),(C60*$B$307/(1-(IFERROR(INDEX($I$307:$L$307,MATCH(C60-0.01,$I$306:$K$306,1)+1),$I$307)+$G$307+$H$307))))+IFERROR(INDEX($M$307:$AS$307,MATCH(C60-0.001,$M$306:$AR$306,1)+1),$M$307))*((1+$C$10)^(A60-1))</f>
        <v>1162.2712630967233</v>
      </c>
      <c r="E60" s="17">
        <f ca="1">$H$26*((1-$C$12)^(A60-1))</f>
        <v>781.17375166229635</v>
      </c>
      <c r="F60" s="17">
        <f t="shared" ca="1" si="23"/>
        <v>270.60480000000001</v>
      </c>
      <c r="G60" s="17">
        <f t="shared" ca="1" si="24"/>
        <v>631.41120000000001</v>
      </c>
      <c r="H60" s="17">
        <f t="shared" ca="1" si="25"/>
        <v>510.56895166229634</v>
      </c>
      <c r="I60" s="17">
        <f ca="1">balanco_geracao_consumo[[#This Row],[Injetado na rede]]-balanco_geracao_consumo[[#This Row],[Energia Fornecida]]+I59</f>
        <v>1279.9072895465308</v>
      </c>
      <c r="J60" s="17">
        <f t="shared" ca="1" si="26"/>
        <v>531.41120000000001</v>
      </c>
      <c r="K60"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233.26531487646508</v>
      </c>
      <c r="L60" s="17">
        <f ca="1">balanco_geracao_consumo[[#This Row],[Injetado na rede]]-balanco_geracao_consumo[[#This Row],[Energia Fornecida 14.300]]+L59</f>
        <v>122.46238370670955</v>
      </c>
      <c r="M60" s="17">
        <f ca="1">IF(balanco_geracao_consumo[[#This Row],[Consumido da rede]]&lt;$C$8,0,IF((balanco_geracao_consumo[[#This Row],[Injetado na rede]]+L59)&gt;balanco_geracao_consumo[[#This Row],[Consumido da rede]],balanco_geracao_consumo[[#This Row],[Consumido da rede]],balanco_geracao_consumo[[#This Row],[Injetado na rede]]+L59))</f>
        <v>631.41120000000001</v>
      </c>
      <c r="N60" s="17">
        <f ca="1">IFERROR(VLOOKUP(balanco_geracao_consumo[[#This Row],[Ano]],$B$321:$C$327,2,FALSE),1)*$E$307*balanco_geracao_consumo[[#This Row],[Energia Fornecida 14.300]]</f>
        <v>74.652647831193605</v>
      </c>
      <c r="O60"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204.20033008642517</v>
      </c>
      <c r="P60" s="13">
        <f ca="1">balanco_geracao_consumo[[#This Row],[Tarifa 14.300]]</f>
        <v>204.20033008642517</v>
      </c>
      <c r="Q60" s="17">
        <f t="shared" ca="1" si="22"/>
        <v>958.07093301029806</v>
      </c>
      <c r="R60" s="17">
        <f t="shared" ca="1" si="27"/>
        <v>-9150.5498353362909</v>
      </c>
    </row>
    <row r="61" spans="1:22">
      <c r="A61">
        <v>2</v>
      </c>
      <c r="B61" s="1" t="s">
        <v>106</v>
      </c>
      <c r="C61">
        <f ca="1">$C$27</f>
        <v>701.56799999999998</v>
      </c>
      <c r="D61" s="14">
        <f ca="1">(IF(balanco_geracao_consumo[[#This Row],[Consumido da rede]]&lt;$C$8,($C$8*$B$307/(1-(IFERROR(INDEX($I$307:$L$307,MATCH(balanco_geracao_consumo[[#This Row],[Consumido da rede]]-0.01,$I$306:$K$306,1)+1),$I$307)+$G$307+$H$307))),(C61*$B$307/(1-(IFERROR(INDEX($I$307:$L$307,MATCH(C61-0.01,$I$306:$K$306,1)+1),$I$307)+$G$307+$H$307))))+IFERROR(INDEX($M$307:$AS$307,MATCH(C61-0.001,$M$306:$AR$306,1)+1),$M$307))*((1+$C$10)^(A61-1))</f>
        <v>911.77676018634031</v>
      </c>
      <c r="E61" s="17">
        <f ca="1">$H$27*((1-$C$12)^(A61-1))</f>
        <v>648.75196802267681</v>
      </c>
      <c r="F61" s="17">
        <f t="shared" ca="1" si="23"/>
        <v>210.47039999999998</v>
      </c>
      <c r="G61" s="17">
        <f t="shared" ca="1" si="24"/>
        <v>491.0976</v>
      </c>
      <c r="H61" s="17">
        <f t="shared" ca="1" si="25"/>
        <v>438.28156802267682</v>
      </c>
      <c r="I61" s="17">
        <f ca="1">balanco_geracao_consumo[[#This Row],[Injetado na rede]]-balanco_geracao_consumo[[#This Row],[Energia Fornecida]]+I60</f>
        <v>1327.0912575692078</v>
      </c>
      <c r="J61" s="17">
        <f t="shared" ca="1" si="26"/>
        <v>391.0976</v>
      </c>
      <c r="K61"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204.67288877155136</v>
      </c>
      <c r="L61" s="17">
        <f ca="1">balanco_geracao_consumo[[#This Row],[Injetado na rede]]-balanco_geracao_consumo[[#This Row],[Energia Fornecida 14.300]]+L60</f>
        <v>69.646351729386367</v>
      </c>
      <c r="M61" s="17">
        <f ca="1">IF(balanco_geracao_consumo[[#This Row],[Consumido da rede]]&lt;$C$8,0,IF((balanco_geracao_consumo[[#This Row],[Injetado na rede]]+L60)&gt;balanco_geracao_consumo[[#This Row],[Consumido da rede]],balanco_geracao_consumo[[#This Row],[Consumido da rede]],balanco_geracao_consumo[[#This Row],[Injetado na rede]]+L60))</f>
        <v>491.0976</v>
      </c>
      <c r="N61" s="17">
        <f ca="1">IFERROR(VLOOKUP(balanco_geracao_consumo[[#This Row],[Ano]],$B$321:$C$327,2,FALSE),1)*$E$307*balanco_geracao_consumo[[#This Row],[Energia Fornecida 14.300]]</f>
        <v>58.063170535372798</v>
      </c>
      <c r="O61"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157.3594789561084</v>
      </c>
      <c r="P61" s="13">
        <f ca="1">balanco_geracao_consumo[[#This Row],[Tarifa 14.300]]</f>
        <v>157.3594789561084</v>
      </c>
      <c r="Q61" s="17">
        <f t="shared" ca="1" si="22"/>
        <v>754.41728123023188</v>
      </c>
      <c r="R61" s="17">
        <f t="shared" ca="1" si="27"/>
        <v>-8396.1325541060596</v>
      </c>
      <c r="U61" s="14"/>
      <c r="V61" s="14"/>
    </row>
    <row r="62" spans="1:22">
      <c r="A62">
        <v>2</v>
      </c>
      <c r="B62" s="1" t="s">
        <v>114</v>
      </c>
      <c r="C62">
        <f ca="1">$C$28</f>
        <v>601.34400000000005</v>
      </c>
      <c r="D62" s="14">
        <f ca="1">(IF(balanco_geracao_consumo[[#This Row],[Consumido da rede]]&lt;$C$8,($C$8*$B$307/(1-(IFERROR(INDEX($I$307:$L$307,MATCH(balanco_geracao_consumo[[#This Row],[Consumido da rede]]-0.01,$I$306:$K$306,1)+1),$I$307)+$G$307+$H$307))),(C62*$B$307/(1-(IFERROR(INDEX($I$307:$L$307,MATCH(C62-0.01,$I$306:$K$306,1)+1),$I$307)+$G$307+$H$307))))+IFERROR(INDEX($M$307:$AS$307,MATCH(C62-0.001,$M$306:$AR$306,1)+1),$M$307))*((1+$C$10)^(A62-1))</f>
        <v>786.52950873114889</v>
      </c>
      <c r="E62" s="17">
        <f ca="1">$H$28*((1-$C$12)^(A62-1))</f>
        <v>597.94081889917743</v>
      </c>
      <c r="F62" s="17">
        <f t="shared" ca="1" si="23"/>
        <v>180.4032</v>
      </c>
      <c r="G62" s="17">
        <f t="shared" ca="1" si="24"/>
        <v>420.94080000000008</v>
      </c>
      <c r="H62" s="17">
        <f t="shared" ca="1" si="25"/>
        <v>417.53761889917746</v>
      </c>
      <c r="I62" s="17">
        <f ca="1">balanco_geracao_consumo[[#This Row],[Injetado na rede]]-balanco_geracao_consumo[[#This Row],[Energia Fornecida]]+I61</f>
        <v>1423.6880764683851</v>
      </c>
      <c r="J62" s="17">
        <f t="shared" ca="1" si="26"/>
        <v>320.94080000000008</v>
      </c>
      <c r="K62"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195.00217571909442</v>
      </c>
      <c r="L62" s="17">
        <f ca="1">balanco_geracao_consumo[[#This Row],[Injetado na rede]]-balanco_geracao_consumo[[#This Row],[Energia Fornecida 14.300]]+L61</f>
        <v>66.243170628563746</v>
      </c>
      <c r="M62" s="17">
        <f ca="1">IF(balanco_geracao_consumo[[#This Row],[Consumido da rede]]&lt;$C$8,0,IF((balanco_geracao_consumo[[#This Row],[Injetado na rede]]+L61)&gt;balanco_geracao_consumo[[#This Row],[Consumido da rede]],balanco_geracao_consumo[[#This Row],[Consumido da rede]],balanco_geracao_consumo[[#This Row],[Injetado na rede]]+L61))</f>
        <v>420.94080000000008</v>
      </c>
      <c r="N62" s="17">
        <f ca="1">IFERROR(VLOOKUP(balanco_geracao_consumo[[#This Row],[Ano]],$B$321:$C$327,2,FALSE),1)*$E$307*balanco_geracao_consumo[[#This Row],[Energia Fornecida 14.300]]</f>
        <v>49.768431887462413</v>
      </c>
      <c r="O62"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150.76232464797999</v>
      </c>
      <c r="P62" s="13">
        <f ca="1">balanco_geracao_consumo[[#This Row],[Tarifa 14.300]]</f>
        <v>150.76232464797999</v>
      </c>
      <c r="Q62" s="17">
        <f t="shared" ca="1" si="22"/>
        <v>635.7671840831689</v>
      </c>
      <c r="R62" s="17">
        <f t="shared" ca="1" si="27"/>
        <v>-7760.3653700228906</v>
      </c>
    </row>
    <row r="63" spans="1:22">
      <c r="A63">
        <v>2</v>
      </c>
      <c r="B63" s="1" t="s">
        <v>119</v>
      </c>
      <c r="C63">
        <f ca="1">$C$29</f>
        <v>601.34400000000005</v>
      </c>
      <c r="D63" s="14">
        <f ca="1">(IF(balanco_geracao_consumo[[#This Row],[Consumido da rede]]&lt;$C$8,($C$8*$B$307/(1-(IFERROR(INDEX($I$307:$L$307,MATCH(balanco_geracao_consumo[[#This Row],[Consumido da rede]]-0.01,$I$306:$K$306,1)+1),$I$307)+$G$307+$H$307))),(C63*$B$307/(1-(IFERROR(INDEX($I$307:$L$307,MATCH(C63-0.01,$I$306:$K$306,1)+1),$I$307)+$G$307+$H$307))))+IFERROR(INDEX($M$307:$AS$307,MATCH(C63-0.001,$M$306:$AR$306,1)+1),$M$307))*((1+$C$10)^(A63-1))</f>
        <v>786.52950873114889</v>
      </c>
      <c r="E63" s="17">
        <f ca="1">$H$29*((1-$C$12)^(A63-1))</f>
        <v>601.76883073128033</v>
      </c>
      <c r="F63" s="17">
        <f t="shared" ca="1" si="23"/>
        <v>180.4032</v>
      </c>
      <c r="G63" s="17">
        <f t="shared" ca="1" si="24"/>
        <v>420.94080000000008</v>
      </c>
      <c r="H63" s="17">
        <f t="shared" ca="1" si="25"/>
        <v>421.36563073128036</v>
      </c>
      <c r="I63" s="17">
        <f ca="1">balanco_geracao_consumo[[#This Row],[Injetado na rede]]-balanco_geracao_consumo[[#This Row],[Energia Fornecida]]+I62</f>
        <v>1524.1129071996654</v>
      </c>
      <c r="J63" s="17">
        <f t="shared" ca="1" si="26"/>
        <v>320.94080000000008</v>
      </c>
      <c r="K63"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195.00217571909442</v>
      </c>
      <c r="L63" s="17">
        <f ca="1">balanco_geracao_consumo[[#This Row],[Injetado na rede]]-balanco_geracao_consumo[[#This Row],[Energia Fornecida 14.300]]+L62</f>
        <v>66.668001359844027</v>
      </c>
      <c r="M63" s="17">
        <f ca="1">IF(balanco_geracao_consumo[[#This Row],[Consumido da rede]]&lt;$C$8,0,IF((balanco_geracao_consumo[[#This Row],[Injetado na rede]]+L62)&gt;balanco_geracao_consumo[[#This Row],[Consumido da rede]],balanco_geracao_consumo[[#This Row],[Consumido da rede]],balanco_geracao_consumo[[#This Row],[Injetado na rede]]+L62))</f>
        <v>420.94080000000008</v>
      </c>
      <c r="N63" s="17">
        <f ca="1">IFERROR(VLOOKUP(balanco_geracao_consumo[[#This Row],[Ano]],$B$321:$C$327,2,FALSE),1)*$E$307*balanco_geracao_consumo[[#This Row],[Energia Fornecida 14.300]]</f>
        <v>49.768431887462413</v>
      </c>
      <c r="O63"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150.76232464797999</v>
      </c>
      <c r="P63" s="13">
        <f ca="1">balanco_geracao_consumo[[#This Row],[Tarifa 14.300]]</f>
        <v>150.76232464797999</v>
      </c>
      <c r="Q63" s="17">
        <f t="shared" ca="1" si="22"/>
        <v>635.7671840831689</v>
      </c>
      <c r="R63" s="17">
        <f t="shared" ca="1" si="27"/>
        <v>-7124.5981859397216</v>
      </c>
    </row>
    <row r="64" spans="1:22">
      <c r="A64">
        <v>2</v>
      </c>
      <c r="B64" s="1" t="s">
        <v>122</v>
      </c>
      <c r="C64">
        <f ca="1">$C$30</f>
        <v>701.56799999999998</v>
      </c>
      <c r="D64" s="14">
        <f ca="1">(IF(balanco_geracao_consumo[[#This Row],[Consumido da rede]]&lt;$C$8,($C$8*$B$307/(1-(IFERROR(INDEX($I$307:$L$307,MATCH(balanco_geracao_consumo[[#This Row],[Consumido da rede]]-0.01,$I$306:$K$306,1)+1),$I$307)+$G$307+$H$307))),(C64*$B$307/(1-(IFERROR(INDEX($I$307:$L$307,MATCH(C64-0.01,$I$306:$K$306,1)+1),$I$307)+$G$307+$H$307))))+IFERROR(INDEX($M$307:$AS$307,MATCH(C64-0.001,$M$306:$AR$306,1)+1),$M$307))*((1+$C$10)^(A64-1))</f>
        <v>911.77676018634031</v>
      </c>
      <c r="E64" s="17">
        <f ca="1">$H$30*((1-$C$12)^(A64-1))</f>
        <v>775.36007200340009</v>
      </c>
      <c r="F64" s="17">
        <f t="shared" ca="1" si="23"/>
        <v>210.47039999999998</v>
      </c>
      <c r="G64" s="17">
        <f t="shared" ca="1" si="24"/>
        <v>491.0976</v>
      </c>
      <c r="H64" s="17">
        <f t="shared" ca="1" si="25"/>
        <v>564.88967200340016</v>
      </c>
      <c r="I64" s="17">
        <f ca="1">balanco_geracao_consumo[[#This Row],[Injetado na rede]]-balanco_geracao_consumo[[#This Row],[Energia Fornecida]]+I63</f>
        <v>1697.9049792030655</v>
      </c>
      <c r="J64" s="17">
        <f t="shared" ca="1" si="26"/>
        <v>391.0976</v>
      </c>
      <c r="K64"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204.67288877155136</v>
      </c>
      <c r="L64" s="17">
        <f ca="1">balanco_geracao_consumo[[#This Row],[Injetado na rede]]-balanco_geracao_consumo[[#This Row],[Energia Fornecida 14.300]]+L63</f>
        <v>140.46007336324419</v>
      </c>
      <c r="M64" s="17">
        <f ca="1">IF(balanco_geracao_consumo[[#This Row],[Consumido da rede]]&lt;$C$8,0,IF((balanco_geracao_consumo[[#This Row],[Injetado na rede]]+L63)&gt;balanco_geracao_consumo[[#This Row],[Consumido da rede]],balanco_geracao_consumo[[#This Row],[Consumido da rede]],balanco_geracao_consumo[[#This Row],[Injetado na rede]]+L63))</f>
        <v>491.0976</v>
      </c>
      <c r="N64" s="17">
        <f ca="1">IFERROR(VLOOKUP(balanco_geracao_consumo[[#This Row],[Ano]],$B$321:$C$327,2,FALSE),1)*$E$307*balanco_geracao_consumo[[#This Row],[Energia Fornecida 14.300]]</f>
        <v>58.063170535372798</v>
      </c>
      <c r="O64"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157.3594789561084</v>
      </c>
      <c r="P64" s="13">
        <f ca="1">balanco_geracao_consumo[[#This Row],[Tarifa 14.300]]</f>
        <v>157.3594789561084</v>
      </c>
      <c r="Q64" s="17">
        <f t="shared" ca="1" si="22"/>
        <v>754.41728123023188</v>
      </c>
      <c r="R64" s="17">
        <f t="shared" ca="1" si="27"/>
        <v>-6370.1809047094894</v>
      </c>
    </row>
    <row r="65" spans="1:18">
      <c r="A65">
        <v>2</v>
      </c>
      <c r="B65" s="1" t="s">
        <v>123</v>
      </c>
      <c r="C65">
        <f ca="1">$C$31</f>
        <v>701.56799999999998</v>
      </c>
      <c r="D65" s="14">
        <f ca="1">(IF(balanco_geracao_consumo[[#This Row],[Consumido da rede]]&lt;$C$8,($C$8*$B$307/(1-(IFERROR(INDEX($I$307:$L$307,MATCH(balanco_geracao_consumo[[#This Row],[Consumido da rede]]-0.01,$I$306:$K$306,1)+1),$I$307)+$G$307+$H$307))),(C65*$B$307/(1-(IFERROR(INDEX($I$307:$L$307,MATCH(C65-0.01,$I$306:$K$306,1)+1),$I$307)+$G$307+$H$307))))+IFERROR(INDEX($M$307:$AS$307,MATCH(C65-0.001,$M$306:$AR$306,1)+1),$M$307))*((1+$C$10)^(A65-1))</f>
        <v>911.77676018634031</v>
      </c>
      <c r="E65" s="17">
        <f ca="1">$H$31*((1-$C$12)^(A65-1))</f>
        <v>765.28521421013454</v>
      </c>
      <c r="F65" s="17">
        <f t="shared" ca="1" si="23"/>
        <v>210.47039999999998</v>
      </c>
      <c r="G65" s="17">
        <f t="shared" ca="1" si="24"/>
        <v>491.0976</v>
      </c>
      <c r="H65" s="17">
        <f t="shared" ca="1" si="25"/>
        <v>554.8148142101345</v>
      </c>
      <c r="I65" s="17">
        <f ca="1">balanco_geracao_consumo[[#This Row],[Injetado na rede]]-balanco_geracao_consumo[[#This Row],[Energia Fornecida]]+I64</f>
        <v>1861.6221934132</v>
      </c>
      <c r="J65" s="17">
        <f t="shared" ca="1" si="26"/>
        <v>391.0976</v>
      </c>
      <c r="K65"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204.67288877155136</v>
      </c>
      <c r="L65" s="17">
        <f ca="1">balanco_geracao_consumo[[#This Row],[Injetado na rede]]-balanco_geracao_consumo[[#This Row],[Energia Fornecida 14.300]]+L64</f>
        <v>204.17728757337869</v>
      </c>
      <c r="M65" s="17">
        <f ca="1">IF(balanco_geracao_consumo[[#This Row],[Consumido da rede]]&lt;$C$8,0,IF((balanco_geracao_consumo[[#This Row],[Injetado na rede]]+L64)&gt;balanco_geracao_consumo[[#This Row],[Consumido da rede]],balanco_geracao_consumo[[#This Row],[Consumido da rede]],balanco_geracao_consumo[[#This Row],[Injetado na rede]]+L64))</f>
        <v>491.0976</v>
      </c>
      <c r="N65" s="17">
        <f ca="1">IFERROR(VLOOKUP(balanco_geracao_consumo[[#This Row],[Ano]],$B$321:$C$327,2,FALSE),1)*$E$307*balanco_geracao_consumo[[#This Row],[Energia Fornecida 14.300]]</f>
        <v>58.063170535372798</v>
      </c>
      <c r="O65"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157.3594789561084</v>
      </c>
      <c r="P65" s="13">
        <f ca="1">balanco_geracao_consumo[[#This Row],[Tarifa 14.300]]</f>
        <v>157.3594789561084</v>
      </c>
      <c r="Q65" s="17">
        <f t="shared" ca="1" si="22"/>
        <v>754.41728123023188</v>
      </c>
      <c r="R65" s="17">
        <f t="shared" ca="1" si="27"/>
        <v>-5615.7636234792571</v>
      </c>
    </row>
    <row r="66" spans="1:18">
      <c r="A66">
        <v>2</v>
      </c>
      <c r="B66" s="1" t="s">
        <v>124</v>
      </c>
      <c r="C66">
        <f ca="1">$C$32</f>
        <v>701.56799999999998</v>
      </c>
      <c r="D66" s="14">
        <f ca="1">(IF(balanco_geracao_consumo[[#This Row],[Consumido da rede]]&lt;$C$8,($C$8*$B$307/(1-(IFERROR(INDEX($I$307:$L$307,MATCH(balanco_geracao_consumo[[#This Row],[Consumido da rede]]-0.01,$I$306:$K$306,1)+1),$I$307)+$G$307+$H$307))),(C66*$B$307/(1-(IFERROR(INDEX($I$307:$L$307,MATCH(C66-0.01,$I$306:$K$306,1)+1),$I$307)+$G$307+$H$307))))+IFERROR(INDEX($M$307:$AS$307,MATCH(C66-0.001,$M$306:$AR$306,1)+1),$M$307))*((1+$C$10)^(A66-1))</f>
        <v>911.77676018634031</v>
      </c>
      <c r="E66" s="17">
        <f ca="1">$H$32*((1-$C$12)^(A66-1))</f>
        <v>917.96679517340328</v>
      </c>
      <c r="F66" s="17">
        <f t="shared" ca="1" si="23"/>
        <v>210.47039999999998</v>
      </c>
      <c r="G66" s="17">
        <f t="shared" ca="1" si="24"/>
        <v>491.0976</v>
      </c>
      <c r="H66" s="17">
        <f t="shared" ca="1" si="25"/>
        <v>707.49639517340324</v>
      </c>
      <c r="I66" s="17">
        <f ca="1">balanco_geracao_consumo[[#This Row],[Injetado na rede]]-balanco_geracao_consumo[[#This Row],[Energia Fornecida]]+I65</f>
        <v>2178.0209885866034</v>
      </c>
      <c r="J66" s="17">
        <f t="shared" ca="1" si="26"/>
        <v>391.0976</v>
      </c>
      <c r="K66"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204.67288877155136</v>
      </c>
      <c r="L66" s="17">
        <f ca="1">balanco_geracao_consumo[[#This Row],[Injetado na rede]]-balanco_geracao_consumo[[#This Row],[Energia Fornecida 14.300]]+L65</f>
        <v>420.57608274678194</v>
      </c>
      <c r="M66" s="17">
        <f ca="1">IF(balanco_geracao_consumo[[#This Row],[Consumido da rede]]&lt;$C$8,0,IF((balanco_geracao_consumo[[#This Row],[Injetado na rede]]+L65)&gt;balanco_geracao_consumo[[#This Row],[Consumido da rede]],balanco_geracao_consumo[[#This Row],[Consumido da rede]],balanco_geracao_consumo[[#This Row],[Injetado na rede]]+L65))</f>
        <v>491.0976</v>
      </c>
      <c r="N66" s="17">
        <f ca="1">IFERROR(VLOOKUP(balanco_geracao_consumo[[#This Row],[Ano]],$B$321:$C$327,2,FALSE),1)*$E$307*balanco_geracao_consumo[[#This Row],[Energia Fornecida 14.300]]</f>
        <v>58.063170535372798</v>
      </c>
      <c r="O66"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157.3594789561084</v>
      </c>
      <c r="P66" s="13">
        <f ca="1">balanco_geracao_consumo[[#This Row],[Tarifa 14.300]]</f>
        <v>157.3594789561084</v>
      </c>
      <c r="Q66" s="17">
        <f t="shared" ca="1" si="22"/>
        <v>754.41728123023188</v>
      </c>
      <c r="R66" s="17">
        <f t="shared" ca="1" si="27"/>
        <v>-4861.3463422490249</v>
      </c>
    </row>
    <row r="67" spans="1:18">
      <c r="A67">
        <v>2</v>
      </c>
      <c r="B67" s="1" t="s">
        <v>125</v>
      </c>
      <c r="C67">
        <f ca="1">$C$33</f>
        <v>801.79200000000003</v>
      </c>
      <c r="D67" s="14">
        <f ca="1">(IF(balanco_geracao_consumo[[#This Row],[Consumido da rede]]&lt;$C$8,($C$8*$B$307/(1-(IFERROR(INDEX($I$307:$L$307,MATCH(balanco_geracao_consumo[[#This Row],[Consumido da rede]]-0.01,$I$306:$K$306,1)+1),$I$307)+$G$307+$H$307))),(C67*$B$307/(1-(IFERROR(INDEX($I$307:$L$307,MATCH(C67-0.01,$I$306:$K$306,1)+1),$I$307)+$G$307+$H$307))))+IFERROR(INDEX($M$307:$AS$307,MATCH(C67-0.001,$M$306:$AR$306,1)+1),$M$307))*((1+$C$10)^(A67-1))</f>
        <v>1037.0240116415318</v>
      </c>
      <c r="E67" s="17">
        <f ca="1">$H$33*((1-$C$12)^(A67-1))</f>
        <v>919.5976114147046</v>
      </c>
      <c r="F67" s="17">
        <f t="shared" ca="1" si="23"/>
        <v>240.5376</v>
      </c>
      <c r="G67" s="17">
        <f t="shared" ca="1" si="24"/>
        <v>561.25440000000003</v>
      </c>
      <c r="H67" s="17">
        <f t="shared" ca="1" si="25"/>
        <v>679.0600114147046</v>
      </c>
      <c r="I67" s="17">
        <f ca="1">balanco_geracao_consumo[[#This Row],[Injetado na rede]]-balanco_geracao_consumo[[#This Row],[Energia Fornecida]]+I66</f>
        <v>2395.8266000013082</v>
      </c>
      <c r="J67" s="17">
        <f t="shared" ca="1" si="26"/>
        <v>461.25440000000003</v>
      </c>
      <c r="K67"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220.06360182400832</v>
      </c>
      <c r="L67" s="17">
        <f ca="1">balanco_geracao_consumo[[#This Row],[Injetado na rede]]-balanco_geracao_consumo[[#This Row],[Energia Fornecida 14.300]]+L66</f>
        <v>538.38169416148651</v>
      </c>
      <c r="M67" s="17">
        <f ca="1">IF(balanco_geracao_consumo[[#This Row],[Consumido da rede]]&lt;$C$8,0,IF((balanco_geracao_consumo[[#This Row],[Injetado na rede]]+L66)&gt;balanco_geracao_consumo[[#This Row],[Consumido da rede]],balanco_geracao_consumo[[#This Row],[Consumido da rede]],balanco_geracao_consumo[[#This Row],[Injetado na rede]]+L66))</f>
        <v>561.25440000000003</v>
      </c>
      <c r="N67" s="17">
        <f ca="1">IFERROR(VLOOKUP(balanco_geracao_consumo[[#This Row],[Ano]],$B$321:$C$327,2,FALSE),1)*$E$307*balanco_geracao_consumo[[#This Row],[Energia Fornecida 14.300]]</f>
        <v>66.357909183283198</v>
      </c>
      <c r="O67"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181.87440452126688</v>
      </c>
      <c r="P67" s="13">
        <f ca="1">balanco_geracao_consumo[[#This Row],[Tarifa 14.300]]</f>
        <v>181.87440452126688</v>
      </c>
      <c r="Q67" s="17">
        <f t="shared" ca="1" si="22"/>
        <v>855.14960712026493</v>
      </c>
      <c r="R67" s="17">
        <f t="shared" ca="1" si="27"/>
        <v>-4006.1967351287599</v>
      </c>
    </row>
    <row r="68" spans="1:18">
      <c r="A68">
        <v>2</v>
      </c>
      <c r="B68" s="1" t="s">
        <v>126</v>
      </c>
      <c r="C68">
        <f ca="1">$C$34</f>
        <v>1002.24</v>
      </c>
      <c r="D68" s="14">
        <f ca="1">(IF(balanco_geracao_consumo[[#This Row],[Consumido da rede]]&lt;$C$8,($C$8*$B$307/(1-(IFERROR(INDEX($I$307:$L$307,MATCH(balanco_geracao_consumo[[#This Row],[Consumido da rede]]-0.01,$I$306:$K$306,1)+1),$I$307)+$G$307+$H$307))),(C68*$B$307/(1-(IFERROR(INDEX($I$307:$L$307,MATCH(C68-0.01,$I$306:$K$306,1)+1),$I$307)+$G$307+$H$307))))+IFERROR(INDEX($M$307:$AS$307,MATCH(C68-0.001,$M$306:$AR$306,1)+1),$M$307))*((1+$C$10)^(A68-1))</f>
        <v>1318.2195145519147</v>
      </c>
      <c r="E68" s="17">
        <f ca="1">$H$34*((1-$C$12)^(A68-1))</f>
        <v>1089.8825615637115</v>
      </c>
      <c r="F68" s="17">
        <f t="shared" ca="1" si="23"/>
        <v>300.67199999999997</v>
      </c>
      <c r="G68" s="17">
        <f t="shared" ca="1" si="24"/>
        <v>701.56799999999998</v>
      </c>
      <c r="H68" s="17">
        <f t="shared" ca="1" si="25"/>
        <v>789.21056156371151</v>
      </c>
      <c r="I68" s="17">
        <f ca="1">balanco_geracao_consumo[[#This Row],[Injetado na rede]]-balanco_geracao_consumo[[#This Row],[Energia Fornecida]]+I67</f>
        <v>2583.4691615650199</v>
      </c>
      <c r="J68" s="17">
        <f t="shared" ca="1" si="26"/>
        <v>601.56799999999998</v>
      </c>
      <c r="K68"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242.93602792892196</v>
      </c>
      <c r="L68" s="17">
        <f ca="1">balanco_geracao_consumo[[#This Row],[Injetado na rede]]-balanco_geracao_consumo[[#This Row],[Energia Fornecida 14.300]]+L67</f>
        <v>626.02425572519803</v>
      </c>
      <c r="M68" s="17">
        <f ca="1">IF(balanco_geracao_consumo[[#This Row],[Consumido da rede]]&lt;$C$8,0,IF((balanco_geracao_consumo[[#This Row],[Injetado na rede]]+L67)&gt;balanco_geracao_consumo[[#This Row],[Consumido da rede]],balanco_geracao_consumo[[#This Row],[Consumido da rede]],balanco_geracao_consumo[[#This Row],[Injetado na rede]]+L67))</f>
        <v>701.56799999999998</v>
      </c>
      <c r="N68" s="17">
        <f ca="1">IFERROR(VLOOKUP(balanco_geracao_consumo[[#This Row],[Ano]],$B$321:$C$327,2,FALSE),1)*$E$307*balanco_geracao_consumo[[#This Row],[Energia Fornecida 14.300]]</f>
        <v>82.947386479103997</v>
      </c>
      <c r="O68"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222.99525565158339</v>
      </c>
      <c r="P68" s="13">
        <f ca="1">balanco_geracao_consumo[[#This Row],[Tarifa 14.300]]</f>
        <v>222.99525565158339</v>
      </c>
      <c r="Q68" s="17">
        <f t="shared" ca="1" si="22"/>
        <v>1095.2242589003313</v>
      </c>
      <c r="R68" s="17">
        <f t="shared" ca="1" si="27"/>
        <v>-2910.9724762284286</v>
      </c>
    </row>
    <row r="69" spans="1:18">
      <c r="A69">
        <v>3</v>
      </c>
      <c r="B69" s="1" t="s">
        <v>96</v>
      </c>
      <c r="C69">
        <f ca="1">$C$23</f>
        <v>1202.6880000000001</v>
      </c>
      <c r="D69" s="14">
        <f ca="1">(IF(balanco_geracao_consumo[[#This Row],[Consumido da rede]]&lt;$C$8,($C$8*$B$307/(1-(IFERROR(INDEX($I$307:$L$307,MATCH(balanco_geracao_consumo[[#This Row],[Consumido da rede]]-0.01,$I$306:$K$306,1)+1),$I$307)+$G$307+$H$307))),(C69*$B$307/(1-(IFERROR(INDEX($I$307:$L$307,MATCH(C69-0.01,$I$306:$K$306,1)+1),$I$307)+$G$307+$H$307))))+IFERROR(INDEX($M$307:$AS$307,MATCH(C69-0.001,$M$306:$AR$306,1)+1),$M$307))*((1+$C$10)^(A69-1))</f>
        <v>1725.5854192085278</v>
      </c>
      <c r="E69" s="17">
        <f ca="1">$H$23*((1-$C$12)^(A69-1))</f>
        <v>1077.2437877955304</v>
      </c>
      <c r="F69" s="17">
        <f t="shared" ca="1" si="23"/>
        <v>360.8064</v>
      </c>
      <c r="G69" s="17">
        <f t="shared" ca="1" si="24"/>
        <v>841.88160000000016</v>
      </c>
      <c r="H69" s="17">
        <f t="shared" ca="1" si="25"/>
        <v>716.43738779553041</v>
      </c>
      <c r="I69" s="17">
        <f ca="1">balanco_geracao_consumo[[#This Row],[Injetado na rede]]-balanco_geracao_consumo[[#This Row],[Energia Fornecida]]+I68</f>
        <v>2558.0249493605502</v>
      </c>
      <c r="J69" s="17">
        <f t="shared" ca="1" si="26"/>
        <v>741.88160000000016</v>
      </c>
      <c r="K69"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288.50519943721957</v>
      </c>
      <c r="L69" s="17">
        <f ca="1">balanco_geracao_consumo[[#This Row],[Injetado na rede]]-balanco_geracao_consumo[[#This Row],[Energia Fornecida 14.300]]+L68</f>
        <v>500.58004352072828</v>
      </c>
      <c r="M69" s="17">
        <f ca="1">IF(balanco_geracao_consumo[[#This Row],[Consumido da rede]]&lt;$C$8,0,IF((balanco_geracao_consumo[[#This Row],[Injetado na rede]]+L68)&gt;balanco_geracao_consumo[[#This Row],[Consumido da rede]],balanco_geracao_consumo[[#This Row],[Consumido da rede]],balanco_geracao_consumo[[#This Row],[Injetado na rede]]+L68))</f>
        <v>841.88160000000016</v>
      </c>
      <c r="N69" s="17">
        <f ca="1">IFERROR(VLOOKUP(balanco_geracao_consumo[[#This Row],[Ano]],$B$321:$C$327,2,FALSE),1)*$E$307*balanco_geracao_consumo[[#This Row],[Energia Fornecida 14.300]]</f>
        <v>124.42107971865602</v>
      </c>
      <c r="O69"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316.75351875200505</v>
      </c>
      <c r="P69" s="13">
        <f ca="1">balanco_geracao_consumo[[#This Row],[Tarifa 14.300]]</f>
        <v>316.75351875200505</v>
      </c>
      <c r="Q69" s="17">
        <f t="shared" ca="1" si="22"/>
        <v>1408.8319004565228</v>
      </c>
      <c r="R69" s="17">
        <f t="shared" ca="1" si="27"/>
        <v>-1502.1405757719058</v>
      </c>
    </row>
    <row r="70" spans="1:18">
      <c r="A70">
        <v>3</v>
      </c>
      <c r="B70" s="1" t="s">
        <v>98</v>
      </c>
      <c r="C70">
        <f ca="1">$C$24</f>
        <v>1202.6880000000001</v>
      </c>
      <c r="D70" s="14">
        <f ca="1">(IF(balanco_geracao_consumo[[#This Row],[Consumido da rede]]&lt;$C$8,($C$8*$B$307/(1-(IFERROR(INDEX($I$307:$L$307,MATCH(balanco_geracao_consumo[[#This Row],[Consumido da rede]]-0.01,$I$306:$K$306,1)+1),$I$307)+$G$307+$H$307))),(C70*$B$307/(1-(IFERROR(INDEX($I$307:$L$307,MATCH(C70-0.01,$I$306:$K$306,1)+1),$I$307)+$G$307+$H$307))))+IFERROR(INDEX($M$307:$AS$307,MATCH(C70-0.001,$M$306:$AR$306,1)+1),$M$307))*((1+$C$10)^(A70-1))</f>
        <v>1725.5854192085278</v>
      </c>
      <c r="E70" s="17">
        <f ca="1">$H$24*((1-$C$12)^(A70-1))</f>
        <v>1045.5798261414891</v>
      </c>
      <c r="F70" s="17">
        <f t="shared" ca="1" si="23"/>
        <v>360.8064</v>
      </c>
      <c r="G70" s="17">
        <f t="shared" ca="1" si="24"/>
        <v>841.88160000000016</v>
      </c>
      <c r="H70" s="17">
        <f t="shared" ca="1" si="25"/>
        <v>684.77342614148915</v>
      </c>
      <c r="I70" s="17">
        <f ca="1">balanco_geracao_consumo[[#This Row],[Injetado na rede]]-balanco_geracao_consumo[[#This Row],[Energia Fornecida]]+I69</f>
        <v>2500.9167755020389</v>
      </c>
      <c r="J70" s="17">
        <f t="shared" ca="1" si="26"/>
        <v>741.88160000000016</v>
      </c>
      <c r="K70"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288.50519943721957</v>
      </c>
      <c r="L70" s="17">
        <f ca="1">balanco_geracao_consumo[[#This Row],[Injetado na rede]]-balanco_geracao_consumo[[#This Row],[Energia Fornecida 14.300]]+L69</f>
        <v>343.47186966221727</v>
      </c>
      <c r="M70" s="17">
        <f ca="1">IF(balanco_geracao_consumo[[#This Row],[Consumido da rede]]&lt;$C$8,0,IF((balanco_geracao_consumo[[#This Row],[Injetado na rede]]+L69)&gt;balanco_geracao_consumo[[#This Row],[Consumido da rede]],balanco_geracao_consumo[[#This Row],[Consumido da rede]],balanco_geracao_consumo[[#This Row],[Injetado na rede]]+L69))</f>
        <v>841.88160000000016</v>
      </c>
      <c r="N70" s="17">
        <f ca="1">IFERROR(VLOOKUP(balanco_geracao_consumo[[#This Row],[Ano]],$B$321:$C$327,2,FALSE),1)*$E$307*balanco_geracao_consumo[[#This Row],[Energia Fornecida 14.300]]</f>
        <v>124.42107971865602</v>
      </c>
      <c r="O70"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316.75351875200505</v>
      </c>
      <c r="P70" s="13">
        <f ca="1">balanco_geracao_consumo[[#This Row],[Tarifa 14.300]]</f>
        <v>316.75351875200505</v>
      </c>
      <c r="Q70" s="17">
        <f t="shared" ca="1" si="22"/>
        <v>1408.8319004565228</v>
      </c>
      <c r="R70" s="17">
        <f t="shared" ca="1" si="27"/>
        <v>-93.30867531538297</v>
      </c>
    </row>
    <row r="71" spans="1:18">
      <c r="A71">
        <v>3</v>
      </c>
      <c r="B71" s="1" t="s">
        <v>99</v>
      </c>
      <c r="C71">
        <f ca="1">$C$25</f>
        <v>1002.24</v>
      </c>
      <c r="D71" s="14">
        <f ca="1">(IF(balanco_geracao_consumo[[#This Row],[Consumido da rede]]&lt;$C$8,($C$8*$B$307/(1-(IFERROR(INDEX($I$307:$L$307,MATCH(balanco_geracao_consumo[[#This Row],[Consumido da rede]]-0.01,$I$306:$K$306,1)+1),$I$307)+$G$307+$H$307))),(C71*$B$307/(1-(IFERROR(INDEX($I$307:$L$307,MATCH(C71-0.01,$I$306:$K$306,1)+1),$I$307)+$G$307+$H$307))))+IFERROR(INDEX($M$307:$AS$307,MATCH(C71-0.001,$M$306:$AR$306,1)+1),$M$307))*((1+$C$10)^(A71-1))</f>
        <v>1450.0414660071065</v>
      </c>
      <c r="E71" s="17">
        <f ca="1">$H$25*((1-$C$12)^(A71-1))</f>
        <v>910.38270168727138</v>
      </c>
      <c r="F71" s="17">
        <f t="shared" ca="1" si="23"/>
        <v>300.67199999999997</v>
      </c>
      <c r="G71" s="17">
        <f t="shared" ca="1" si="24"/>
        <v>701.56799999999998</v>
      </c>
      <c r="H71" s="17">
        <f t="shared" ca="1" si="25"/>
        <v>609.71070168727147</v>
      </c>
      <c r="I71" s="17">
        <f ca="1">balanco_geracao_consumo[[#This Row],[Injetado na rede]]-balanco_geracao_consumo[[#This Row],[Energia Fornecida]]+I70</f>
        <v>2509.0594771893102</v>
      </c>
      <c r="J71" s="17">
        <f t="shared" ca="1" si="26"/>
        <v>601.56799999999998</v>
      </c>
      <c r="K71"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267.2296307218142</v>
      </c>
      <c r="L71" s="17">
        <f ca="1">balanco_geracao_consumo[[#This Row],[Injetado na rede]]-balanco_geracao_consumo[[#This Row],[Energia Fornecida 14.300]]+L70</f>
        <v>251.61457134948876</v>
      </c>
      <c r="M71" s="17">
        <f ca="1">IF(balanco_geracao_consumo[[#This Row],[Consumido da rede]]&lt;$C$8,0,IF((balanco_geracao_consumo[[#This Row],[Injetado na rede]]+L70)&gt;balanco_geracao_consumo[[#This Row],[Consumido da rede]],balanco_geracao_consumo[[#This Row],[Consumido da rede]],balanco_geracao_consumo[[#This Row],[Injetado na rede]]+L70))</f>
        <v>701.56799999999998</v>
      </c>
      <c r="N71" s="17">
        <f ca="1">IFERROR(VLOOKUP(balanco_geracao_consumo[[#This Row],[Ano]],$B$321:$C$327,2,FALSE),1)*$E$307*balanco_geracao_consumo[[#This Row],[Energia Fornecida 14.300]]</f>
        <v>103.68423309887999</v>
      </c>
      <c r="O71"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270.38636562667068</v>
      </c>
      <c r="P71" s="13">
        <f ca="1">balanco_geracao_consumo[[#This Row],[Tarifa 14.300]]</f>
        <v>270.38636562667068</v>
      </c>
      <c r="Q71" s="17">
        <f t="shared" ca="1" si="22"/>
        <v>1179.6551003804357</v>
      </c>
      <c r="R71" s="17">
        <f t="shared" ca="1" si="27"/>
        <v>1086.3464250650527</v>
      </c>
    </row>
    <row r="72" spans="1:18">
      <c r="A72">
        <v>3</v>
      </c>
      <c r="B72" s="1" t="s">
        <v>103</v>
      </c>
      <c r="C72">
        <f ca="1">$C$26</f>
        <v>902.01600000000008</v>
      </c>
      <c r="D72" s="14">
        <f ca="1">(IF(balanco_geracao_consumo[[#This Row],[Consumido da rede]]&lt;$C$8,($C$8*$B$307/(1-(IFERROR(INDEX($I$307:$L$307,MATCH(balanco_geracao_consumo[[#This Row],[Consumido da rede]]-0.01,$I$306:$K$306,1)+1),$I$307)+$G$307+$H$307))),(C72*$B$307/(1-(IFERROR(INDEX($I$307:$L$307,MATCH(C72-0.01,$I$306:$K$306,1)+1),$I$307)+$G$307+$H$307))))+IFERROR(INDEX($M$307:$AS$307,MATCH(C72-0.001,$M$306:$AR$306,1)+1),$M$307))*((1+$C$10)^(A72-1))</f>
        <v>1278.4983894063957</v>
      </c>
      <c r="E72" s="17">
        <f ca="1">$H$26*((1-$C$12)^(A72-1))</f>
        <v>775.70553540066032</v>
      </c>
      <c r="F72" s="17">
        <f t="shared" ca="1" si="23"/>
        <v>270.60480000000001</v>
      </c>
      <c r="G72" s="17">
        <f t="shared" ca="1" si="24"/>
        <v>631.41120000000001</v>
      </c>
      <c r="H72" s="17">
        <f t="shared" ca="1" si="25"/>
        <v>505.10073540066031</v>
      </c>
      <c r="I72" s="17">
        <f ca="1">balanco_geracao_consumo[[#This Row],[Injetado na rede]]-balanco_geracao_consumo[[#This Row],[Energia Fornecida]]+I71</f>
        <v>2482.7490125899703</v>
      </c>
      <c r="J72" s="17">
        <f t="shared" ca="1" si="26"/>
        <v>531.41120000000001</v>
      </c>
      <c r="K72"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256.59184636411163</v>
      </c>
      <c r="L72" s="17">
        <f ca="1">balanco_geracao_consumo[[#This Row],[Injetado na rede]]-balanco_geracao_consumo[[#This Row],[Energia Fornecida 14.300]]+L71</f>
        <v>125.30410675014906</v>
      </c>
      <c r="M72" s="17">
        <f ca="1">IF(balanco_geracao_consumo[[#This Row],[Consumido da rede]]&lt;$C$8,0,IF((balanco_geracao_consumo[[#This Row],[Injetado na rede]]+L71)&gt;balanco_geracao_consumo[[#This Row],[Consumido da rede]],balanco_geracao_consumo[[#This Row],[Consumido da rede]],balanco_geracao_consumo[[#This Row],[Injetado na rede]]+L71))</f>
        <v>631.41120000000001</v>
      </c>
      <c r="N72" s="17">
        <f ca="1">IFERROR(VLOOKUP(balanco_geracao_consumo[[#This Row],[Ano]],$B$321:$C$327,2,FALSE),1)*$E$307*balanco_geracao_consumo[[#This Row],[Energia Fornecida 14.300]]</f>
        <v>93.315809788991999</v>
      </c>
      <c r="O72"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247.20278906400381</v>
      </c>
      <c r="P72" s="13">
        <f ca="1">balanco_geracao_consumo[[#This Row],[Tarifa 14.300]]</f>
        <v>247.20278906400381</v>
      </c>
      <c r="Q72" s="17">
        <f t="shared" ca="1" si="22"/>
        <v>1031.2956003423919</v>
      </c>
      <c r="R72" s="17">
        <f t="shared" ca="1" si="27"/>
        <v>2117.6420254074446</v>
      </c>
    </row>
    <row r="73" spans="1:18">
      <c r="A73">
        <v>3</v>
      </c>
      <c r="B73" s="1" t="s">
        <v>106</v>
      </c>
      <c r="C73">
        <f ca="1">$C$27</f>
        <v>701.56799999999998</v>
      </c>
      <c r="D73" s="14">
        <f ca="1">(IF(balanco_geracao_consumo[[#This Row],[Consumido da rede]]&lt;$C$8,($C$8*$B$307/(1-(IFERROR(INDEX($I$307:$L$307,MATCH(balanco_geracao_consumo[[#This Row],[Consumido da rede]]-0.01,$I$306:$K$306,1)+1),$I$307)+$G$307+$H$307))),(C73*$B$307/(1-(IFERROR(INDEX($I$307:$L$307,MATCH(C73-0.01,$I$306:$K$306,1)+1),$I$307)+$G$307+$H$307))))+IFERROR(INDEX($M$307:$AS$307,MATCH(C73-0.001,$M$306:$AR$306,1)+1),$M$307))*((1+$C$10)^(A73-1))</f>
        <v>1002.9544362049745</v>
      </c>
      <c r="E73" s="17">
        <f ca="1">$H$27*((1-$C$12)^(A73-1))</f>
        <v>644.21070424651805</v>
      </c>
      <c r="F73" s="17">
        <f t="shared" ca="1" si="23"/>
        <v>210.47039999999998</v>
      </c>
      <c r="G73" s="17">
        <f t="shared" ca="1" si="24"/>
        <v>491.0976</v>
      </c>
      <c r="H73" s="17">
        <f t="shared" ca="1" si="25"/>
        <v>433.74030424651806</v>
      </c>
      <c r="I73" s="17">
        <f ca="1">balanco_geracao_consumo[[#This Row],[Injetado na rede]]-balanco_geracao_consumo[[#This Row],[Energia Fornecida]]+I72</f>
        <v>2525.3917168364883</v>
      </c>
      <c r="J73" s="17">
        <f t="shared" ca="1" si="26"/>
        <v>391.0976</v>
      </c>
      <c r="K73"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225.1401776487065</v>
      </c>
      <c r="L73" s="17">
        <f ca="1">balanco_geracao_consumo[[#This Row],[Injetado na rede]]-balanco_geracao_consumo[[#This Row],[Energia Fornecida 14.300]]+L72</f>
        <v>67.946810996667125</v>
      </c>
      <c r="M73" s="17">
        <f ca="1">IF(balanco_geracao_consumo[[#This Row],[Consumido da rede]]&lt;$C$8,0,IF((balanco_geracao_consumo[[#This Row],[Injetado na rede]]+L72)&gt;balanco_geracao_consumo[[#This Row],[Consumido da rede]],balanco_geracao_consumo[[#This Row],[Consumido da rede]],balanco_geracao_consumo[[#This Row],[Injetado na rede]]+L72))</f>
        <v>491.0976</v>
      </c>
      <c r="N73" s="17">
        <f ca="1">IFERROR(VLOOKUP(balanco_geracao_consumo[[#This Row],[Ano]],$B$321:$C$327,2,FALSE),1)*$E$307*balanco_geracao_consumo[[#This Row],[Energia Fornecida 14.300]]</f>
        <v>72.578963169215996</v>
      </c>
      <c r="O73"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190.65953593866953</v>
      </c>
      <c r="P73" s="13">
        <f ca="1">balanco_geracao_consumo[[#This Row],[Tarifa 14.300]]</f>
        <v>190.65953593866953</v>
      </c>
      <c r="Q73" s="17">
        <f t="shared" ca="1" si="22"/>
        <v>812.29490026630492</v>
      </c>
      <c r="R73" s="17">
        <f t="shared" ca="1" si="27"/>
        <v>2929.9369256737496</v>
      </c>
    </row>
    <row r="74" spans="1:18">
      <c r="A74">
        <v>3</v>
      </c>
      <c r="B74" s="1" t="s">
        <v>114</v>
      </c>
      <c r="C74">
        <f ca="1">$C$28</f>
        <v>601.34400000000005</v>
      </c>
      <c r="D74" s="14">
        <f ca="1">(IF(balanco_geracao_consumo[[#This Row],[Consumido da rede]]&lt;$C$8,($C$8*$B$307/(1-(IFERROR(INDEX($I$307:$L$307,MATCH(balanco_geracao_consumo[[#This Row],[Consumido da rede]]-0.01,$I$306:$K$306,1)+1),$I$307)+$G$307+$H$307))),(C74*$B$307/(1-(IFERROR(INDEX($I$307:$L$307,MATCH(C74-0.01,$I$306:$K$306,1)+1),$I$307)+$G$307+$H$307))))+IFERROR(INDEX($M$307:$AS$307,MATCH(C74-0.001,$M$306:$AR$306,1)+1),$M$307))*((1+$C$10)^(A74-1))</f>
        <v>865.18245960426395</v>
      </c>
      <c r="E74" s="17">
        <f ca="1">$H$28*((1-$C$12)^(A74-1))</f>
        <v>593.75523316688316</v>
      </c>
      <c r="F74" s="17">
        <f t="shared" ca="1" si="23"/>
        <v>180.4032</v>
      </c>
      <c r="G74" s="17">
        <f t="shared" ca="1" si="24"/>
        <v>420.94080000000008</v>
      </c>
      <c r="H74" s="17">
        <f t="shared" ca="1" si="25"/>
        <v>413.35203316688319</v>
      </c>
      <c r="I74" s="17">
        <f ca="1">balanco_geracao_consumo[[#This Row],[Injetado na rede]]-balanco_geracao_consumo[[#This Row],[Energia Fornecida]]+I73</f>
        <v>2617.8029500033713</v>
      </c>
      <c r="J74" s="17">
        <f t="shared" ca="1" si="26"/>
        <v>320.94080000000008</v>
      </c>
      <c r="K74"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214.5023932910039</v>
      </c>
      <c r="L74" s="17">
        <f ca="1">balanco_geracao_consumo[[#This Row],[Injetado na rede]]-balanco_geracao_consumo[[#This Row],[Energia Fornecida 14.300]]+L73</f>
        <v>60.358044163550232</v>
      </c>
      <c r="M74" s="17">
        <f ca="1">IF(balanco_geracao_consumo[[#This Row],[Consumido da rede]]&lt;$C$8,0,IF((balanco_geracao_consumo[[#This Row],[Injetado na rede]]+L73)&gt;balanco_geracao_consumo[[#This Row],[Consumido da rede]],balanco_geracao_consumo[[#This Row],[Consumido da rede]],balanco_geracao_consumo[[#This Row],[Injetado na rede]]+L73))</f>
        <v>420.94080000000008</v>
      </c>
      <c r="N74" s="17">
        <f ca="1">IFERROR(VLOOKUP(balanco_geracao_consumo[[#This Row],[Ano]],$B$321:$C$327,2,FALSE),1)*$E$307*balanco_geracao_consumo[[#This Row],[Energia Fornecida 14.300]]</f>
        <v>62.210539859328009</v>
      </c>
      <c r="O74"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167.47595937600252</v>
      </c>
      <c r="P74" s="13">
        <f ca="1">balanco_geracao_consumo[[#This Row],[Tarifa 14.300]]</f>
        <v>167.47595937600252</v>
      </c>
      <c r="Q74" s="17">
        <f t="shared" ca="1" si="22"/>
        <v>697.70650022826146</v>
      </c>
      <c r="R74" s="17">
        <f t="shared" ca="1" si="27"/>
        <v>3627.6434259020111</v>
      </c>
    </row>
    <row r="75" spans="1:18">
      <c r="A75">
        <v>3</v>
      </c>
      <c r="B75" s="1" t="s">
        <v>119</v>
      </c>
      <c r="C75">
        <f ca="1">$C$29</f>
        <v>601.34400000000005</v>
      </c>
      <c r="D75" s="14">
        <f ca="1">(IF(balanco_geracao_consumo[[#This Row],[Consumido da rede]]&lt;$C$8,($C$8*$B$307/(1-(IFERROR(INDEX($I$307:$L$307,MATCH(balanco_geracao_consumo[[#This Row],[Consumido da rede]]-0.01,$I$306:$K$306,1)+1),$I$307)+$G$307+$H$307))),(C75*$B$307/(1-(IFERROR(INDEX($I$307:$L$307,MATCH(C75-0.01,$I$306:$K$306,1)+1),$I$307)+$G$307+$H$307))))+IFERROR(INDEX($M$307:$AS$307,MATCH(C75-0.001,$M$306:$AR$306,1)+1),$M$307))*((1+$C$10)^(A75-1))</f>
        <v>865.18245960426395</v>
      </c>
      <c r="E75" s="17">
        <f ca="1">$H$29*((1-$C$12)^(A75-1))</f>
        <v>597.55644891616134</v>
      </c>
      <c r="F75" s="17">
        <f t="shared" ca="1" si="23"/>
        <v>180.4032</v>
      </c>
      <c r="G75" s="17">
        <f t="shared" ca="1" si="24"/>
        <v>420.94080000000008</v>
      </c>
      <c r="H75" s="17">
        <f t="shared" ca="1" si="25"/>
        <v>417.15324891616137</v>
      </c>
      <c r="I75" s="17">
        <f ca="1">balanco_geracao_consumo[[#This Row],[Injetado na rede]]-balanco_geracao_consumo[[#This Row],[Energia Fornecida]]+I74</f>
        <v>2714.0153989195323</v>
      </c>
      <c r="J75" s="17">
        <f t="shared" ca="1" si="26"/>
        <v>320.94080000000008</v>
      </c>
      <c r="K75"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214.5023932910039</v>
      </c>
      <c r="L75" s="17">
        <f ca="1">balanco_geracao_consumo[[#This Row],[Injetado na rede]]-balanco_geracao_consumo[[#This Row],[Energia Fornecida 14.300]]+L74</f>
        <v>56.570493079711525</v>
      </c>
      <c r="M75" s="17">
        <f ca="1">IF(balanco_geracao_consumo[[#This Row],[Consumido da rede]]&lt;$C$8,0,IF((balanco_geracao_consumo[[#This Row],[Injetado na rede]]+L74)&gt;balanco_geracao_consumo[[#This Row],[Consumido da rede]],balanco_geracao_consumo[[#This Row],[Consumido da rede]],balanco_geracao_consumo[[#This Row],[Injetado na rede]]+L74))</f>
        <v>420.94080000000008</v>
      </c>
      <c r="N75" s="17">
        <f ca="1">IFERROR(VLOOKUP(balanco_geracao_consumo[[#This Row],[Ano]],$B$321:$C$327,2,FALSE),1)*$E$307*balanco_geracao_consumo[[#This Row],[Energia Fornecida 14.300]]</f>
        <v>62.210539859328009</v>
      </c>
      <c r="O75"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167.47595937600252</v>
      </c>
      <c r="P75" s="13">
        <f ca="1">balanco_geracao_consumo[[#This Row],[Tarifa 14.300]]</f>
        <v>167.47595937600252</v>
      </c>
      <c r="Q75" s="17">
        <f t="shared" ca="1" si="22"/>
        <v>697.70650022826146</v>
      </c>
      <c r="R75" s="17">
        <f t="shared" ca="1" si="27"/>
        <v>4325.3499261302723</v>
      </c>
    </row>
    <row r="76" spans="1:18">
      <c r="A76">
        <v>3</v>
      </c>
      <c r="B76" s="1" t="s">
        <v>122</v>
      </c>
      <c r="C76">
        <f ca="1">$C$30</f>
        <v>701.56799999999998</v>
      </c>
      <c r="D76" s="14">
        <f ca="1">(IF(balanco_geracao_consumo[[#This Row],[Consumido da rede]]&lt;$C$8,($C$8*$B$307/(1-(IFERROR(INDEX($I$307:$L$307,MATCH(balanco_geracao_consumo[[#This Row],[Consumido da rede]]-0.01,$I$306:$K$306,1)+1),$I$307)+$G$307+$H$307))),(C76*$B$307/(1-(IFERROR(INDEX($I$307:$L$307,MATCH(C76-0.01,$I$306:$K$306,1)+1),$I$307)+$G$307+$H$307))))+IFERROR(INDEX($M$307:$AS$307,MATCH(C76-0.001,$M$306:$AR$306,1)+1),$M$307))*((1+$C$10)^(A76-1))</f>
        <v>1002.9544362049745</v>
      </c>
      <c r="E76" s="17">
        <f ca="1">$H$30*((1-$C$12)^(A76-1))</f>
        <v>769.93255149937625</v>
      </c>
      <c r="F76" s="17">
        <f t="shared" ca="1" si="23"/>
        <v>210.47039999999998</v>
      </c>
      <c r="G76" s="17">
        <f t="shared" ca="1" si="24"/>
        <v>491.0976</v>
      </c>
      <c r="H76" s="17">
        <f t="shared" ca="1" si="25"/>
        <v>559.4621514993762</v>
      </c>
      <c r="I76" s="17">
        <f ca="1">balanco_geracao_consumo[[#This Row],[Injetado na rede]]-balanco_geracao_consumo[[#This Row],[Energia Fornecida]]+I75</f>
        <v>2882.3799504189087</v>
      </c>
      <c r="J76" s="17">
        <f t="shared" ca="1" si="26"/>
        <v>391.0976</v>
      </c>
      <c r="K76"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225.1401776487065</v>
      </c>
      <c r="L76" s="17">
        <f ca="1">balanco_geracao_consumo[[#This Row],[Injetado na rede]]-balanco_geracao_consumo[[#This Row],[Energia Fornecida 14.300]]+L75</f>
        <v>124.93504457908773</v>
      </c>
      <c r="M76" s="17">
        <f ca="1">IF(balanco_geracao_consumo[[#This Row],[Consumido da rede]]&lt;$C$8,0,IF((balanco_geracao_consumo[[#This Row],[Injetado na rede]]+L75)&gt;balanco_geracao_consumo[[#This Row],[Consumido da rede]],balanco_geracao_consumo[[#This Row],[Consumido da rede]],balanco_geracao_consumo[[#This Row],[Injetado na rede]]+L75))</f>
        <v>491.0976</v>
      </c>
      <c r="N76" s="17">
        <f ca="1">IFERROR(VLOOKUP(balanco_geracao_consumo[[#This Row],[Ano]],$B$321:$C$327,2,FALSE),1)*$E$307*balanco_geracao_consumo[[#This Row],[Energia Fornecida 14.300]]</f>
        <v>72.578963169215996</v>
      </c>
      <c r="O76"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190.65953593866953</v>
      </c>
      <c r="P76" s="13">
        <f ca="1">balanco_geracao_consumo[[#This Row],[Tarifa 14.300]]</f>
        <v>190.65953593866953</v>
      </c>
      <c r="Q76" s="17">
        <f t="shared" ref="Q76:Q107" ca="1" si="28">D76-P76</f>
        <v>812.29490026630492</v>
      </c>
      <c r="R76" s="17">
        <f t="shared" ca="1" si="27"/>
        <v>5137.6448263965776</v>
      </c>
    </row>
    <row r="77" spans="1:18">
      <c r="A77">
        <v>3</v>
      </c>
      <c r="B77" s="1" t="s">
        <v>123</v>
      </c>
      <c r="C77">
        <f ca="1">$C$31</f>
        <v>701.56799999999998</v>
      </c>
      <c r="D77" s="14">
        <f ca="1">(IF(balanco_geracao_consumo[[#This Row],[Consumido da rede]]&lt;$C$8,($C$8*$B$307/(1-(IFERROR(INDEX($I$307:$L$307,MATCH(balanco_geracao_consumo[[#This Row],[Consumido da rede]]-0.01,$I$306:$K$306,1)+1),$I$307)+$G$307+$H$307))),(C77*$B$307/(1-(IFERROR(INDEX($I$307:$L$307,MATCH(C77-0.01,$I$306:$K$306,1)+1),$I$307)+$G$307+$H$307))))+IFERROR(INDEX($M$307:$AS$307,MATCH(C77-0.001,$M$306:$AR$306,1)+1),$M$307))*((1+$C$10)^(A77-1))</f>
        <v>1002.9544362049745</v>
      </c>
      <c r="E77" s="17">
        <f ca="1">$H$31*((1-$C$12)^(A77-1))</f>
        <v>759.92821771066349</v>
      </c>
      <c r="F77" s="17">
        <f t="shared" ref="F77:F108" ca="1" si="29">MIN(C77*$A$9,E77)</f>
        <v>210.47039999999998</v>
      </c>
      <c r="G77" s="17">
        <f t="shared" ref="G77:G108" ca="1" si="30">C77-F77</f>
        <v>491.0976</v>
      </c>
      <c r="H77" s="17">
        <f t="shared" ref="H77:H108" ca="1" si="31">IF(E77&lt;F77,0,E77-F77)</f>
        <v>549.45781771066345</v>
      </c>
      <c r="I77" s="17">
        <f ca="1">balanco_geracao_consumo[[#This Row],[Injetado na rede]]-balanco_geracao_consumo[[#This Row],[Energia Fornecida]]+I76</f>
        <v>3040.7401681295723</v>
      </c>
      <c r="J77" s="17">
        <f t="shared" ref="J77:J108" ca="1" si="32">IF((G77-H77)&lt;$C$8,MAX(G77-$C$8,0),IF(I76-(G77-H77-$C$8)&lt;0,I76+H77,G77-$C$8))</f>
        <v>391.0976</v>
      </c>
      <c r="K77"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225.1401776487065</v>
      </c>
      <c r="L77" s="17">
        <f ca="1">balanco_geracao_consumo[[#This Row],[Injetado na rede]]-balanco_geracao_consumo[[#This Row],[Energia Fornecida 14.300]]+L76</f>
        <v>183.29526228975118</v>
      </c>
      <c r="M77" s="17">
        <f ca="1">IF(balanco_geracao_consumo[[#This Row],[Consumido da rede]]&lt;$C$8,0,IF((balanco_geracao_consumo[[#This Row],[Injetado na rede]]+L76)&gt;balanco_geracao_consumo[[#This Row],[Consumido da rede]],balanco_geracao_consumo[[#This Row],[Consumido da rede]],balanco_geracao_consumo[[#This Row],[Injetado na rede]]+L76))</f>
        <v>491.0976</v>
      </c>
      <c r="N77" s="17">
        <f ca="1">IFERROR(VLOOKUP(balanco_geracao_consumo[[#This Row],[Ano]],$B$321:$C$327,2,FALSE),1)*$E$307*balanco_geracao_consumo[[#This Row],[Energia Fornecida 14.300]]</f>
        <v>72.578963169215996</v>
      </c>
      <c r="O77"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190.65953593866953</v>
      </c>
      <c r="P77" s="13">
        <f ca="1">balanco_geracao_consumo[[#This Row],[Tarifa 14.300]]</f>
        <v>190.65953593866953</v>
      </c>
      <c r="Q77" s="17">
        <f t="shared" ca="1" si="28"/>
        <v>812.29490026630492</v>
      </c>
      <c r="R77" s="17">
        <f t="shared" ref="R77:R108" ca="1" si="33">R76+Q77</f>
        <v>5949.9397266628821</v>
      </c>
    </row>
    <row r="78" spans="1:18">
      <c r="A78">
        <v>3</v>
      </c>
      <c r="B78" s="1" t="s">
        <v>124</v>
      </c>
      <c r="C78">
        <f ca="1">$C$32</f>
        <v>701.56799999999998</v>
      </c>
      <c r="D78" s="14">
        <f ca="1">(IF(balanco_geracao_consumo[[#This Row],[Consumido da rede]]&lt;$C$8,($C$8*$B$307/(1-(IFERROR(INDEX($I$307:$L$307,MATCH(balanco_geracao_consumo[[#This Row],[Consumido da rede]]-0.01,$I$306:$K$306,1)+1),$I$307)+$G$307+$H$307))),(C78*$B$307/(1-(IFERROR(INDEX($I$307:$L$307,MATCH(C78-0.01,$I$306:$K$306,1)+1),$I$307)+$G$307+$H$307))))+IFERROR(INDEX($M$307:$AS$307,MATCH(C78-0.001,$M$306:$AR$306,1)+1),$M$307))*((1+$C$10)^(A78-1))</f>
        <v>1002.9544362049745</v>
      </c>
      <c r="E78" s="17">
        <f ca="1">$H$32*((1-$C$12)^(A78-1))</f>
        <v>911.54102760718945</v>
      </c>
      <c r="F78" s="17">
        <f t="shared" ca="1" si="29"/>
        <v>210.47039999999998</v>
      </c>
      <c r="G78" s="17">
        <f t="shared" ca="1" si="30"/>
        <v>491.0976</v>
      </c>
      <c r="H78" s="17">
        <f t="shared" ca="1" si="31"/>
        <v>701.07062760718941</v>
      </c>
      <c r="I78" s="17">
        <f ca="1">balanco_geracao_consumo[[#This Row],[Injetado na rede]]-balanco_geracao_consumo[[#This Row],[Energia Fornecida]]+I77</f>
        <v>3350.7131957367619</v>
      </c>
      <c r="J78" s="17">
        <f t="shared" ca="1" si="32"/>
        <v>391.0976</v>
      </c>
      <c r="K78"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225.1401776487065</v>
      </c>
      <c r="L78" s="17">
        <f ca="1">balanco_geracao_consumo[[#This Row],[Injetado na rede]]-balanco_geracao_consumo[[#This Row],[Energia Fornecida 14.300]]+L77</f>
        <v>393.26828989694059</v>
      </c>
      <c r="M78" s="17">
        <f ca="1">IF(balanco_geracao_consumo[[#This Row],[Consumido da rede]]&lt;$C$8,0,IF((balanco_geracao_consumo[[#This Row],[Injetado na rede]]+L77)&gt;balanco_geracao_consumo[[#This Row],[Consumido da rede]],balanco_geracao_consumo[[#This Row],[Consumido da rede]],balanco_geracao_consumo[[#This Row],[Injetado na rede]]+L77))</f>
        <v>491.0976</v>
      </c>
      <c r="N78" s="17">
        <f ca="1">IFERROR(VLOOKUP(balanco_geracao_consumo[[#This Row],[Ano]],$B$321:$C$327,2,FALSE),1)*$E$307*balanco_geracao_consumo[[#This Row],[Energia Fornecida 14.300]]</f>
        <v>72.578963169215996</v>
      </c>
      <c r="O78"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190.65953593866953</v>
      </c>
      <c r="P78" s="13">
        <f ca="1">balanco_geracao_consumo[[#This Row],[Tarifa 14.300]]</f>
        <v>190.65953593866953</v>
      </c>
      <c r="Q78" s="17">
        <f t="shared" ca="1" si="28"/>
        <v>812.29490026630492</v>
      </c>
      <c r="R78" s="17">
        <f t="shared" ca="1" si="33"/>
        <v>6762.2346269291866</v>
      </c>
    </row>
    <row r="79" spans="1:18">
      <c r="A79">
        <v>3</v>
      </c>
      <c r="B79" s="1" t="s">
        <v>125</v>
      </c>
      <c r="C79">
        <f ca="1">$C$33</f>
        <v>801.79200000000003</v>
      </c>
      <c r="D79" s="14">
        <f ca="1">(IF(balanco_geracao_consumo[[#This Row],[Consumido da rede]]&lt;$C$8,($C$8*$B$307/(1-(IFERROR(INDEX($I$307:$L$307,MATCH(balanco_geracao_consumo[[#This Row],[Consumido da rede]]-0.01,$I$306:$K$306,1)+1),$I$307)+$G$307+$H$307))),(C79*$B$307/(1-(IFERROR(INDEX($I$307:$L$307,MATCH(C79-0.01,$I$306:$K$306,1)+1),$I$307)+$G$307+$H$307))))+IFERROR(INDEX($M$307:$AS$307,MATCH(C79-0.001,$M$306:$AR$306,1)+1),$M$307))*((1+$C$10)^(A79-1))</f>
        <v>1140.7264128056852</v>
      </c>
      <c r="E79" s="17">
        <f ca="1">$H$33*((1-$C$12)^(A79-1))</f>
        <v>913.16042813480169</v>
      </c>
      <c r="F79" s="17">
        <f t="shared" ca="1" si="29"/>
        <v>240.5376</v>
      </c>
      <c r="G79" s="17">
        <f t="shared" ca="1" si="30"/>
        <v>561.25440000000003</v>
      </c>
      <c r="H79" s="17">
        <f t="shared" ca="1" si="31"/>
        <v>672.62282813480169</v>
      </c>
      <c r="I79" s="17">
        <f ca="1">balanco_geracao_consumo[[#This Row],[Injetado na rede]]-balanco_geracao_consumo[[#This Row],[Energia Fornecida]]+I78</f>
        <v>3562.0816238715634</v>
      </c>
      <c r="J79" s="17">
        <f t="shared" ca="1" si="32"/>
        <v>461.25440000000003</v>
      </c>
      <c r="K79"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242.06996200640916</v>
      </c>
      <c r="L79" s="17">
        <f ca="1">balanco_geracao_consumo[[#This Row],[Injetado na rede]]-balanco_geracao_consumo[[#This Row],[Energia Fornecida 14.300]]+L78</f>
        <v>504.63671803174225</v>
      </c>
      <c r="M79" s="17">
        <f ca="1">IF(balanco_geracao_consumo[[#This Row],[Consumido da rede]]&lt;$C$8,0,IF((balanco_geracao_consumo[[#This Row],[Injetado na rede]]+L78)&gt;balanco_geracao_consumo[[#This Row],[Consumido da rede]],balanco_geracao_consumo[[#This Row],[Consumido da rede]],balanco_geracao_consumo[[#This Row],[Injetado na rede]]+L78))</f>
        <v>561.25440000000003</v>
      </c>
      <c r="N79" s="17">
        <f ca="1">IFERROR(VLOOKUP(balanco_geracao_consumo[[#This Row],[Ano]],$B$321:$C$327,2,FALSE),1)*$E$307*balanco_geracao_consumo[[#This Row],[Energia Fornecida 14.300]]</f>
        <v>82.947386479103997</v>
      </c>
      <c r="O79"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220.13511250133675</v>
      </c>
      <c r="P79" s="13">
        <f ca="1">balanco_geracao_consumo[[#This Row],[Tarifa 14.300]]</f>
        <v>220.13511250133675</v>
      </c>
      <c r="Q79" s="17">
        <f t="shared" ca="1" si="28"/>
        <v>920.59130030434847</v>
      </c>
      <c r="R79" s="17">
        <f t="shared" ca="1" si="33"/>
        <v>7682.8259272335354</v>
      </c>
    </row>
    <row r="80" spans="1:18">
      <c r="A80">
        <v>3</v>
      </c>
      <c r="B80" s="1" t="s">
        <v>126</v>
      </c>
      <c r="C80">
        <f ca="1">$C$34</f>
        <v>1002.24</v>
      </c>
      <c r="D80" s="14">
        <f ca="1">(IF(balanco_geracao_consumo[[#This Row],[Consumido da rede]]&lt;$C$8,($C$8*$B$307/(1-(IFERROR(INDEX($I$307:$L$307,MATCH(balanco_geracao_consumo[[#This Row],[Consumido da rede]]-0.01,$I$306:$K$306,1)+1),$I$307)+$G$307+$H$307))),(C80*$B$307/(1-(IFERROR(INDEX($I$307:$L$307,MATCH(C80-0.01,$I$306:$K$306,1)+1),$I$307)+$G$307+$H$307))))+IFERROR(INDEX($M$307:$AS$307,MATCH(C80-0.001,$M$306:$AR$306,1)+1),$M$307))*((1+$C$10)^(A80-1))</f>
        <v>1450.0414660071065</v>
      </c>
      <c r="E80" s="17">
        <f ca="1">$H$34*((1-$C$12)^(A80-1))</f>
        <v>1082.2533836327655</v>
      </c>
      <c r="F80" s="17">
        <f t="shared" ca="1" si="29"/>
        <v>300.67199999999997</v>
      </c>
      <c r="G80" s="17">
        <f t="shared" ca="1" si="30"/>
        <v>701.56799999999998</v>
      </c>
      <c r="H80" s="17">
        <f t="shared" ca="1" si="31"/>
        <v>781.58138363276544</v>
      </c>
      <c r="I80" s="17">
        <f ca="1">balanco_geracao_consumo[[#This Row],[Injetado na rede]]-balanco_geracao_consumo[[#This Row],[Energia Fornecida]]+I79</f>
        <v>3742.0950075043288</v>
      </c>
      <c r="J80" s="17">
        <f t="shared" ca="1" si="32"/>
        <v>601.56799999999998</v>
      </c>
      <c r="K80"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267.2296307218142</v>
      </c>
      <c r="L80" s="17">
        <f ca="1">balanco_geracao_consumo[[#This Row],[Injetado na rede]]-balanco_geracao_consumo[[#This Row],[Energia Fornecida 14.300]]+L79</f>
        <v>584.6501016645077</v>
      </c>
      <c r="M80" s="17">
        <f ca="1">IF(balanco_geracao_consumo[[#This Row],[Consumido da rede]]&lt;$C$8,0,IF((balanco_geracao_consumo[[#This Row],[Injetado na rede]]+L79)&gt;balanco_geracao_consumo[[#This Row],[Consumido da rede]],balanco_geracao_consumo[[#This Row],[Consumido da rede]],balanco_geracao_consumo[[#This Row],[Injetado na rede]]+L79))</f>
        <v>701.56799999999998</v>
      </c>
      <c r="N80" s="17">
        <f ca="1">IFERROR(VLOOKUP(balanco_geracao_consumo[[#This Row],[Ano]],$B$321:$C$327,2,FALSE),1)*$E$307*balanco_geracao_consumo[[#This Row],[Energia Fornecida 14.300]]</f>
        <v>103.68423309887999</v>
      </c>
      <c r="O80"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270.38636562667068</v>
      </c>
      <c r="P80" s="13">
        <f ca="1">balanco_geracao_consumo[[#This Row],[Tarifa 14.300]]</f>
        <v>270.38636562667068</v>
      </c>
      <c r="Q80" s="17">
        <f t="shared" ca="1" si="28"/>
        <v>1179.6551003804357</v>
      </c>
      <c r="R80" s="17">
        <f t="shared" ca="1" si="33"/>
        <v>8862.4810276139706</v>
      </c>
    </row>
    <row r="81" spans="1:18">
      <c r="A81">
        <v>4</v>
      </c>
      <c r="B81" s="1" t="s">
        <v>96</v>
      </c>
      <c r="C81">
        <f ca="1">$C$23</f>
        <v>1202.6880000000001</v>
      </c>
      <c r="D81" s="14">
        <f ca="1">(IF(balanco_geracao_consumo[[#This Row],[Consumido da rede]]&lt;$C$8,($C$8*$B$307/(1-(IFERROR(INDEX($I$307:$L$307,MATCH(balanco_geracao_consumo[[#This Row],[Consumido da rede]]-0.01,$I$306:$K$306,1)+1),$I$307)+$G$307+$H$307))),(C81*$B$307/(1-(IFERROR(INDEX($I$307:$L$307,MATCH(C81-0.01,$I$306:$K$306,1)+1),$I$307)+$G$307+$H$307))))+IFERROR(INDEX($M$307:$AS$307,MATCH(C81-0.001,$M$306:$AR$306,1)+1),$M$307))*((1+$C$10)^(A81-1))</f>
        <v>1898.1439611293808</v>
      </c>
      <c r="E81" s="17">
        <f ca="1">$H$23*((1-$C$12)^(A81-1))</f>
        <v>1069.7030812809614</v>
      </c>
      <c r="F81" s="17">
        <f t="shared" ca="1" si="29"/>
        <v>360.8064</v>
      </c>
      <c r="G81" s="17">
        <f t="shared" ca="1" si="30"/>
        <v>841.88160000000016</v>
      </c>
      <c r="H81" s="17">
        <f t="shared" ca="1" si="31"/>
        <v>708.8966812809615</v>
      </c>
      <c r="I81" s="17">
        <f ca="1">balanco_geracao_consumo[[#This Row],[Injetado na rede]]-balanco_geracao_consumo[[#This Row],[Energia Fornecida]]+I80</f>
        <v>3709.1100887852899</v>
      </c>
      <c r="J81" s="17">
        <f t="shared" ca="1" si="32"/>
        <v>741.88160000000016</v>
      </c>
      <c r="K81"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317.35571938094159</v>
      </c>
      <c r="L81" s="17">
        <f ca="1">balanco_geracao_consumo[[#This Row],[Injetado na rede]]-balanco_geracao_consumo[[#This Row],[Energia Fornecida 14.300]]+L80</f>
        <v>451.66518294546904</v>
      </c>
      <c r="M81" s="17">
        <f ca="1">IF(balanco_geracao_consumo[[#This Row],[Consumido da rede]]&lt;$C$8,0,IF((balanco_geracao_consumo[[#This Row],[Injetado na rede]]+L80)&gt;balanco_geracao_consumo[[#This Row],[Consumido da rede]],balanco_geracao_consumo[[#This Row],[Consumido da rede]],balanco_geracao_consumo[[#This Row],[Injetado na rede]]+L80))</f>
        <v>841.88160000000016</v>
      </c>
      <c r="N81" s="17">
        <f ca="1">IFERROR(VLOOKUP(balanco_geracao_consumo[[#This Row],[Ano]],$B$321:$C$327,2,FALSE),1)*$E$307*balanco_geracao_consumo[[#This Row],[Energia Fornecida 14.300]]</f>
        <v>149.30529566238724</v>
      </c>
      <c r="O81"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381.54976204831189</v>
      </c>
      <c r="P81" s="13">
        <f ca="1">balanco_geracao_consumo[[#This Row],[Tarifa 14.300]]</f>
        <v>381.54976204831189</v>
      </c>
      <c r="Q81" s="17">
        <f t="shared" ca="1" si="28"/>
        <v>1516.5941990810688</v>
      </c>
      <c r="R81" s="17">
        <f t="shared" ca="1" si="33"/>
        <v>10379.07522669504</v>
      </c>
    </row>
    <row r="82" spans="1:18">
      <c r="A82">
        <v>4</v>
      </c>
      <c r="B82" s="1" t="s">
        <v>98</v>
      </c>
      <c r="C82">
        <f ca="1">$C$24</f>
        <v>1202.6880000000001</v>
      </c>
      <c r="D82" s="14">
        <f ca="1">(IF(balanco_geracao_consumo[[#This Row],[Consumido da rede]]&lt;$C$8,($C$8*$B$307/(1-(IFERROR(INDEX($I$307:$L$307,MATCH(balanco_geracao_consumo[[#This Row],[Consumido da rede]]-0.01,$I$306:$K$306,1)+1),$I$307)+$G$307+$H$307))),(C82*$B$307/(1-(IFERROR(INDEX($I$307:$L$307,MATCH(C82-0.01,$I$306:$K$306,1)+1),$I$307)+$G$307+$H$307))))+IFERROR(INDEX($M$307:$AS$307,MATCH(C82-0.001,$M$306:$AR$306,1)+1),$M$307))*((1+$C$10)^(A82-1))</f>
        <v>1898.1439611293808</v>
      </c>
      <c r="E82" s="17">
        <f ca="1">$H$24*((1-$C$12)^(A82-1))</f>
        <v>1038.2607673584987</v>
      </c>
      <c r="F82" s="17">
        <f t="shared" ca="1" si="29"/>
        <v>360.8064</v>
      </c>
      <c r="G82" s="17">
        <f t="shared" ca="1" si="30"/>
        <v>841.88160000000016</v>
      </c>
      <c r="H82" s="17">
        <f t="shared" ca="1" si="31"/>
        <v>677.45436735849876</v>
      </c>
      <c r="I82" s="17">
        <f ca="1">balanco_geracao_consumo[[#This Row],[Injetado na rede]]-balanco_geracao_consumo[[#This Row],[Energia Fornecida]]+I81</f>
        <v>3644.6828561437887</v>
      </c>
      <c r="J82" s="17">
        <f t="shared" ca="1" si="32"/>
        <v>741.88160000000016</v>
      </c>
      <c r="K82"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317.35571938094159</v>
      </c>
      <c r="L82" s="17">
        <f ca="1">balanco_geracao_consumo[[#This Row],[Injetado na rede]]-balanco_geracao_consumo[[#This Row],[Energia Fornecida 14.300]]+L81</f>
        <v>287.23795030396764</v>
      </c>
      <c r="M82" s="17">
        <f ca="1">IF(balanco_geracao_consumo[[#This Row],[Consumido da rede]]&lt;$C$8,0,IF((balanco_geracao_consumo[[#This Row],[Injetado na rede]]+L81)&gt;balanco_geracao_consumo[[#This Row],[Consumido da rede]],balanco_geracao_consumo[[#This Row],[Consumido da rede]],balanco_geracao_consumo[[#This Row],[Injetado na rede]]+L81))</f>
        <v>841.88160000000016</v>
      </c>
      <c r="N82" s="17">
        <f ca="1">IFERROR(VLOOKUP(balanco_geracao_consumo[[#This Row],[Ano]],$B$321:$C$327,2,FALSE),1)*$E$307*balanco_geracao_consumo[[#This Row],[Energia Fornecida 14.300]]</f>
        <v>149.30529566238724</v>
      </c>
      <c r="O82"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381.54976204831189</v>
      </c>
      <c r="P82" s="13">
        <f ca="1">balanco_geracao_consumo[[#This Row],[Tarifa 14.300]]</f>
        <v>381.54976204831189</v>
      </c>
      <c r="Q82" s="17">
        <f t="shared" ca="1" si="28"/>
        <v>1516.5941990810688</v>
      </c>
      <c r="R82" s="17">
        <f t="shared" ca="1" si="33"/>
        <v>11895.669425776108</v>
      </c>
    </row>
    <row r="83" spans="1:18">
      <c r="A83">
        <v>4</v>
      </c>
      <c r="B83" s="1" t="s">
        <v>99</v>
      </c>
      <c r="C83">
        <f ca="1">$C$25</f>
        <v>1002.24</v>
      </c>
      <c r="D83" s="14">
        <f ca="1">(IF(balanco_geracao_consumo[[#This Row],[Consumido da rede]]&lt;$C$8,($C$8*$B$307/(1-(IFERROR(INDEX($I$307:$L$307,MATCH(balanco_geracao_consumo[[#This Row],[Consumido da rede]]-0.01,$I$306:$K$306,1)+1),$I$307)+$G$307+$H$307))),(C83*$B$307/(1-(IFERROR(INDEX($I$307:$L$307,MATCH(C83-0.01,$I$306:$K$306,1)+1),$I$307)+$G$307+$H$307))))+IFERROR(INDEX($M$307:$AS$307,MATCH(C83-0.001,$M$306:$AR$306,1)+1),$M$307))*((1+$C$10)^(A83-1))</f>
        <v>1595.0456126078172</v>
      </c>
      <c r="E83" s="17">
        <f ca="1">$H$25*((1-$C$12)^(A83-1))</f>
        <v>904.01002277546047</v>
      </c>
      <c r="F83" s="17">
        <f t="shared" ca="1" si="29"/>
        <v>300.67199999999997</v>
      </c>
      <c r="G83" s="17">
        <f t="shared" ca="1" si="30"/>
        <v>701.56799999999998</v>
      </c>
      <c r="H83" s="17">
        <f t="shared" ca="1" si="31"/>
        <v>603.33802277546056</v>
      </c>
      <c r="I83" s="17">
        <f ca="1">balanco_geracao_consumo[[#This Row],[Injetado na rede]]-balanco_geracao_consumo[[#This Row],[Energia Fornecida]]+I82</f>
        <v>3646.4528789192491</v>
      </c>
      <c r="J83" s="17">
        <f t="shared" ca="1" si="32"/>
        <v>601.56799999999998</v>
      </c>
      <c r="K83"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293.95259379399562</v>
      </c>
      <c r="L83" s="17">
        <f ca="1">balanco_geracao_consumo[[#This Row],[Injetado na rede]]-balanco_geracao_consumo[[#This Row],[Energia Fornecida 14.300]]+L82</f>
        <v>189.00797307942821</v>
      </c>
      <c r="M83" s="17">
        <f ca="1">IF(balanco_geracao_consumo[[#This Row],[Consumido da rede]]&lt;$C$8,0,IF((balanco_geracao_consumo[[#This Row],[Injetado na rede]]+L82)&gt;balanco_geracao_consumo[[#This Row],[Consumido da rede]],balanco_geracao_consumo[[#This Row],[Consumido da rede]],balanco_geracao_consumo[[#This Row],[Injetado na rede]]+L82))</f>
        <v>701.56799999999998</v>
      </c>
      <c r="N83" s="17">
        <f ca="1">IFERROR(VLOOKUP(balanco_geracao_consumo[[#This Row],[Ano]],$B$321:$C$327,2,FALSE),1)*$E$307*balanco_geracao_consumo[[#This Row],[Energia Fornecida 14.300]]</f>
        <v>124.421079718656</v>
      </c>
      <c r="O83"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325.02574504025972</v>
      </c>
      <c r="P83" s="13">
        <f ca="1">balanco_geracao_consumo[[#This Row],[Tarifa 14.300]]</f>
        <v>325.02574504025972</v>
      </c>
      <c r="Q83" s="17">
        <f t="shared" ca="1" si="28"/>
        <v>1270.0198675675574</v>
      </c>
      <c r="R83" s="17">
        <f t="shared" ca="1" si="33"/>
        <v>13165.689293343665</v>
      </c>
    </row>
    <row r="84" spans="1:18">
      <c r="A84">
        <v>4</v>
      </c>
      <c r="B84" s="1" t="s">
        <v>103</v>
      </c>
      <c r="C84">
        <f ca="1">$C$26</f>
        <v>902.01600000000008</v>
      </c>
      <c r="D84" s="14">
        <f ca="1">(IF(balanco_geracao_consumo[[#This Row],[Consumido da rede]]&lt;$C$8,($C$8*$B$307/(1-(IFERROR(INDEX($I$307:$L$307,MATCH(balanco_geracao_consumo[[#This Row],[Consumido da rede]]-0.01,$I$306:$K$306,1)+1),$I$307)+$G$307+$H$307))),(C84*$B$307/(1-(IFERROR(INDEX($I$307:$L$307,MATCH(C84-0.01,$I$306:$K$306,1)+1),$I$307)+$G$307+$H$307))))+IFERROR(INDEX($M$307:$AS$307,MATCH(C84-0.001,$M$306:$AR$306,1)+1),$M$307))*((1+$C$10)^(A84-1))</f>
        <v>1406.3482283470355</v>
      </c>
      <c r="E84" s="17">
        <f ca="1">$H$26*((1-$C$12)^(A84-1))</f>
        <v>770.2755966528556</v>
      </c>
      <c r="F84" s="17">
        <f t="shared" ca="1" si="29"/>
        <v>270.60480000000001</v>
      </c>
      <c r="G84" s="17">
        <f t="shared" ca="1" si="30"/>
        <v>631.41120000000001</v>
      </c>
      <c r="H84" s="17">
        <f t="shared" ca="1" si="31"/>
        <v>499.67079665285559</v>
      </c>
      <c r="I84" s="17">
        <f ca="1">balanco_geracao_consumo[[#This Row],[Injetado na rede]]-balanco_geracao_consumo[[#This Row],[Energia Fornecida]]+I83</f>
        <v>3614.7124755721047</v>
      </c>
      <c r="J84" s="17">
        <f t="shared" ca="1" si="32"/>
        <v>531.41120000000001</v>
      </c>
      <c r="K84"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282.25103100052286</v>
      </c>
      <c r="L84" s="17">
        <f ca="1">balanco_geracao_consumo[[#This Row],[Injetado na rede]]-balanco_geracao_consumo[[#This Row],[Energia Fornecida 14.300]]+L83</f>
        <v>57.267569732283789</v>
      </c>
      <c r="M84" s="17">
        <f ca="1">IF(balanco_geracao_consumo[[#This Row],[Consumido da rede]]&lt;$C$8,0,IF((balanco_geracao_consumo[[#This Row],[Injetado na rede]]+L83)&gt;balanco_geracao_consumo[[#This Row],[Consumido da rede]],balanco_geracao_consumo[[#This Row],[Consumido da rede]],balanco_geracao_consumo[[#This Row],[Injetado na rede]]+L83))</f>
        <v>631.41120000000001</v>
      </c>
      <c r="N84" s="17">
        <f ca="1">IFERROR(VLOOKUP(balanco_geracao_consumo[[#This Row],[Ano]],$B$321:$C$327,2,FALSE),1)*$E$307*balanco_geracao_consumo[[#This Row],[Energia Fornecida 14.300]]</f>
        <v>111.97897174679041</v>
      </c>
      <c r="O84"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296.76373653623392</v>
      </c>
      <c r="P84" s="13">
        <f ca="1">balanco_geracao_consumo[[#This Row],[Tarifa 14.300]]</f>
        <v>296.76373653623392</v>
      </c>
      <c r="Q84" s="17">
        <f t="shared" ca="1" si="28"/>
        <v>1109.5844918108016</v>
      </c>
      <c r="R84" s="17">
        <f t="shared" ca="1" si="33"/>
        <v>14275.273785154466</v>
      </c>
    </row>
    <row r="85" spans="1:18">
      <c r="A85">
        <v>4</v>
      </c>
      <c r="B85" s="1" t="s">
        <v>106</v>
      </c>
      <c r="C85">
        <f ca="1">$C$27</f>
        <v>701.56799999999998</v>
      </c>
      <c r="D85" s="14">
        <f ca="1">(IF(balanco_geracao_consumo[[#This Row],[Consumido da rede]]&lt;$C$8,($C$8*$B$307/(1-(IFERROR(INDEX($I$307:$L$307,MATCH(balanco_geracao_consumo[[#This Row],[Consumido da rede]]-0.01,$I$306:$K$306,1)+1),$I$307)+$G$307+$H$307))),(C85*$B$307/(1-(IFERROR(INDEX($I$307:$L$307,MATCH(C85-0.01,$I$306:$K$306,1)+1),$I$307)+$G$307+$H$307))))+IFERROR(INDEX($M$307:$AS$307,MATCH(C85-0.001,$M$306:$AR$306,1)+1),$M$307))*((1+$C$10)^(A85-1))</f>
        <v>1103.2498798254721</v>
      </c>
      <c r="E85" s="17">
        <f ca="1">$H$27*((1-$C$12)^(A85-1))</f>
        <v>639.70122931679236</v>
      </c>
      <c r="F85" s="17">
        <f t="shared" ca="1" si="29"/>
        <v>210.47039999999998</v>
      </c>
      <c r="G85" s="17">
        <f t="shared" ca="1" si="30"/>
        <v>491.0976</v>
      </c>
      <c r="H85" s="17">
        <f t="shared" ca="1" si="31"/>
        <v>429.23082931679238</v>
      </c>
      <c r="I85" s="17">
        <f ca="1">balanco_geracao_consumo[[#This Row],[Injetado na rede]]-balanco_geracao_consumo[[#This Row],[Energia Fornecida]]+I84</f>
        <v>3652.8457048888972</v>
      </c>
      <c r="J85" s="17">
        <f t="shared" ca="1" si="32"/>
        <v>391.0976</v>
      </c>
      <c r="K85"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247.65419541357721</v>
      </c>
      <c r="L85" s="17">
        <f ca="1">balanco_geracao_consumo[[#This Row],[Injetado na rede]]-balanco_geracao_consumo[[#This Row],[Energia Fornecida 14.300]]+L84</f>
        <v>0</v>
      </c>
      <c r="M85" s="17">
        <f ca="1">IF(balanco_geracao_consumo[[#This Row],[Consumido da rede]]&lt;$C$8,0,IF((balanco_geracao_consumo[[#This Row],[Injetado na rede]]+L84)&gt;balanco_geracao_consumo[[#This Row],[Consumido da rede]],balanco_geracao_consumo[[#This Row],[Consumido da rede]],balanco_geracao_consumo[[#This Row],[Injetado na rede]]+L84))</f>
        <v>486.49839904907617</v>
      </c>
      <c r="N85" s="17">
        <f ca="1">IFERROR(VLOOKUP(balanco_geracao_consumo[[#This Row],[Ano]],$B$321:$C$327,2,FALSE),1)*$E$307*balanco_geracao_consumo[[#This Row],[Energia Fornecida 14.300]]</f>
        <v>86.279100658929181</v>
      </c>
      <c r="O85"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234.14773762971436</v>
      </c>
      <c r="P85" s="13">
        <f ca="1">balanco_geracao_consumo[[#This Row],[Tarifa 14.300]]</f>
        <v>234.14773762971436</v>
      </c>
      <c r="Q85" s="17">
        <f t="shared" ca="1" si="28"/>
        <v>869.10214219575778</v>
      </c>
      <c r="R85" s="17">
        <f t="shared" ca="1" si="33"/>
        <v>15144.375927350224</v>
      </c>
    </row>
    <row r="86" spans="1:18">
      <c r="A86">
        <v>4</v>
      </c>
      <c r="B86" s="1" t="s">
        <v>114</v>
      </c>
      <c r="C86">
        <f ca="1">$C$28</f>
        <v>601.34400000000005</v>
      </c>
      <c r="D86" s="14">
        <f ca="1">(IF(balanco_geracao_consumo[[#This Row],[Consumido da rede]]&lt;$C$8,($C$8*$B$307/(1-(IFERROR(INDEX($I$307:$L$307,MATCH(balanco_geracao_consumo[[#This Row],[Consumido da rede]]-0.01,$I$306:$K$306,1)+1),$I$307)+$G$307+$H$307))),(C86*$B$307/(1-(IFERROR(INDEX($I$307:$L$307,MATCH(C86-0.01,$I$306:$K$306,1)+1),$I$307)+$G$307+$H$307))))+IFERROR(INDEX($M$307:$AS$307,MATCH(C86-0.001,$M$306:$AR$306,1)+1),$M$307))*((1+$C$10)^(A86-1))</f>
        <v>951.70070556469045</v>
      </c>
      <c r="E86" s="17">
        <f ca="1">$H$28*((1-$C$12)^(A86-1))</f>
        <v>589.59894653471497</v>
      </c>
      <c r="F86" s="17">
        <f t="shared" ca="1" si="29"/>
        <v>180.4032</v>
      </c>
      <c r="G86" s="17">
        <f t="shared" ca="1" si="30"/>
        <v>420.94080000000008</v>
      </c>
      <c r="H86" s="17">
        <f t="shared" ca="1" si="31"/>
        <v>409.195746534715</v>
      </c>
      <c r="I86" s="17">
        <f ca="1">balanco_geracao_consumo[[#This Row],[Injetado na rede]]-balanco_geracao_consumo[[#This Row],[Energia Fornecida]]+I85</f>
        <v>3741.1006514236124</v>
      </c>
      <c r="J86" s="17">
        <f t="shared" ca="1" si="32"/>
        <v>320.94080000000008</v>
      </c>
      <c r="K86"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235.95263262010431</v>
      </c>
      <c r="L86" s="17">
        <f ca="1">balanco_geracao_consumo[[#This Row],[Injetado na rede]]-balanco_geracao_consumo[[#This Row],[Energia Fornecida 14.300]]+L85</f>
        <v>0</v>
      </c>
      <c r="M86" s="17">
        <f ca="1">IF(balanco_geracao_consumo[[#This Row],[Consumido da rede]]&lt;$C$8,0,IF((balanco_geracao_consumo[[#This Row],[Injetado na rede]]+L85)&gt;balanco_geracao_consumo[[#This Row],[Consumido da rede]],balanco_geracao_consumo[[#This Row],[Consumido da rede]],balanco_geracao_consumo[[#This Row],[Injetado na rede]]+L85))</f>
        <v>409.195746534715</v>
      </c>
      <c r="N86" s="17">
        <f ca="1">IFERROR(VLOOKUP(balanco_geracao_consumo[[#This Row],[Ano]],$B$321:$C$327,2,FALSE),1)*$E$307*balanco_geracao_consumo[[#This Row],[Energia Fornecida 14.300]]</f>
        <v>72.569696166488114</v>
      </c>
      <c r="O86"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213.81236615915003</v>
      </c>
      <c r="P86" s="13">
        <f ca="1">balanco_geracao_consumo[[#This Row],[Tarifa 14.300]]</f>
        <v>213.81236615915003</v>
      </c>
      <c r="Q86" s="17">
        <f t="shared" ca="1" si="28"/>
        <v>737.88833940554036</v>
      </c>
      <c r="R86" s="17">
        <f t="shared" ca="1" si="33"/>
        <v>15882.264266755765</v>
      </c>
    </row>
    <row r="87" spans="1:18">
      <c r="A87">
        <v>4</v>
      </c>
      <c r="B87" s="1" t="s">
        <v>119</v>
      </c>
      <c r="C87">
        <f ca="1">$C$29</f>
        <v>601.34400000000005</v>
      </c>
      <c r="D87" s="14">
        <f ca="1">(IF(balanco_geracao_consumo[[#This Row],[Consumido da rede]]&lt;$C$8,($C$8*$B$307/(1-(IFERROR(INDEX($I$307:$L$307,MATCH(balanco_geracao_consumo[[#This Row],[Consumido da rede]]-0.01,$I$306:$K$306,1)+1),$I$307)+$G$307+$H$307))),(C87*$B$307/(1-(IFERROR(INDEX($I$307:$L$307,MATCH(C87-0.01,$I$306:$K$306,1)+1),$I$307)+$G$307+$H$307))))+IFERROR(INDEX($M$307:$AS$307,MATCH(C87-0.001,$M$306:$AR$306,1)+1),$M$307))*((1+$C$10)^(A87-1))</f>
        <v>951.70070556469045</v>
      </c>
      <c r="E87" s="17">
        <f ca="1">$H$29*((1-$C$12)^(A87-1))</f>
        <v>593.3735537737482</v>
      </c>
      <c r="F87" s="17">
        <f t="shared" ca="1" si="29"/>
        <v>180.4032</v>
      </c>
      <c r="G87" s="17">
        <f t="shared" ca="1" si="30"/>
        <v>420.94080000000008</v>
      </c>
      <c r="H87" s="17">
        <f t="shared" ca="1" si="31"/>
        <v>412.97035377374823</v>
      </c>
      <c r="I87" s="17">
        <f ca="1">balanco_geracao_consumo[[#This Row],[Injetado na rede]]-balanco_geracao_consumo[[#This Row],[Energia Fornecida]]+I86</f>
        <v>3833.1302051973607</v>
      </c>
      <c r="J87" s="17">
        <f t="shared" ca="1" si="32"/>
        <v>320.94080000000008</v>
      </c>
      <c r="K87"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235.95263262010431</v>
      </c>
      <c r="L87" s="17">
        <f ca="1">balanco_geracao_consumo[[#This Row],[Injetado na rede]]-balanco_geracao_consumo[[#This Row],[Energia Fornecida 14.300]]+L86</f>
        <v>0</v>
      </c>
      <c r="M87" s="17">
        <f ca="1">IF(balanco_geracao_consumo[[#This Row],[Consumido da rede]]&lt;$C$8,0,IF((balanco_geracao_consumo[[#This Row],[Injetado na rede]]+L86)&gt;balanco_geracao_consumo[[#This Row],[Consumido da rede]],balanco_geracao_consumo[[#This Row],[Consumido da rede]],balanco_geracao_consumo[[#This Row],[Injetado na rede]]+L86))</f>
        <v>412.97035377374823</v>
      </c>
      <c r="N87" s="17">
        <f ca="1">IFERROR(VLOOKUP(balanco_geracao_consumo[[#This Row],[Ano]],$B$321:$C$327,2,FALSE),1)*$E$307*balanco_geracao_consumo[[#This Row],[Energia Fornecida 14.300]]</f>
        <v>73.239111972503167</v>
      </c>
      <c r="O87"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209.62533018722618</v>
      </c>
      <c r="P87" s="13">
        <f ca="1">balanco_geracao_consumo[[#This Row],[Tarifa 14.300]]</f>
        <v>209.62533018722618</v>
      </c>
      <c r="Q87" s="17">
        <f t="shared" ca="1" si="28"/>
        <v>742.0753753774643</v>
      </c>
      <c r="R87" s="17">
        <f t="shared" ca="1" si="33"/>
        <v>16624.339642133229</v>
      </c>
    </row>
    <row r="88" spans="1:18">
      <c r="A88">
        <v>4</v>
      </c>
      <c r="B88" s="1" t="s">
        <v>122</v>
      </c>
      <c r="C88">
        <f ca="1">$C$30</f>
        <v>701.56799999999998</v>
      </c>
      <c r="D88" s="14">
        <f ca="1">(IF(balanco_geracao_consumo[[#This Row],[Consumido da rede]]&lt;$C$8,($C$8*$B$307/(1-(IFERROR(INDEX($I$307:$L$307,MATCH(balanco_geracao_consumo[[#This Row],[Consumido da rede]]-0.01,$I$306:$K$306,1)+1),$I$307)+$G$307+$H$307))),(C88*$B$307/(1-(IFERROR(INDEX($I$307:$L$307,MATCH(C88-0.01,$I$306:$K$306,1)+1),$I$307)+$G$307+$H$307))))+IFERROR(INDEX($M$307:$AS$307,MATCH(C88-0.001,$M$306:$AR$306,1)+1),$M$307))*((1+$C$10)^(A88-1))</f>
        <v>1103.2498798254721</v>
      </c>
      <c r="E88" s="17">
        <f ca="1">$H$30*((1-$C$12)^(A88-1))</f>
        <v>764.54302363888064</v>
      </c>
      <c r="F88" s="17">
        <f t="shared" ca="1" si="29"/>
        <v>210.47039999999998</v>
      </c>
      <c r="G88" s="17">
        <f t="shared" ca="1" si="30"/>
        <v>491.0976</v>
      </c>
      <c r="H88" s="17">
        <f t="shared" ca="1" si="31"/>
        <v>554.07262363888071</v>
      </c>
      <c r="I88" s="17">
        <f ca="1">balanco_geracao_consumo[[#This Row],[Injetado na rede]]-balanco_geracao_consumo[[#This Row],[Energia Fornecida]]+I87</f>
        <v>3996.1052288362416</v>
      </c>
      <c r="J88" s="17">
        <f t="shared" ca="1" si="32"/>
        <v>391.0976</v>
      </c>
      <c r="K88"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247.65419541357721</v>
      </c>
      <c r="L88" s="17">
        <f ca="1">balanco_geracao_consumo[[#This Row],[Injetado na rede]]-balanco_geracao_consumo[[#This Row],[Energia Fornecida 14.300]]+L87</f>
        <v>62.975023638880714</v>
      </c>
      <c r="M88" s="17">
        <f ca="1">IF(balanco_geracao_consumo[[#This Row],[Consumido da rede]]&lt;$C$8,0,IF((balanco_geracao_consumo[[#This Row],[Injetado na rede]]+L87)&gt;balanco_geracao_consumo[[#This Row],[Consumido da rede]],balanco_geracao_consumo[[#This Row],[Consumido da rede]],balanco_geracao_consumo[[#This Row],[Injetado na rede]]+L87))</f>
        <v>491.0976</v>
      </c>
      <c r="N88" s="17">
        <f ca="1">IFERROR(VLOOKUP(balanco_geracao_consumo[[#This Row],[Ano]],$B$321:$C$327,2,FALSE),1)*$E$307*balanco_geracao_consumo[[#This Row],[Energia Fornecida 14.300]]</f>
        <v>87.094755803059201</v>
      </c>
      <c r="O88"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229.04600952818183</v>
      </c>
      <c r="P88" s="13">
        <f ca="1">balanco_geracao_consumo[[#This Row],[Tarifa 14.300]]</f>
        <v>229.04600952818183</v>
      </c>
      <c r="Q88" s="17">
        <f t="shared" ca="1" si="28"/>
        <v>874.20387029729034</v>
      </c>
      <c r="R88" s="17">
        <f t="shared" ca="1" si="33"/>
        <v>17498.543512430519</v>
      </c>
    </row>
    <row r="89" spans="1:18">
      <c r="A89">
        <v>4</v>
      </c>
      <c r="B89" s="1" t="s">
        <v>123</v>
      </c>
      <c r="C89">
        <f ca="1">$C$31</f>
        <v>701.56799999999998</v>
      </c>
      <c r="D89" s="14">
        <f ca="1">(IF(balanco_geracao_consumo[[#This Row],[Consumido da rede]]&lt;$C$8,($C$8*$B$307/(1-(IFERROR(INDEX($I$307:$L$307,MATCH(balanco_geracao_consumo[[#This Row],[Consumido da rede]]-0.01,$I$306:$K$306,1)+1),$I$307)+$G$307+$H$307))),(C89*$B$307/(1-(IFERROR(INDEX($I$307:$L$307,MATCH(C89-0.01,$I$306:$K$306,1)+1),$I$307)+$G$307+$H$307))))+IFERROR(INDEX($M$307:$AS$307,MATCH(C89-0.001,$M$306:$AR$306,1)+1),$M$307))*((1+$C$10)^(A89-1))</f>
        <v>1103.2498798254721</v>
      </c>
      <c r="E89" s="17">
        <f ca="1">$H$31*((1-$C$12)^(A89-1))</f>
        <v>754.60872018668886</v>
      </c>
      <c r="F89" s="17">
        <f t="shared" ca="1" si="29"/>
        <v>210.47039999999998</v>
      </c>
      <c r="G89" s="17">
        <f t="shared" ca="1" si="30"/>
        <v>491.0976</v>
      </c>
      <c r="H89" s="17">
        <f t="shared" ca="1" si="31"/>
        <v>544.13832018668882</v>
      </c>
      <c r="I89" s="17">
        <f ca="1">balanco_geracao_consumo[[#This Row],[Injetado na rede]]-balanco_geracao_consumo[[#This Row],[Energia Fornecida]]+I88</f>
        <v>4149.1459490229308</v>
      </c>
      <c r="J89" s="17">
        <f t="shared" ca="1" si="32"/>
        <v>391.0976</v>
      </c>
      <c r="K89"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247.65419541357721</v>
      </c>
      <c r="L89" s="17">
        <f ca="1">balanco_geracao_consumo[[#This Row],[Injetado na rede]]-balanco_geracao_consumo[[#This Row],[Energia Fornecida 14.300]]+L88</f>
        <v>116.01574382556953</v>
      </c>
      <c r="M89" s="17">
        <f ca="1">IF(balanco_geracao_consumo[[#This Row],[Consumido da rede]]&lt;$C$8,0,IF((balanco_geracao_consumo[[#This Row],[Injetado na rede]]+L88)&gt;balanco_geracao_consumo[[#This Row],[Consumido da rede]],balanco_geracao_consumo[[#This Row],[Consumido da rede]],balanco_geracao_consumo[[#This Row],[Injetado na rede]]+L88))</f>
        <v>491.0976</v>
      </c>
      <c r="N89" s="17">
        <f ca="1">IFERROR(VLOOKUP(balanco_geracao_consumo[[#This Row],[Ano]],$B$321:$C$327,2,FALSE),1)*$E$307*balanco_geracao_consumo[[#This Row],[Energia Fornecida 14.300]]</f>
        <v>87.094755803059201</v>
      </c>
      <c r="O89"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229.04600952818183</v>
      </c>
      <c r="P89" s="13">
        <f ca="1">balanco_geracao_consumo[[#This Row],[Tarifa 14.300]]</f>
        <v>229.04600952818183</v>
      </c>
      <c r="Q89" s="17">
        <f t="shared" ca="1" si="28"/>
        <v>874.20387029729034</v>
      </c>
      <c r="R89" s="17">
        <f t="shared" ca="1" si="33"/>
        <v>18372.747382727808</v>
      </c>
    </row>
    <row r="90" spans="1:18">
      <c r="A90">
        <v>4</v>
      </c>
      <c r="B90" s="1" t="s">
        <v>124</v>
      </c>
      <c r="C90">
        <f ca="1">$C$32</f>
        <v>701.56799999999998</v>
      </c>
      <c r="D90" s="14">
        <f ca="1">(IF(balanco_geracao_consumo[[#This Row],[Consumido da rede]]&lt;$C$8,($C$8*$B$307/(1-(IFERROR(INDEX($I$307:$L$307,MATCH(balanco_geracao_consumo[[#This Row],[Consumido da rede]]-0.01,$I$306:$K$306,1)+1),$I$307)+$G$307+$H$307))),(C90*$B$307/(1-(IFERROR(INDEX($I$307:$L$307,MATCH(C90-0.01,$I$306:$K$306,1)+1),$I$307)+$G$307+$H$307))))+IFERROR(INDEX($M$307:$AS$307,MATCH(C90-0.001,$M$306:$AR$306,1)+1),$M$307))*((1+$C$10)^(A90-1))</f>
        <v>1103.2498798254721</v>
      </c>
      <c r="E90" s="17">
        <f ca="1">$H$32*((1-$C$12)^(A90-1))</f>
        <v>905.16024041393916</v>
      </c>
      <c r="F90" s="17">
        <f t="shared" ca="1" si="29"/>
        <v>210.47039999999998</v>
      </c>
      <c r="G90" s="17">
        <f t="shared" ca="1" si="30"/>
        <v>491.0976</v>
      </c>
      <c r="H90" s="17">
        <f t="shared" ca="1" si="31"/>
        <v>694.68984041393924</v>
      </c>
      <c r="I90" s="17">
        <f ca="1">balanco_geracao_consumo[[#This Row],[Injetado na rede]]-balanco_geracao_consumo[[#This Row],[Energia Fornecida]]+I89</f>
        <v>4452.73818943687</v>
      </c>
      <c r="J90" s="17">
        <f t="shared" ca="1" si="32"/>
        <v>391.0976</v>
      </c>
      <c r="K90"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247.65419541357721</v>
      </c>
      <c r="L90" s="17">
        <f ca="1">balanco_geracao_consumo[[#This Row],[Injetado na rede]]-balanco_geracao_consumo[[#This Row],[Energia Fornecida 14.300]]+L89</f>
        <v>319.60798423950877</v>
      </c>
      <c r="M90" s="17">
        <f ca="1">IF(balanco_geracao_consumo[[#This Row],[Consumido da rede]]&lt;$C$8,0,IF((balanco_geracao_consumo[[#This Row],[Injetado na rede]]+L89)&gt;balanco_geracao_consumo[[#This Row],[Consumido da rede]],balanco_geracao_consumo[[#This Row],[Consumido da rede]],balanco_geracao_consumo[[#This Row],[Injetado na rede]]+L89))</f>
        <v>491.0976</v>
      </c>
      <c r="N90" s="17">
        <f ca="1">IFERROR(VLOOKUP(balanco_geracao_consumo[[#This Row],[Ano]],$B$321:$C$327,2,FALSE),1)*$E$307*balanco_geracao_consumo[[#This Row],[Energia Fornecida 14.300]]</f>
        <v>87.094755803059201</v>
      </c>
      <c r="O90"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229.04600952818183</v>
      </c>
      <c r="P90" s="13">
        <f ca="1">balanco_geracao_consumo[[#This Row],[Tarifa 14.300]]</f>
        <v>229.04600952818183</v>
      </c>
      <c r="Q90" s="17">
        <f t="shared" ca="1" si="28"/>
        <v>874.20387029729034</v>
      </c>
      <c r="R90" s="17">
        <f t="shared" ca="1" si="33"/>
        <v>19246.951253025098</v>
      </c>
    </row>
    <row r="91" spans="1:18">
      <c r="A91">
        <v>4</v>
      </c>
      <c r="B91" s="1" t="s">
        <v>125</v>
      </c>
      <c r="C91">
        <f ca="1">$C$33</f>
        <v>801.79200000000003</v>
      </c>
      <c r="D91" s="14">
        <f ca="1">(IF(balanco_geracao_consumo[[#This Row],[Consumido da rede]]&lt;$C$8,($C$8*$B$307/(1-(IFERROR(INDEX($I$307:$L$307,MATCH(balanco_geracao_consumo[[#This Row],[Consumido da rede]]-0.01,$I$306:$K$306,1)+1),$I$307)+$G$307+$H$307))),(C91*$B$307/(1-(IFERROR(INDEX($I$307:$L$307,MATCH(C91-0.01,$I$306:$K$306,1)+1),$I$307)+$G$307+$H$307))))+IFERROR(INDEX($M$307:$AS$307,MATCH(C91-0.001,$M$306:$AR$306,1)+1),$M$307))*((1+$C$10)^(A91-1))</f>
        <v>1254.7990540862538</v>
      </c>
      <c r="E91" s="17">
        <f ca="1">$H$33*((1-$C$12)^(A91-1))</f>
        <v>906.76830513785808</v>
      </c>
      <c r="F91" s="17">
        <f t="shared" ca="1" si="29"/>
        <v>240.5376</v>
      </c>
      <c r="G91" s="17">
        <f t="shared" ca="1" si="30"/>
        <v>561.25440000000003</v>
      </c>
      <c r="H91" s="17">
        <f t="shared" ca="1" si="31"/>
        <v>666.23070513785808</v>
      </c>
      <c r="I91" s="17">
        <f ca="1">balanco_geracao_consumo[[#This Row],[Injetado na rede]]-balanco_geracao_consumo[[#This Row],[Energia Fornecida]]+I90</f>
        <v>4657.7144945747277</v>
      </c>
      <c r="J91" s="17">
        <f t="shared" ca="1" si="32"/>
        <v>461.25440000000003</v>
      </c>
      <c r="K91"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266.27695820705014</v>
      </c>
      <c r="L91" s="17">
        <f ca="1">balanco_geracao_consumo[[#This Row],[Injetado na rede]]-balanco_geracao_consumo[[#This Row],[Energia Fornecida 14.300]]+L90</f>
        <v>424.58428937736682</v>
      </c>
      <c r="M91" s="17">
        <f ca="1">IF(balanco_geracao_consumo[[#This Row],[Consumido da rede]]&lt;$C$8,0,IF((balanco_geracao_consumo[[#This Row],[Injetado na rede]]+L90)&gt;balanco_geracao_consumo[[#This Row],[Consumido da rede]],balanco_geracao_consumo[[#This Row],[Consumido da rede]],balanco_geracao_consumo[[#This Row],[Injetado na rede]]+L90))</f>
        <v>561.25440000000003</v>
      </c>
      <c r="N91" s="17">
        <f ca="1">IFERROR(VLOOKUP(balanco_geracao_consumo[[#This Row],[Ano]],$B$321:$C$327,2,FALSE),1)*$E$307*balanco_geracao_consumo[[#This Row],[Energia Fornecida 14.300]]</f>
        <v>99.536863774924811</v>
      </c>
      <c r="O91"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264.229218032208</v>
      </c>
      <c r="P91" s="13">
        <f ca="1">balanco_geracao_consumo[[#This Row],[Tarifa 14.300]]</f>
        <v>264.229218032208</v>
      </c>
      <c r="Q91" s="17">
        <f t="shared" ca="1" si="28"/>
        <v>990.56983605404582</v>
      </c>
      <c r="R91" s="17">
        <f t="shared" ca="1" si="33"/>
        <v>20237.521089079142</v>
      </c>
    </row>
    <row r="92" spans="1:18">
      <c r="A92">
        <v>4</v>
      </c>
      <c r="B92" s="1" t="s">
        <v>126</v>
      </c>
      <c r="C92">
        <f ca="1">$C$34</f>
        <v>1002.24</v>
      </c>
      <c r="D92" s="14">
        <f ca="1">(IF(balanco_geracao_consumo[[#This Row],[Consumido da rede]]&lt;$C$8,($C$8*$B$307/(1-(IFERROR(INDEX($I$307:$L$307,MATCH(balanco_geracao_consumo[[#This Row],[Consumido da rede]]-0.01,$I$306:$K$306,1)+1),$I$307)+$G$307+$H$307))),(C92*$B$307/(1-(IFERROR(INDEX($I$307:$L$307,MATCH(C92-0.01,$I$306:$K$306,1)+1),$I$307)+$G$307+$H$307))))+IFERROR(INDEX($M$307:$AS$307,MATCH(C92-0.001,$M$306:$AR$306,1)+1),$M$307))*((1+$C$10)^(A92-1))</f>
        <v>1595.0456126078172</v>
      </c>
      <c r="E92" s="17">
        <f ca="1">$H$34*((1-$C$12)^(A92-1))</f>
        <v>1074.6776099473361</v>
      </c>
      <c r="F92" s="17">
        <f t="shared" ca="1" si="29"/>
        <v>300.67199999999997</v>
      </c>
      <c r="G92" s="17">
        <f t="shared" ca="1" si="30"/>
        <v>701.56799999999998</v>
      </c>
      <c r="H92" s="17">
        <f t="shared" ca="1" si="31"/>
        <v>774.0056099473361</v>
      </c>
      <c r="I92" s="17">
        <f ca="1">balanco_geracao_consumo[[#This Row],[Injetado na rede]]-balanco_geracao_consumo[[#This Row],[Energia Fornecida]]+I91</f>
        <v>4830.1521045220634</v>
      </c>
      <c r="J92" s="17">
        <f t="shared" ca="1" si="32"/>
        <v>601.56799999999998</v>
      </c>
      <c r="K92"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293.95259379399562</v>
      </c>
      <c r="L92" s="17">
        <f ca="1">balanco_geracao_consumo[[#This Row],[Injetado na rede]]-balanco_geracao_consumo[[#This Row],[Energia Fornecida 14.300]]+L91</f>
        <v>497.02189932470293</v>
      </c>
      <c r="M92" s="17">
        <f ca="1">IF(balanco_geracao_consumo[[#This Row],[Consumido da rede]]&lt;$C$8,0,IF((balanco_geracao_consumo[[#This Row],[Injetado na rede]]+L91)&gt;balanco_geracao_consumo[[#This Row],[Consumido da rede]],balanco_geracao_consumo[[#This Row],[Consumido da rede]],balanco_geracao_consumo[[#This Row],[Injetado na rede]]+L91))</f>
        <v>701.56799999999998</v>
      </c>
      <c r="N92" s="17">
        <f ca="1">IFERROR(VLOOKUP(balanco_geracao_consumo[[#This Row],[Ano]],$B$321:$C$327,2,FALSE),1)*$E$307*balanco_geracao_consumo[[#This Row],[Energia Fornecida 14.300]]</f>
        <v>124.421079718656</v>
      </c>
      <c r="O92"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325.02574504025972</v>
      </c>
      <c r="P92" s="13">
        <f ca="1">balanco_geracao_consumo[[#This Row],[Tarifa 14.300]]</f>
        <v>325.02574504025972</v>
      </c>
      <c r="Q92" s="17">
        <f t="shared" ca="1" si="28"/>
        <v>1270.0198675675574</v>
      </c>
      <c r="R92" s="17">
        <f t="shared" ca="1" si="33"/>
        <v>21507.540956646699</v>
      </c>
    </row>
    <row r="93" spans="1:18">
      <c r="A93">
        <v>5</v>
      </c>
      <c r="B93" s="1" t="s">
        <v>96</v>
      </c>
      <c r="C93">
        <f ca="1">$C$23</f>
        <v>1202.6880000000001</v>
      </c>
      <c r="D93" s="14">
        <f ca="1">(IF(balanco_geracao_consumo[[#This Row],[Consumido da rede]]&lt;$C$8,($C$8*$B$307/(1-(IFERROR(INDEX($I$307:$L$307,MATCH(balanco_geracao_consumo[[#This Row],[Consumido da rede]]-0.01,$I$306:$K$306,1)+1),$I$307)+$G$307+$H$307))),(C93*$B$307/(1-(IFERROR(INDEX($I$307:$L$307,MATCH(C93-0.01,$I$306:$K$306,1)+1),$I$307)+$G$307+$H$307))))+IFERROR(INDEX($M$307:$AS$307,MATCH(C93-0.001,$M$306:$AR$306,1)+1),$M$307))*((1+$C$10)^(A93-1))</f>
        <v>2087.9583572423189</v>
      </c>
      <c r="E93" s="17">
        <f ca="1">$H$23*((1-$C$12)^(A93-1))</f>
        <v>1062.2151597119948</v>
      </c>
      <c r="F93" s="17">
        <f t="shared" ca="1" si="29"/>
        <v>360.8064</v>
      </c>
      <c r="G93" s="17">
        <f t="shared" ca="1" si="30"/>
        <v>841.88160000000016</v>
      </c>
      <c r="H93" s="17">
        <f t="shared" ca="1" si="31"/>
        <v>701.40875971199489</v>
      </c>
      <c r="I93" s="17">
        <f ca="1">balanco_geracao_consumo[[#This Row],[Injetado na rede]]-balanco_geracao_consumo[[#This Row],[Energia Fornecida]]+I92</f>
        <v>4789.6792642340579</v>
      </c>
      <c r="J93" s="17">
        <f t="shared" ca="1" si="32"/>
        <v>741.88160000000016</v>
      </c>
      <c r="K93"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349.09129131903575</v>
      </c>
      <c r="L93" s="17">
        <f ca="1">balanco_geracao_consumo[[#This Row],[Injetado na rede]]-balanco_geracao_consumo[[#This Row],[Energia Fornecida 14.300]]+L92</f>
        <v>356.54905903669766</v>
      </c>
      <c r="M93" s="17">
        <f ca="1">IF(balanco_geracao_consumo[[#This Row],[Consumido da rede]]&lt;$C$8,0,IF((balanco_geracao_consumo[[#This Row],[Injetado na rede]]+L92)&gt;balanco_geracao_consumo[[#This Row],[Consumido da rede]],balanco_geracao_consumo[[#This Row],[Consumido da rede]],balanco_geracao_consumo[[#This Row],[Injetado na rede]]+L92))</f>
        <v>841.88160000000016</v>
      </c>
      <c r="N93" s="17">
        <f ca="1">IFERROR(VLOOKUP(balanco_geracao_consumo[[#This Row],[Ano]],$B$321:$C$327,2,FALSE),1)*$E$307*balanco_geracao_consumo[[#This Row],[Energia Fornecida 14.300]]</f>
        <v>165.89477295820802</v>
      </c>
      <c r="O93"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443.99339196195427</v>
      </c>
      <c r="P93" s="13">
        <f ca="1">balanco_geracao_consumo[[#This Row],[Tarifa 14.300]]</f>
        <v>443.99339196195427</v>
      </c>
      <c r="Q93" s="17">
        <f t="shared" ca="1" si="28"/>
        <v>1643.9649652803646</v>
      </c>
      <c r="R93" s="17">
        <f t="shared" ca="1" si="33"/>
        <v>23151.505921927062</v>
      </c>
    </row>
    <row r="94" spans="1:18">
      <c r="A94">
        <v>5</v>
      </c>
      <c r="B94" s="1" t="s">
        <v>98</v>
      </c>
      <c r="C94">
        <f ca="1">$C$24</f>
        <v>1202.6880000000001</v>
      </c>
      <c r="D94" s="14">
        <f ca="1">(IF(balanco_geracao_consumo[[#This Row],[Consumido da rede]]&lt;$C$8,($C$8*$B$307/(1-(IFERROR(INDEX($I$307:$L$307,MATCH(balanco_geracao_consumo[[#This Row],[Consumido da rede]]-0.01,$I$306:$K$306,1)+1),$I$307)+$G$307+$H$307))),(C94*$B$307/(1-(IFERROR(INDEX($I$307:$L$307,MATCH(C94-0.01,$I$306:$K$306,1)+1),$I$307)+$G$307+$H$307))))+IFERROR(INDEX($M$307:$AS$307,MATCH(C94-0.001,$M$306:$AR$306,1)+1),$M$307))*((1+$C$10)^(A94-1))</f>
        <v>2087.9583572423189</v>
      </c>
      <c r="E94" s="17">
        <f ca="1">$H$24*((1-$C$12)^(A94-1))</f>
        <v>1030.9929419869891</v>
      </c>
      <c r="F94" s="17">
        <f t="shared" ca="1" si="29"/>
        <v>360.8064</v>
      </c>
      <c r="G94" s="17">
        <f t="shared" ca="1" si="30"/>
        <v>841.88160000000016</v>
      </c>
      <c r="H94" s="17">
        <f t="shared" ca="1" si="31"/>
        <v>670.18654198698914</v>
      </c>
      <c r="I94" s="17">
        <f ca="1">balanco_geracao_consumo[[#This Row],[Injetado na rede]]-balanco_geracao_consumo[[#This Row],[Energia Fornecida]]+I93</f>
        <v>4717.9842062210464</v>
      </c>
      <c r="J94" s="17">
        <f t="shared" ca="1" si="32"/>
        <v>741.88160000000016</v>
      </c>
      <c r="K94"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349.09129131903575</v>
      </c>
      <c r="L94" s="17">
        <f ca="1">balanco_geracao_consumo[[#This Row],[Injetado na rede]]-balanco_geracao_consumo[[#This Row],[Energia Fornecida 14.300]]+L93</f>
        <v>184.85400102368664</v>
      </c>
      <c r="M94" s="17">
        <f ca="1">IF(balanco_geracao_consumo[[#This Row],[Consumido da rede]]&lt;$C$8,0,IF((balanco_geracao_consumo[[#This Row],[Injetado na rede]]+L93)&gt;balanco_geracao_consumo[[#This Row],[Consumido da rede]],balanco_geracao_consumo[[#This Row],[Consumido da rede]],balanco_geracao_consumo[[#This Row],[Injetado na rede]]+L93))</f>
        <v>841.88160000000016</v>
      </c>
      <c r="N94" s="17">
        <f ca="1">IFERROR(VLOOKUP(balanco_geracao_consumo[[#This Row],[Ano]],$B$321:$C$327,2,FALSE),1)*$E$307*balanco_geracao_consumo[[#This Row],[Energia Fornecida 14.300]]</f>
        <v>165.89477295820802</v>
      </c>
      <c r="O94"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443.99339196195427</v>
      </c>
      <c r="P94" s="13">
        <f ca="1">balanco_geracao_consumo[[#This Row],[Tarifa 14.300]]</f>
        <v>443.99339196195427</v>
      </c>
      <c r="Q94" s="17">
        <f t="shared" ca="1" si="28"/>
        <v>1643.9649652803646</v>
      </c>
      <c r="R94" s="17">
        <f t="shared" ca="1" si="33"/>
        <v>24795.470887207426</v>
      </c>
    </row>
    <row r="95" spans="1:18">
      <c r="A95">
        <v>5</v>
      </c>
      <c r="B95" s="1" t="s">
        <v>99</v>
      </c>
      <c r="C95">
        <f ca="1">$C$25</f>
        <v>1002.24</v>
      </c>
      <c r="D95" s="14">
        <f ca="1">(IF(balanco_geracao_consumo[[#This Row],[Consumido da rede]]&lt;$C$8,($C$8*$B$307/(1-(IFERROR(INDEX($I$307:$L$307,MATCH(balanco_geracao_consumo[[#This Row],[Consumido da rede]]-0.01,$I$306:$K$306,1)+1),$I$307)+$G$307+$H$307))),(C95*$B$307/(1-(IFERROR(INDEX($I$307:$L$307,MATCH(C95-0.01,$I$306:$K$306,1)+1),$I$307)+$G$307+$H$307))))+IFERROR(INDEX($M$307:$AS$307,MATCH(C95-0.001,$M$306:$AR$306,1)+1),$M$307))*((1+$C$10)^(A95-1))</f>
        <v>1754.5501738685989</v>
      </c>
      <c r="E95" s="17">
        <f ca="1">$H$25*((1-$C$12)^(A95-1))</f>
        <v>897.68195261603216</v>
      </c>
      <c r="F95" s="17">
        <f t="shared" ca="1" si="29"/>
        <v>300.67199999999997</v>
      </c>
      <c r="G95" s="17">
        <f t="shared" ca="1" si="30"/>
        <v>701.56799999999998</v>
      </c>
      <c r="H95" s="17">
        <f t="shared" ca="1" si="31"/>
        <v>597.00995261603225</v>
      </c>
      <c r="I95" s="17">
        <f ca="1">balanco_geracao_consumo[[#This Row],[Injetado na rede]]-balanco_geracao_consumo[[#This Row],[Energia Fornecida]]+I94</f>
        <v>4713.4261588370791</v>
      </c>
      <c r="J95" s="17">
        <f t="shared" ca="1" si="32"/>
        <v>601.56799999999998</v>
      </c>
      <c r="K95"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323.34785317339521</v>
      </c>
      <c r="L95" s="17">
        <f ca="1">balanco_geracao_consumo[[#This Row],[Injetado na rede]]-balanco_geracao_consumo[[#This Row],[Energia Fornecida 14.300]]+L94</f>
        <v>80.295953639718903</v>
      </c>
      <c r="M95" s="17">
        <f ca="1">IF(balanco_geracao_consumo[[#This Row],[Consumido da rede]]&lt;$C$8,0,IF((balanco_geracao_consumo[[#This Row],[Injetado na rede]]+L94)&gt;balanco_geracao_consumo[[#This Row],[Consumido da rede]],balanco_geracao_consumo[[#This Row],[Consumido da rede]],balanco_geracao_consumo[[#This Row],[Injetado na rede]]+L94))</f>
        <v>701.56799999999998</v>
      </c>
      <c r="N95" s="17">
        <f ca="1">IFERROR(VLOOKUP(balanco_geracao_consumo[[#This Row],[Ano]],$B$321:$C$327,2,FALSE),1)*$E$307*balanco_geracao_consumo[[#This Row],[Energia Fornecida 14.300]]</f>
        <v>138.24564413184001</v>
      </c>
      <c r="O95"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377.7688643016283</v>
      </c>
      <c r="P95" s="13">
        <f ca="1">balanco_geracao_consumo[[#This Row],[Tarifa 14.300]]</f>
        <v>377.7688643016283</v>
      </c>
      <c r="Q95" s="17">
        <f t="shared" ca="1" si="28"/>
        <v>1376.7813095669705</v>
      </c>
      <c r="R95" s="17">
        <f t="shared" ca="1" si="33"/>
        <v>26172.252196774396</v>
      </c>
    </row>
    <row r="96" spans="1:18">
      <c r="A96">
        <v>5</v>
      </c>
      <c r="B96" s="1" t="s">
        <v>103</v>
      </c>
      <c r="C96">
        <f ca="1">$C$26</f>
        <v>902.01600000000008</v>
      </c>
      <c r="D96" s="14">
        <f ca="1">(IF(balanco_geracao_consumo[[#This Row],[Consumido da rede]]&lt;$C$8,($C$8*$B$307/(1-(IFERROR(INDEX($I$307:$L$307,MATCH(balanco_geracao_consumo[[#This Row],[Consumido da rede]]-0.01,$I$306:$K$306,1)+1),$I$307)+$G$307+$H$307))),(C96*$B$307/(1-(IFERROR(INDEX($I$307:$L$307,MATCH(C96-0.01,$I$306:$K$306,1)+1),$I$307)+$G$307+$H$307))))+IFERROR(INDEX($M$307:$AS$307,MATCH(C96-0.001,$M$306:$AR$306,1)+1),$M$307))*((1+$C$10)^(A96-1))</f>
        <v>1546.983051181739</v>
      </c>
      <c r="E96" s="17">
        <f ca="1">$H$26*((1-$C$12)^(A96-1))</f>
        <v>764.88366747628561</v>
      </c>
      <c r="F96" s="17">
        <f t="shared" ca="1" si="29"/>
        <v>270.60480000000001</v>
      </c>
      <c r="G96" s="17">
        <f t="shared" ca="1" si="30"/>
        <v>631.41120000000001</v>
      </c>
      <c r="H96" s="17">
        <f t="shared" ca="1" si="31"/>
        <v>494.2788674762856</v>
      </c>
      <c r="I96" s="17">
        <f ca="1">balanco_geracao_consumo[[#This Row],[Injetado na rede]]-balanco_geracao_consumo[[#This Row],[Energia Fornecida]]+I95</f>
        <v>4676.2938263133647</v>
      </c>
      <c r="J96" s="17">
        <f t="shared" ca="1" si="32"/>
        <v>531.41120000000001</v>
      </c>
      <c r="K96"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310.47613410057511</v>
      </c>
      <c r="L96" s="17">
        <f ca="1">balanco_geracao_consumo[[#This Row],[Injetado na rede]]-balanco_geracao_consumo[[#This Row],[Energia Fornecida 14.300]]+L95</f>
        <v>0</v>
      </c>
      <c r="M96" s="17">
        <f ca="1">IF(balanco_geracao_consumo[[#This Row],[Consumido da rede]]&lt;$C$8,0,IF((balanco_geracao_consumo[[#This Row],[Injetado na rede]]+L95)&gt;balanco_geracao_consumo[[#This Row],[Consumido da rede]],balanco_geracao_consumo[[#This Row],[Consumido da rede]],balanco_geracao_consumo[[#This Row],[Injetado na rede]]+L95))</f>
        <v>574.5748211160045</v>
      </c>
      <c r="N96" s="17">
        <f ca="1">IFERROR(VLOOKUP(balanco_geracao_consumo[[#This Row],[Ano]],$B$321:$C$327,2,FALSE),1)*$E$307*balanco_geracao_consumo[[#This Row],[Energia Fornecida 14.300]]</f>
        <v>113.22133598898294</v>
      </c>
      <c r="O96"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412.36805066418708</v>
      </c>
      <c r="P96" s="13">
        <f ca="1">balanco_geracao_consumo[[#This Row],[Tarifa 14.300]]</f>
        <v>412.36805066418708</v>
      </c>
      <c r="Q96" s="17">
        <f t="shared" ca="1" si="28"/>
        <v>1134.6150005175518</v>
      </c>
      <c r="R96" s="17">
        <f t="shared" ca="1" si="33"/>
        <v>27306.867197291947</v>
      </c>
    </row>
    <row r="97" spans="1:18">
      <c r="A97">
        <v>5</v>
      </c>
      <c r="B97" s="1" t="s">
        <v>106</v>
      </c>
      <c r="C97">
        <f ca="1">$C$27</f>
        <v>701.56799999999998</v>
      </c>
      <c r="D97" s="14">
        <f ca="1">(IF(balanco_geracao_consumo[[#This Row],[Consumido da rede]]&lt;$C$8,($C$8*$B$307/(1-(IFERROR(INDEX($I$307:$L$307,MATCH(balanco_geracao_consumo[[#This Row],[Consumido da rede]]-0.01,$I$306:$K$306,1)+1),$I$307)+$G$307+$H$307))),(C97*$B$307/(1-(IFERROR(INDEX($I$307:$L$307,MATCH(C97-0.01,$I$306:$K$306,1)+1),$I$307)+$G$307+$H$307))))+IFERROR(INDEX($M$307:$AS$307,MATCH(C97-0.001,$M$306:$AR$306,1)+1),$M$307))*((1+$C$10)^(A97-1))</f>
        <v>1213.5748678080192</v>
      </c>
      <c r="E97" s="17">
        <f ca="1">$H$27*((1-$C$12)^(A97-1))</f>
        <v>635.22332071157484</v>
      </c>
      <c r="F97" s="17">
        <f t="shared" ca="1" si="29"/>
        <v>210.47039999999998</v>
      </c>
      <c r="G97" s="17">
        <f t="shared" ca="1" si="30"/>
        <v>491.0976</v>
      </c>
      <c r="H97" s="17">
        <f t="shared" ca="1" si="31"/>
        <v>424.75292071157486</v>
      </c>
      <c r="I97" s="17">
        <f ca="1">balanco_geracao_consumo[[#This Row],[Injetado na rede]]-balanco_geracao_consumo[[#This Row],[Energia Fornecida]]+I96</f>
        <v>4709.9491470249395</v>
      </c>
      <c r="J97" s="17">
        <f t="shared" ca="1" si="32"/>
        <v>391.0976</v>
      </c>
      <c r="K97"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272.4196149549349</v>
      </c>
      <c r="L97" s="17">
        <f ca="1">balanco_geracao_consumo[[#This Row],[Injetado na rede]]-balanco_geracao_consumo[[#This Row],[Energia Fornecida 14.300]]+L96</f>
        <v>0</v>
      </c>
      <c r="M97" s="17">
        <f ca="1">IF(balanco_geracao_consumo[[#This Row],[Consumido da rede]]&lt;$C$8,0,IF((balanco_geracao_consumo[[#This Row],[Injetado na rede]]+L96)&gt;balanco_geracao_consumo[[#This Row],[Consumido da rede]],balanco_geracao_consumo[[#This Row],[Consumido da rede]],balanco_geracao_consumo[[#This Row],[Injetado na rede]]+L96))</f>
        <v>424.75292071157486</v>
      </c>
      <c r="N97" s="17">
        <f ca="1">IFERROR(VLOOKUP(balanco_geracao_consumo[[#This Row],[Ano]],$B$321:$C$327,2,FALSE),1)*$E$307*balanco_geracao_consumo[[#This Row],[Energia Fornecida 14.300]]</f>
        <v>83.698573938167115</v>
      </c>
      <c r="O97"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345.15806036895867</v>
      </c>
      <c r="P97" s="13">
        <f ca="1">balanco_geracao_consumo[[#This Row],[Tarifa 14.300]]</f>
        <v>345.15806036895867</v>
      </c>
      <c r="Q97" s="17">
        <f t="shared" ca="1" si="28"/>
        <v>868.41680743906056</v>
      </c>
      <c r="R97" s="17">
        <f t="shared" ca="1" si="33"/>
        <v>28175.284004731009</v>
      </c>
    </row>
    <row r="98" spans="1:18">
      <c r="A98">
        <v>5</v>
      </c>
      <c r="B98" s="1" t="s">
        <v>114</v>
      </c>
      <c r="C98">
        <f ca="1">$C$28</f>
        <v>601.34400000000005</v>
      </c>
      <c r="D98" s="14">
        <f ca="1">(IF(balanco_geracao_consumo[[#This Row],[Consumido da rede]]&lt;$C$8,($C$8*$B$307/(1-(IFERROR(INDEX($I$307:$L$307,MATCH(balanco_geracao_consumo[[#This Row],[Consumido da rede]]-0.01,$I$306:$K$306,1)+1),$I$307)+$G$307+$H$307))),(C98*$B$307/(1-(IFERROR(INDEX($I$307:$L$307,MATCH(C98-0.01,$I$306:$K$306,1)+1),$I$307)+$G$307+$H$307))))+IFERROR(INDEX($M$307:$AS$307,MATCH(C98-0.001,$M$306:$AR$306,1)+1),$M$307))*((1+$C$10)^(A98-1))</f>
        <v>1046.8707761211595</v>
      </c>
      <c r="E98" s="17">
        <f ca="1">$H$28*((1-$C$12)^(A98-1))</f>
        <v>585.47175390897189</v>
      </c>
      <c r="F98" s="17">
        <f t="shared" ca="1" si="29"/>
        <v>180.4032</v>
      </c>
      <c r="G98" s="17">
        <f t="shared" ca="1" si="30"/>
        <v>420.94080000000008</v>
      </c>
      <c r="H98" s="17">
        <f t="shared" ca="1" si="31"/>
        <v>405.06855390897192</v>
      </c>
      <c r="I98" s="17">
        <f ca="1">balanco_geracao_consumo[[#This Row],[Injetado na rede]]-balanco_geracao_consumo[[#This Row],[Energia Fornecida]]+I97</f>
        <v>4794.076900933911</v>
      </c>
      <c r="J98" s="17">
        <f t="shared" ca="1" si="32"/>
        <v>320.94080000000008</v>
      </c>
      <c r="K98"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259.54789588211474</v>
      </c>
      <c r="L98" s="17">
        <f ca="1">balanco_geracao_consumo[[#This Row],[Injetado na rede]]-balanco_geracao_consumo[[#This Row],[Energia Fornecida 14.300]]+L97</f>
        <v>0</v>
      </c>
      <c r="M98" s="17">
        <f ca="1">IF(balanco_geracao_consumo[[#This Row],[Consumido da rede]]&lt;$C$8,0,IF((balanco_geracao_consumo[[#This Row],[Injetado na rede]]+L97)&gt;balanco_geracao_consumo[[#This Row],[Consumido da rede]],balanco_geracao_consumo[[#This Row],[Consumido da rede]],balanco_geracao_consumo[[#This Row],[Injetado na rede]]+L97))</f>
        <v>405.06855390897192</v>
      </c>
      <c r="N98" s="17">
        <f ca="1">IFERROR(VLOOKUP(balanco_geracao_consumo[[#This Row],[Ano]],$B$321:$C$327,2,FALSE),1)*$E$307*balanco_geracao_consumo[[#This Row],[Energia Fornecida 14.300]]</f>
        <v>79.819722610921218</v>
      </c>
      <c r="O98"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251.91596924057308</v>
      </c>
      <c r="P98" s="13">
        <f ca="1">balanco_geracao_consumo[[#This Row],[Tarifa 14.300]]</f>
        <v>251.91596924057308</v>
      </c>
      <c r="Q98" s="17">
        <f t="shared" ca="1" si="28"/>
        <v>794.95480688058637</v>
      </c>
      <c r="R98" s="17">
        <f t="shared" ca="1" si="33"/>
        <v>28970.238811611594</v>
      </c>
    </row>
    <row r="99" spans="1:18">
      <c r="A99">
        <v>5</v>
      </c>
      <c r="B99" s="1" t="s">
        <v>119</v>
      </c>
      <c r="C99">
        <f ca="1">$C$29</f>
        <v>601.34400000000005</v>
      </c>
      <c r="D99" s="14">
        <f ca="1">(IF(balanco_geracao_consumo[[#This Row],[Consumido da rede]]&lt;$C$8,($C$8*$B$307/(1-(IFERROR(INDEX($I$307:$L$307,MATCH(balanco_geracao_consumo[[#This Row],[Consumido da rede]]-0.01,$I$306:$K$306,1)+1),$I$307)+$G$307+$H$307))),(C99*$B$307/(1-(IFERROR(INDEX($I$307:$L$307,MATCH(C99-0.01,$I$306:$K$306,1)+1),$I$307)+$G$307+$H$307))))+IFERROR(INDEX($M$307:$AS$307,MATCH(C99-0.001,$M$306:$AR$306,1)+1),$M$307))*((1+$C$10)^(A99-1))</f>
        <v>1046.8707761211595</v>
      </c>
      <c r="E99" s="17">
        <f ca="1">$H$29*((1-$C$12)^(A99-1))</f>
        <v>589.21993889733187</v>
      </c>
      <c r="F99" s="17">
        <f t="shared" ca="1" si="29"/>
        <v>180.4032</v>
      </c>
      <c r="G99" s="17">
        <f t="shared" ca="1" si="30"/>
        <v>420.94080000000008</v>
      </c>
      <c r="H99" s="17">
        <f t="shared" ca="1" si="31"/>
        <v>408.8167388973319</v>
      </c>
      <c r="I99" s="17">
        <f ca="1">balanco_geracao_consumo[[#This Row],[Injetado na rede]]-balanco_geracao_consumo[[#This Row],[Energia Fornecida]]+I98</f>
        <v>4881.9528398312432</v>
      </c>
      <c r="J99" s="17">
        <f t="shared" ca="1" si="32"/>
        <v>320.94080000000008</v>
      </c>
      <c r="K99"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259.54789588211474</v>
      </c>
      <c r="L99" s="17">
        <f ca="1">balanco_geracao_consumo[[#This Row],[Injetado na rede]]-balanco_geracao_consumo[[#This Row],[Energia Fornecida 14.300]]+L98</f>
        <v>0</v>
      </c>
      <c r="M99" s="17">
        <f ca="1">IF(balanco_geracao_consumo[[#This Row],[Consumido da rede]]&lt;$C$8,0,IF((balanco_geracao_consumo[[#This Row],[Injetado na rede]]+L98)&gt;balanco_geracao_consumo[[#This Row],[Consumido da rede]],balanco_geracao_consumo[[#This Row],[Consumido da rede]],balanco_geracao_consumo[[#This Row],[Injetado na rede]]+L98))</f>
        <v>408.8167388973319</v>
      </c>
      <c r="N99" s="17">
        <f ca="1">IFERROR(VLOOKUP(balanco_geracao_consumo[[#This Row],[Ano]],$B$321:$C$327,2,FALSE),1)*$E$307*balanco_geracao_consumo[[#This Row],[Energia Fornecida 14.300]]</f>
        <v>80.558311383557822</v>
      </c>
      <c r="O99"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247.4506066306424</v>
      </c>
      <c r="P99" s="13">
        <f ca="1">balanco_geracao_consumo[[#This Row],[Tarifa 14.300]]</f>
        <v>247.4506066306424</v>
      </c>
      <c r="Q99" s="17">
        <f t="shared" ca="1" si="28"/>
        <v>799.42016949051708</v>
      </c>
      <c r="R99" s="17">
        <f t="shared" ca="1" si="33"/>
        <v>29769.658981102111</v>
      </c>
    </row>
    <row r="100" spans="1:18">
      <c r="A100">
        <v>5</v>
      </c>
      <c r="B100" s="1" t="s">
        <v>122</v>
      </c>
      <c r="C100">
        <f ca="1">$C$30</f>
        <v>701.56799999999998</v>
      </c>
      <c r="D100" s="14">
        <f ca="1">(IF(balanco_geracao_consumo[[#This Row],[Consumido da rede]]&lt;$C$8,($C$8*$B$307/(1-(IFERROR(INDEX($I$307:$L$307,MATCH(balanco_geracao_consumo[[#This Row],[Consumido da rede]]-0.01,$I$306:$K$306,1)+1),$I$307)+$G$307+$H$307))),(C100*$B$307/(1-(IFERROR(INDEX($I$307:$L$307,MATCH(C100-0.01,$I$306:$K$306,1)+1),$I$307)+$G$307+$H$307))))+IFERROR(INDEX($M$307:$AS$307,MATCH(C100-0.001,$M$306:$AR$306,1)+1),$M$307))*((1+$C$10)^(A100-1))</f>
        <v>1213.5748678080192</v>
      </c>
      <c r="E100" s="17">
        <f ca="1">$H$30*((1-$C$12)^(A100-1))</f>
        <v>759.1912224734084</v>
      </c>
      <c r="F100" s="17">
        <f t="shared" ca="1" si="29"/>
        <v>210.47039999999998</v>
      </c>
      <c r="G100" s="17">
        <f t="shared" ca="1" si="30"/>
        <v>491.0976</v>
      </c>
      <c r="H100" s="17">
        <f t="shared" ca="1" si="31"/>
        <v>548.72082247340836</v>
      </c>
      <c r="I100" s="17">
        <f ca="1">balanco_geracao_consumo[[#This Row],[Injetado na rede]]-balanco_geracao_consumo[[#This Row],[Energia Fornecida]]+I99</f>
        <v>5039.5760623046517</v>
      </c>
      <c r="J100" s="17">
        <f t="shared" ca="1" si="32"/>
        <v>391.0976</v>
      </c>
      <c r="K100"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272.4196149549349</v>
      </c>
      <c r="L100" s="17">
        <f ca="1">balanco_geracao_consumo[[#This Row],[Injetado na rede]]-balanco_geracao_consumo[[#This Row],[Energia Fornecida 14.300]]+L99</f>
        <v>57.623222473408362</v>
      </c>
      <c r="M100" s="17">
        <f ca="1">IF(balanco_geracao_consumo[[#This Row],[Consumido da rede]]&lt;$C$8,0,IF((balanco_geracao_consumo[[#This Row],[Injetado na rede]]+L99)&gt;balanco_geracao_consumo[[#This Row],[Consumido da rede]],balanco_geracao_consumo[[#This Row],[Consumido da rede]],balanco_geracao_consumo[[#This Row],[Injetado na rede]]+L99))</f>
        <v>491.0976</v>
      </c>
      <c r="N100" s="17">
        <f ca="1">IFERROR(VLOOKUP(balanco_geracao_consumo[[#This Row],[Ano]],$B$321:$C$327,2,FALSE),1)*$E$307*balanco_geracao_consumo[[#This Row],[Energia Fornecida 14.300]]</f>
        <v>96.771950892288004</v>
      </c>
      <c r="O100"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266.11899181113989</v>
      </c>
      <c r="P100" s="13">
        <f ca="1">balanco_geracao_consumo[[#This Row],[Tarifa 14.300]]</f>
        <v>266.11899181113989</v>
      </c>
      <c r="Q100" s="17">
        <f t="shared" ca="1" si="28"/>
        <v>947.45587599687929</v>
      </c>
      <c r="R100" s="17">
        <f t="shared" ca="1" si="33"/>
        <v>30717.11485709899</v>
      </c>
    </row>
    <row r="101" spans="1:18">
      <c r="A101">
        <v>5</v>
      </c>
      <c r="B101" s="1" t="s">
        <v>123</v>
      </c>
      <c r="C101">
        <f ca="1">$C$31</f>
        <v>701.56799999999998</v>
      </c>
      <c r="D101" s="14">
        <f ca="1">(IF(balanco_geracao_consumo[[#This Row],[Consumido da rede]]&lt;$C$8,($C$8*$B$307/(1-(IFERROR(INDEX($I$307:$L$307,MATCH(balanco_geracao_consumo[[#This Row],[Consumido da rede]]-0.01,$I$306:$K$306,1)+1),$I$307)+$G$307+$H$307))),(C101*$B$307/(1-(IFERROR(INDEX($I$307:$L$307,MATCH(C101-0.01,$I$306:$K$306,1)+1),$I$307)+$G$307+$H$307))))+IFERROR(INDEX($M$307:$AS$307,MATCH(C101-0.001,$M$306:$AR$306,1)+1),$M$307))*((1+$C$10)^(A101-1))</f>
        <v>1213.5748678080192</v>
      </c>
      <c r="E101" s="17">
        <f ca="1">$H$31*((1-$C$12)^(A101-1))</f>
        <v>749.32645914538205</v>
      </c>
      <c r="F101" s="17">
        <f t="shared" ca="1" si="29"/>
        <v>210.47039999999998</v>
      </c>
      <c r="G101" s="17">
        <f t="shared" ca="1" si="30"/>
        <v>491.0976</v>
      </c>
      <c r="H101" s="17">
        <f t="shared" ca="1" si="31"/>
        <v>538.85605914538201</v>
      </c>
      <c r="I101" s="17">
        <f ca="1">balanco_geracao_consumo[[#This Row],[Injetado na rede]]-balanco_geracao_consumo[[#This Row],[Energia Fornecida]]+I100</f>
        <v>5187.3345214500341</v>
      </c>
      <c r="J101" s="17">
        <f t="shared" ca="1" si="32"/>
        <v>391.0976</v>
      </c>
      <c r="K101"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272.4196149549349</v>
      </c>
      <c r="L101" s="17">
        <f ca="1">balanco_geracao_consumo[[#This Row],[Injetado na rede]]-balanco_geracao_consumo[[#This Row],[Energia Fornecida 14.300]]+L100</f>
        <v>105.38168161879037</v>
      </c>
      <c r="M101" s="17">
        <f ca="1">IF(balanco_geracao_consumo[[#This Row],[Consumido da rede]]&lt;$C$8,0,IF((balanco_geracao_consumo[[#This Row],[Injetado na rede]]+L100)&gt;balanco_geracao_consumo[[#This Row],[Consumido da rede]],balanco_geracao_consumo[[#This Row],[Consumido da rede]],balanco_geracao_consumo[[#This Row],[Injetado na rede]]+L100))</f>
        <v>491.0976</v>
      </c>
      <c r="N101" s="17">
        <f ca="1">IFERROR(VLOOKUP(balanco_geracao_consumo[[#This Row],[Ano]],$B$321:$C$327,2,FALSE),1)*$E$307*balanco_geracao_consumo[[#This Row],[Energia Fornecida 14.300]]</f>
        <v>96.771950892288004</v>
      </c>
      <c r="O101"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266.11899181113989</v>
      </c>
      <c r="P101" s="13">
        <f ca="1">balanco_geracao_consumo[[#This Row],[Tarifa 14.300]]</f>
        <v>266.11899181113989</v>
      </c>
      <c r="Q101" s="17">
        <f t="shared" ca="1" si="28"/>
        <v>947.45587599687929</v>
      </c>
      <c r="R101" s="17">
        <f t="shared" ca="1" si="33"/>
        <v>31664.570733095868</v>
      </c>
    </row>
    <row r="102" spans="1:18">
      <c r="A102">
        <v>5</v>
      </c>
      <c r="B102" s="1" t="s">
        <v>124</v>
      </c>
      <c r="C102">
        <f ca="1">$C$32</f>
        <v>701.56799999999998</v>
      </c>
      <c r="D102" s="14">
        <f ca="1">(IF(balanco_geracao_consumo[[#This Row],[Consumido da rede]]&lt;$C$8,($C$8*$B$307/(1-(IFERROR(INDEX($I$307:$L$307,MATCH(balanco_geracao_consumo[[#This Row],[Consumido da rede]]-0.01,$I$306:$K$306,1)+1),$I$307)+$G$307+$H$307))),(C102*$B$307/(1-(IFERROR(INDEX($I$307:$L$307,MATCH(C102-0.01,$I$306:$K$306,1)+1),$I$307)+$G$307+$H$307))))+IFERROR(INDEX($M$307:$AS$307,MATCH(C102-0.001,$M$306:$AR$306,1)+1),$M$307))*((1+$C$10)^(A102-1))</f>
        <v>1213.5748678080192</v>
      </c>
      <c r="E102" s="17">
        <f ca="1">$H$32*((1-$C$12)^(A102-1))</f>
        <v>898.82411873104149</v>
      </c>
      <c r="F102" s="17">
        <f t="shared" ca="1" si="29"/>
        <v>210.47039999999998</v>
      </c>
      <c r="G102" s="17">
        <f t="shared" ca="1" si="30"/>
        <v>491.0976</v>
      </c>
      <c r="H102" s="17">
        <f t="shared" ca="1" si="31"/>
        <v>688.35371873104145</v>
      </c>
      <c r="I102" s="17">
        <f ca="1">balanco_geracao_consumo[[#This Row],[Injetado na rede]]-balanco_geracao_consumo[[#This Row],[Energia Fornecida]]+I101</f>
        <v>5484.5906401810753</v>
      </c>
      <c r="J102" s="17">
        <f t="shared" ca="1" si="32"/>
        <v>391.0976</v>
      </c>
      <c r="K102"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272.4196149549349</v>
      </c>
      <c r="L102" s="17">
        <f ca="1">balanco_geracao_consumo[[#This Row],[Injetado na rede]]-balanco_geracao_consumo[[#This Row],[Energia Fornecida 14.300]]+L101</f>
        <v>302.63780034983182</v>
      </c>
      <c r="M102" s="17">
        <f ca="1">IF(balanco_geracao_consumo[[#This Row],[Consumido da rede]]&lt;$C$8,0,IF((balanco_geracao_consumo[[#This Row],[Injetado na rede]]+L101)&gt;balanco_geracao_consumo[[#This Row],[Consumido da rede]],balanco_geracao_consumo[[#This Row],[Consumido da rede]],balanco_geracao_consumo[[#This Row],[Injetado na rede]]+L101))</f>
        <v>491.0976</v>
      </c>
      <c r="N102" s="17">
        <f ca="1">IFERROR(VLOOKUP(balanco_geracao_consumo[[#This Row],[Ano]],$B$321:$C$327,2,FALSE),1)*$E$307*balanco_geracao_consumo[[#This Row],[Energia Fornecida 14.300]]</f>
        <v>96.771950892288004</v>
      </c>
      <c r="O102"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266.11899181113989</v>
      </c>
      <c r="P102" s="13">
        <f ca="1">balanco_geracao_consumo[[#This Row],[Tarifa 14.300]]</f>
        <v>266.11899181113989</v>
      </c>
      <c r="Q102" s="17">
        <f t="shared" ca="1" si="28"/>
        <v>947.45587599687929</v>
      </c>
      <c r="R102" s="17">
        <f t="shared" ca="1" si="33"/>
        <v>32612.026609092747</v>
      </c>
    </row>
    <row r="103" spans="1:18">
      <c r="A103">
        <v>5</v>
      </c>
      <c r="B103" s="1" t="s">
        <v>125</v>
      </c>
      <c r="C103">
        <f ca="1">$C$33</f>
        <v>801.79200000000003</v>
      </c>
      <c r="D103" s="14">
        <f ca="1">(IF(balanco_geracao_consumo[[#This Row],[Consumido da rede]]&lt;$C$8,($C$8*$B$307/(1-(IFERROR(INDEX($I$307:$L$307,MATCH(balanco_geracao_consumo[[#This Row],[Consumido da rede]]-0.01,$I$306:$K$306,1)+1),$I$307)+$G$307+$H$307))),(C103*$B$307/(1-(IFERROR(INDEX($I$307:$L$307,MATCH(C103-0.01,$I$306:$K$306,1)+1),$I$307)+$G$307+$H$307))))+IFERROR(INDEX($M$307:$AS$307,MATCH(C103-0.001,$M$306:$AR$306,1)+1),$M$307))*((1+$C$10)^(A103-1))</f>
        <v>1380.2789594948792</v>
      </c>
      <c r="E103" s="17">
        <f ca="1">$H$33*((1-$C$12)^(A103-1))</f>
        <v>900.42092700189301</v>
      </c>
      <c r="F103" s="17">
        <f t="shared" ca="1" si="29"/>
        <v>240.5376</v>
      </c>
      <c r="G103" s="17">
        <f t="shared" ca="1" si="30"/>
        <v>561.25440000000003</v>
      </c>
      <c r="H103" s="17">
        <f t="shared" ca="1" si="31"/>
        <v>659.88332700189301</v>
      </c>
      <c r="I103" s="17">
        <f ca="1">balanco_geracao_consumo[[#This Row],[Injetado na rede]]-balanco_geracao_consumo[[#This Row],[Energia Fornecida]]+I102</f>
        <v>5683.2195671829686</v>
      </c>
      <c r="J103" s="17">
        <f t="shared" ca="1" si="32"/>
        <v>461.25440000000003</v>
      </c>
      <c r="K103"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292.9046540277551</v>
      </c>
      <c r="L103" s="17">
        <f ca="1">balanco_geracao_consumo[[#This Row],[Injetado na rede]]-balanco_geracao_consumo[[#This Row],[Energia Fornecida 14.300]]+L102</f>
        <v>401.2667273517248</v>
      </c>
      <c r="M103" s="17">
        <f ca="1">IF(balanco_geracao_consumo[[#This Row],[Consumido da rede]]&lt;$C$8,0,IF((balanco_geracao_consumo[[#This Row],[Injetado na rede]]+L102)&gt;balanco_geracao_consumo[[#This Row],[Consumido da rede]],balanco_geracao_consumo[[#This Row],[Consumido da rede]],balanco_geracao_consumo[[#This Row],[Injetado na rede]]+L102))</f>
        <v>561.25440000000003</v>
      </c>
      <c r="N103" s="17">
        <f ca="1">IFERROR(VLOOKUP(balanco_geracao_consumo[[#This Row],[Ano]],$B$321:$C$327,2,FALSE),1)*$E$307*balanco_geracao_consumo[[#This Row],[Energia Fornecida 14.300]]</f>
        <v>110.59651530547201</v>
      </c>
      <c r="O103"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306.84457564130287</v>
      </c>
      <c r="P103" s="13">
        <f ca="1">balanco_geracao_consumo[[#This Row],[Tarifa 14.300]]</f>
        <v>306.84457564130287</v>
      </c>
      <c r="Q103" s="17">
        <f t="shared" ca="1" si="28"/>
        <v>1073.4343838535765</v>
      </c>
      <c r="R103" s="17">
        <f t="shared" ca="1" si="33"/>
        <v>33685.460992946326</v>
      </c>
    </row>
    <row r="104" spans="1:18">
      <c r="A104">
        <v>5</v>
      </c>
      <c r="B104" s="1" t="s">
        <v>126</v>
      </c>
      <c r="C104">
        <f ca="1">$C$34</f>
        <v>1002.24</v>
      </c>
      <c r="D104" s="14">
        <f ca="1">(IF(balanco_geracao_consumo[[#This Row],[Consumido da rede]]&lt;$C$8,($C$8*$B$307/(1-(IFERROR(INDEX($I$307:$L$307,MATCH(balanco_geracao_consumo[[#This Row],[Consumido da rede]]-0.01,$I$306:$K$306,1)+1),$I$307)+$G$307+$H$307))),(C104*$B$307/(1-(IFERROR(INDEX($I$307:$L$307,MATCH(C104-0.01,$I$306:$K$306,1)+1),$I$307)+$G$307+$H$307))))+IFERROR(INDEX($M$307:$AS$307,MATCH(C104-0.001,$M$306:$AR$306,1)+1),$M$307))*((1+$C$10)^(A104-1))</f>
        <v>1754.5501738685989</v>
      </c>
      <c r="E104" s="17">
        <f ca="1">$H$34*((1-$C$12)^(A104-1))</f>
        <v>1067.1548666777046</v>
      </c>
      <c r="F104" s="17">
        <f t="shared" ca="1" si="29"/>
        <v>300.67199999999997</v>
      </c>
      <c r="G104" s="17">
        <f t="shared" ca="1" si="30"/>
        <v>701.56799999999998</v>
      </c>
      <c r="H104" s="17">
        <f t="shared" ca="1" si="31"/>
        <v>766.48286667770458</v>
      </c>
      <c r="I104" s="17">
        <f ca="1">balanco_geracao_consumo[[#This Row],[Injetado na rede]]-balanco_geracao_consumo[[#This Row],[Energia Fornecida]]+I103</f>
        <v>5848.1344338606732</v>
      </c>
      <c r="J104" s="17">
        <f t="shared" ca="1" si="32"/>
        <v>601.56799999999998</v>
      </c>
      <c r="K104"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323.34785317339521</v>
      </c>
      <c r="L104" s="17">
        <f ca="1">balanco_geracao_consumo[[#This Row],[Injetado na rede]]-balanco_geracao_consumo[[#This Row],[Energia Fornecida 14.300]]+L103</f>
        <v>466.18159402942939</v>
      </c>
      <c r="M104" s="17">
        <f ca="1">IF(balanco_geracao_consumo[[#This Row],[Consumido da rede]]&lt;$C$8,0,IF((balanco_geracao_consumo[[#This Row],[Injetado na rede]]+L103)&gt;balanco_geracao_consumo[[#This Row],[Consumido da rede]],balanco_geracao_consumo[[#This Row],[Consumido da rede]],balanco_geracao_consumo[[#This Row],[Injetado na rede]]+L103))</f>
        <v>701.56799999999998</v>
      </c>
      <c r="N104" s="17">
        <f ca="1">IFERROR(VLOOKUP(balanco_geracao_consumo[[#This Row],[Ano]],$B$321:$C$327,2,FALSE),1)*$E$307*balanco_geracao_consumo[[#This Row],[Energia Fornecida 14.300]]</f>
        <v>138.24564413184001</v>
      </c>
      <c r="O104"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377.7688643016283</v>
      </c>
      <c r="P104" s="13">
        <f ca="1">balanco_geracao_consumo[[#This Row],[Tarifa 14.300]]</f>
        <v>377.7688643016283</v>
      </c>
      <c r="Q104" s="17">
        <f t="shared" ca="1" si="28"/>
        <v>1376.7813095669705</v>
      </c>
      <c r="R104" s="17">
        <f t="shared" ca="1" si="33"/>
        <v>35062.242302513296</v>
      </c>
    </row>
    <row r="105" spans="1:18">
      <c r="A105">
        <v>6</v>
      </c>
      <c r="B105" s="1" t="s">
        <v>96</v>
      </c>
      <c r="C105">
        <f ca="1">$C$23</f>
        <v>1202.6880000000001</v>
      </c>
      <c r="D105" s="14">
        <f ca="1">(IF(balanco_geracao_consumo[[#This Row],[Consumido da rede]]&lt;$C$8,($C$8*$B$307/(1-(IFERROR(INDEX($I$307:$L$307,MATCH(balanco_geracao_consumo[[#This Row],[Consumido da rede]]-0.01,$I$306:$K$306,1)+1),$I$307)+$G$307+$H$307))),(C105*$B$307/(1-(IFERROR(INDEX($I$307:$L$307,MATCH(C105-0.01,$I$306:$K$306,1)+1),$I$307)+$G$307+$H$307))))+IFERROR(INDEX($M$307:$AS$307,MATCH(C105-0.001,$M$306:$AR$306,1)+1),$M$307))*((1+$C$10)^(A105-1))</f>
        <v>2296.7541929665508</v>
      </c>
      <c r="E105" s="17">
        <f ca="1">$H$23*((1-$C$12)^(A105-1))</f>
        <v>1054.7796535940108</v>
      </c>
      <c r="F105" s="17">
        <f t="shared" ca="1" si="29"/>
        <v>360.8064</v>
      </c>
      <c r="G105" s="17">
        <f t="shared" ca="1" si="30"/>
        <v>841.88160000000016</v>
      </c>
      <c r="H105" s="17">
        <f t="shared" ca="1" si="31"/>
        <v>693.97325359401088</v>
      </c>
      <c r="I105" s="17">
        <f ca="1">balanco_geracao_consumo[[#This Row],[Injetado na rede]]-balanco_geracao_consumo[[#This Row],[Energia Fornecida]]+I104</f>
        <v>5800.2260874546837</v>
      </c>
      <c r="J105" s="17">
        <f t="shared" ca="1" si="32"/>
        <v>741.88160000000016</v>
      </c>
      <c r="K105"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384.00042045093932</v>
      </c>
      <c r="L105" s="17">
        <f ca="1">balanco_geracao_consumo[[#This Row],[Injetado na rede]]-balanco_geracao_consumo[[#This Row],[Energia Fornecida 14.300]]+L104</f>
        <v>318.27324762344011</v>
      </c>
      <c r="M105" s="17">
        <f ca="1">IF(balanco_geracao_consumo[[#This Row],[Consumido da rede]]&lt;$C$8,0,IF((balanco_geracao_consumo[[#This Row],[Injetado na rede]]+L104)&gt;balanco_geracao_consumo[[#This Row],[Consumido da rede]],balanco_geracao_consumo[[#This Row],[Consumido da rede]],balanco_geracao_consumo[[#This Row],[Injetado na rede]]+L104))</f>
        <v>841.88160000000016</v>
      </c>
      <c r="N105" s="17">
        <f ca="1">IFERROR(VLOOKUP(balanco_geracao_consumo[[#This Row],[Ano]],$B$321:$C$327,2,FALSE),1)*$E$307*balanco_geracao_consumo[[#This Row],[Energia Fornecida 14.300]]</f>
        <v>165.89477295820802</v>
      </c>
      <c r="O105"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488.39273115814979</v>
      </c>
      <c r="P105" s="13">
        <f ca="1">balanco_geracao_consumo[[#This Row],[Tarifa 14.300]]</f>
        <v>488.39273115814979</v>
      </c>
      <c r="Q105" s="17">
        <f t="shared" ca="1" si="28"/>
        <v>1808.3614618084011</v>
      </c>
      <c r="R105" s="17">
        <f t="shared" ca="1" si="33"/>
        <v>36870.603764321699</v>
      </c>
    </row>
    <row r="106" spans="1:18">
      <c r="A106">
        <v>6</v>
      </c>
      <c r="B106" s="1" t="s">
        <v>98</v>
      </c>
      <c r="C106">
        <f ca="1">$C$24</f>
        <v>1202.6880000000001</v>
      </c>
      <c r="D106" s="14">
        <f ca="1">(IF(balanco_geracao_consumo[[#This Row],[Consumido da rede]]&lt;$C$8,($C$8*$B$307/(1-(IFERROR(INDEX($I$307:$L$307,MATCH(balanco_geracao_consumo[[#This Row],[Consumido da rede]]-0.01,$I$306:$K$306,1)+1),$I$307)+$G$307+$H$307))),(C106*$B$307/(1-(IFERROR(INDEX($I$307:$L$307,MATCH(C106-0.01,$I$306:$K$306,1)+1),$I$307)+$G$307+$H$307))))+IFERROR(INDEX($M$307:$AS$307,MATCH(C106-0.001,$M$306:$AR$306,1)+1),$M$307))*((1+$C$10)^(A106-1))</f>
        <v>2296.7541929665508</v>
      </c>
      <c r="E106" s="17">
        <f ca="1">$H$24*((1-$C$12)^(A106-1))</f>
        <v>1023.7759913930802</v>
      </c>
      <c r="F106" s="17">
        <f t="shared" ca="1" si="29"/>
        <v>360.8064</v>
      </c>
      <c r="G106" s="17">
        <f t="shared" ca="1" si="30"/>
        <v>841.88160000000016</v>
      </c>
      <c r="H106" s="17">
        <f t="shared" ca="1" si="31"/>
        <v>662.96959139308024</v>
      </c>
      <c r="I106" s="17">
        <f ca="1">balanco_geracao_consumo[[#This Row],[Injetado na rede]]-balanco_geracao_consumo[[#This Row],[Energia Fornecida]]+I105</f>
        <v>5721.314078847764</v>
      </c>
      <c r="J106" s="17">
        <f t="shared" ca="1" si="32"/>
        <v>741.88160000000016</v>
      </c>
      <c r="K106"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384.00042045093932</v>
      </c>
      <c r="L106" s="17">
        <f ca="1">balanco_geracao_consumo[[#This Row],[Injetado na rede]]-balanco_geracao_consumo[[#This Row],[Energia Fornecida 14.300]]+L105</f>
        <v>139.36123901652019</v>
      </c>
      <c r="M106" s="17">
        <f ca="1">IF(balanco_geracao_consumo[[#This Row],[Consumido da rede]]&lt;$C$8,0,IF((balanco_geracao_consumo[[#This Row],[Injetado na rede]]+L105)&gt;balanco_geracao_consumo[[#This Row],[Consumido da rede]],balanco_geracao_consumo[[#This Row],[Consumido da rede]],balanco_geracao_consumo[[#This Row],[Injetado na rede]]+L105))</f>
        <v>841.88160000000016</v>
      </c>
      <c r="N106" s="17">
        <f ca="1">IFERROR(VLOOKUP(balanco_geracao_consumo[[#This Row],[Ano]],$B$321:$C$327,2,FALSE),1)*$E$307*balanco_geracao_consumo[[#This Row],[Energia Fornecida 14.300]]</f>
        <v>165.89477295820802</v>
      </c>
      <c r="O106"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488.39273115814979</v>
      </c>
      <c r="P106" s="13">
        <f ca="1">balanco_geracao_consumo[[#This Row],[Tarifa 14.300]]</f>
        <v>488.39273115814979</v>
      </c>
      <c r="Q106" s="17">
        <f t="shared" ca="1" si="28"/>
        <v>1808.3614618084011</v>
      </c>
      <c r="R106" s="17">
        <f t="shared" ca="1" si="33"/>
        <v>38678.965226130102</v>
      </c>
    </row>
    <row r="107" spans="1:18">
      <c r="A107">
        <v>6</v>
      </c>
      <c r="B107" s="1" t="s">
        <v>99</v>
      </c>
      <c r="C107">
        <f ca="1">$C$25</f>
        <v>1002.24</v>
      </c>
      <c r="D107" s="14">
        <f ca="1">(IF(balanco_geracao_consumo[[#This Row],[Consumido da rede]]&lt;$C$8,($C$8*$B$307/(1-(IFERROR(INDEX($I$307:$L$307,MATCH(balanco_geracao_consumo[[#This Row],[Consumido da rede]]-0.01,$I$306:$K$306,1)+1),$I$307)+$G$307+$H$307))),(C107*$B$307/(1-(IFERROR(INDEX($I$307:$L$307,MATCH(C107-0.01,$I$306:$K$306,1)+1),$I$307)+$G$307+$H$307))))+IFERROR(INDEX($M$307:$AS$307,MATCH(C107-0.001,$M$306:$AR$306,1)+1),$M$307))*((1+$C$10)^(A107-1))</f>
        <v>1930.0051912554588</v>
      </c>
      <c r="E107" s="17">
        <f ca="1">$H$25*((1-$C$12)^(A107-1))</f>
        <v>891.39817894772</v>
      </c>
      <c r="F107" s="17">
        <f t="shared" ca="1" si="29"/>
        <v>300.67199999999997</v>
      </c>
      <c r="G107" s="17">
        <f t="shared" ca="1" si="30"/>
        <v>701.56799999999998</v>
      </c>
      <c r="H107" s="17">
        <f t="shared" ca="1" si="31"/>
        <v>590.72617894771997</v>
      </c>
      <c r="I107" s="17">
        <f ca="1">balanco_geracao_consumo[[#This Row],[Injetado na rede]]-balanco_geracao_consumo[[#This Row],[Energia Fornecida]]+I106</f>
        <v>5710.4722577954835</v>
      </c>
      <c r="J107" s="17">
        <f t="shared" ca="1" si="32"/>
        <v>601.56799999999998</v>
      </c>
      <c r="K107"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355.68263849073475</v>
      </c>
      <c r="L107" s="17">
        <f ca="1">balanco_geracao_consumo[[#This Row],[Injetado na rede]]-balanco_geracao_consumo[[#This Row],[Energia Fornecida 14.300]]+L106</f>
        <v>28.519417964240176</v>
      </c>
      <c r="M107" s="17">
        <f ca="1">IF(balanco_geracao_consumo[[#This Row],[Consumido da rede]]&lt;$C$8,0,IF((balanco_geracao_consumo[[#This Row],[Injetado na rede]]+L106)&gt;balanco_geracao_consumo[[#This Row],[Consumido da rede]],balanco_geracao_consumo[[#This Row],[Consumido da rede]],balanco_geracao_consumo[[#This Row],[Injetado na rede]]+L106))</f>
        <v>701.56799999999998</v>
      </c>
      <c r="N107" s="17">
        <f ca="1">IFERROR(VLOOKUP(balanco_geracao_consumo[[#This Row],[Ano]],$B$321:$C$327,2,FALSE),1)*$E$307*balanco_geracao_consumo[[#This Row],[Energia Fornecida 14.300]]</f>
        <v>138.24564413184001</v>
      </c>
      <c r="O107"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415.54575073179114</v>
      </c>
      <c r="P107" s="13">
        <f ca="1">balanco_geracao_consumo[[#This Row],[Tarifa 14.300]]</f>
        <v>415.54575073179114</v>
      </c>
      <c r="Q107" s="17">
        <f t="shared" ca="1" si="28"/>
        <v>1514.4594405236676</v>
      </c>
      <c r="R107" s="17">
        <f t="shared" ca="1" si="33"/>
        <v>40193.424666653766</v>
      </c>
    </row>
    <row r="108" spans="1:18">
      <c r="A108">
        <v>6</v>
      </c>
      <c r="B108" s="1" t="s">
        <v>103</v>
      </c>
      <c r="C108">
        <f ca="1">$C$26</f>
        <v>902.01600000000008</v>
      </c>
      <c r="D108" s="14">
        <f ca="1">(IF(balanco_geracao_consumo[[#This Row],[Consumido da rede]]&lt;$C$8,($C$8*$B$307/(1-(IFERROR(INDEX($I$307:$L$307,MATCH(balanco_geracao_consumo[[#This Row],[Consumido da rede]]-0.01,$I$306:$K$306,1)+1),$I$307)+$G$307+$H$307))),(C108*$B$307/(1-(IFERROR(INDEX($I$307:$L$307,MATCH(C108-0.01,$I$306:$K$306,1)+1),$I$307)+$G$307+$H$307))))+IFERROR(INDEX($M$307:$AS$307,MATCH(C108-0.001,$M$306:$AR$306,1)+1),$M$307))*((1+$C$10)^(A108-1))</f>
        <v>1701.681356299913</v>
      </c>
      <c r="E108" s="17">
        <f ca="1">$H$26*((1-$C$12)^(A108-1))</f>
        <v>759.52948180395163</v>
      </c>
      <c r="F108" s="17">
        <f t="shared" ca="1" si="29"/>
        <v>270.60480000000001</v>
      </c>
      <c r="G108" s="17">
        <f t="shared" ca="1" si="30"/>
        <v>631.41120000000001</v>
      </c>
      <c r="H108" s="17">
        <f t="shared" ca="1" si="31"/>
        <v>488.92468180395161</v>
      </c>
      <c r="I108" s="17">
        <f ca="1">balanco_geracao_consumo[[#This Row],[Injetado na rede]]-balanco_geracao_consumo[[#This Row],[Energia Fornecida]]+I107</f>
        <v>5667.985739599435</v>
      </c>
      <c r="J108" s="17">
        <f t="shared" ca="1" si="32"/>
        <v>531.41120000000001</v>
      </c>
      <c r="K108"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341.52374751063263</v>
      </c>
      <c r="L108" s="17">
        <f ca="1">balanco_geracao_consumo[[#This Row],[Injetado na rede]]-balanco_geracao_consumo[[#This Row],[Energia Fornecida 14.300]]+L107</f>
        <v>0</v>
      </c>
      <c r="M108" s="17">
        <f ca="1">IF(balanco_geracao_consumo[[#This Row],[Consumido da rede]]&lt;$C$8,0,IF((balanco_geracao_consumo[[#This Row],[Injetado na rede]]+L107)&gt;balanco_geracao_consumo[[#This Row],[Consumido da rede]],balanco_geracao_consumo[[#This Row],[Consumido da rede]],balanco_geracao_consumo[[#This Row],[Injetado na rede]]+L107))</f>
        <v>517.44409976819179</v>
      </c>
      <c r="N108" s="17">
        <f ca="1">IFERROR(VLOOKUP(balanco_geracao_consumo[[#This Row],[Ano]],$B$321:$C$327,2,FALSE),1)*$E$307*balanco_geracao_consumo[[#This Row],[Energia Fornecida 14.300]]</f>
        <v>101.96359137627964</v>
      </c>
      <c r="O108"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528.47317908039918</v>
      </c>
      <c r="P108" s="13">
        <f ca="1">balanco_geracao_consumo[[#This Row],[Tarifa 14.300]]</f>
        <v>528.47317908039918</v>
      </c>
      <c r="Q108" s="17">
        <f t="shared" ref="Q108:Q139" ca="1" si="34">D108-P108</f>
        <v>1173.2081772195138</v>
      </c>
      <c r="R108" s="17">
        <f t="shared" ca="1" si="33"/>
        <v>41366.632843873282</v>
      </c>
    </row>
    <row r="109" spans="1:18">
      <c r="A109">
        <v>6</v>
      </c>
      <c r="B109" s="1" t="s">
        <v>106</v>
      </c>
      <c r="C109">
        <f ca="1">$C$27</f>
        <v>701.56799999999998</v>
      </c>
      <c r="D109" s="14">
        <f ca="1">(IF(balanco_geracao_consumo[[#This Row],[Consumido da rede]]&lt;$C$8,($C$8*$B$307/(1-(IFERROR(INDEX($I$307:$L$307,MATCH(balanco_geracao_consumo[[#This Row],[Consumido da rede]]-0.01,$I$306:$K$306,1)+1),$I$307)+$G$307+$H$307))),(C109*$B$307/(1-(IFERROR(INDEX($I$307:$L$307,MATCH(C109-0.01,$I$306:$K$306,1)+1),$I$307)+$G$307+$H$307))))+IFERROR(INDEX($M$307:$AS$307,MATCH(C109-0.001,$M$306:$AR$306,1)+1),$M$307))*((1+$C$10)^(A109-1))</f>
        <v>1334.9323545888212</v>
      </c>
      <c r="E109" s="17">
        <f ca="1">$H$27*((1-$C$12)^(A109-1))</f>
        <v>630.77675746659384</v>
      </c>
      <c r="F109" s="17">
        <f t="shared" ref="F109:F140" ca="1" si="35">MIN(C109*$A$9,E109)</f>
        <v>210.47039999999998</v>
      </c>
      <c r="G109" s="17">
        <f t="shared" ref="G109:G140" ca="1" si="36">C109-F109</f>
        <v>491.0976</v>
      </c>
      <c r="H109" s="17">
        <f t="shared" ref="H109:H140" ca="1" si="37">IF(E109&lt;F109,0,E109-F109)</f>
        <v>420.30635746659385</v>
      </c>
      <c r="I109" s="17">
        <f ca="1">balanco_geracao_consumo[[#This Row],[Injetado na rede]]-balanco_geracao_consumo[[#This Row],[Energia Fornecida]]+I108</f>
        <v>5697.1944970660288</v>
      </c>
      <c r="J109" s="17">
        <f t="shared" ref="J109:J140" ca="1" si="38">IF((G109-H109)&lt;$C$8,MAX(G109-$C$8,0),IF(I108-(G109-H109-$C$8)&lt;0,I108+H109,G109-$C$8))</f>
        <v>391.0976</v>
      </c>
      <c r="K109"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299.66157645042841</v>
      </c>
      <c r="L109" s="17">
        <f ca="1">balanco_geracao_consumo[[#This Row],[Injetado na rede]]-balanco_geracao_consumo[[#This Row],[Energia Fornecida 14.300]]+L108</f>
        <v>0</v>
      </c>
      <c r="M109" s="17">
        <f ca="1">IF(balanco_geracao_consumo[[#This Row],[Consumido da rede]]&lt;$C$8,0,IF((balanco_geracao_consumo[[#This Row],[Injetado na rede]]+L108)&gt;balanco_geracao_consumo[[#This Row],[Consumido da rede]],balanco_geracao_consumo[[#This Row],[Consumido da rede]],balanco_geracao_consumo[[#This Row],[Injetado na rede]]+L108))</f>
        <v>420.30635746659385</v>
      </c>
      <c r="N109" s="17">
        <f ca="1">IFERROR(VLOOKUP(balanco_geracao_consumo[[#This Row],[Ano]],$B$321:$C$327,2,FALSE),1)*$E$307*balanco_geracao_consumo[[#This Row],[Energia Fornecida 14.300]]</f>
        <v>82.822368067923094</v>
      </c>
      <c r="O109"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385.50097180495874</v>
      </c>
      <c r="P109" s="13">
        <f ca="1">balanco_geracao_consumo[[#This Row],[Tarifa 14.300]]</f>
        <v>385.50097180495874</v>
      </c>
      <c r="Q109" s="17">
        <f t="shared" ca="1" si="34"/>
        <v>949.43138278386255</v>
      </c>
      <c r="R109" s="17">
        <f t="shared" ref="R109:R140" ca="1" si="39">R108+Q109</f>
        <v>42316.064226657145</v>
      </c>
    </row>
    <row r="110" spans="1:18">
      <c r="A110">
        <v>6</v>
      </c>
      <c r="B110" s="1" t="s">
        <v>114</v>
      </c>
      <c r="C110">
        <f ca="1">$C$28</f>
        <v>601.34400000000005</v>
      </c>
      <c r="D110" s="14">
        <f ca="1">(IF(balanco_geracao_consumo[[#This Row],[Consumido da rede]]&lt;$C$8,($C$8*$B$307/(1-(IFERROR(INDEX($I$307:$L$307,MATCH(balanco_geracao_consumo[[#This Row],[Consumido da rede]]-0.01,$I$306:$K$306,1)+1),$I$307)+$G$307+$H$307))),(C110*$B$307/(1-(IFERROR(INDEX($I$307:$L$307,MATCH(C110-0.01,$I$306:$K$306,1)+1),$I$307)+$G$307+$H$307))))+IFERROR(INDEX($M$307:$AS$307,MATCH(C110-0.001,$M$306:$AR$306,1)+1),$M$307))*((1+$C$10)^(A110-1))</f>
        <v>1151.5578537332756</v>
      </c>
      <c r="E110" s="17">
        <f ca="1">$H$28*((1-$C$12)^(A110-1))</f>
        <v>581.3734516316091</v>
      </c>
      <c r="F110" s="17">
        <f t="shared" ca="1" si="35"/>
        <v>180.4032</v>
      </c>
      <c r="G110" s="17">
        <f t="shared" ca="1" si="36"/>
        <v>420.94080000000008</v>
      </c>
      <c r="H110" s="17">
        <f t="shared" ca="1" si="37"/>
        <v>400.97025163160913</v>
      </c>
      <c r="I110" s="17">
        <f ca="1">balanco_geracao_consumo[[#This Row],[Injetado na rede]]-balanco_geracao_consumo[[#This Row],[Energia Fornecida]]+I109</f>
        <v>5777.2239486976378</v>
      </c>
      <c r="J110" s="17">
        <f t="shared" ca="1" si="38"/>
        <v>320.94080000000008</v>
      </c>
      <c r="K110"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285.50268547032624</v>
      </c>
      <c r="L110" s="17">
        <f ca="1">balanco_geracao_consumo[[#This Row],[Injetado na rede]]-balanco_geracao_consumo[[#This Row],[Energia Fornecida 14.300]]+L109</f>
        <v>0</v>
      </c>
      <c r="M110" s="17">
        <f ca="1">IF(balanco_geracao_consumo[[#This Row],[Consumido da rede]]&lt;$C$8,0,IF((balanco_geracao_consumo[[#This Row],[Injetado na rede]]+L109)&gt;balanco_geracao_consumo[[#This Row],[Consumido da rede]],balanco_geracao_consumo[[#This Row],[Consumido da rede]],balanco_geracao_consumo[[#This Row],[Injetado na rede]]+L109))</f>
        <v>400.97025163160913</v>
      </c>
      <c r="N110" s="17">
        <f ca="1">IFERROR(VLOOKUP(balanco_geracao_consumo[[#This Row],[Ano]],$B$321:$C$327,2,FALSE),1)*$E$307*balanco_geracao_consumo[[#This Row],[Energia Fornecida 14.300]]</f>
        <v>79.012142393207469</v>
      </c>
      <c r="O110"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282.47828463007352</v>
      </c>
      <c r="P110" s="13">
        <f ca="1">balanco_geracao_consumo[[#This Row],[Tarifa 14.300]]</f>
        <v>282.47828463007352</v>
      </c>
      <c r="Q110" s="17">
        <f t="shared" ca="1" si="34"/>
        <v>869.07956910320206</v>
      </c>
      <c r="R110" s="17">
        <f t="shared" ca="1" si="39"/>
        <v>43185.143795760348</v>
      </c>
    </row>
    <row r="111" spans="1:18">
      <c r="A111">
        <v>6</v>
      </c>
      <c r="B111" s="1" t="s">
        <v>119</v>
      </c>
      <c r="C111">
        <f ca="1">$C$29</f>
        <v>601.34400000000005</v>
      </c>
      <c r="D111" s="14">
        <f ca="1">(IF(balanco_geracao_consumo[[#This Row],[Consumido da rede]]&lt;$C$8,($C$8*$B$307/(1-(IFERROR(INDEX($I$307:$L$307,MATCH(balanco_geracao_consumo[[#This Row],[Consumido da rede]]-0.01,$I$306:$K$306,1)+1),$I$307)+$G$307+$H$307))),(C111*$B$307/(1-(IFERROR(INDEX($I$307:$L$307,MATCH(C111-0.01,$I$306:$K$306,1)+1),$I$307)+$G$307+$H$307))))+IFERROR(INDEX($M$307:$AS$307,MATCH(C111-0.001,$M$306:$AR$306,1)+1),$M$307))*((1+$C$10)^(A111-1))</f>
        <v>1151.5578537332756</v>
      </c>
      <c r="E111" s="17">
        <f ca="1">$H$29*((1-$C$12)^(A111-1))</f>
        <v>585.09539932505061</v>
      </c>
      <c r="F111" s="17">
        <f t="shared" ca="1" si="35"/>
        <v>180.4032</v>
      </c>
      <c r="G111" s="17">
        <f t="shared" ca="1" si="36"/>
        <v>420.94080000000008</v>
      </c>
      <c r="H111" s="17">
        <f t="shared" ca="1" si="37"/>
        <v>404.69219932505064</v>
      </c>
      <c r="I111" s="17">
        <f ca="1">balanco_geracao_consumo[[#This Row],[Injetado na rede]]-balanco_geracao_consumo[[#This Row],[Energia Fornecida]]+I110</f>
        <v>5860.9753480226882</v>
      </c>
      <c r="J111" s="17">
        <f t="shared" ca="1" si="38"/>
        <v>320.94080000000008</v>
      </c>
      <c r="K111"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285.50268547032624</v>
      </c>
      <c r="L111" s="17">
        <f ca="1">balanco_geracao_consumo[[#This Row],[Injetado na rede]]-balanco_geracao_consumo[[#This Row],[Energia Fornecida 14.300]]+L110</f>
        <v>0</v>
      </c>
      <c r="M111" s="17">
        <f ca="1">IF(balanco_geracao_consumo[[#This Row],[Consumido da rede]]&lt;$C$8,0,IF((balanco_geracao_consumo[[#This Row],[Injetado na rede]]+L110)&gt;balanco_geracao_consumo[[#This Row],[Consumido da rede]],balanco_geracao_consumo[[#This Row],[Consumido da rede]],balanco_geracao_consumo[[#This Row],[Injetado na rede]]+L110))</f>
        <v>404.69219932505064</v>
      </c>
      <c r="N111" s="17">
        <f ca="1">IFERROR(VLOOKUP(balanco_geracao_consumo[[#This Row],[Ano]],$B$321:$C$327,2,FALSE),1)*$E$307*balanco_geracao_consumo[[#This Row],[Energia Fornecida 14.300]]</f>
        <v>79.745561044435618</v>
      </c>
      <c r="O111"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277.60076905124635</v>
      </c>
      <c r="P111" s="13">
        <f ca="1">balanco_geracao_consumo[[#This Row],[Tarifa 14.300]]</f>
        <v>277.60076905124635</v>
      </c>
      <c r="Q111" s="17">
        <f t="shared" ca="1" si="34"/>
        <v>873.95708468202929</v>
      </c>
      <c r="R111" s="17">
        <f t="shared" ca="1" si="39"/>
        <v>44059.100880442376</v>
      </c>
    </row>
    <row r="112" spans="1:18">
      <c r="A112">
        <v>6</v>
      </c>
      <c r="B112" s="1" t="s">
        <v>122</v>
      </c>
      <c r="C112">
        <f ca="1">$C$30</f>
        <v>701.56799999999998</v>
      </c>
      <c r="D112" s="14">
        <f ca="1">(IF(balanco_geracao_consumo[[#This Row],[Consumido da rede]]&lt;$C$8,($C$8*$B$307/(1-(IFERROR(INDEX($I$307:$L$307,MATCH(balanco_geracao_consumo[[#This Row],[Consumido da rede]]-0.01,$I$306:$K$306,1)+1),$I$307)+$G$307+$H$307))),(C112*$B$307/(1-(IFERROR(INDEX($I$307:$L$307,MATCH(C112-0.01,$I$306:$K$306,1)+1),$I$307)+$G$307+$H$307))))+IFERROR(INDEX($M$307:$AS$307,MATCH(C112-0.001,$M$306:$AR$306,1)+1),$M$307))*((1+$C$10)^(A112-1))</f>
        <v>1334.9323545888212</v>
      </c>
      <c r="E112" s="17">
        <f ca="1">$H$30*((1-$C$12)^(A112-1))</f>
        <v>753.87688391609458</v>
      </c>
      <c r="F112" s="17">
        <f t="shared" ca="1" si="35"/>
        <v>210.47039999999998</v>
      </c>
      <c r="G112" s="17">
        <f t="shared" ca="1" si="36"/>
        <v>491.0976</v>
      </c>
      <c r="H112" s="17">
        <f t="shared" ca="1" si="37"/>
        <v>543.40648391609466</v>
      </c>
      <c r="I112" s="17">
        <f ca="1">balanco_geracao_consumo[[#This Row],[Injetado na rede]]-balanco_geracao_consumo[[#This Row],[Energia Fornecida]]+I111</f>
        <v>6013.2842319387828</v>
      </c>
      <c r="J112" s="17">
        <f t="shared" ca="1" si="38"/>
        <v>391.0976</v>
      </c>
      <c r="K112"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299.66157645042841</v>
      </c>
      <c r="L112" s="17">
        <f ca="1">balanco_geracao_consumo[[#This Row],[Injetado na rede]]-balanco_geracao_consumo[[#This Row],[Energia Fornecida 14.300]]+L111</f>
        <v>52.308883916094658</v>
      </c>
      <c r="M112" s="17">
        <f ca="1">IF(balanco_geracao_consumo[[#This Row],[Consumido da rede]]&lt;$C$8,0,IF((balanco_geracao_consumo[[#This Row],[Injetado na rede]]+L111)&gt;balanco_geracao_consumo[[#This Row],[Consumido da rede]],balanco_geracao_consumo[[#This Row],[Consumido da rede]],balanco_geracao_consumo[[#This Row],[Injetado na rede]]+L111))</f>
        <v>491.0976</v>
      </c>
      <c r="N112" s="17">
        <f ca="1">IFERROR(VLOOKUP(balanco_geracao_consumo[[#This Row],[Ano]],$B$321:$C$327,2,FALSE),1)*$E$307*balanco_geracao_consumo[[#This Row],[Energia Fornecida 14.300]]</f>
        <v>96.771950892288004</v>
      </c>
      <c r="O112"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292.73089099225393</v>
      </c>
      <c r="P112" s="13">
        <f ca="1">balanco_geracao_consumo[[#This Row],[Tarifa 14.300]]</f>
        <v>292.73089099225393</v>
      </c>
      <c r="Q112" s="17">
        <f t="shared" ca="1" si="34"/>
        <v>1042.2014635965672</v>
      </c>
      <c r="R112" s="17">
        <f t="shared" ca="1" si="39"/>
        <v>45101.302344038944</v>
      </c>
    </row>
    <row r="113" spans="1:18">
      <c r="A113">
        <v>6</v>
      </c>
      <c r="B113" s="1" t="s">
        <v>123</v>
      </c>
      <c r="C113">
        <f ca="1">$C$31</f>
        <v>701.56799999999998</v>
      </c>
      <c r="D113" s="14">
        <f ca="1">(IF(balanco_geracao_consumo[[#This Row],[Consumido da rede]]&lt;$C$8,($C$8*$B$307/(1-(IFERROR(INDEX($I$307:$L$307,MATCH(balanco_geracao_consumo[[#This Row],[Consumido da rede]]-0.01,$I$306:$K$306,1)+1),$I$307)+$G$307+$H$307))),(C113*$B$307/(1-(IFERROR(INDEX($I$307:$L$307,MATCH(C113-0.01,$I$306:$K$306,1)+1),$I$307)+$G$307+$H$307))))+IFERROR(INDEX($M$307:$AS$307,MATCH(C113-0.001,$M$306:$AR$306,1)+1),$M$307))*((1+$C$10)^(A113-1))</f>
        <v>1334.9323545888212</v>
      </c>
      <c r="E113" s="17">
        <f ca="1">$H$31*((1-$C$12)^(A113-1))</f>
        <v>744.08117393136433</v>
      </c>
      <c r="F113" s="17">
        <f t="shared" ca="1" si="35"/>
        <v>210.47039999999998</v>
      </c>
      <c r="G113" s="17">
        <f t="shared" ca="1" si="36"/>
        <v>491.0976</v>
      </c>
      <c r="H113" s="17">
        <f t="shared" ca="1" si="37"/>
        <v>533.61077393136429</v>
      </c>
      <c r="I113" s="17">
        <f ca="1">balanco_geracao_consumo[[#This Row],[Injetado na rede]]-balanco_geracao_consumo[[#This Row],[Energia Fornecida]]+I112</f>
        <v>6155.7974058701475</v>
      </c>
      <c r="J113" s="17">
        <f t="shared" ca="1" si="38"/>
        <v>391.0976</v>
      </c>
      <c r="K113"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299.66157645042841</v>
      </c>
      <c r="L113" s="17">
        <f ca="1">balanco_geracao_consumo[[#This Row],[Injetado na rede]]-balanco_geracao_consumo[[#This Row],[Energia Fornecida 14.300]]+L112</f>
        <v>94.82205784745895</v>
      </c>
      <c r="M113" s="17">
        <f ca="1">IF(balanco_geracao_consumo[[#This Row],[Consumido da rede]]&lt;$C$8,0,IF((balanco_geracao_consumo[[#This Row],[Injetado na rede]]+L112)&gt;balanco_geracao_consumo[[#This Row],[Consumido da rede]],balanco_geracao_consumo[[#This Row],[Consumido da rede]],balanco_geracao_consumo[[#This Row],[Injetado na rede]]+L112))</f>
        <v>491.0976</v>
      </c>
      <c r="N113" s="17">
        <f ca="1">IFERROR(VLOOKUP(balanco_geracao_consumo[[#This Row],[Ano]],$B$321:$C$327,2,FALSE),1)*$E$307*balanco_geracao_consumo[[#This Row],[Energia Fornecida 14.300]]</f>
        <v>96.771950892288004</v>
      </c>
      <c r="O113"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292.73089099225393</v>
      </c>
      <c r="P113" s="13">
        <f ca="1">balanco_geracao_consumo[[#This Row],[Tarifa 14.300]]</f>
        <v>292.73089099225393</v>
      </c>
      <c r="Q113" s="17">
        <f t="shared" ca="1" si="34"/>
        <v>1042.2014635965672</v>
      </c>
      <c r="R113" s="17">
        <f t="shared" ca="1" si="39"/>
        <v>46143.503807635512</v>
      </c>
    </row>
    <row r="114" spans="1:18">
      <c r="A114">
        <v>6</v>
      </c>
      <c r="B114" s="1" t="s">
        <v>124</v>
      </c>
      <c r="C114">
        <f ca="1">$C$32</f>
        <v>701.56799999999998</v>
      </c>
      <c r="D114" s="14">
        <f ca="1">(IF(balanco_geracao_consumo[[#This Row],[Consumido da rede]]&lt;$C$8,($C$8*$B$307/(1-(IFERROR(INDEX($I$307:$L$307,MATCH(balanco_geracao_consumo[[#This Row],[Consumido da rede]]-0.01,$I$306:$K$306,1)+1),$I$307)+$G$307+$H$307))),(C114*$B$307/(1-(IFERROR(INDEX($I$307:$L$307,MATCH(C114-0.01,$I$306:$K$306,1)+1),$I$307)+$G$307+$H$307))))+IFERROR(INDEX($M$307:$AS$307,MATCH(C114-0.001,$M$306:$AR$306,1)+1),$M$307))*((1+$C$10)^(A114-1))</f>
        <v>1334.9323545888212</v>
      </c>
      <c r="E114" s="17">
        <f ca="1">$H$32*((1-$C$12)^(A114-1))</f>
        <v>892.53234989992427</v>
      </c>
      <c r="F114" s="17">
        <f t="shared" ca="1" si="35"/>
        <v>210.47039999999998</v>
      </c>
      <c r="G114" s="17">
        <f t="shared" ca="1" si="36"/>
        <v>491.0976</v>
      </c>
      <c r="H114" s="17">
        <f t="shared" ca="1" si="37"/>
        <v>682.06194989992423</v>
      </c>
      <c r="I114" s="17">
        <f ca="1">balanco_geracao_consumo[[#This Row],[Injetado na rede]]-balanco_geracao_consumo[[#This Row],[Energia Fornecida]]+I113</f>
        <v>6446.7617557700714</v>
      </c>
      <c r="J114" s="17">
        <f t="shared" ca="1" si="38"/>
        <v>391.0976</v>
      </c>
      <c r="K114"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299.66157645042841</v>
      </c>
      <c r="L114" s="17">
        <f ca="1">balanco_geracao_consumo[[#This Row],[Injetado na rede]]-balanco_geracao_consumo[[#This Row],[Energia Fornecida 14.300]]+L113</f>
        <v>285.78640774738318</v>
      </c>
      <c r="M114" s="17">
        <f ca="1">IF(balanco_geracao_consumo[[#This Row],[Consumido da rede]]&lt;$C$8,0,IF((balanco_geracao_consumo[[#This Row],[Injetado na rede]]+L113)&gt;balanco_geracao_consumo[[#This Row],[Consumido da rede]],balanco_geracao_consumo[[#This Row],[Consumido da rede]],balanco_geracao_consumo[[#This Row],[Injetado na rede]]+L113))</f>
        <v>491.0976</v>
      </c>
      <c r="N114" s="17">
        <f ca="1">IFERROR(VLOOKUP(balanco_geracao_consumo[[#This Row],[Ano]],$B$321:$C$327,2,FALSE),1)*$E$307*balanco_geracao_consumo[[#This Row],[Energia Fornecida 14.300]]</f>
        <v>96.771950892288004</v>
      </c>
      <c r="O114"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292.73089099225393</v>
      </c>
      <c r="P114" s="13">
        <f ca="1">balanco_geracao_consumo[[#This Row],[Tarifa 14.300]]</f>
        <v>292.73089099225393</v>
      </c>
      <c r="Q114" s="17">
        <f t="shared" ca="1" si="34"/>
        <v>1042.2014635965672</v>
      </c>
      <c r="R114" s="17">
        <f t="shared" ca="1" si="39"/>
        <v>47185.70527123208</v>
      </c>
    </row>
    <row r="115" spans="1:18">
      <c r="A115">
        <v>6</v>
      </c>
      <c r="B115" s="1" t="s">
        <v>125</v>
      </c>
      <c r="C115">
        <f ca="1">$C$33</f>
        <v>801.79200000000003</v>
      </c>
      <c r="D115" s="14">
        <f ca="1">(IF(balanco_geracao_consumo[[#This Row],[Consumido da rede]]&lt;$C$8,($C$8*$B$307/(1-(IFERROR(INDEX($I$307:$L$307,MATCH(balanco_geracao_consumo[[#This Row],[Consumido da rede]]-0.01,$I$306:$K$306,1)+1),$I$307)+$G$307+$H$307))),(C115*$B$307/(1-(IFERROR(INDEX($I$307:$L$307,MATCH(C115-0.01,$I$306:$K$306,1)+1),$I$307)+$G$307+$H$307))))+IFERROR(INDEX($M$307:$AS$307,MATCH(C115-0.001,$M$306:$AR$306,1)+1),$M$307))*((1+$C$10)^(A115-1))</f>
        <v>1518.3068554443673</v>
      </c>
      <c r="E115" s="17">
        <f ca="1">$H$33*((1-$C$12)^(A115-1))</f>
        <v>894.11798051287974</v>
      </c>
      <c r="F115" s="17">
        <f t="shared" ca="1" si="35"/>
        <v>240.5376</v>
      </c>
      <c r="G115" s="17">
        <f t="shared" ca="1" si="36"/>
        <v>561.25440000000003</v>
      </c>
      <c r="H115" s="17">
        <f t="shared" ca="1" si="37"/>
        <v>653.58038051287974</v>
      </c>
      <c r="I115" s="17">
        <f ca="1">balanco_geracao_consumo[[#This Row],[Injetado na rede]]-balanco_geracao_consumo[[#This Row],[Energia Fornecida]]+I114</f>
        <v>6639.0877362829515</v>
      </c>
      <c r="J115" s="17">
        <f t="shared" ca="1" si="38"/>
        <v>461.25440000000003</v>
      </c>
      <c r="K115"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322.19511943053067</v>
      </c>
      <c r="L115" s="17">
        <f ca="1">balanco_geracao_consumo[[#This Row],[Injetado na rede]]-balanco_geracao_consumo[[#This Row],[Energia Fornecida 14.300]]+L114</f>
        <v>378.11238826026289</v>
      </c>
      <c r="M115" s="17">
        <f ca="1">IF(balanco_geracao_consumo[[#This Row],[Consumido da rede]]&lt;$C$8,0,IF((balanco_geracao_consumo[[#This Row],[Injetado na rede]]+L114)&gt;balanco_geracao_consumo[[#This Row],[Consumido da rede]],balanco_geracao_consumo[[#This Row],[Consumido da rede]],balanco_geracao_consumo[[#This Row],[Injetado na rede]]+L114))</f>
        <v>561.25440000000003</v>
      </c>
      <c r="N115" s="17">
        <f ca="1">IFERROR(VLOOKUP(balanco_geracao_consumo[[#This Row],[Ano]],$B$321:$C$327,2,FALSE),1)*$E$307*balanco_geracao_consumo[[#This Row],[Energia Fornecida 14.300]]</f>
        <v>110.59651530547201</v>
      </c>
      <c r="O115"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337.52903320543322</v>
      </c>
      <c r="P115" s="13">
        <f ca="1">balanco_geracao_consumo[[#This Row],[Tarifa 14.300]]</f>
        <v>337.52903320543322</v>
      </c>
      <c r="Q115" s="17">
        <f t="shared" ca="1" si="34"/>
        <v>1180.777822238934</v>
      </c>
      <c r="R115" s="17">
        <f t="shared" ca="1" si="39"/>
        <v>48366.483093471012</v>
      </c>
    </row>
    <row r="116" spans="1:18">
      <c r="A116">
        <v>6</v>
      </c>
      <c r="B116" s="1" t="s">
        <v>126</v>
      </c>
      <c r="C116">
        <f ca="1">$C$34</f>
        <v>1002.24</v>
      </c>
      <c r="D116" s="14">
        <f ca="1">(IF(balanco_geracao_consumo[[#This Row],[Consumido da rede]]&lt;$C$8,($C$8*$B$307/(1-(IFERROR(INDEX($I$307:$L$307,MATCH(balanco_geracao_consumo[[#This Row],[Consumido da rede]]-0.01,$I$306:$K$306,1)+1),$I$307)+$G$307+$H$307))),(C116*$B$307/(1-(IFERROR(INDEX($I$307:$L$307,MATCH(C116-0.01,$I$306:$K$306,1)+1),$I$307)+$G$307+$H$307))))+IFERROR(INDEX($M$307:$AS$307,MATCH(C116-0.001,$M$306:$AR$306,1)+1),$M$307))*((1+$C$10)^(A116-1))</f>
        <v>1930.0051912554588</v>
      </c>
      <c r="E116" s="17">
        <f ca="1">$H$34*((1-$C$12)^(A116-1))</f>
        <v>1059.6847826109608</v>
      </c>
      <c r="F116" s="17">
        <f t="shared" ca="1" si="35"/>
        <v>300.67199999999997</v>
      </c>
      <c r="G116" s="17">
        <f t="shared" ca="1" si="36"/>
        <v>701.56799999999998</v>
      </c>
      <c r="H116" s="17">
        <f t="shared" ca="1" si="37"/>
        <v>759.01278261096081</v>
      </c>
      <c r="I116" s="17">
        <f ca="1">balanco_geracao_consumo[[#This Row],[Injetado na rede]]-balanco_geracao_consumo[[#This Row],[Energia Fornecida]]+I115</f>
        <v>6796.5325188939123</v>
      </c>
      <c r="J116" s="17">
        <f t="shared" ca="1" si="38"/>
        <v>601.56799999999998</v>
      </c>
      <c r="K116"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355.68263849073475</v>
      </c>
      <c r="L116" s="17">
        <f ca="1">balanco_geracao_consumo[[#This Row],[Injetado na rede]]-balanco_geracao_consumo[[#This Row],[Energia Fornecida 14.300]]+L115</f>
        <v>435.55717087122372</v>
      </c>
      <c r="M116" s="17">
        <f ca="1">IF(balanco_geracao_consumo[[#This Row],[Consumido da rede]]&lt;$C$8,0,IF((balanco_geracao_consumo[[#This Row],[Injetado na rede]]+L115)&gt;balanco_geracao_consumo[[#This Row],[Consumido da rede]],balanco_geracao_consumo[[#This Row],[Consumido da rede]],balanco_geracao_consumo[[#This Row],[Injetado na rede]]+L115))</f>
        <v>701.56799999999998</v>
      </c>
      <c r="N116" s="17">
        <f ca="1">IFERROR(VLOOKUP(balanco_geracao_consumo[[#This Row],[Ano]],$B$321:$C$327,2,FALSE),1)*$E$307*balanco_geracao_consumo[[#This Row],[Energia Fornecida 14.300]]</f>
        <v>138.24564413184001</v>
      </c>
      <c r="O116"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415.54575073179114</v>
      </c>
      <c r="P116" s="13">
        <f ca="1">balanco_geracao_consumo[[#This Row],[Tarifa 14.300]]</f>
        <v>415.54575073179114</v>
      </c>
      <c r="Q116" s="17">
        <f t="shared" ca="1" si="34"/>
        <v>1514.4594405236676</v>
      </c>
      <c r="R116" s="17">
        <f t="shared" ca="1" si="39"/>
        <v>49880.942533994676</v>
      </c>
    </row>
    <row r="117" spans="1:18">
      <c r="A117">
        <v>7</v>
      </c>
      <c r="B117" s="1" t="s">
        <v>96</v>
      </c>
      <c r="C117">
        <f ca="1">$C$23</f>
        <v>1202.6880000000001</v>
      </c>
      <c r="D117" s="14">
        <f ca="1">(IF(balanco_geracao_consumo[[#This Row],[Consumido da rede]]&lt;$C$8,($C$8*$B$307/(1-(IFERROR(INDEX($I$307:$L$307,MATCH(balanco_geracao_consumo[[#This Row],[Consumido da rede]]-0.01,$I$306:$K$306,1)+1),$I$307)+$G$307+$H$307))),(C117*$B$307/(1-(IFERROR(INDEX($I$307:$L$307,MATCH(C117-0.01,$I$306:$K$306,1)+1),$I$307)+$G$307+$H$307))))+IFERROR(INDEX($M$307:$AS$307,MATCH(C117-0.001,$M$306:$AR$306,1)+1),$M$307))*((1+$C$10)^(A117-1))</f>
        <v>2526.4296122632063</v>
      </c>
      <c r="E117" s="17">
        <f ca="1">$H$23*((1-$C$12)^(A117-1))</f>
        <v>1047.3961960188526</v>
      </c>
      <c r="F117" s="17">
        <f t="shared" ca="1" si="35"/>
        <v>360.8064</v>
      </c>
      <c r="G117" s="17">
        <f t="shared" ca="1" si="36"/>
        <v>841.88160000000016</v>
      </c>
      <c r="H117" s="17">
        <f t="shared" ca="1" si="37"/>
        <v>686.58979601885267</v>
      </c>
      <c r="I117" s="17">
        <f ca="1">balanco_geracao_consumo[[#This Row],[Injetado na rede]]-balanco_geracao_consumo[[#This Row],[Energia Fornecida]]+I116</f>
        <v>6741.2407149127648</v>
      </c>
      <c r="J117" s="17">
        <f t="shared" ca="1" si="38"/>
        <v>741.88160000000016</v>
      </c>
      <c r="K117"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422.4004624960333</v>
      </c>
      <c r="L117" s="17">
        <f ca="1">balanco_geracao_consumo[[#This Row],[Injetado na rede]]-balanco_geracao_consumo[[#This Row],[Energia Fornecida 14.300]]+L116</f>
        <v>280.26536689007622</v>
      </c>
      <c r="M117" s="17">
        <f ca="1">IF(balanco_geracao_consumo[[#This Row],[Consumido da rede]]&lt;$C$8,0,IF((balanco_geracao_consumo[[#This Row],[Injetado na rede]]+L116)&gt;balanco_geracao_consumo[[#This Row],[Consumido da rede]],balanco_geracao_consumo[[#This Row],[Consumido da rede]],balanco_geracao_consumo[[#This Row],[Injetado na rede]]+L116))</f>
        <v>841.88160000000016</v>
      </c>
      <c r="N117" s="17">
        <f ca="1">IFERROR(VLOOKUP(balanco_geracao_consumo[[#This Row],[Ano]],$B$321:$C$327,2,FALSE),1)*$E$307*balanco_geracao_consumo[[#This Row],[Energia Fornecida 14.300]]</f>
        <v>165.89477295820802</v>
      </c>
      <c r="O117"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537.23200427396478</v>
      </c>
      <c r="P117" s="13">
        <f ca="1">balanco_geracao_consumo[[#This Row],[Tarifa 14.300]]</f>
        <v>537.23200427396478</v>
      </c>
      <c r="Q117" s="17">
        <f t="shared" ca="1" si="34"/>
        <v>1989.1976079892415</v>
      </c>
      <c r="R117" s="17">
        <f t="shared" ca="1" si="39"/>
        <v>51870.140141983917</v>
      </c>
    </row>
    <row r="118" spans="1:18">
      <c r="A118">
        <v>7</v>
      </c>
      <c r="B118" s="1" t="s">
        <v>98</v>
      </c>
      <c r="C118">
        <f ca="1">$C$24</f>
        <v>1202.6880000000001</v>
      </c>
      <c r="D118" s="14">
        <f ca="1">(IF(balanco_geracao_consumo[[#This Row],[Consumido da rede]]&lt;$C$8,($C$8*$B$307/(1-(IFERROR(INDEX($I$307:$L$307,MATCH(balanco_geracao_consumo[[#This Row],[Consumido da rede]]-0.01,$I$306:$K$306,1)+1),$I$307)+$G$307+$H$307))),(C118*$B$307/(1-(IFERROR(INDEX($I$307:$L$307,MATCH(C118-0.01,$I$306:$K$306,1)+1),$I$307)+$G$307+$H$307))))+IFERROR(INDEX($M$307:$AS$307,MATCH(C118-0.001,$M$306:$AR$306,1)+1),$M$307))*((1+$C$10)^(A118-1))</f>
        <v>2526.4296122632063</v>
      </c>
      <c r="E118" s="17">
        <f ca="1">$H$24*((1-$C$12)^(A118-1))</f>
        <v>1016.6095594533285</v>
      </c>
      <c r="F118" s="17">
        <f t="shared" ca="1" si="35"/>
        <v>360.8064</v>
      </c>
      <c r="G118" s="17">
        <f t="shared" ca="1" si="36"/>
        <v>841.88160000000016</v>
      </c>
      <c r="H118" s="17">
        <f t="shared" ca="1" si="37"/>
        <v>655.80315945332859</v>
      </c>
      <c r="I118" s="17">
        <f ca="1">balanco_geracao_consumo[[#This Row],[Injetado na rede]]-balanco_geracao_consumo[[#This Row],[Energia Fornecida]]+I117</f>
        <v>6655.1622743660937</v>
      </c>
      <c r="J118" s="17">
        <f t="shared" ca="1" si="38"/>
        <v>741.88160000000016</v>
      </c>
      <c r="K118"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422.4004624960333</v>
      </c>
      <c r="L118" s="17">
        <f ca="1">balanco_geracao_consumo[[#This Row],[Injetado na rede]]-balanco_geracao_consumo[[#This Row],[Energia Fornecida 14.300]]+L117</f>
        <v>94.18692634340465</v>
      </c>
      <c r="M118" s="17">
        <f ca="1">IF(balanco_geracao_consumo[[#This Row],[Consumido da rede]]&lt;$C$8,0,IF((balanco_geracao_consumo[[#This Row],[Injetado na rede]]+L117)&gt;balanco_geracao_consumo[[#This Row],[Consumido da rede]],balanco_geracao_consumo[[#This Row],[Consumido da rede]],balanco_geracao_consumo[[#This Row],[Injetado na rede]]+L117))</f>
        <v>841.88160000000016</v>
      </c>
      <c r="N118" s="17">
        <f ca="1">IFERROR(VLOOKUP(balanco_geracao_consumo[[#This Row],[Ano]],$B$321:$C$327,2,FALSE),1)*$E$307*balanco_geracao_consumo[[#This Row],[Energia Fornecida 14.300]]</f>
        <v>165.89477295820802</v>
      </c>
      <c r="O118"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537.23200427396478</v>
      </c>
      <c r="P118" s="13">
        <f ca="1">balanco_geracao_consumo[[#This Row],[Tarifa 14.300]]</f>
        <v>537.23200427396478</v>
      </c>
      <c r="Q118" s="17">
        <f t="shared" ca="1" si="34"/>
        <v>1989.1976079892415</v>
      </c>
      <c r="R118" s="17">
        <f t="shared" ca="1" si="39"/>
        <v>53859.337749973158</v>
      </c>
    </row>
    <row r="119" spans="1:18">
      <c r="A119">
        <v>7</v>
      </c>
      <c r="B119" s="1" t="s">
        <v>99</v>
      </c>
      <c r="C119">
        <f ca="1">$C$25</f>
        <v>1002.24</v>
      </c>
      <c r="D119" s="14">
        <f ca="1">(IF(balanco_geracao_consumo[[#This Row],[Consumido da rede]]&lt;$C$8,($C$8*$B$307/(1-(IFERROR(INDEX($I$307:$L$307,MATCH(balanco_geracao_consumo[[#This Row],[Consumido da rede]]-0.01,$I$306:$K$306,1)+1),$I$307)+$G$307+$H$307))),(C119*$B$307/(1-(IFERROR(INDEX($I$307:$L$307,MATCH(C119-0.01,$I$306:$K$306,1)+1),$I$307)+$G$307+$H$307))))+IFERROR(INDEX($M$307:$AS$307,MATCH(C119-0.001,$M$306:$AR$306,1)+1),$M$307))*((1+$C$10)^(A119-1))</f>
        <v>2123.005710381005</v>
      </c>
      <c r="E119" s="17">
        <f ca="1">$H$25*((1-$C$12)^(A119-1))</f>
        <v>885.15839169508592</v>
      </c>
      <c r="F119" s="17">
        <f t="shared" ca="1" si="35"/>
        <v>300.67199999999997</v>
      </c>
      <c r="G119" s="17">
        <f t="shared" ca="1" si="36"/>
        <v>701.56799999999998</v>
      </c>
      <c r="H119" s="17">
        <f t="shared" ca="1" si="37"/>
        <v>584.48639169508601</v>
      </c>
      <c r="I119" s="17">
        <f ca="1">balanco_geracao_consumo[[#This Row],[Injetado na rede]]-balanco_geracao_consumo[[#This Row],[Energia Fornecida]]+I118</f>
        <v>6638.0806660611797</v>
      </c>
      <c r="J119" s="17">
        <f t="shared" ca="1" si="38"/>
        <v>601.56799999999998</v>
      </c>
      <c r="K119"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391.25090233980825</v>
      </c>
      <c r="L119" s="17">
        <f ca="1">balanco_geracao_consumo[[#This Row],[Injetado na rede]]-balanco_geracao_consumo[[#This Row],[Energia Fornecida 14.300]]+L118</f>
        <v>0</v>
      </c>
      <c r="M119" s="17">
        <f ca="1">IF(balanco_geracao_consumo[[#This Row],[Consumido da rede]]&lt;$C$8,0,IF((balanco_geracao_consumo[[#This Row],[Injetado na rede]]+L118)&gt;balanco_geracao_consumo[[#This Row],[Consumido da rede]],balanco_geracao_consumo[[#This Row],[Consumido da rede]],balanco_geracao_consumo[[#This Row],[Injetado na rede]]+L118))</f>
        <v>678.67331803849061</v>
      </c>
      <c r="N119" s="17">
        <f ca="1">IFERROR(VLOOKUP(balanco_geracao_consumo[[#This Row],[Ano]],$B$321:$C$327,2,FALSE),1)*$E$307*balanco_geracao_consumo[[#This Row],[Energia Fornecida 14.300]]</f>
        <v>133.7341925619815</v>
      </c>
      <c r="O119"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490.10349910317785</v>
      </c>
      <c r="P119" s="13">
        <f ca="1">balanco_geracao_consumo[[#This Row],[Tarifa 14.300]]</f>
        <v>490.10349910317785</v>
      </c>
      <c r="Q119" s="17">
        <f t="shared" ca="1" si="34"/>
        <v>1632.9022112778271</v>
      </c>
      <c r="R119" s="17">
        <f t="shared" ca="1" si="39"/>
        <v>55492.239961250983</v>
      </c>
    </row>
    <row r="120" spans="1:18">
      <c r="A120">
        <v>7</v>
      </c>
      <c r="B120" s="1" t="s">
        <v>103</v>
      </c>
      <c r="C120">
        <f ca="1">$C$26</f>
        <v>902.01600000000008</v>
      </c>
      <c r="D120" s="14">
        <f ca="1">(IF(balanco_geracao_consumo[[#This Row],[Consumido da rede]]&lt;$C$8,($C$8*$B$307/(1-(IFERROR(INDEX($I$307:$L$307,MATCH(balanco_geracao_consumo[[#This Row],[Consumido da rede]]-0.01,$I$306:$K$306,1)+1),$I$307)+$G$307+$H$307))),(C120*$B$307/(1-(IFERROR(INDEX($I$307:$L$307,MATCH(C120-0.01,$I$306:$K$306,1)+1),$I$307)+$G$307+$H$307))))+IFERROR(INDEX($M$307:$AS$307,MATCH(C120-0.001,$M$306:$AR$306,1)+1),$M$307))*((1+$C$10)^(A120-1))</f>
        <v>1871.8494919299046</v>
      </c>
      <c r="E120" s="17">
        <f ca="1">$H$26*((1-$C$12)^(A120-1))</f>
        <v>754.21277543132396</v>
      </c>
      <c r="F120" s="17">
        <f t="shared" ca="1" si="35"/>
        <v>270.60480000000001</v>
      </c>
      <c r="G120" s="17">
        <f t="shared" ca="1" si="36"/>
        <v>631.41120000000001</v>
      </c>
      <c r="H120" s="17">
        <f t="shared" ca="1" si="37"/>
        <v>483.60797543132395</v>
      </c>
      <c r="I120" s="17">
        <f ca="1">balanco_geracao_consumo[[#This Row],[Injetado na rede]]-balanco_geracao_consumo[[#This Row],[Energia Fornecida]]+I119</f>
        <v>6590.2774414925034</v>
      </c>
      <c r="J120" s="17">
        <f t="shared" ca="1" si="38"/>
        <v>531.41120000000001</v>
      </c>
      <c r="K120"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375.67612226169592</v>
      </c>
      <c r="L120" s="17">
        <f ca="1">balanco_geracao_consumo[[#This Row],[Injetado na rede]]-balanco_geracao_consumo[[#This Row],[Energia Fornecida 14.300]]+L119</f>
        <v>0</v>
      </c>
      <c r="M120" s="17">
        <f ca="1">IF(balanco_geracao_consumo[[#This Row],[Consumido da rede]]&lt;$C$8,0,IF((balanco_geracao_consumo[[#This Row],[Injetado na rede]]+L119)&gt;balanco_geracao_consumo[[#This Row],[Consumido da rede]],balanco_geracao_consumo[[#This Row],[Consumido da rede]],balanco_geracao_consumo[[#This Row],[Injetado na rede]]+L119))</f>
        <v>483.60797543132395</v>
      </c>
      <c r="N120" s="17">
        <f ca="1">IFERROR(VLOOKUP(balanco_geracao_consumo[[#This Row],[Ano]],$B$321:$C$327,2,FALSE),1)*$E$307*balanco_geracao_consumo[[#This Row],[Energia Fornecida 14.300]]</f>
        <v>95.296102545723912</v>
      </c>
      <c r="O120"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630.09599328521006</v>
      </c>
      <c r="P120" s="13">
        <f ca="1">balanco_geracao_consumo[[#This Row],[Tarifa 14.300]]</f>
        <v>630.09599328521006</v>
      </c>
      <c r="Q120" s="17">
        <f t="shared" ca="1" si="34"/>
        <v>1241.7534986446944</v>
      </c>
      <c r="R120" s="17">
        <f t="shared" ca="1" si="39"/>
        <v>56733.993459895675</v>
      </c>
    </row>
    <row r="121" spans="1:18">
      <c r="A121">
        <v>7</v>
      </c>
      <c r="B121" s="1" t="s">
        <v>106</v>
      </c>
      <c r="C121">
        <f ca="1">$C$27</f>
        <v>701.56799999999998</v>
      </c>
      <c r="D121" s="14">
        <f ca="1">(IF(balanco_geracao_consumo[[#This Row],[Consumido da rede]]&lt;$C$8,($C$8*$B$307/(1-(IFERROR(INDEX($I$307:$L$307,MATCH(balanco_geracao_consumo[[#This Row],[Consumido da rede]]-0.01,$I$306:$K$306,1)+1),$I$307)+$G$307+$H$307))),(C121*$B$307/(1-(IFERROR(INDEX($I$307:$L$307,MATCH(C121-0.01,$I$306:$K$306,1)+1),$I$307)+$G$307+$H$307))))+IFERROR(INDEX($M$307:$AS$307,MATCH(C121-0.001,$M$306:$AR$306,1)+1),$M$307))*((1+$C$10)^(A121-1))</f>
        <v>1468.4255900477035</v>
      </c>
      <c r="E121" s="17">
        <f ca="1">$H$27*((1-$C$12)^(A121-1))</f>
        <v>626.36132016432759</v>
      </c>
      <c r="F121" s="17">
        <f t="shared" ca="1" si="35"/>
        <v>210.47039999999998</v>
      </c>
      <c r="G121" s="17">
        <f t="shared" ca="1" si="36"/>
        <v>491.0976</v>
      </c>
      <c r="H121" s="17">
        <f t="shared" ca="1" si="37"/>
        <v>415.89092016432761</v>
      </c>
      <c r="I121" s="17">
        <f ca="1">balanco_geracao_consumo[[#This Row],[Injetado na rede]]-balanco_geracao_consumo[[#This Row],[Energia Fornecida]]+I120</f>
        <v>6615.0707616568307</v>
      </c>
      <c r="J121" s="17">
        <f t="shared" ca="1" si="38"/>
        <v>391.0976</v>
      </c>
      <c r="K121"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329.62773409547128</v>
      </c>
      <c r="L121" s="17">
        <f ca="1">balanco_geracao_consumo[[#This Row],[Injetado na rede]]-balanco_geracao_consumo[[#This Row],[Energia Fornecida 14.300]]+L120</f>
        <v>0</v>
      </c>
      <c r="M121" s="17">
        <f ca="1">IF(balanco_geracao_consumo[[#This Row],[Consumido da rede]]&lt;$C$8,0,IF((balanco_geracao_consumo[[#This Row],[Injetado na rede]]+L120)&gt;balanco_geracao_consumo[[#This Row],[Consumido da rede]],balanco_geracao_consumo[[#This Row],[Consumido da rede]],balanco_geracao_consumo[[#This Row],[Injetado na rede]]+L120))</f>
        <v>415.89092016432761</v>
      </c>
      <c r="N121" s="17">
        <f ca="1">IFERROR(VLOOKUP(balanco_geracao_consumo[[#This Row],[Ano]],$B$321:$C$327,2,FALSE),1)*$E$307*balanco_geracao_consumo[[#This Row],[Energia Fornecida 14.300]]</f>
        <v>81.95229563877075</v>
      </c>
      <c r="O121"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430.4160162128959</v>
      </c>
      <c r="P121" s="13">
        <f ca="1">balanco_geracao_consumo[[#This Row],[Tarifa 14.300]]</f>
        <v>430.4160162128959</v>
      </c>
      <c r="Q121" s="17">
        <f t="shared" ca="1" si="34"/>
        <v>1038.0095738348077</v>
      </c>
      <c r="R121" s="17">
        <f t="shared" ca="1" si="39"/>
        <v>57772.003033730485</v>
      </c>
    </row>
    <row r="122" spans="1:18">
      <c r="A122">
        <v>7</v>
      </c>
      <c r="B122" s="1" t="s">
        <v>114</v>
      </c>
      <c r="C122">
        <f ca="1">$C$28</f>
        <v>601.34400000000005</v>
      </c>
      <c r="D122" s="14">
        <f ca="1">(IF(balanco_geracao_consumo[[#This Row],[Consumido da rede]]&lt;$C$8,($C$8*$B$307/(1-(IFERROR(INDEX($I$307:$L$307,MATCH(balanco_geracao_consumo[[#This Row],[Consumido da rede]]-0.01,$I$306:$K$306,1)+1),$I$307)+$G$307+$H$307))),(C122*$B$307/(1-(IFERROR(INDEX($I$307:$L$307,MATCH(C122-0.01,$I$306:$K$306,1)+1),$I$307)+$G$307+$H$307))))+IFERROR(INDEX($M$307:$AS$307,MATCH(C122-0.001,$M$306:$AR$306,1)+1),$M$307))*((1+$C$10)^(A122-1))</f>
        <v>1266.7136391066031</v>
      </c>
      <c r="E122" s="17">
        <f ca="1">$H$28*((1-$C$12)^(A122-1))</f>
        <v>577.30383747018789</v>
      </c>
      <c r="F122" s="17">
        <f t="shared" ca="1" si="35"/>
        <v>180.4032</v>
      </c>
      <c r="G122" s="17">
        <f t="shared" ca="1" si="36"/>
        <v>420.94080000000008</v>
      </c>
      <c r="H122" s="17">
        <f t="shared" ca="1" si="37"/>
        <v>396.90063747018792</v>
      </c>
      <c r="I122" s="17">
        <f ca="1">balanco_geracao_consumo[[#This Row],[Injetado na rede]]-balanco_geracao_consumo[[#This Row],[Energia Fornecida]]+I121</f>
        <v>6691.0305991270188</v>
      </c>
      <c r="J122" s="17">
        <f t="shared" ca="1" si="38"/>
        <v>320.94080000000008</v>
      </c>
      <c r="K122"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314.0529540173589</v>
      </c>
      <c r="L122" s="17">
        <f ca="1">balanco_geracao_consumo[[#This Row],[Injetado na rede]]-balanco_geracao_consumo[[#This Row],[Energia Fornecida 14.300]]+L121</f>
        <v>0</v>
      </c>
      <c r="M122" s="17">
        <f ca="1">IF(balanco_geracao_consumo[[#This Row],[Consumido da rede]]&lt;$C$8,0,IF((balanco_geracao_consumo[[#This Row],[Injetado na rede]]+L121)&gt;balanco_geracao_consumo[[#This Row],[Consumido da rede]],balanco_geracao_consumo[[#This Row],[Consumido da rede]],balanco_geracao_consumo[[#This Row],[Injetado na rede]]+L121))</f>
        <v>396.90063747018792</v>
      </c>
      <c r="N122" s="17">
        <f ca="1">IFERROR(VLOOKUP(balanco_geracao_consumo[[#This Row],[Ano]],$B$321:$C$327,2,FALSE),1)*$E$307*balanco_geracao_consumo[[#This Row],[Energia Fornecida 14.300]]</f>
        <v>78.210215237017707</v>
      </c>
      <c r="O122"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316.59254887288461</v>
      </c>
      <c r="P122" s="13">
        <f ca="1">balanco_geracao_consumo[[#This Row],[Tarifa 14.300]]</f>
        <v>316.59254887288461</v>
      </c>
      <c r="Q122" s="17">
        <f t="shared" ca="1" si="34"/>
        <v>950.12109023371841</v>
      </c>
      <c r="R122" s="17">
        <f t="shared" ca="1" si="39"/>
        <v>58722.124123964204</v>
      </c>
    </row>
    <row r="123" spans="1:18">
      <c r="A123">
        <v>7</v>
      </c>
      <c r="B123" s="1" t="s">
        <v>119</v>
      </c>
      <c r="C123">
        <f ca="1">$C$29</f>
        <v>601.34400000000005</v>
      </c>
      <c r="D123" s="14">
        <f ca="1">(IF(balanco_geracao_consumo[[#This Row],[Consumido da rede]]&lt;$C$8,($C$8*$B$307/(1-(IFERROR(INDEX($I$307:$L$307,MATCH(balanco_geracao_consumo[[#This Row],[Consumido da rede]]-0.01,$I$306:$K$306,1)+1),$I$307)+$G$307+$H$307))),(C123*$B$307/(1-(IFERROR(INDEX($I$307:$L$307,MATCH(C123-0.01,$I$306:$K$306,1)+1),$I$307)+$G$307+$H$307))))+IFERROR(INDEX($M$307:$AS$307,MATCH(C123-0.001,$M$306:$AR$306,1)+1),$M$307))*((1+$C$10)^(A123-1))</f>
        <v>1266.7136391066031</v>
      </c>
      <c r="E123" s="17">
        <f ca="1">$H$29*((1-$C$12)^(A123-1))</f>
        <v>580.9997315297752</v>
      </c>
      <c r="F123" s="17">
        <f t="shared" ca="1" si="35"/>
        <v>180.4032</v>
      </c>
      <c r="G123" s="17">
        <f t="shared" ca="1" si="36"/>
        <v>420.94080000000008</v>
      </c>
      <c r="H123" s="17">
        <f t="shared" ca="1" si="37"/>
        <v>400.59653152977523</v>
      </c>
      <c r="I123" s="17">
        <f ca="1">balanco_geracao_consumo[[#This Row],[Injetado na rede]]-balanco_geracao_consumo[[#This Row],[Energia Fornecida]]+I122</f>
        <v>6770.6863306567939</v>
      </c>
      <c r="J123" s="17">
        <f t="shared" ca="1" si="38"/>
        <v>320.94080000000008</v>
      </c>
      <c r="K123"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314.0529540173589</v>
      </c>
      <c r="L123" s="17">
        <f ca="1">balanco_geracao_consumo[[#This Row],[Injetado na rede]]-balanco_geracao_consumo[[#This Row],[Energia Fornecida 14.300]]+L122</f>
        <v>0</v>
      </c>
      <c r="M123" s="17">
        <f ca="1">IF(balanco_geracao_consumo[[#This Row],[Consumido da rede]]&lt;$C$8,0,IF((balanco_geracao_consumo[[#This Row],[Injetado na rede]]+L122)&gt;balanco_geracao_consumo[[#This Row],[Consumido da rede]],balanco_geracao_consumo[[#This Row],[Consumido da rede]],balanco_geracao_consumo[[#This Row],[Injetado na rede]]+L122))</f>
        <v>400.59653152977523</v>
      </c>
      <c r="N123" s="17">
        <f ca="1">IFERROR(VLOOKUP(balanco_geracao_consumo[[#This Row],[Ano]],$B$321:$C$327,2,FALSE),1)*$E$307*balanco_geracao_consumo[[#This Row],[Energia Fornecida 14.300]]</f>
        <v>78.938499957687256</v>
      </c>
      <c r="O123"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311.26483860613172</v>
      </c>
      <c r="P123" s="13">
        <f ca="1">balanco_geracao_consumo[[#This Row],[Tarifa 14.300]]</f>
        <v>311.26483860613172</v>
      </c>
      <c r="Q123" s="17">
        <f t="shared" ca="1" si="34"/>
        <v>955.44880050047141</v>
      </c>
      <c r="R123" s="17">
        <f t="shared" ca="1" si="39"/>
        <v>59677.572924464679</v>
      </c>
    </row>
    <row r="124" spans="1:18">
      <c r="A124">
        <v>7</v>
      </c>
      <c r="B124" s="1" t="s">
        <v>122</v>
      </c>
      <c r="C124">
        <f ca="1">$C$30</f>
        <v>701.56799999999998</v>
      </c>
      <c r="D124" s="14">
        <f ca="1">(IF(balanco_geracao_consumo[[#This Row],[Consumido da rede]]&lt;$C$8,($C$8*$B$307/(1-(IFERROR(INDEX($I$307:$L$307,MATCH(balanco_geracao_consumo[[#This Row],[Consumido da rede]]-0.01,$I$306:$K$306,1)+1),$I$307)+$G$307+$H$307))),(C124*$B$307/(1-(IFERROR(INDEX($I$307:$L$307,MATCH(C124-0.01,$I$306:$K$306,1)+1),$I$307)+$G$307+$H$307))))+IFERROR(INDEX($M$307:$AS$307,MATCH(C124-0.001,$M$306:$AR$306,1)+1),$M$307))*((1+$C$10)^(A124-1))</f>
        <v>1468.4255900477035</v>
      </c>
      <c r="E124" s="17">
        <f ca="1">$H$30*((1-$C$12)^(A124-1))</f>
        <v>748.59974572868191</v>
      </c>
      <c r="F124" s="17">
        <f t="shared" ca="1" si="35"/>
        <v>210.47039999999998</v>
      </c>
      <c r="G124" s="17">
        <f t="shared" ca="1" si="36"/>
        <v>491.0976</v>
      </c>
      <c r="H124" s="17">
        <f t="shared" ca="1" si="37"/>
        <v>538.12934572868198</v>
      </c>
      <c r="I124" s="17">
        <f ca="1">balanco_geracao_consumo[[#This Row],[Injetado na rede]]-balanco_geracao_consumo[[#This Row],[Energia Fornecida]]+I123</f>
        <v>6917.7180763854758</v>
      </c>
      <c r="J124" s="17">
        <f t="shared" ca="1" si="38"/>
        <v>391.0976</v>
      </c>
      <c r="K124"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329.62773409547128</v>
      </c>
      <c r="L124" s="17">
        <f ca="1">balanco_geracao_consumo[[#This Row],[Injetado na rede]]-balanco_geracao_consumo[[#This Row],[Energia Fornecida 14.300]]+L123</f>
        <v>47.031745728681983</v>
      </c>
      <c r="M124" s="17">
        <f ca="1">IF(balanco_geracao_consumo[[#This Row],[Consumido da rede]]&lt;$C$8,0,IF((balanco_geracao_consumo[[#This Row],[Injetado na rede]]+L123)&gt;balanco_geracao_consumo[[#This Row],[Consumido da rede]],balanco_geracao_consumo[[#This Row],[Consumido da rede]],balanco_geracao_consumo[[#This Row],[Injetado na rede]]+L123))</f>
        <v>491.0976</v>
      </c>
      <c r="N124" s="17">
        <f ca="1">IFERROR(VLOOKUP(balanco_geracao_consumo[[#This Row],[Ano]],$B$321:$C$327,2,FALSE),1)*$E$307*balanco_geracao_consumo[[#This Row],[Energia Fornecida 14.300]]</f>
        <v>96.771950892288004</v>
      </c>
      <c r="O124"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322.00398009147938</v>
      </c>
      <c r="P124" s="13">
        <f ca="1">balanco_geracao_consumo[[#This Row],[Tarifa 14.300]]</f>
        <v>322.00398009147938</v>
      </c>
      <c r="Q124" s="17">
        <f t="shared" ca="1" si="34"/>
        <v>1146.4216099562241</v>
      </c>
      <c r="R124" s="17">
        <f t="shared" ca="1" si="39"/>
        <v>60823.994534420905</v>
      </c>
    </row>
    <row r="125" spans="1:18">
      <c r="A125">
        <v>7</v>
      </c>
      <c r="B125" s="1" t="s">
        <v>123</v>
      </c>
      <c r="C125">
        <f ca="1">$C$31</f>
        <v>701.56799999999998</v>
      </c>
      <c r="D125" s="14">
        <f ca="1">(IF(balanco_geracao_consumo[[#This Row],[Consumido da rede]]&lt;$C$8,($C$8*$B$307/(1-(IFERROR(INDEX($I$307:$L$307,MATCH(balanco_geracao_consumo[[#This Row],[Consumido da rede]]-0.01,$I$306:$K$306,1)+1),$I$307)+$G$307+$H$307))),(C125*$B$307/(1-(IFERROR(INDEX($I$307:$L$307,MATCH(C125-0.01,$I$306:$K$306,1)+1),$I$307)+$G$307+$H$307))))+IFERROR(INDEX($M$307:$AS$307,MATCH(C125-0.001,$M$306:$AR$306,1)+1),$M$307))*((1+$C$10)^(A125-1))</f>
        <v>1468.4255900477035</v>
      </c>
      <c r="E125" s="17">
        <f ca="1">$H$31*((1-$C$12)^(A125-1))</f>
        <v>738.87260571384479</v>
      </c>
      <c r="F125" s="17">
        <f t="shared" ca="1" si="35"/>
        <v>210.47039999999998</v>
      </c>
      <c r="G125" s="17">
        <f t="shared" ca="1" si="36"/>
        <v>491.0976</v>
      </c>
      <c r="H125" s="17">
        <f t="shared" ca="1" si="37"/>
        <v>528.40220571384475</v>
      </c>
      <c r="I125" s="17">
        <f ca="1">balanco_geracao_consumo[[#This Row],[Injetado na rede]]-balanco_geracao_consumo[[#This Row],[Energia Fornecida]]+I124</f>
        <v>7055.0226820993203</v>
      </c>
      <c r="J125" s="17">
        <f t="shared" ca="1" si="38"/>
        <v>391.0976</v>
      </c>
      <c r="K125"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329.62773409547128</v>
      </c>
      <c r="L125" s="17">
        <f ca="1">balanco_geracao_consumo[[#This Row],[Injetado na rede]]-balanco_geracao_consumo[[#This Row],[Energia Fornecida 14.300]]+L124</f>
        <v>84.336351442526734</v>
      </c>
      <c r="M125" s="17">
        <f ca="1">IF(balanco_geracao_consumo[[#This Row],[Consumido da rede]]&lt;$C$8,0,IF((balanco_geracao_consumo[[#This Row],[Injetado na rede]]+L124)&gt;balanco_geracao_consumo[[#This Row],[Consumido da rede]],balanco_geracao_consumo[[#This Row],[Consumido da rede]],balanco_geracao_consumo[[#This Row],[Injetado na rede]]+L124))</f>
        <v>491.0976</v>
      </c>
      <c r="N125" s="17">
        <f ca="1">IFERROR(VLOOKUP(balanco_geracao_consumo[[#This Row],[Ano]],$B$321:$C$327,2,FALSE),1)*$E$307*balanco_geracao_consumo[[#This Row],[Energia Fornecida 14.300]]</f>
        <v>96.771950892288004</v>
      </c>
      <c r="O125"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322.00398009147938</v>
      </c>
      <c r="P125" s="13">
        <f ca="1">balanco_geracao_consumo[[#This Row],[Tarifa 14.300]]</f>
        <v>322.00398009147938</v>
      </c>
      <c r="Q125" s="17">
        <f t="shared" ca="1" si="34"/>
        <v>1146.4216099562241</v>
      </c>
      <c r="R125" s="17">
        <f t="shared" ca="1" si="39"/>
        <v>61970.41614437713</v>
      </c>
    </row>
    <row r="126" spans="1:18">
      <c r="A126">
        <v>7</v>
      </c>
      <c r="B126" s="1" t="s">
        <v>124</v>
      </c>
      <c r="C126">
        <f ca="1">$C$32</f>
        <v>701.56799999999998</v>
      </c>
      <c r="D126" s="14">
        <f ca="1">(IF(balanco_geracao_consumo[[#This Row],[Consumido da rede]]&lt;$C$8,($C$8*$B$307/(1-(IFERROR(INDEX($I$307:$L$307,MATCH(balanco_geracao_consumo[[#This Row],[Consumido da rede]]-0.01,$I$306:$K$306,1)+1),$I$307)+$G$307+$H$307))),(C126*$B$307/(1-(IFERROR(INDEX($I$307:$L$307,MATCH(C126-0.01,$I$306:$K$306,1)+1),$I$307)+$G$307+$H$307))))+IFERROR(INDEX($M$307:$AS$307,MATCH(C126-0.001,$M$306:$AR$306,1)+1),$M$307))*((1+$C$10)^(A126-1))</f>
        <v>1468.4255900477035</v>
      </c>
      <c r="E126" s="17">
        <f ca="1">$H$32*((1-$C$12)^(A126-1))</f>
        <v>886.28462345062474</v>
      </c>
      <c r="F126" s="17">
        <f t="shared" ca="1" si="35"/>
        <v>210.47039999999998</v>
      </c>
      <c r="G126" s="17">
        <f t="shared" ca="1" si="36"/>
        <v>491.0976</v>
      </c>
      <c r="H126" s="17">
        <f t="shared" ca="1" si="37"/>
        <v>675.8142234506247</v>
      </c>
      <c r="I126" s="17">
        <f ca="1">balanco_geracao_consumo[[#This Row],[Injetado na rede]]-balanco_geracao_consumo[[#This Row],[Energia Fornecida]]+I125</f>
        <v>7339.7393055499451</v>
      </c>
      <c r="J126" s="17">
        <f t="shared" ca="1" si="38"/>
        <v>391.0976</v>
      </c>
      <c r="K126"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329.62773409547128</v>
      </c>
      <c r="L126" s="17">
        <f ca="1">balanco_geracao_consumo[[#This Row],[Injetado na rede]]-balanco_geracao_consumo[[#This Row],[Energia Fornecida 14.300]]+L125</f>
        <v>269.05297489315143</v>
      </c>
      <c r="M126" s="17">
        <f ca="1">IF(balanco_geracao_consumo[[#This Row],[Consumido da rede]]&lt;$C$8,0,IF((balanco_geracao_consumo[[#This Row],[Injetado na rede]]+L125)&gt;balanco_geracao_consumo[[#This Row],[Consumido da rede]],balanco_geracao_consumo[[#This Row],[Consumido da rede]],balanco_geracao_consumo[[#This Row],[Injetado na rede]]+L125))</f>
        <v>491.0976</v>
      </c>
      <c r="N126" s="17">
        <f ca="1">IFERROR(VLOOKUP(balanco_geracao_consumo[[#This Row],[Ano]],$B$321:$C$327,2,FALSE),1)*$E$307*balanco_geracao_consumo[[#This Row],[Energia Fornecida 14.300]]</f>
        <v>96.771950892288004</v>
      </c>
      <c r="O126"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322.00398009147938</v>
      </c>
      <c r="P126" s="13">
        <f ca="1">balanco_geracao_consumo[[#This Row],[Tarifa 14.300]]</f>
        <v>322.00398009147938</v>
      </c>
      <c r="Q126" s="17">
        <f t="shared" ca="1" si="34"/>
        <v>1146.4216099562241</v>
      </c>
      <c r="R126" s="17">
        <f t="shared" ca="1" si="39"/>
        <v>63116.837754333355</v>
      </c>
    </row>
    <row r="127" spans="1:18">
      <c r="A127">
        <v>7</v>
      </c>
      <c r="B127" s="1" t="s">
        <v>125</v>
      </c>
      <c r="C127">
        <f ca="1">$C$33</f>
        <v>801.79200000000003</v>
      </c>
      <c r="D127" s="14">
        <f ca="1">(IF(balanco_geracao_consumo[[#This Row],[Consumido da rede]]&lt;$C$8,($C$8*$B$307/(1-(IFERROR(INDEX($I$307:$L$307,MATCH(balanco_geracao_consumo[[#This Row],[Consumido da rede]]-0.01,$I$306:$K$306,1)+1),$I$307)+$G$307+$H$307))),(C127*$B$307/(1-(IFERROR(INDEX($I$307:$L$307,MATCH(C127-0.01,$I$306:$K$306,1)+1),$I$307)+$G$307+$H$307))))+IFERROR(INDEX($M$307:$AS$307,MATCH(C127-0.001,$M$306:$AR$306,1)+1),$M$307))*((1+$C$10)^(A127-1))</f>
        <v>1670.1375409888042</v>
      </c>
      <c r="E127" s="17">
        <f ca="1">$H$33*((1-$C$12)^(A127-1))</f>
        <v>887.85915464928951</v>
      </c>
      <c r="F127" s="17">
        <f t="shared" ca="1" si="35"/>
        <v>240.5376</v>
      </c>
      <c r="G127" s="17">
        <f t="shared" ca="1" si="36"/>
        <v>561.25440000000003</v>
      </c>
      <c r="H127" s="17">
        <f t="shared" ca="1" si="37"/>
        <v>647.32155464928951</v>
      </c>
      <c r="I127" s="17">
        <f ca="1">balanco_geracao_consumo[[#This Row],[Injetado na rede]]-balanco_geracao_consumo[[#This Row],[Energia Fornecida]]+I126</f>
        <v>7525.8064601992346</v>
      </c>
      <c r="J127" s="17">
        <f t="shared" ca="1" si="38"/>
        <v>461.25440000000003</v>
      </c>
      <c r="K127"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354.41463137358375</v>
      </c>
      <c r="L127" s="17">
        <f ca="1">balanco_geracao_consumo[[#This Row],[Injetado na rede]]-balanco_geracao_consumo[[#This Row],[Energia Fornecida 14.300]]+L126</f>
        <v>355.12012954244091</v>
      </c>
      <c r="M127" s="17">
        <f ca="1">IF(balanco_geracao_consumo[[#This Row],[Consumido da rede]]&lt;$C$8,0,IF((balanco_geracao_consumo[[#This Row],[Injetado na rede]]+L126)&gt;balanco_geracao_consumo[[#This Row],[Consumido da rede]],balanco_geracao_consumo[[#This Row],[Consumido da rede]],balanco_geracao_consumo[[#This Row],[Injetado na rede]]+L126))</f>
        <v>561.25440000000003</v>
      </c>
      <c r="N127" s="17">
        <f ca="1">IFERROR(VLOOKUP(balanco_geracao_consumo[[#This Row],[Ano]],$B$321:$C$327,2,FALSE),1)*$E$307*balanco_geracao_consumo[[#This Row],[Energia Fornecida 14.300]]</f>
        <v>110.59651530547201</v>
      </c>
      <c r="O127"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371.28193652597656</v>
      </c>
      <c r="P127" s="13">
        <f ca="1">balanco_geracao_consumo[[#This Row],[Tarifa 14.300]]</f>
        <v>371.28193652597656</v>
      </c>
      <c r="Q127" s="17">
        <f t="shared" ca="1" si="34"/>
        <v>1298.8556044628276</v>
      </c>
      <c r="R127" s="17">
        <f t="shared" ca="1" si="39"/>
        <v>64415.693358796183</v>
      </c>
    </row>
    <row r="128" spans="1:18">
      <c r="A128">
        <v>7</v>
      </c>
      <c r="B128" s="1" t="s">
        <v>126</v>
      </c>
      <c r="C128">
        <f ca="1">$C$34</f>
        <v>1002.24</v>
      </c>
      <c r="D128" s="14">
        <f ca="1">(IF(balanco_geracao_consumo[[#This Row],[Consumido da rede]]&lt;$C$8,($C$8*$B$307/(1-(IFERROR(INDEX($I$307:$L$307,MATCH(balanco_geracao_consumo[[#This Row],[Consumido da rede]]-0.01,$I$306:$K$306,1)+1),$I$307)+$G$307+$H$307))),(C128*$B$307/(1-(IFERROR(INDEX($I$307:$L$307,MATCH(C128-0.01,$I$306:$K$306,1)+1),$I$307)+$G$307+$H$307))))+IFERROR(INDEX($M$307:$AS$307,MATCH(C128-0.001,$M$306:$AR$306,1)+1),$M$307))*((1+$C$10)^(A128-1))</f>
        <v>2123.005710381005</v>
      </c>
      <c r="E128" s="17">
        <f ca="1">$H$34*((1-$C$12)^(A128-1))</f>
        <v>1052.2669891326841</v>
      </c>
      <c r="F128" s="17">
        <f t="shared" ca="1" si="35"/>
        <v>300.67199999999997</v>
      </c>
      <c r="G128" s="17">
        <f t="shared" ca="1" si="36"/>
        <v>701.56799999999998</v>
      </c>
      <c r="H128" s="17">
        <f t="shared" ca="1" si="37"/>
        <v>751.59498913268408</v>
      </c>
      <c r="I128" s="17">
        <f ca="1">balanco_geracao_consumo[[#This Row],[Injetado na rede]]-balanco_geracao_consumo[[#This Row],[Energia Fornecida]]+I127</f>
        <v>7675.8334493319189</v>
      </c>
      <c r="J128" s="17">
        <f t="shared" ca="1" si="38"/>
        <v>601.56799999999998</v>
      </c>
      <c r="K128"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391.25090233980825</v>
      </c>
      <c r="L128" s="17">
        <f ca="1">balanco_geracao_consumo[[#This Row],[Injetado na rede]]-balanco_geracao_consumo[[#This Row],[Energia Fornecida 14.300]]+L127</f>
        <v>405.147118675125</v>
      </c>
      <c r="M128" s="17">
        <f ca="1">IF(balanco_geracao_consumo[[#This Row],[Consumido da rede]]&lt;$C$8,0,IF((balanco_geracao_consumo[[#This Row],[Injetado na rede]]+L127)&gt;balanco_geracao_consumo[[#This Row],[Consumido da rede]],balanco_geracao_consumo[[#This Row],[Consumido da rede]],balanco_geracao_consumo[[#This Row],[Injetado na rede]]+L127))</f>
        <v>701.56799999999998</v>
      </c>
      <c r="N128" s="17">
        <f ca="1">IFERROR(VLOOKUP(balanco_geracao_consumo[[#This Row],[Ano]],$B$321:$C$327,2,FALSE),1)*$E$307*balanco_geracao_consumo[[#This Row],[Energia Fornecida 14.300]]</f>
        <v>138.24564413184001</v>
      </c>
      <c r="O128"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457.10032580497034</v>
      </c>
      <c r="P128" s="13">
        <f ca="1">balanco_geracao_consumo[[#This Row],[Tarifa 14.300]]</f>
        <v>457.10032580497034</v>
      </c>
      <c r="Q128" s="17">
        <f t="shared" ca="1" si="34"/>
        <v>1665.9053845760345</v>
      </c>
      <c r="R128" s="17">
        <f t="shared" ca="1" si="39"/>
        <v>66081.598743372218</v>
      </c>
    </row>
    <row r="129" spans="1:18">
      <c r="A129">
        <v>8</v>
      </c>
      <c r="B129" s="1" t="s">
        <v>96</v>
      </c>
      <c r="C129">
        <f ca="1">$C$23</f>
        <v>1202.6880000000001</v>
      </c>
      <c r="D129" s="14">
        <f ca="1">(IF(balanco_geracao_consumo[[#This Row],[Consumido da rede]]&lt;$C$8,($C$8*$B$307/(1-(IFERROR(INDEX($I$307:$L$307,MATCH(balanco_geracao_consumo[[#This Row],[Consumido da rede]]-0.01,$I$306:$K$306,1)+1),$I$307)+$G$307+$H$307))),(C129*$B$307/(1-(IFERROR(INDEX($I$307:$L$307,MATCH(C129-0.01,$I$306:$K$306,1)+1),$I$307)+$G$307+$H$307))))+IFERROR(INDEX($M$307:$AS$307,MATCH(C129-0.001,$M$306:$AR$306,1)+1),$M$307))*((1+$C$10)^(A129-1))</f>
        <v>2779.0725734895273</v>
      </c>
      <c r="E129" s="17">
        <f ca="1">$H$23*((1-$C$12)^(A129-1))</f>
        <v>1040.0644226467207</v>
      </c>
      <c r="F129" s="17">
        <f t="shared" ca="1" si="35"/>
        <v>360.8064</v>
      </c>
      <c r="G129" s="17">
        <f t="shared" ca="1" si="36"/>
        <v>841.88160000000016</v>
      </c>
      <c r="H129" s="17">
        <f t="shared" ca="1" si="37"/>
        <v>679.25802264672075</v>
      </c>
      <c r="I129" s="17">
        <f ca="1">balanco_geracao_consumo[[#This Row],[Injetado na rede]]-balanco_geracao_consumo[[#This Row],[Energia Fornecida]]+I128</f>
        <v>7613.2098719786391</v>
      </c>
      <c r="J129" s="17">
        <f t="shared" ca="1" si="38"/>
        <v>741.88160000000016</v>
      </c>
      <c r="K129"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464.64050874563674</v>
      </c>
      <c r="L129" s="17">
        <f ca="1">balanco_geracao_consumo[[#This Row],[Injetado na rede]]-balanco_geracao_consumo[[#This Row],[Energia Fornecida 14.300]]+L128</f>
        <v>242.52354132184558</v>
      </c>
      <c r="M129" s="17">
        <f ca="1">IF(balanco_geracao_consumo[[#This Row],[Consumido da rede]]&lt;$C$8,0,IF((balanco_geracao_consumo[[#This Row],[Injetado na rede]]+L128)&gt;balanco_geracao_consumo[[#This Row],[Consumido da rede]],balanco_geracao_consumo[[#This Row],[Consumido da rede]],balanco_geracao_consumo[[#This Row],[Injetado na rede]]+L128))</f>
        <v>841.88160000000016</v>
      </c>
      <c r="N129" s="17">
        <f ca="1">IFERROR(VLOOKUP(balanco_geracao_consumo[[#This Row],[Ano]],$B$321:$C$327,2,FALSE),1)*$E$307*balanco_geracao_consumo[[#This Row],[Energia Fornecida 14.300]]</f>
        <v>165.89477295820802</v>
      </c>
      <c r="O129"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590.95520470136137</v>
      </c>
      <c r="P129" s="13">
        <f ca="1">balanco_geracao_consumo[[#This Row],[Tarifa 14.300]]</f>
        <v>590.95520470136137</v>
      </c>
      <c r="Q129" s="17">
        <f t="shared" ca="1" si="34"/>
        <v>2188.117368788166</v>
      </c>
      <c r="R129" s="17">
        <f t="shared" ca="1" si="39"/>
        <v>68269.716112160386</v>
      </c>
    </row>
    <row r="130" spans="1:18">
      <c r="A130">
        <v>8</v>
      </c>
      <c r="B130" s="1" t="s">
        <v>98</v>
      </c>
      <c r="C130">
        <f ca="1">$C$24</f>
        <v>1202.6880000000001</v>
      </c>
      <c r="D130" s="14">
        <f ca="1">(IF(balanco_geracao_consumo[[#This Row],[Consumido da rede]]&lt;$C$8,($C$8*$B$307/(1-(IFERROR(INDEX($I$307:$L$307,MATCH(balanco_geracao_consumo[[#This Row],[Consumido da rede]]-0.01,$I$306:$K$306,1)+1),$I$307)+$G$307+$H$307))),(C130*$B$307/(1-(IFERROR(INDEX($I$307:$L$307,MATCH(C130-0.01,$I$306:$K$306,1)+1),$I$307)+$G$307+$H$307))))+IFERROR(INDEX($M$307:$AS$307,MATCH(C130-0.001,$M$306:$AR$306,1)+1),$M$307))*((1+$C$10)^(A130-1))</f>
        <v>2779.0725734895273</v>
      </c>
      <c r="E130" s="17">
        <f ca="1">$H$24*((1-$C$12)^(A130-1))</f>
        <v>1009.4932925371552</v>
      </c>
      <c r="F130" s="17">
        <f t="shared" ca="1" si="35"/>
        <v>360.8064</v>
      </c>
      <c r="G130" s="17">
        <f t="shared" ca="1" si="36"/>
        <v>841.88160000000016</v>
      </c>
      <c r="H130" s="17">
        <f t="shared" ca="1" si="37"/>
        <v>648.68689253715525</v>
      </c>
      <c r="I130" s="17">
        <f ca="1">balanco_geracao_consumo[[#This Row],[Injetado na rede]]-balanco_geracao_consumo[[#This Row],[Energia Fornecida]]+I129</f>
        <v>7520.0151645157939</v>
      </c>
      <c r="J130" s="17">
        <f t="shared" ca="1" si="38"/>
        <v>741.88160000000016</v>
      </c>
      <c r="K130"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464.64050874563674</v>
      </c>
      <c r="L130" s="17">
        <f ca="1">balanco_geracao_consumo[[#This Row],[Injetado na rede]]-balanco_geracao_consumo[[#This Row],[Energia Fornecida 14.300]]+L129</f>
        <v>49.328833859000667</v>
      </c>
      <c r="M130" s="17">
        <f ca="1">IF(balanco_geracao_consumo[[#This Row],[Consumido da rede]]&lt;$C$8,0,IF((balanco_geracao_consumo[[#This Row],[Injetado na rede]]+L129)&gt;balanco_geracao_consumo[[#This Row],[Consumido da rede]],balanco_geracao_consumo[[#This Row],[Consumido da rede]],balanco_geracao_consumo[[#This Row],[Injetado na rede]]+L129))</f>
        <v>841.88160000000016</v>
      </c>
      <c r="N130" s="17">
        <f ca="1">IFERROR(VLOOKUP(balanco_geracao_consumo[[#This Row],[Ano]],$B$321:$C$327,2,FALSE),1)*$E$307*balanco_geracao_consumo[[#This Row],[Energia Fornecida 14.300]]</f>
        <v>165.89477295820802</v>
      </c>
      <c r="O130"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590.95520470136137</v>
      </c>
      <c r="P130" s="13">
        <f ca="1">balanco_geracao_consumo[[#This Row],[Tarifa 14.300]]</f>
        <v>590.95520470136137</v>
      </c>
      <c r="Q130" s="17">
        <f t="shared" ca="1" si="34"/>
        <v>2188.117368788166</v>
      </c>
      <c r="R130" s="17">
        <f t="shared" ca="1" si="39"/>
        <v>70457.833480948553</v>
      </c>
    </row>
    <row r="131" spans="1:18">
      <c r="A131">
        <v>8</v>
      </c>
      <c r="B131" s="1" t="s">
        <v>99</v>
      </c>
      <c r="C131">
        <f ca="1">$C$25</f>
        <v>1002.24</v>
      </c>
      <c r="D131" s="14">
        <f ca="1">(IF(balanco_geracao_consumo[[#This Row],[Consumido da rede]]&lt;$C$8,($C$8*$B$307/(1-(IFERROR(INDEX($I$307:$L$307,MATCH(balanco_geracao_consumo[[#This Row],[Consumido da rede]]-0.01,$I$306:$K$306,1)+1),$I$307)+$G$307+$H$307))),(C131*$B$307/(1-(IFERROR(INDEX($I$307:$L$307,MATCH(C131-0.01,$I$306:$K$306,1)+1),$I$307)+$G$307+$H$307))))+IFERROR(INDEX($M$307:$AS$307,MATCH(C131-0.001,$M$306:$AR$306,1)+1),$M$307))*((1+$C$10)^(A131-1))</f>
        <v>2335.3062814191057</v>
      </c>
      <c r="E131" s="17">
        <f ca="1">$H$25*((1-$C$12)^(A131-1))</f>
        <v>878.96228295322032</v>
      </c>
      <c r="F131" s="17">
        <f t="shared" ca="1" si="35"/>
        <v>300.67199999999997</v>
      </c>
      <c r="G131" s="17">
        <f t="shared" ca="1" si="36"/>
        <v>701.56799999999998</v>
      </c>
      <c r="H131" s="17">
        <f t="shared" ca="1" si="37"/>
        <v>578.29028295322041</v>
      </c>
      <c r="I131" s="17">
        <f ca="1">balanco_geracao_consumo[[#This Row],[Injetado na rede]]-balanco_geracao_consumo[[#This Row],[Energia Fornecida]]+I130</f>
        <v>7496.7374474690141</v>
      </c>
      <c r="J131" s="17">
        <f t="shared" ca="1" si="38"/>
        <v>601.56799999999998</v>
      </c>
      <c r="K131"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430.37599257378918</v>
      </c>
      <c r="L131" s="17">
        <f ca="1">balanco_geracao_consumo[[#This Row],[Injetado na rede]]-balanco_geracao_consumo[[#This Row],[Energia Fornecida 14.300]]+L130</f>
        <v>-5.6843418860808015E-14</v>
      </c>
      <c r="M131" s="17">
        <f ca="1">IF(balanco_geracao_consumo[[#This Row],[Consumido da rede]]&lt;$C$8,0,IF((balanco_geracao_consumo[[#This Row],[Injetado na rede]]+L130)&gt;balanco_geracao_consumo[[#This Row],[Consumido da rede]],balanco_geracao_consumo[[#This Row],[Consumido da rede]],balanco_geracao_consumo[[#This Row],[Injetado na rede]]+L130))</f>
        <v>627.61911681222114</v>
      </c>
      <c r="N131" s="17">
        <f ca="1">IFERROR(VLOOKUP(balanco_geracao_consumo[[#This Row],[Ano]],$B$321:$C$327,2,FALSE),1)*$E$307*balanco_geracao_consumo[[#This Row],[Energia Fornecida 14.300]]</f>
        <v>123.67384070134619</v>
      </c>
      <c r="O131"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620.06914329779147</v>
      </c>
      <c r="P131" s="13">
        <f ca="1">balanco_geracao_consumo[[#This Row],[Tarifa 14.300]]</f>
        <v>620.06914329779147</v>
      </c>
      <c r="Q131" s="17">
        <f t="shared" ca="1" si="34"/>
        <v>1715.2371381213143</v>
      </c>
      <c r="R131" s="17">
        <f t="shared" ca="1" si="39"/>
        <v>72173.070619069869</v>
      </c>
    </row>
    <row r="132" spans="1:18">
      <c r="A132">
        <v>8</v>
      </c>
      <c r="B132" s="1" t="s">
        <v>103</v>
      </c>
      <c r="C132">
        <f ca="1">$C$26</f>
        <v>902.01600000000008</v>
      </c>
      <c r="D132" s="14">
        <f ca="1">(IF(balanco_geracao_consumo[[#This Row],[Consumido da rede]]&lt;$C$8,($C$8*$B$307/(1-(IFERROR(INDEX($I$307:$L$307,MATCH(balanco_geracao_consumo[[#This Row],[Consumido da rede]]-0.01,$I$306:$K$306,1)+1),$I$307)+$G$307+$H$307))),(C132*$B$307/(1-(IFERROR(INDEX($I$307:$L$307,MATCH(C132-0.01,$I$306:$K$306,1)+1),$I$307)+$G$307+$H$307))))+IFERROR(INDEX($M$307:$AS$307,MATCH(C132-0.001,$M$306:$AR$306,1)+1),$M$307))*((1+$C$10)^(A132-1))</f>
        <v>2059.0344411228953</v>
      </c>
      <c r="E132" s="17">
        <f ca="1">$H$26*((1-$C$12)^(A132-1))</f>
        <v>748.9332860033046</v>
      </c>
      <c r="F132" s="17">
        <f t="shared" ca="1" si="35"/>
        <v>270.60480000000001</v>
      </c>
      <c r="G132" s="17">
        <f t="shared" ca="1" si="36"/>
        <v>631.41120000000001</v>
      </c>
      <c r="H132" s="17">
        <f t="shared" ca="1" si="37"/>
        <v>478.32848600330459</v>
      </c>
      <c r="I132" s="17">
        <f ca="1">balanco_geracao_consumo[[#This Row],[Injetado na rede]]-balanco_geracao_consumo[[#This Row],[Energia Fornecida]]+I131</f>
        <v>7443.6547334723191</v>
      </c>
      <c r="J132" s="17">
        <f t="shared" ca="1" si="38"/>
        <v>531.41120000000001</v>
      </c>
      <c r="K132"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413.24373448786559</v>
      </c>
      <c r="L132" s="17">
        <f ca="1">balanco_geracao_consumo[[#This Row],[Injetado na rede]]-balanco_geracao_consumo[[#This Row],[Energia Fornecida 14.300]]+L131</f>
        <v>0</v>
      </c>
      <c r="M132" s="17">
        <f ca="1">IF(balanco_geracao_consumo[[#This Row],[Consumido da rede]]&lt;$C$8,0,IF((balanco_geracao_consumo[[#This Row],[Injetado na rede]]+L131)&gt;balanco_geracao_consumo[[#This Row],[Consumido da rede]],balanco_geracao_consumo[[#This Row],[Consumido da rede]],balanco_geracao_consumo[[#This Row],[Injetado na rede]]+L131))</f>
        <v>478.32848600330453</v>
      </c>
      <c r="N132" s="17">
        <f ca="1">IFERROR(VLOOKUP(balanco_geracao_consumo[[#This Row],[Ano]],$B$321:$C$327,2,FALSE),1)*$E$307*balanco_geracao_consumo[[#This Row],[Energia Fornecida 14.300]]</f>
        <v>94.255766588747846</v>
      </c>
      <c r="O132"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701.47713912803101</v>
      </c>
      <c r="P132" s="13">
        <f ca="1">balanco_geracao_consumo[[#This Row],[Tarifa 14.300]]</f>
        <v>701.47713912803101</v>
      </c>
      <c r="Q132" s="17">
        <f t="shared" ca="1" si="34"/>
        <v>1357.5573019948642</v>
      </c>
      <c r="R132" s="17">
        <f t="shared" ca="1" si="39"/>
        <v>73530.627921064734</v>
      </c>
    </row>
    <row r="133" spans="1:18">
      <c r="A133">
        <v>8</v>
      </c>
      <c r="B133" s="1" t="s">
        <v>106</v>
      </c>
      <c r="C133">
        <f ca="1">$C$27</f>
        <v>701.56799999999998</v>
      </c>
      <c r="D133" s="14">
        <f ca="1">(IF(balanco_geracao_consumo[[#This Row],[Consumido da rede]]&lt;$C$8,($C$8*$B$307/(1-(IFERROR(INDEX($I$307:$L$307,MATCH(balanco_geracao_consumo[[#This Row],[Consumido da rede]]-0.01,$I$306:$K$306,1)+1),$I$307)+$G$307+$H$307))),(C133*$B$307/(1-(IFERROR(INDEX($I$307:$L$307,MATCH(C133-0.01,$I$306:$K$306,1)+1),$I$307)+$G$307+$H$307))))+IFERROR(INDEX($M$307:$AS$307,MATCH(C133-0.001,$M$306:$AR$306,1)+1),$M$307))*((1+$C$10)^(A133-1))</f>
        <v>1615.2681490524742</v>
      </c>
      <c r="E133" s="17">
        <f ca="1">$H$27*((1-$C$12)^(A133-1))</f>
        <v>621.9767909231773</v>
      </c>
      <c r="F133" s="17">
        <f t="shared" ca="1" si="35"/>
        <v>210.47039999999998</v>
      </c>
      <c r="G133" s="17">
        <f t="shared" ca="1" si="36"/>
        <v>491.0976</v>
      </c>
      <c r="H133" s="17">
        <f t="shared" ca="1" si="37"/>
        <v>411.50639092317732</v>
      </c>
      <c r="I133" s="17">
        <f ca="1">balanco_geracao_consumo[[#This Row],[Injetado na rede]]-balanco_geracao_consumo[[#This Row],[Energia Fornecida]]+I132</f>
        <v>7464.0635243954966</v>
      </c>
      <c r="J133" s="17">
        <f t="shared" ca="1" si="38"/>
        <v>391.0976</v>
      </c>
      <c r="K133"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362.59050750501848</v>
      </c>
      <c r="L133" s="17">
        <f ca="1">balanco_geracao_consumo[[#This Row],[Injetado na rede]]-balanco_geracao_consumo[[#This Row],[Energia Fornecida 14.300]]+L132</f>
        <v>0</v>
      </c>
      <c r="M133" s="17">
        <f ca="1">IF(balanco_geracao_consumo[[#This Row],[Consumido da rede]]&lt;$C$8,0,IF((balanco_geracao_consumo[[#This Row],[Injetado na rede]]+L132)&gt;balanco_geracao_consumo[[#This Row],[Consumido da rede]],balanco_geracao_consumo[[#This Row],[Consumido da rede]],balanco_geracao_consumo[[#This Row],[Injetado na rede]]+L132))</f>
        <v>411.50639092317732</v>
      </c>
      <c r="N133" s="17">
        <f ca="1">IFERROR(VLOOKUP(balanco_geracao_consumo[[#This Row],[Ano]],$B$321:$C$327,2,FALSE),1)*$E$307*balanco_geracao_consumo[[#This Row],[Energia Fornecida 14.300]]</f>
        <v>81.088313716622494</v>
      </c>
      <c r="O133"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480.41004969071975</v>
      </c>
      <c r="P133" s="13">
        <f ca="1">balanco_geracao_consumo[[#This Row],[Tarifa 14.300]]</f>
        <v>480.41004969071975</v>
      </c>
      <c r="Q133" s="17">
        <f t="shared" ca="1" si="34"/>
        <v>1134.8580993617545</v>
      </c>
      <c r="R133" s="17">
        <f t="shared" ca="1" si="39"/>
        <v>74665.486020426484</v>
      </c>
    </row>
    <row r="134" spans="1:18">
      <c r="A134">
        <v>8</v>
      </c>
      <c r="B134" s="1" t="s">
        <v>114</v>
      </c>
      <c r="C134">
        <f ca="1">$C$28</f>
        <v>601.34400000000005</v>
      </c>
      <c r="D134" s="14">
        <f ca="1">(IF(balanco_geracao_consumo[[#This Row],[Consumido da rede]]&lt;$C$8,($C$8*$B$307/(1-(IFERROR(INDEX($I$307:$L$307,MATCH(balanco_geracao_consumo[[#This Row],[Consumido da rede]]-0.01,$I$306:$K$306,1)+1),$I$307)+$G$307+$H$307))),(C134*$B$307/(1-(IFERROR(INDEX($I$307:$L$307,MATCH(C134-0.01,$I$306:$K$306,1)+1),$I$307)+$G$307+$H$307))))+IFERROR(INDEX($M$307:$AS$307,MATCH(C134-0.001,$M$306:$AR$306,1)+1),$M$307))*((1+$C$10)^(A134-1))</f>
        <v>1393.3850030172637</v>
      </c>
      <c r="E134" s="17">
        <f ca="1">$H$28*((1-$C$12)^(A134-1))</f>
        <v>573.26271060789657</v>
      </c>
      <c r="F134" s="17">
        <f t="shared" ca="1" si="35"/>
        <v>180.4032</v>
      </c>
      <c r="G134" s="17">
        <f t="shared" ca="1" si="36"/>
        <v>420.94080000000008</v>
      </c>
      <c r="H134" s="17">
        <f t="shared" ca="1" si="37"/>
        <v>392.8595106078966</v>
      </c>
      <c r="I134" s="17">
        <f ca="1">balanco_geracao_consumo[[#This Row],[Injetado na rede]]-balanco_geracao_consumo[[#This Row],[Energia Fornecida]]+I133</f>
        <v>7535.9822350033928</v>
      </c>
      <c r="J134" s="17">
        <f t="shared" ca="1" si="38"/>
        <v>320.94080000000008</v>
      </c>
      <c r="K134"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345.45824941909484</v>
      </c>
      <c r="L134" s="17">
        <f ca="1">balanco_geracao_consumo[[#This Row],[Injetado na rede]]-balanco_geracao_consumo[[#This Row],[Energia Fornecida 14.300]]+L133</f>
        <v>0</v>
      </c>
      <c r="M134" s="17">
        <f ca="1">IF(balanco_geracao_consumo[[#This Row],[Consumido da rede]]&lt;$C$8,0,IF((balanco_geracao_consumo[[#This Row],[Injetado na rede]]+L133)&gt;balanco_geracao_consumo[[#This Row],[Consumido da rede]],balanco_geracao_consumo[[#This Row],[Consumido da rede]],balanco_geracao_consumo[[#This Row],[Injetado na rede]]+L133))</f>
        <v>392.8595106078966</v>
      </c>
      <c r="N134" s="17">
        <f ca="1">IFERROR(VLOOKUP(balanco_geracao_consumo[[#This Row],[Ano]],$B$321:$C$327,2,FALSE),1)*$E$307*balanco_geracao_consumo[[#This Row],[Energia Fornecida 14.300]]</f>
        <v>77.413901570921269</v>
      </c>
      <c r="O134"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354.65971156245274</v>
      </c>
      <c r="P134" s="13">
        <f ca="1">balanco_geracao_consumo[[#This Row],[Tarifa 14.300]]</f>
        <v>354.65971156245274</v>
      </c>
      <c r="Q134" s="17">
        <f t="shared" ca="1" si="34"/>
        <v>1038.725291454811</v>
      </c>
      <c r="R134" s="17">
        <f t="shared" ca="1" si="39"/>
        <v>75704.211311881299</v>
      </c>
    </row>
    <row r="135" spans="1:18">
      <c r="A135">
        <v>8</v>
      </c>
      <c r="B135" s="1" t="s">
        <v>119</v>
      </c>
      <c r="C135">
        <f ca="1">$C$29</f>
        <v>601.34400000000005</v>
      </c>
      <c r="D135" s="14">
        <f ca="1">(IF(balanco_geracao_consumo[[#This Row],[Consumido da rede]]&lt;$C$8,($C$8*$B$307/(1-(IFERROR(INDEX($I$307:$L$307,MATCH(balanco_geracao_consumo[[#This Row],[Consumido da rede]]-0.01,$I$306:$K$306,1)+1),$I$307)+$G$307+$H$307))),(C135*$B$307/(1-(IFERROR(INDEX($I$307:$L$307,MATCH(C135-0.01,$I$306:$K$306,1)+1),$I$307)+$G$307+$H$307))))+IFERROR(INDEX($M$307:$AS$307,MATCH(C135-0.001,$M$306:$AR$306,1)+1),$M$307))*((1+$C$10)^(A135-1))</f>
        <v>1393.3850030172637</v>
      </c>
      <c r="E135" s="17">
        <f ca="1">$H$29*((1-$C$12)^(A135-1))</f>
        <v>576.93273340906671</v>
      </c>
      <c r="F135" s="17">
        <f t="shared" ca="1" si="35"/>
        <v>180.4032</v>
      </c>
      <c r="G135" s="17">
        <f t="shared" ca="1" si="36"/>
        <v>420.94080000000008</v>
      </c>
      <c r="H135" s="17">
        <f t="shared" ca="1" si="37"/>
        <v>396.52953340906674</v>
      </c>
      <c r="I135" s="17">
        <f ca="1">balanco_geracao_consumo[[#This Row],[Injetado na rede]]-balanco_geracao_consumo[[#This Row],[Energia Fornecida]]+I134</f>
        <v>7611.5709684124595</v>
      </c>
      <c r="J135" s="17">
        <f t="shared" ca="1" si="38"/>
        <v>320.94080000000008</v>
      </c>
      <c r="K135"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345.45824941909484</v>
      </c>
      <c r="L135" s="17">
        <f ca="1">balanco_geracao_consumo[[#This Row],[Injetado na rede]]-balanco_geracao_consumo[[#This Row],[Energia Fornecida 14.300]]+L134</f>
        <v>0</v>
      </c>
      <c r="M135" s="17">
        <f ca="1">IF(balanco_geracao_consumo[[#This Row],[Consumido da rede]]&lt;$C$8,0,IF((balanco_geracao_consumo[[#This Row],[Injetado na rede]]+L134)&gt;balanco_geracao_consumo[[#This Row],[Consumido da rede]],balanco_geracao_consumo[[#This Row],[Consumido da rede]],balanco_geracao_consumo[[#This Row],[Injetado na rede]]+L134))</f>
        <v>396.52953340906674</v>
      </c>
      <c r="N135" s="17">
        <f ca="1">IFERROR(VLOOKUP(balanco_geracao_consumo[[#This Row],[Ano]],$B$321:$C$327,2,FALSE),1)*$E$307*balanco_geracao_consumo[[#This Row],[Energia Fornecida 14.300]]</f>
        <v>78.137088298546118</v>
      </c>
      <c r="O135"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348.84025363807871</v>
      </c>
      <c r="P135" s="13">
        <f ca="1">balanco_geracao_consumo[[#This Row],[Tarifa 14.300]]</f>
        <v>348.84025363807871</v>
      </c>
      <c r="Q135" s="17">
        <f t="shared" ca="1" si="34"/>
        <v>1044.5447493791849</v>
      </c>
      <c r="R135" s="17">
        <f t="shared" ca="1" si="39"/>
        <v>76748.756061260487</v>
      </c>
    </row>
    <row r="136" spans="1:18">
      <c r="A136">
        <v>8</v>
      </c>
      <c r="B136" s="1" t="s">
        <v>122</v>
      </c>
      <c r="C136">
        <f ca="1">$C$30</f>
        <v>701.56799999999998</v>
      </c>
      <c r="D136" s="14">
        <f ca="1">(IF(balanco_geracao_consumo[[#This Row],[Consumido da rede]]&lt;$C$8,($C$8*$B$307/(1-(IFERROR(INDEX($I$307:$L$307,MATCH(balanco_geracao_consumo[[#This Row],[Consumido da rede]]-0.01,$I$306:$K$306,1)+1),$I$307)+$G$307+$H$307))),(C136*$B$307/(1-(IFERROR(INDEX($I$307:$L$307,MATCH(C136-0.01,$I$306:$K$306,1)+1),$I$307)+$G$307+$H$307))))+IFERROR(INDEX($M$307:$AS$307,MATCH(C136-0.001,$M$306:$AR$306,1)+1),$M$307))*((1+$C$10)^(A136-1))</f>
        <v>1615.2681490524742</v>
      </c>
      <c r="E136" s="17">
        <f ca="1">$H$30*((1-$C$12)^(A136-1))</f>
        <v>743.35954750858104</v>
      </c>
      <c r="F136" s="17">
        <f t="shared" ca="1" si="35"/>
        <v>210.47039999999998</v>
      </c>
      <c r="G136" s="17">
        <f t="shared" ca="1" si="36"/>
        <v>491.0976</v>
      </c>
      <c r="H136" s="17">
        <f t="shared" ca="1" si="37"/>
        <v>532.88914750858112</v>
      </c>
      <c r="I136" s="17">
        <f ca="1">balanco_geracao_consumo[[#This Row],[Injetado na rede]]-balanco_geracao_consumo[[#This Row],[Energia Fornecida]]+I135</f>
        <v>7753.3625159210405</v>
      </c>
      <c r="J136" s="17">
        <f t="shared" ca="1" si="38"/>
        <v>391.0976</v>
      </c>
      <c r="K136"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362.59050750501848</v>
      </c>
      <c r="L136" s="17">
        <f ca="1">balanco_geracao_consumo[[#This Row],[Injetado na rede]]-balanco_geracao_consumo[[#This Row],[Energia Fornecida 14.300]]+L135</f>
        <v>41.791547508581118</v>
      </c>
      <c r="M136" s="17">
        <f ca="1">IF(balanco_geracao_consumo[[#This Row],[Consumido da rede]]&lt;$C$8,0,IF((balanco_geracao_consumo[[#This Row],[Injetado na rede]]+L135)&gt;balanco_geracao_consumo[[#This Row],[Consumido da rede]],balanco_geracao_consumo[[#This Row],[Consumido da rede]],balanco_geracao_consumo[[#This Row],[Injetado na rede]]+L135))</f>
        <v>491.0976</v>
      </c>
      <c r="N136" s="17">
        <f ca="1">IFERROR(VLOOKUP(balanco_geracao_consumo[[#This Row],[Ano]],$B$321:$C$327,2,FALSE),1)*$E$307*balanco_geracao_consumo[[#This Row],[Energia Fornecida 14.300]]</f>
        <v>96.771950892288004</v>
      </c>
      <c r="O136"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354.20437810062737</v>
      </c>
      <c r="P136" s="13">
        <f ca="1">balanco_geracao_consumo[[#This Row],[Tarifa 14.300]]</f>
        <v>354.20437810062737</v>
      </c>
      <c r="Q136" s="17">
        <f t="shared" ca="1" si="34"/>
        <v>1261.0637709518469</v>
      </c>
      <c r="R136" s="17">
        <f t="shared" ca="1" si="39"/>
        <v>78009.819832212335</v>
      </c>
    </row>
    <row r="137" spans="1:18">
      <c r="A137">
        <v>8</v>
      </c>
      <c r="B137" s="1" t="s">
        <v>123</v>
      </c>
      <c r="C137">
        <f ca="1">$C$31</f>
        <v>701.56799999999998</v>
      </c>
      <c r="D137" s="14">
        <f ca="1">(IF(balanco_geracao_consumo[[#This Row],[Consumido da rede]]&lt;$C$8,($C$8*$B$307/(1-(IFERROR(INDEX($I$307:$L$307,MATCH(balanco_geracao_consumo[[#This Row],[Consumido da rede]]-0.01,$I$306:$K$306,1)+1),$I$307)+$G$307+$H$307))),(C137*$B$307/(1-(IFERROR(INDEX($I$307:$L$307,MATCH(C137-0.01,$I$306:$K$306,1)+1),$I$307)+$G$307+$H$307))))+IFERROR(INDEX($M$307:$AS$307,MATCH(C137-0.001,$M$306:$AR$306,1)+1),$M$307))*((1+$C$10)^(A137-1))</f>
        <v>1615.2681490524742</v>
      </c>
      <c r="E137" s="17">
        <f ca="1">$H$31*((1-$C$12)^(A137-1))</f>
        <v>733.7004974738478</v>
      </c>
      <c r="F137" s="17">
        <f t="shared" ca="1" si="35"/>
        <v>210.47039999999998</v>
      </c>
      <c r="G137" s="17">
        <f t="shared" ca="1" si="36"/>
        <v>491.0976</v>
      </c>
      <c r="H137" s="17">
        <f t="shared" ca="1" si="37"/>
        <v>523.23009747384776</v>
      </c>
      <c r="I137" s="17">
        <f ca="1">balanco_geracao_consumo[[#This Row],[Injetado na rede]]-balanco_geracao_consumo[[#This Row],[Energia Fornecida]]+I136</f>
        <v>7885.4950133948887</v>
      </c>
      <c r="J137" s="17">
        <f t="shared" ca="1" si="38"/>
        <v>391.0976</v>
      </c>
      <c r="K137"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362.59050750501848</v>
      </c>
      <c r="L137" s="17">
        <f ca="1">balanco_geracao_consumo[[#This Row],[Injetado na rede]]-balanco_geracao_consumo[[#This Row],[Energia Fornecida 14.300]]+L136</f>
        <v>73.924044982428882</v>
      </c>
      <c r="M137" s="17">
        <f ca="1">IF(balanco_geracao_consumo[[#This Row],[Consumido da rede]]&lt;$C$8,0,IF((balanco_geracao_consumo[[#This Row],[Injetado na rede]]+L136)&gt;balanco_geracao_consumo[[#This Row],[Consumido da rede]],balanco_geracao_consumo[[#This Row],[Consumido da rede]],balanco_geracao_consumo[[#This Row],[Injetado na rede]]+L136))</f>
        <v>491.0976</v>
      </c>
      <c r="N137" s="17">
        <f ca="1">IFERROR(VLOOKUP(balanco_geracao_consumo[[#This Row],[Ano]],$B$321:$C$327,2,FALSE),1)*$E$307*balanco_geracao_consumo[[#This Row],[Energia Fornecida 14.300]]</f>
        <v>96.771950892288004</v>
      </c>
      <c r="O137"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354.20437810062737</v>
      </c>
      <c r="P137" s="13">
        <f ca="1">balanco_geracao_consumo[[#This Row],[Tarifa 14.300]]</f>
        <v>354.20437810062737</v>
      </c>
      <c r="Q137" s="17">
        <f t="shared" ca="1" si="34"/>
        <v>1261.0637709518469</v>
      </c>
      <c r="R137" s="17">
        <f t="shared" ca="1" si="39"/>
        <v>79270.883603164184</v>
      </c>
    </row>
    <row r="138" spans="1:18">
      <c r="A138">
        <v>8</v>
      </c>
      <c r="B138" s="1" t="s">
        <v>124</v>
      </c>
      <c r="C138">
        <f ca="1">$C$32</f>
        <v>701.56799999999998</v>
      </c>
      <c r="D138" s="14">
        <f ca="1">(IF(balanco_geracao_consumo[[#This Row],[Consumido da rede]]&lt;$C$8,($C$8*$B$307/(1-(IFERROR(INDEX($I$307:$L$307,MATCH(balanco_geracao_consumo[[#This Row],[Consumido da rede]]-0.01,$I$306:$K$306,1)+1),$I$307)+$G$307+$H$307))),(C138*$B$307/(1-(IFERROR(INDEX($I$307:$L$307,MATCH(C138-0.01,$I$306:$K$306,1)+1),$I$307)+$G$307+$H$307))))+IFERROR(INDEX($M$307:$AS$307,MATCH(C138-0.001,$M$306:$AR$306,1)+1),$M$307))*((1+$C$10)^(A138-1))</f>
        <v>1615.2681490524742</v>
      </c>
      <c r="E138" s="17">
        <f ca="1">$H$32*((1-$C$12)^(A138-1))</f>
        <v>880.08063108647036</v>
      </c>
      <c r="F138" s="17">
        <f t="shared" ca="1" si="35"/>
        <v>210.47039999999998</v>
      </c>
      <c r="G138" s="17">
        <f t="shared" ca="1" si="36"/>
        <v>491.0976</v>
      </c>
      <c r="H138" s="17">
        <f t="shared" ca="1" si="37"/>
        <v>669.61023108647032</v>
      </c>
      <c r="I138" s="17">
        <f ca="1">balanco_geracao_consumo[[#This Row],[Injetado na rede]]-balanco_geracao_consumo[[#This Row],[Energia Fornecida]]+I137</f>
        <v>8164.0076444813594</v>
      </c>
      <c r="J138" s="17">
        <f t="shared" ca="1" si="38"/>
        <v>391.0976</v>
      </c>
      <c r="K138"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362.59050750501848</v>
      </c>
      <c r="L138" s="17">
        <f ca="1">balanco_geracao_consumo[[#This Row],[Injetado na rede]]-balanco_geracao_consumo[[#This Row],[Energia Fornecida 14.300]]+L137</f>
        <v>252.4366760688992</v>
      </c>
      <c r="M138" s="17">
        <f ca="1">IF(balanco_geracao_consumo[[#This Row],[Consumido da rede]]&lt;$C$8,0,IF((balanco_geracao_consumo[[#This Row],[Injetado na rede]]+L137)&gt;balanco_geracao_consumo[[#This Row],[Consumido da rede]],balanco_geracao_consumo[[#This Row],[Consumido da rede]],balanco_geracao_consumo[[#This Row],[Injetado na rede]]+L137))</f>
        <v>491.0976</v>
      </c>
      <c r="N138" s="17">
        <f ca="1">IFERROR(VLOOKUP(balanco_geracao_consumo[[#This Row],[Ano]],$B$321:$C$327,2,FALSE),1)*$E$307*balanco_geracao_consumo[[#This Row],[Energia Fornecida 14.300]]</f>
        <v>96.771950892288004</v>
      </c>
      <c r="O138"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354.20437810062737</v>
      </c>
      <c r="P138" s="13">
        <f ca="1">balanco_geracao_consumo[[#This Row],[Tarifa 14.300]]</f>
        <v>354.20437810062737</v>
      </c>
      <c r="Q138" s="17">
        <f t="shared" ca="1" si="34"/>
        <v>1261.0637709518469</v>
      </c>
      <c r="R138" s="17">
        <f t="shared" ca="1" si="39"/>
        <v>80531.947374116033</v>
      </c>
    </row>
    <row r="139" spans="1:18">
      <c r="A139">
        <v>8</v>
      </c>
      <c r="B139" s="1" t="s">
        <v>125</v>
      </c>
      <c r="C139">
        <f ca="1">$C$33</f>
        <v>801.79200000000003</v>
      </c>
      <c r="D139" s="14">
        <f ca="1">(IF(balanco_geracao_consumo[[#This Row],[Consumido da rede]]&lt;$C$8,($C$8*$B$307/(1-(IFERROR(INDEX($I$307:$L$307,MATCH(balanco_geracao_consumo[[#This Row],[Consumido da rede]]-0.01,$I$306:$K$306,1)+1),$I$307)+$G$307+$H$307))),(C139*$B$307/(1-(IFERROR(INDEX($I$307:$L$307,MATCH(C139-0.01,$I$306:$K$306,1)+1),$I$307)+$G$307+$H$307))))+IFERROR(INDEX($M$307:$AS$307,MATCH(C139-0.001,$M$306:$AR$306,1)+1),$M$307))*((1+$C$10)^(A139-1))</f>
        <v>1837.151295087685</v>
      </c>
      <c r="E139" s="17">
        <f ca="1">$H$33*((1-$C$12)^(A139-1))</f>
        <v>881.64414056674445</v>
      </c>
      <c r="F139" s="17">
        <f t="shared" ca="1" si="35"/>
        <v>240.5376</v>
      </c>
      <c r="G139" s="17">
        <f t="shared" ca="1" si="36"/>
        <v>561.25440000000003</v>
      </c>
      <c r="H139" s="17">
        <f t="shared" ca="1" si="37"/>
        <v>641.10654056674446</v>
      </c>
      <c r="I139" s="17">
        <f ca="1">balanco_geracao_consumo[[#This Row],[Injetado na rede]]-balanco_geracao_consumo[[#This Row],[Energia Fornecida]]+I138</f>
        <v>8343.8597850481037</v>
      </c>
      <c r="J139" s="17">
        <f t="shared" ca="1" si="38"/>
        <v>461.25440000000003</v>
      </c>
      <c r="K139"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389.85609451094217</v>
      </c>
      <c r="L139" s="17">
        <f ca="1">balanco_geracao_consumo[[#This Row],[Injetado na rede]]-balanco_geracao_consumo[[#This Row],[Energia Fornecida 14.300]]+L138</f>
        <v>332.28881663564363</v>
      </c>
      <c r="M139" s="17">
        <f ca="1">IF(balanco_geracao_consumo[[#This Row],[Consumido da rede]]&lt;$C$8,0,IF((balanco_geracao_consumo[[#This Row],[Injetado na rede]]+L138)&gt;balanco_geracao_consumo[[#This Row],[Consumido da rede]],balanco_geracao_consumo[[#This Row],[Consumido da rede]],balanco_geracao_consumo[[#This Row],[Injetado na rede]]+L138))</f>
        <v>561.25440000000003</v>
      </c>
      <c r="N139" s="17">
        <f ca="1">IFERROR(VLOOKUP(balanco_geracao_consumo[[#This Row],[Ano]],$B$321:$C$327,2,FALSE),1)*$E$307*balanco_geracao_consumo[[#This Row],[Energia Fornecida 14.300]]</f>
        <v>110.59651530547201</v>
      </c>
      <c r="O139"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408.41013017857426</v>
      </c>
      <c r="P139" s="13">
        <f ca="1">balanco_geracao_consumo[[#This Row],[Tarifa 14.300]]</f>
        <v>408.41013017857426</v>
      </c>
      <c r="Q139" s="17">
        <f t="shared" ca="1" si="34"/>
        <v>1428.7411649091107</v>
      </c>
      <c r="R139" s="17">
        <f t="shared" ca="1" si="39"/>
        <v>81960.688539025141</v>
      </c>
    </row>
    <row r="140" spans="1:18">
      <c r="A140">
        <v>8</v>
      </c>
      <c r="B140" s="1" t="s">
        <v>126</v>
      </c>
      <c r="C140">
        <f ca="1">$C$34</f>
        <v>1002.24</v>
      </c>
      <c r="D140" s="14">
        <f ca="1">(IF(balanco_geracao_consumo[[#This Row],[Consumido da rede]]&lt;$C$8,($C$8*$B$307/(1-(IFERROR(INDEX($I$307:$L$307,MATCH(balanco_geracao_consumo[[#This Row],[Consumido da rede]]-0.01,$I$306:$K$306,1)+1),$I$307)+$G$307+$H$307))),(C140*$B$307/(1-(IFERROR(INDEX($I$307:$L$307,MATCH(C140-0.01,$I$306:$K$306,1)+1),$I$307)+$G$307+$H$307))))+IFERROR(INDEX($M$307:$AS$307,MATCH(C140-0.001,$M$306:$AR$306,1)+1),$M$307))*((1+$C$10)^(A140-1))</f>
        <v>2335.3062814191057</v>
      </c>
      <c r="E140" s="17">
        <f ca="1">$H$34*((1-$C$12)^(A140-1))</f>
        <v>1044.9011202087552</v>
      </c>
      <c r="F140" s="17">
        <f t="shared" ca="1" si="35"/>
        <v>300.67199999999997</v>
      </c>
      <c r="G140" s="17">
        <f t="shared" ca="1" si="36"/>
        <v>701.56799999999998</v>
      </c>
      <c r="H140" s="17">
        <f t="shared" ca="1" si="37"/>
        <v>744.22912020875515</v>
      </c>
      <c r="I140" s="17">
        <f ca="1">balanco_geracao_consumo[[#This Row],[Injetado na rede]]-balanco_geracao_consumo[[#This Row],[Energia Fornecida]]+I139</f>
        <v>8486.5209052568589</v>
      </c>
      <c r="J140" s="17">
        <f t="shared" ca="1" si="38"/>
        <v>601.56799999999998</v>
      </c>
      <c r="K140"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430.37599257378918</v>
      </c>
      <c r="L140" s="17">
        <f ca="1">balanco_geracao_consumo[[#This Row],[Injetado na rede]]-balanco_geracao_consumo[[#This Row],[Energia Fornecida 14.300]]+L139</f>
        <v>374.94993684439879</v>
      </c>
      <c r="M140" s="17">
        <f ca="1">IF(balanco_geracao_consumo[[#This Row],[Consumido da rede]]&lt;$C$8,0,IF((balanco_geracao_consumo[[#This Row],[Injetado na rede]]+L139)&gt;balanco_geracao_consumo[[#This Row],[Consumido da rede]],balanco_geracao_consumo[[#This Row],[Consumido da rede]],balanco_geracao_consumo[[#This Row],[Injetado na rede]]+L139))</f>
        <v>701.56799999999998</v>
      </c>
      <c r="N140" s="17">
        <f ca="1">IFERROR(VLOOKUP(balanco_geracao_consumo[[#This Row],[Ano]],$B$321:$C$327,2,FALSE),1)*$E$307*balanco_geracao_consumo[[#This Row],[Energia Fornecida 14.300]]</f>
        <v>138.24564413184001</v>
      </c>
      <c r="O140"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502.81035838546745</v>
      </c>
      <c r="P140" s="13">
        <f ca="1">balanco_geracao_consumo[[#This Row],[Tarifa 14.300]]</f>
        <v>502.81035838546745</v>
      </c>
      <c r="Q140" s="17">
        <f t="shared" ref="Q140:Q164" ca="1" si="40">D140-P140</f>
        <v>1832.4959230336383</v>
      </c>
      <c r="R140" s="17">
        <f t="shared" ca="1" si="39"/>
        <v>83793.18446205878</v>
      </c>
    </row>
    <row r="141" spans="1:18">
      <c r="A141">
        <v>9</v>
      </c>
      <c r="B141" s="1" t="s">
        <v>96</v>
      </c>
      <c r="C141">
        <f ca="1">$C$23</f>
        <v>1202.6880000000001</v>
      </c>
      <c r="D141" s="14">
        <f ca="1">(IF(balanco_geracao_consumo[[#This Row],[Consumido da rede]]&lt;$C$8,($C$8*$B$307/(1-(IFERROR(INDEX($I$307:$L$307,MATCH(balanco_geracao_consumo[[#This Row],[Consumido da rede]]-0.01,$I$306:$K$306,1)+1),$I$307)+$G$307+$H$307))),(C141*$B$307/(1-(IFERROR(INDEX($I$307:$L$307,MATCH(C141-0.01,$I$306:$K$306,1)+1),$I$307)+$G$307+$H$307))))+IFERROR(INDEX($M$307:$AS$307,MATCH(C141-0.001,$M$306:$AR$306,1)+1),$M$307))*((1+$C$10)^(A141-1))</f>
        <v>3056.9798308384798</v>
      </c>
      <c r="E141" s="17">
        <f ca="1">$H$23*((1-$C$12)^(A141-1))</f>
        <v>1032.7839716881936</v>
      </c>
      <c r="F141" s="17">
        <f t="shared" ref="F141:F164" ca="1" si="41">MIN(C141*$A$9,E141)</f>
        <v>360.8064</v>
      </c>
      <c r="G141" s="17">
        <f t="shared" ref="G141:G164" ca="1" si="42">C141-F141</f>
        <v>841.88160000000016</v>
      </c>
      <c r="H141" s="17">
        <f t="shared" ref="H141:H164" ca="1" si="43">IF(E141&lt;F141,0,E141-F141)</f>
        <v>671.97757168819362</v>
      </c>
      <c r="I141" s="17">
        <f ca="1">balanco_geracao_consumo[[#This Row],[Injetado na rede]]-balanco_geracao_consumo[[#This Row],[Energia Fornecida]]+I140</f>
        <v>8416.6168769450524</v>
      </c>
      <c r="J141" s="17">
        <f t="shared" ref="J141:J164" ca="1" si="44">IF((G141-H141)&lt;$C$8,MAX(G141-$C$8,0),IF(I140-(G141-H141-$C$8)&lt;0,I140+H141,G141-$C$8))</f>
        <v>741.88160000000016</v>
      </c>
      <c r="K141"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511.10455962020035</v>
      </c>
      <c r="L141" s="17">
        <f ca="1">balanco_geracao_consumo[[#This Row],[Injetado na rede]]-balanco_geracao_consumo[[#This Row],[Energia Fornecida 14.300]]+L140</f>
        <v>205.04590853259225</v>
      </c>
      <c r="M141" s="17">
        <f ca="1">IF(balanco_geracao_consumo[[#This Row],[Consumido da rede]]&lt;$C$8,0,IF((balanco_geracao_consumo[[#This Row],[Injetado na rede]]+L140)&gt;balanco_geracao_consumo[[#This Row],[Consumido da rede]],balanco_geracao_consumo[[#This Row],[Consumido da rede]],balanco_geracao_consumo[[#This Row],[Injetado na rede]]+L140))</f>
        <v>841.88160000000016</v>
      </c>
      <c r="N141" s="17">
        <f ca="1">IFERROR(VLOOKUP(balanco_geracao_consumo[[#This Row],[Ano]],$B$321:$C$327,2,FALSE),1)*$E$307*balanco_geracao_consumo[[#This Row],[Energia Fornecida 14.300]]</f>
        <v>165.89477295820802</v>
      </c>
      <c r="O141"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650.05072517149745</v>
      </c>
      <c r="P141" s="13">
        <f ca="1">balanco_geracao_consumo[[#This Row],[Tarifa 14.300]]</f>
        <v>650.05072517149745</v>
      </c>
      <c r="Q141" s="17">
        <f t="shared" ca="1" si="40"/>
        <v>2406.9291056669822</v>
      </c>
      <c r="R141" s="17">
        <f t="shared" ref="R141:R164" ca="1" si="45">R140+Q141</f>
        <v>86200.113567725755</v>
      </c>
    </row>
    <row r="142" spans="1:18">
      <c r="A142">
        <v>9</v>
      </c>
      <c r="B142" s="1" t="s">
        <v>98</v>
      </c>
      <c r="C142">
        <f ca="1">$C$24</f>
        <v>1202.6880000000001</v>
      </c>
      <c r="D142" s="14">
        <f ca="1">(IF(balanco_geracao_consumo[[#This Row],[Consumido da rede]]&lt;$C$8,($C$8*$B$307/(1-(IFERROR(INDEX($I$307:$L$307,MATCH(balanco_geracao_consumo[[#This Row],[Consumido da rede]]-0.01,$I$306:$K$306,1)+1),$I$307)+$G$307+$H$307))),(C142*$B$307/(1-(IFERROR(INDEX($I$307:$L$307,MATCH(C142-0.01,$I$306:$K$306,1)+1),$I$307)+$G$307+$H$307))))+IFERROR(INDEX($M$307:$AS$307,MATCH(C142-0.001,$M$306:$AR$306,1)+1),$M$307))*((1+$C$10)^(A142-1))</f>
        <v>3056.9798308384798</v>
      </c>
      <c r="E142" s="17">
        <f ca="1">$H$24*((1-$C$12)^(A142-1))</f>
        <v>1002.4268394893951</v>
      </c>
      <c r="F142" s="17">
        <f t="shared" ca="1" si="41"/>
        <v>360.8064</v>
      </c>
      <c r="G142" s="17">
        <f t="shared" ca="1" si="42"/>
        <v>841.88160000000016</v>
      </c>
      <c r="H142" s="17">
        <f t="shared" ca="1" si="43"/>
        <v>641.62043948939504</v>
      </c>
      <c r="I142" s="17">
        <f ca="1">balanco_geracao_consumo[[#This Row],[Injetado na rede]]-balanco_geracao_consumo[[#This Row],[Energia Fornecida]]+I141</f>
        <v>8316.3557164344475</v>
      </c>
      <c r="J142" s="17">
        <f t="shared" ca="1" si="44"/>
        <v>741.88160000000016</v>
      </c>
      <c r="K142"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511.10455962020035</v>
      </c>
      <c r="L142" s="17">
        <f ca="1">balanco_geracao_consumo[[#This Row],[Injetado na rede]]-balanco_geracao_consumo[[#This Row],[Energia Fornecida 14.300]]+L141</f>
        <v>4.7847480219871272</v>
      </c>
      <c r="M142" s="17">
        <f ca="1">IF(balanco_geracao_consumo[[#This Row],[Consumido da rede]]&lt;$C$8,0,IF((balanco_geracao_consumo[[#This Row],[Injetado na rede]]+L141)&gt;balanco_geracao_consumo[[#This Row],[Consumido da rede]],balanco_geracao_consumo[[#This Row],[Consumido da rede]],balanco_geracao_consumo[[#This Row],[Injetado na rede]]+L141))</f>
        <v>841.88160000000016</v>
      </c>
      <c r="N142" s="17">
        <f ca="1">IFERROR(VLOOKUP(balanco_geracao_consumo[[#This Row],[Ano]],$B$321:$C$327,2,FALSE),1)*$E$307*balanco_geracao_consumo[[#This Row],[Energia Fornecida 14.300]]</f>
        <v>165.89477295820802</v>
      </c>
      <c r="O142"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650.05072517149745</v>
      </c>
      <c r="P142" s="13">
        <f ca="1">balanco_geracao_consumo[[#This Row],[Tarifa 14.300]]</f>
        <v>650.05072517149745</v>
      </c>
      <c r="Q142" s="17">
        <f t="shared" ca="1" si="40"/>
        <v>2406.9291056669822</v>
      </c>
      <c r="R142" s="17">
        <f t="shared" ca="1" si="45"/>
        <v>88607.042673392731</v>
      </c>
    </row>
    <row r="143" spans="1:18">
      <c r="A143">
        <v>9</v>
      </c>
      <c r="B143" s="1" t="s">
        <v>99</v>
      </c>
      <c r="C143">
        <f ca="1">$C$25</f>
        <v>1002.24</v>
      </c>
      <c r="D143" s="14">
        <f ca="1">(IF(balanco_geracao_consumo[[#This Row],[Consumido da rede]]&lt;$C$8,($C$8*$B$307/(1-(IFERROR(INDEX($I$307:$L$307,MATCH(balanco_geracao_consumo[[#This Row],[Consumido da rede]]-0.01,$I$306:$K$306,1)+1),$I$307)+$G$307+$H$307))),(C143*$B$307/(1-(IFERROR(INDEX($I$307:$L$307,MATCH(C143-0.01,$I$306:$K$306,1)+1),$I$307)+$G$307+$H$307))))+IFERROR(INDEX($M$307:$AS$307,MATCH(C143-0.001,$M$306:$AR$306,1)+1),$M$307))*((1+$C$10)^(A143-1))</f>
        <v>2568.8369095610165</v>
      </c>
      <c r="E143" s="17">
        <f ca="1">$H$25*((1-$C$12)^(A143-1))</f>
        <v>872.80954697254776</v>
      </c>
      <c r="F143" s="17">
        <f t="shared" ca="1" si="41"/>
        <v>300.67199999999997</v>
      </c>
      <c r="G143" s="17">
        <f t="shared" ca="1" si="42"/>
        <v>701.56799999999998</v>
      </c>
      <c r="H143" s="17">
        <f t="shared" ca="1" si="43"/>
        <v>572.13754697254785</v>
      </c>
      <c r="I143" s="17">
        <f ca="1">balanco_geracao_consumo[[#This Row],[Injetado na rede]]-balanco_geracao_consumo[[#This Row],[Energia Fornecida]]+I142</f>
        <v>8286.9252634069962</v>
      </c>
      <c r="J143" s="17">
        <f t="shared" ca="1" si="44"/>
        <v>601.56799999999998</v>
      </c>
      <c r="K143"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473.41359183116805</v>
      </c>
      <c r="L143" s="17">
        <f ca="1">balanco_geracao_consumo[[#This Row],[Injetado na rede]]-balanco_geracao_consumo[[#This Row],[Energia Fornecida 14.300]]+L142</f>
        <v>5.6843418860808015E-14</v>
      </c>
      <c r="M143" s="17">
        <f ca="1">IF(balanco_geracao_consumo[[#This Row],[Consumido da rede]]&lt;$C$8,0,IF((balanco_geracao_consumo[[#This Row],[Injetado na rede]]+L142)&gt;balanco_geracao_consumo[[#This Row],[Consumido da rede]],balanco_geracao_consumo[[#This Row],[Consumido da rede]],balanco_geracao_consumo[[#This Row],[Injetado na rede]]+L142))</f>
        <v>576.92229499453492</v>
      </c>
      <c r="N143" s="17">
        <f ca="1">IFERROR(VLOOKUP(balanco_geracao_consumo[[#This Row],[Ano]],$B$321:$C$327,2,FALSE),1)*$E$307*balanco_geracao_consumo[[#This Row],[Energia Fornecida 14.300]]</f>
        <v>113.68391130373519</v>
      </c>
      <c r="O143"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770.50352557430722</v>
      </c>
      <c r="P143" s="13">
        <f ca="1">balanco_geracao_consumo[[#This Row],[Tarifa 14.300]]</f>
        <v>770.50352557430722</v>
      </c>
      <c r="Q143" s="17">
        <f t="shared" ca="1" si="40"/>
        <v>1798.3333839867091</v>
      </c>
      <c r="R143" s="17">
        <f t="shared" ca="1" si="45"/>
        <v>90405.376057379442</v>
      </c>
    </row>
    <row r="144" spans="1:18">
      <c r="A144">
        <v>9</v>
      </c>
      <c r="B144" s="1" t="s">
        <v>103</v>
      </c>
      <c r="C144">
        <f ca="1">$C$26</f>
        <v>902.01600000000008</v>
      </c>
      <c r="D144" s="14">
        <f ca="1">(IF(balanco_geracao_consumo[[#This Row],[Consumido da rede]]&lt;$C$8,($C$8*$B$307/(1-(IFERROR(INDEX($I$307:$L$307,MATCH(balanco_geracao_consumo[[#This Row],[Consumido da rede]]-0.01,$I$306:$K$306,1)+1),$I$307)+$G$307+$H$307))),(C144*$B$307/(1-(IFERROR(INDEX($I$307:$L$307,MATCH(C144-0.01,$I$306:$K$306,1)+1),$I$307)+$G$307+$H$307))))+IFERROR(INDEX($M$307:$AS$307,MATCH(C144-0.001,$M$306:$AR$306,1)+1),$M$307))*((1+$C$10)^(A144-1))</f>
        <v>2264.9378852351847</v>
      </c>
      <c r="E144" s="17">
        <f ca="1">$H$26*((1-$C$12)^(A144-1))</f>
        <v>743.69075300128145</v>
      </c>
      <c r="F144" s="17">
        <f t="shared" ca="1" si="41"/>
        <v>270.60480000000001</v>
      </c>
      <c r="G144" s="17">
        <f t="shared" ca="1" si="42"/>
        <v>631.41120000000001</v>
      </c>
      <c r="H144" s="17">
        <f t="shared" ca="1" si="43"/>
        <v>473.08595300128144</v>
      </c>
      <c r="I144" s="17">
        <f ca="1">balanco_geracao_consumo[[#This Row],[Injetado na rede]]-balanco_geracao_consumo[[#This Row],[Energia Fornecida]]+I143</f>
        <v>8228.600016408278</v>
      </c>
      <c r="J144" s="17">
        <f t="shared" ca="1" si="44"/>
        <v>531.41120000000001</v>
      </c>
      <c r="K144"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454.5681079366521</v>
      </c>
      <c r="L144" s="17">
        <f ca="1">balanco_geracao_consumo[[#This Row],[Injetado na rede]]-balanco_geracao_consumo[[#This Row],[Energia Fornecida 14.300]]+L143</f>
        <v>0</v>
      </c>
      <c r="M144" s="17">
        <f ca="1">IF(balanco_geracao_consumo[[#This Row],[Consumido da rede]]&lt;$C$8,0,IF((balanco_geracao_consumo[[#This Row],[Injetado na rede]]+L143)&gt;balanco_geracao_consumo[[#This Row],[Consumido da rede]],balanco_geracao_consumo[[#This Row],[Consumido da rede]],balanco_geracao_consumo[[#This Row],[Injetado na rede]]+L143))</f>
        <v>473.0859530012815</v>
      </c>
      <c r="N144" s="17">
        <f ca="1">IFERROR(VLOOKUP(balanco_geracao_consumo[[#This Row],[Ano]],$B$321:$C$327,2,FALSE),1)*$E$307*balanco_geracao_consumo[[#This Row],[Energia Fornecida 14.300]]</f>
        <v>93.222712983470657</v>
      </c>
      <c r="O144"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780.7690932984035</v>
      </c>
      <c r="P144" s="13">
        <f ca="1">balanco_geracao_consumo[[#This Row],[Tarifa 14.300]]</f>
        <v>780.7690932984035</v>
      </c>
      <c r="Q144" s="17">
        <f t="shared" ca="1" si="40"/>
        <v>1484.1687919367812</v>
      </c>
      <c r="R144" s="17">
        <f t="shared" ca="1" si="45"/>
        <v>91889.544849316226</v>
      </c>
    </row>
    <row r="145" spans="1:18">
      <c r="A145">
        <v>9</v>
      </c>
      <c r="B145" s="1" t="s">
        <v>106</v>
      </c>
      <c r="C145">
        <f ca="1">$C$27</f>
        <v>701.56799999999998</v>
      </c>
      <c r="D145" s="14">
        <f ca="1">(IF(balanco_geracao_consumo[[#This Row],[Consumido da rede]]&lt;$C$8,($C$8*$B$307/(1-(IFERROR(INDEX($I$307:$L$307,MATCH(balanco_geracao_consumo[[#This Row],[Consumido da rede]]-0.01,$I$306:$K$306,1)+1),$I$307)+$G$307+$H$307))),(C145*$B$307/(1-(IFERROR(INDEX($I$307:$L$307,MATCH(C145-0.01,$I$306:$K$306,1)+1),$I$307)+$G$307+$H$307))))+IFERROR(INDEX($M$307:$AS$307,MATCH(C145-0.001,$M$306:$AR$306,1)+1),$M$307))*((1+$C$10)^(A145-1))</f>
        <v>1776.7949639577214</v>
      </c>
      <c r="E145" s="17">
        <f ca="1">$H$27*((1-$C$12)^(A145-1))</f>
        <v>617.62295338671504</v>
      </c>
      <c r="F145" s="17">
        <f t="shared" ca="1" si="41"/>
        <v>210.47039999999998</v>
      </c>
      <c r="G145" s="17">
        <f t="shared" ca="1" si="42"/>
        <v>491.0976</v>
      </c>
      <c r="H145" s="17">
        <f t="shared" ca="1" si="43"/>
        <v>407.15255338671506</v>
      </c>
      <c r="I145" s="17">
        <f ca="1">balanco_geracao_consumo[[#This Row],[Injetado na rede]]-balanco_geracao_consumo[[#This Row],[Energia Fornecida]]+I144</f>
        <v>8244.6549697949922</v>
      </c>
      <c r="J145" s="17">
        <f t="shared" ca="1" si="44"/>
        <v>391.0976</v>
      </c>
      <c r="K145"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398.84955825552032</v>
      </c>
      <c r="L145" s="17">
        <f ca="1">balanco_geracao_consumo[[#This Row],[Injetado na rede]]-balanco_geracao_consumo[[#This Row],[Energia Fornecida 14.300]]+L144</f>
        <v>0</v>
      </c>
      <c r="M145" s="17">
        <f ca="1">IF(balanco_geracao_consumo[[#This Row],[Consumido da rede]]&lt;$C$8,0,IF((balanco_geracao_consumo[[#This Row],[Injetado na rede]]+L144)&gt;balanco_geracao_consumo[[#This Row],[Consumido da rede]],balanco_geracao_consumo[[#This Row],[Consumido da rede]],balanco_geracao_consumo[[#This Row],[Injetado na rede]]+L144))</f>
        <v>407.15255338671506</v>
      </c>
      <c r="N145" s="17">
        <f ca="1">IFERROR(VLOOKUP(balanco_geracao_consumo[[#This Row],[Ano]],$B$321:$C$327,2,FALSE),1)*$E$307*balanco_geracao_consumo[[#This Row],[Energia Fornecida 14.300]]</f>
        <v>80.230379667929256</v>
      </c>
      <c r="O145"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536.04519597668389</v>
      </c>
      <c r="P145" s="13">
        <f ca="1">balanco_geracao_consumo[[#This Row],[Tarifa 14.300]]</f>
        <v>536.04519597668389</v>
      </c>
      <c r="Q145" s="17">
        <f t="shared" ca="1" si="40"/>
        <v>1240.7497679810376</v>
      </c>
      <c r="R145" s="17">
        <f t="shared" ca="1" si="45"/>
        <v>93130.294617297259</v>
      </c>
    </row>
    <row r="146" spans="1:18">
      <c r="A146">
        <v>9</v>
      </c>
      <c r="B146" s="1" t="s">
        <v>114</v>
      </c>
      <c r="C146">
        <f ca="1">$C$28</f>
        <v>601.34400000000005</v>
      </c>
      <c r="D146" s="14">
        <f ca="1">(IF(balanco_geracao_consumo[[#This Row],[Consumido da rede]]&lt;$C$8,($C$8*$B$307/(1-(IFERROR(INDEX($I$307:$L$307,MATCH(balanco_geracao_consumo[[#This Row],[Consumido da rede]]-0.01,$I$306:$K$306,1)+1),$I$307)+$G$307+$H$307))),(C146*$B$307/(1-(IFERROR(INDEX($I$307:$L$307,MATCH(C146-0.01,$I$306:$K$306,1)+1),$I$307)+$G$307+$H$307))))+IFERROR(INDEX($M$307:$AS$307,MATCH(C146-0.001,$M$306:$AR$306,1)+1),$M$307))*((1+$C$10)^(A146-1))</f>
        <v>1532.72350331899</v>
      </c>
      <c r="E146" s="17">
        <f ca="1">$H$28*((1-$C$12)^(A146-1))</f>
        <v>569.24987163364119</v>
      </c>
      <c r="F146" s="17">
        <f t="shared" ca="1" si="41"/>
        <v>180.4032</v>
      </c>
      <c r="G146" s="17">
        <f t="shared" ca="1" si="42"/>
        <v>420.94080000000008</v>
      </c>
      <c r="H146" s="17">
        <f t="shared" ca="1" si="43"/>
        <v>388.84667163364122</v>
      </c>
      <c r="I146" s="17">
        <f ca="1">balanco_geracao_consumo[[#This Row],[Injetado na rede]]-balanco_geracao_consumo[[#This Row],[Energia Fornecida]]+I145</f>
        <v>8312.5608414286326</v>
      </c>
      <c r="J146" s="17">
        <f t="shared" ca="1" si="44"/>
        <v>320.94080000000008</v>
      </c>
      <c r="K146"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380.00407436100426</v>
      </c>
      <c r="L146" s="17">
        <f ca="1">balanco_geracao_consumo[[#This Row],[Injetado na rede]]-balanco_geracao_consumo[[#This Row],[Energia Fornecida 14.300]]+L145</f>
        <v>0</v>
      </c>
      <c r="M146" s="17">
        <f ca="1">IF(balanco_geracao_consumo[[#This Row],[Consumido da rede]]&lt;$C$8,0,IF((balanco_geracao_consumo[[#This Row],[Injetado na rede]]+L145)&gt;balanco_geracao_consumo[[#This Row],[Consumido da rede]],balanco_geracao_consumo[[#This Row],[Consumido da rede]],balanco_geracao_consumo[[#This Row],[Injetado na rede]]+L145))</f>
        <v>388.84667163364122</v>
      </c>
      <c r="N146" s="17">
        <f ca="1">IFERROR(VLOOKUP(balanco_geracao_consumo[[#This Row],[Ano]],$B$321:$C$327,2,FALSE),1)*$E$307*balanco_geracao_consumo[[#This Row],[Energia Fornecida 14.300]]</f>
        <v>76.623162100487491</v>
      </c>
      <c r="O146"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397.12504041112828</v>
      </c>
      <c r="P146" s="13">
        <f ca="1">balanco_geracao_consumo[[#This Row],[Tarifa 14.300]]</f>
        <v>397.12504041112828</v>
      </c>
      <c r="Q146" s="17">
        <f t="shared" ca="1" si="40"/>
        <v>1135.5984629078616</v>
      </c>
      <c r="R146" s="17">
        <f t="shared" ca="1" si="45"/>
        <v>94265.893080205118</v>
      </c>
    </row>
    <row r="147" spans="1:18">
      <c r="A147">
        <v>9</v>
      </c>
      <c r="B147" s="1" t="s">
        <v>119</v>
      </c>
      <c r="C147">
        <f ca="1">$C$29</f>
        <v>601.34400000000005</v>
      </c>
      <c r="D147" s="14">
        <f ca="1">(IF(balanco_geracao_consumo[[#This Row],[Consumido da rede]]&lt;$C$8,($C$8*$B$307/(1-(IFERROR(INDEX($I$307:$L$307,MATCH(balanco_geracao_consumo[[#This Row],[Consumido da rede]]-0.01,$I$306:$K$306,1)+1),$I$307)+$G$307+$H$307))),(C147*$B$307/(1-(IFERROR(INDEX($I$307:$L$307,MATCH(C147-0.01,$I$306:$K$306,1)+1),$I$307)+$G$307+$H$307))))+IFERROR(INDEX($M$307:$AS$307,MATCH(C147-0.001,$M$306:$AR$306,1)+1),$M$307))*((1+$C$10)^(A147-1))</f>
        <v>1532.72350331899</v>
      </c>
      <c r="E147" s="17">
        <f ca="1">$H$29*((1-$C$12)^(A147-1))</f>
        <v>572.89420427520326</v>
      </c>
      <c r="F147" s="17">
        <f t="shared" ca="1" si="41"/>
        <v>180.4032</v>
      </c>
      <c r="G147" s="17">
        <f t="shared" ca="1" si="42"/>
        <v>420.94080000000008</v>
      </c>
      <c r="H147" s="17">
        <f t="shared" ca="1" si="43"/>
        <v>392.4910042752033</v>
      </c>
      <c r="I147" s="17">
        <f ca="1">balanco_geracao_consumo[[#This Row],[Injetado na rede]]-balanco_geracao_consumo[[#This Row],[Energia Fornecida]]+I146</f>
        <v>8384.1110457038358</v>
      </c>
      <c r="J147" s="17">
        <f t="shared" ca="1" si="44"/>
        <v>320.94080000000008</v>
      </c>
      <c r="K147"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380.00407436100426</v>
      </c>
      <c r="L147" s="17">
        <f ca="1">balanco_geracao_consumo[[#This Row],[Injetado na rede]]-balanco_geracao_consumo[[#This Row],[Energia Fornecida 14.300]]+L146</f>
        <v>0</v>
      </c>
      <c r="M147" s="17">
        <f ca="1">IF(balanco_geracao_consumo[[#This Row],[Consumido da rede]]&lt;$C$8,0,IF((balanco_geracao_consumo[[#This Row],[Injetado na rede]]+L146)&gt;balanco_geracao_consumo[[#This Row],[Consumido da rede]],balanco_geracao_consumo[[#This Row],[Consumido da rede]],balanco_geracao_consumo[[#This Row],[Injetado na rede]]+L146))</f>
        <v>392.4910042752033</v>
      </c>
      <c r="N147" s="17">
        <f ca="1">IFERROR(VLOOKUP(balanco_geracao_consumo[[#This Row],[Ano]],$B$321:$C$327,2,FALSE),1)*$E$307*balanco_geracao_consumo[[#This Row],[Energia Fornecida 14.300]]</f>
        <v>77.341286521018986</v>
      </c>
      <c r="O147"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390.76844652033412</v>
      </c>
      <c r="P147" s="13">
        <f ca="1">balanco_geracao_consumo[[#This Row],[Tarifa 14.300]]</f>
        <v>390.76844652033412</v>
      </c>
      <c r="Q147" s="17">
        <f t="shared" ca="1" si="40"/>
        <v>1141.9550567986557</v>
      </c>
      <c r="R147" s="17">
        <f t="shared" ca="1" si="45"/>
        <v>95407.848137003777</v>
      </c>
    </row>
    <row r="148" spans="1:18">
      <c r="A148">
        <v>9</v>
      </c>
      <c r="B148" s="1" t="s">
        <v>122</v>
      </c>
      <c r="C148">
        <f ca="1">$C$30</f>
        <v>701.56799999999998</v>
      </c>
      <c r="D148" s="14">
        <f ca="1">(IF(balanco_geracao_consumo[[#This Row],[Consumido da rede]]&lt;$C$8,($C$8*$B$307/(1-(IFERROR(INDEX($I$307:$L$307,MATCH(balanco_geracao_consumo[[#This Row],[Consumido da rede]]-0.01,$I$306:$K$306,1)+1),$I$307)+$G$307+$H$307))),(C148*$B$307/(1-(IFERROR(INDEX($I$307:$L$307,MATCH(C148-0.01,$I$306:$K$306,1)+1),$I$307)+$G$307+$H$307))))+IFERROR(INDEX($M$307:$AS$307,MATCH(C148-0.001,$M$306:$AR$306,1)+1),$M$307))*((1+$C$10)^(A148-1))</f>
        <v>1776.7949639577214</v>
      </c>
      <c r="E148" s="17">
        <f ca="1">$H$30*((1-$C$12)^(A148-1))</f>
        <v>738.15603067602092</v>
      </c>
      <c r="F148" s="17">
        <f t="shared" ca="1" si="41"/>
        <v>210.47039999999998</v>
      </c>
      <c r="G148" s="17">
        <f t="shared" ca="1" si="42"/>
        <v>491.0976</v>
      </c>
      <c r="H148" s="17">
        <f t="shared" ca="1" si="43"/>
        <v>527.68563067602099</v>
      </c>
      <c r="I148" s="17">
        <f ca="1">balanco_geracao_consumo[[#This Row],[Injetado na rede]]-balanco_geracao_consumo[[#This Row],[Energia Fornecida]]+I147</f>
        <v>8520.6990763798567</v>
      </c>
      <c r="J148" s="17">
        <f t="shared" ca="1" si="44"/>
        <v>391.0976</v>
      </c>
      <c r="K148"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398.84955825552032</v>
      </c>
      <c r="L148" s="17">
        <f ca="1">balanco_geracao_consumo[[#This Row],[Injetado na rede]]-balanco_geracao_consumo[[#This Row],[Energia Fornecida 14.300]]+L147</f>
        <v>36.588030676020992</v>
      </c>
      <c r="M148" s="17">
        <f ca="1">IF(balanco_geracao_consumo[[#This Row],[Consumido da rede]]&lt;$C$8,0,IF((balanco_geracao_consumo[[#This Row],[Injetado na rede]]+L147)&gt;balanco_geracao_consumo[[#This Row],[Consumido da rede]],balanco_geracao_consumo[[#This Row],[Consumido da rede]],balanco_geracao_consumo[[#This Row],[Injetado na rede]]+L147))</f>
        <v>491.0976</v>
      </c>
      <c r="N148" s="17">
        <f ca="1">IFERROR(VLOOKUP(balanco_geracao_consumo[[#This Row],[Ano]],$B$321:$C$327,2,FALSE),1)*$E$307*balanco_geracao_consumo[[#This Row],[Energia Fornecida 14.300]]</f>
        <v>96.771950892288004</v>
      </c>
      <c r="O148"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389.62481591069002</v>
      </c>
      <c r="P148" s="13">
        <f ca="1">balanco_geracao_consumo[[#This Row],[Tarifa 14.300]]</f>
        <v>389.62481591069002</v>
      </c>
      <c r="Q148" s="17">
        <f t="shared" ca="1" si="40"/>
        <v>1387.1701480470315</v>
      </c>
      <c r="R148" s="17">
        <f t="shared" ca="1" si="45"/>
        <v>96795.018285050814</v>
      </c>
    </row>
    <row r="149" spans="1:18">
      <c r="A149">
        <v>9</v>
      </c>
      <c r="B149" s="1" t="s">
        <v>123</v>
      </c>
      <c r="C149">
        <f ca="1">$C$31</f>
        <v>701.56799999999998</v>
      </c>
      <c r="D149" s="14">
        <f ca="1">(IF(balanco_geracao_consumo[[#This Row],[Consumido da rede]]&lt;$C$8,($C$8*$B$307/(1-(IFERROR(INDEX($I$307:$L$307,MATCH(balanco_geracao_consumo[[#This Row],[Consumido da rede]]-0.01,$I$306:$K$306,1)+1),$I$307)+$G$307+$H$307))),(C149*$B$307/(1-(IFERROR(INDEX($I$307:$L$307,MATCH(C149-0.01,$I$306:$K$306,1)+1),$I$307)+$G$307+$H$307))))+IFERROR(INDEX($M$307:$AS$307,MATCH(C149-0.001,$M$306:$AR$306,1)+1),$M$307))*((1+$C$10)^(A149-1))</f>
        <v>1776.7949639577214</v>
      </c>
      <c r="E149" s="17">
        <f ca="1">$H$31*((1-$C$12)^(A149-1))</f>
        <v>728.56459399153084</v>
      </c>
      <c r="F149" s="17">
        <f t="shared" ca="1" si="41"/>
        <v>210.47039999999998</v>
      </c>
      <c r="G149" s="17">
        <f t="shared" ca="1" si="42"/>
        <v>491.0976</v>
      </c>
      <c r="H149" s="17">
        <f t="shared" ca="1" si="43"/>
        <v>518.0941939915308</v>
      </c>
      <c r="I149" s="17">
        <f ca="1">balanco_geracao_consumo[[#This Row],[Injetado na rede]]-balanco_geracao_consumo[[#This Row],[Energia Fornecida]]+I148</f>
        <v>8647.6956703713877</v>
      </c>
      <c r="J149" s="17">
        <f t="shared" ca="1" si="44"/>
        <v>391.0976</v>
      </c>
      <c r="K149"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398.84955825552032</v>
      </c>
      <c r="L149" s="17">
        <f ca="1">balanco_geracao_consumo[[#This Row],[Injetado na rede]]-balanco_geracao_consumo[[#This Row],[Energia Fornecida 14.300]]+L148</f>
        <v>63.584624667551793</v>
      </c>
      <c r="M149" s="17">
        <f ca="1">IF(balanco_geracao_consumo[[#This Row],[Consumido da rede]]&lt;$C$8,0,IF((balanco_geracao_consumo[[#This Row],[Injetado na rede]]+L148)&gt;balanco_geracao_consumo[[#This Row],[Consumido da rede]],balanco_geracao_consumo[[#This Row],[Consumido da rede]],balanco_geracao_consumo[[#This Row],[Injetado na rede]]+L148))</f>
        <v>491.0976</v>
      </c>
      <c r="N149" s="17">
        <f ca="1">IFERROR(VLOOKUP(balanco_geracao_consumo[[#This Row],[Ano]],$B$321:$C$327,2,FALSE),1)*$E$307*balanco_geracao_consumo[[#This Row],[Energia Fornecida 14.300]]</f>
        <v>96.771950892288004</v>
      </c>
      <c r="O149"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389.62481591069002</v>
      </c>
      <c r="P149" s="13">
        <f ca="1">balanco_geracao_consumo[[#This Row],[Tarifa 14.300]]</f>
        <v>389.62481591069002</v>
      </c>
      <c r="Q149" s="17">
        <f t="shared" ca="1" si="40"/>
        <v>1387.1701480470315</v>
      </c>
      <c r="R149" s="17">
        <f t="shared" ca="1" si="45"/>
        <v>98182.18843309785</v>
      </c>
    </row>
    <row r="150" spans="1:18">
      <c r="A150">
        <v>9</v>
      </c>
      <c r="B150" s="1" t="s">
        <v>124</v>
      </c>
      <c r="C150">
        <f ca="1">$C$32</f>
        <v>701.56799999999998</v>
      </c>
      <c r="D150" s="14">
        <f ca="1">(IF(balanco_geracao_consumo[[#This Row],[Consumido da rede]]&lt;$C$8,($C$8*$B$307/(1-(IFERROR(INDEX($I$307:$L$307,MATCH(balanco_geracao_consumo[[#This Row],[Consumido da rede]]-0.01,$I$306:$K$306,1)+1),$I$307)+$G$307+$H$307))),(C150*$B$307/(1-(IFERROR(INDEX($I$307:$L$307,MATCH(C150-0.01,$I$306:$K$306,1)+1),$I$307)+$G$307+$H$307))))+IFERROR(INDEX($M$307:$AS$307,MATCH(C150-0.001,$M$306:$AR$306,1)+1),$M$307))*((1+$C$10)^(A150-1))</f>
        <v>1776.7949639577214</v>
      </c>
      <c r="E150" s="17">
        <f ca="1">$H$32*((1-$C$12)^(A150-1))</f>
        <v>873.92006666886493</v>
      </c>
      <c r="F150" s="17">
        <f t="shared" ca="1" si="41"/>
        <v>210.47039999999998</v>
      </c>
      <c r="G150" s="17">
        <f t="shared" ca="1" si="42"/>
        <v>491.0976</v>
      </c>
      <c r="H150" s="17">
        <f t="shared" ca="1" si="43"/>
        <v>663.44966666886489</v>
      </c>
      <c r="I150" s="17">
        <f ca="1">balanco_geracao_consumo[[#This Row],[Injetado na rede]]-balanco_geracao_consumo[[#This Row],[Energia Fornecida]]+I149</f>
        <v>8920.0477370402532</v>
      </c>
      <c r="J150" s="17">
        <f t="shared" ca="1" si="44"/>
        <v>391.0976</v>
      </c>
      <c r="K150"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398.84955825552032</v>
      </c>
      <c r="L150" s="17">
        <f ca="1">balanco_geracao_consumo[[#This Row],[Injetado na rede]]-balanco_geracao_consumo[[#This Row],[Energia Fornecida 14.300]]+L149</f>
        <v>235.93669133641669</v>
      </c>
      <c r="M150" s="17">
        <f ca="1">IF(balanco_geracao_consumo[[#This Row],[Consumido da rede]]&lt;$C$8,0,IF((balanco_geracao_consumo[[#This Row],[Injetado na rede]]+L149)&gt;balanco_geracao_consumo[[#This Row],[Consumido da rede]],balanco_geracao_consumo[[#This Row],[Consumido da rede]],balanco_geracao_consumo[[#This Row],[Injetado na rede]]+L149))</f>
        <v>491.0976</v>
      </c>
      <c r="N150" s="17">
        <f ca="1">IFERROR(VLOOKUP(balanco_geracao_consumo[[#This Row],[Ano]],$B$321:$C$327,2,FALSE),1)*$E$307*balanco_geracao_consumo[[#This Row],[Energia Fornecida 14.300]]</f>
        <v>96.771950892288004</v>
      </c>
      <c r="O150"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389.62481591069002</v>
      </c>
      <c r="P150" s="13">
        <f ca="1">balanco_geracao_consumo[[#This Row],[Tarifa 14.300]]</f>
        <v>389.62481591069002</v>
      </c>
      <c r="Q150" s="17">
        <f t="shared" ca="1" si="40"/>
        <v>1387.1701480470315</v>
      </c>
      <c r="R150" s="17">
        <f t="shared" ca="1" si="45"/>
        <v>99569.358581144887</v>
      </c>
    </row>
    <row r="151" spans="1:18">
      <c r="A151">
        <v>9</v>
      </c>
      <c r="B151" s="1" t="s">
        <v>125</v>
      </c>
      <c r="C151">
        <f ca="1">$C$33</f>
        <v>801.79200000000003</v>
      </c>
      <c r="D151" s="14">
        <f ca="1">(IF(balanco_geracao_consumo[[#This Row],[Consumido da rede]]&lt;$C$8,($C$8*$B$307/(1-(IFERROR(INDEX($I$307:$L$307,MATCH(balanco_geracao_consumo[[#This Row],[Consumido da rede]]-0.01,$I$306:$K$306,1)+1),$I$307)+$G$307+$H$307))),(C151*$B$307/(1-(IFERROR(INDEX($I$307:$L$307,MATCH(C151-0.01,$I$306:$K$306,1)+1),$I$307)+$G$307+$H$307))))+IFERROR(INDEX($M$307:$AS$307,MATCH(C151-0.001,$M$306:$AR$306,1)+1),$M$307))*((1+$C$10)^(A151-1))</f>
        <v>2020.866424596453</v>
      </c>
      <c r="E151" s="17">
        <f ca="1">$H$33*((1-$C$12)^(A151-1))</f>
        <v>875.47263158277724</v>
      </c>
      <c r="F151" s="17">
        <f t="shared" ca="1" si="41"/>
        <v>240.5376</v>
      </c>
      <c r="G151" s="17">
        <f t="shared" ca="1" si="42"/>
        <v>561.25440000000003</v>
      </c>
      <c r="H151" s="17">
        <f t="shared" ca="1" si="43"/>
        <v>634.93503158277724</v>
      </c>
      <c r="I151" s="17">
        <f ca="1">balanco_geracao_consumo[[#This Row],[Injetado na rede]]-balanco_geracao_consumo[[#This Row],[Energia Fornecida]]+I150</f>
        <v>9093.7283686230312</v>
      </c>
      <c r="J151" s="17">
        <f t="shared" ca="1" si="44"/>
        <v>461.25440000000003</v>
      </c>
      <c r="K151"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428.84170396203638</v>
      </c>
      <c r="L151" s="17">
        <f ca="1">balanco_geracao_consumo[[#This Row],[Injetado na rede]]-balanco_geracao_consumo[[#This Row],[Energia Fornecida 14.300]]+L150</f>
        <v>309.6173229191939</v>
      </c>
      <c r="M151" s="17">
        <f ca="1">IF(balanco_geracao_consumo[[#This Row],[Consumido da rede]]&lt;$C$8,0,IF((balanco_geracao_consumo[[#This Row],[Injetado na rede]]+L150)&gt;balanco_geracao_consumo[[#This Row],[Consumido da rede]],balanco_geracao_consumo[[#This Row],[Consumido da rede]],balanco_geracao_consumo[[#This Row],[Injetado na rede]]+L150))</f>
        <v>561.25440000000003</v>
      </c>
      <c r="N151" s="17">
        <f ca="1">IFERROR(VLOOKUP(balanco_geracao_consumo[[#This Row],[Ano]],$B$321:$C$327,2,FALSE),1)*$E$307*balanco_geracao_consumo[[#This Row],[Energia Fornecida 14.300]]</f>
        <v>110.59651530547201</v>
      </c>
      <c r="O151"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449.25114319643166</v>
      </c>
      <c r="P151" s="13">
        <f ca="1">balanco_geracao_consumo[[#This Row],[Tarifa 14.300]]</f>
        <v>449.25114319643166</v>
      </c>
      <c r="Q151" s="17">
        <f t="shared" ca="1" si="40"/>
        <v>1571.6152814000213</v>
      </c>
      <c r="R151" s="17">
        <f t="shared" ca="1" si="45"/>
        <v>101140.97386254491</v>
      </c>
    </row>
    <row r="152" spans="1:18">
      <c r="A152">
        <v>9</v>
      </c>
      <c r="B152" s="1" t="s">
        <v>126</v>
      </c>
      <c r="C152">
        <f ca="1">$C$34</f>
        <v>1002.24</v>
      </c>
      <c r="D152" s="14">
        <f ca="1">(IF(balanco_geracao_consumo[[#This Row],[Consumido da rede]]&lt;$C$8,($C$8*$B$307/(1-(IFERROR(INDEX($I$307:$L$307,MATCH(balanco_geracao_consumo[[#This Row],[Consumido da rede]]-0.01,$I$306:$K$306,1)+1),$I$307)+$G$307+$H$307))),(C152*$B$307/(1-(IFERROR(INDEX($I$307:$L$307,MATCH(C152-0.01,$I$306:$K$306,1)+1),$I$307)+$G$307+$H$307))))+IFERROR(INDEX($M$307:$AS$307,MATCH(C152-0.001,$M$306:$AR$306,1)+1),$M$307))*((1+$C$10)^(A152-1))</f>
        <v>2568.8369095610165</v>
      </c>
      <c r="E152" s="17">
        <f ca="1">$H$34*((1-$C$12)^(A152-1))</f>
        <v>1037.5868123672938</v>
      </c>
      <c r="F152" s="17">
        <f t="shared" ca="1" si="41"/>
        <v>300.67199999999997</v>
      </c>
      <c r="G152" s="17">
        <f t="shared" ca="1" si="42"/>
        <v>701.56799999999998</v>
      </c>
      <c r="H152" s="17">
        <f t="shared" ca="1" si="43"/>
        <v>736.91481236729373</v>
      </c>
      <c r="I152" s="17">
        <f ca="1">balanco_geracao_consumo[[#This Row],[Injetado na rede]]-balanco_geracao_consumo[[#This Row],[Energia Fornecida]]+I151</f>
        <v>9229.075180990325</v>
      </c>
      <c r="J152" s="17">
        <f t="shared" ca="1" si="44"/>
        <v>601.56799999999998</v>
      </c>
      <c r="K152"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473.41359183116805</v>
      </c>
      <c r="L152" s="17">
        <f ca="1">balanco_geracao_consumo[[#This Row],[Injetado na rede]]-balanco_geracao_consumo[[#This Row],[Energia Fornecida 14.300]]+L151</f>
        <v>344.96413528648765</v>
      </c>
      <c r="M152" s="17">
        <f ca="1">IF(balanco_geracao_consumo[[#This Row],[Consumido da rede]]&lt;$C$8,0,IF((balanco_geracao_consumo[[#This Row],[Injetado na rede]]+L151)&gt;balanco_geracao_consumo[[#This Row],[Consumido da rede]],balanco_geracao_consumo[[#This Row],[Consumido da rede]],balanco_geracao_consumo[[#This Row],[Injetado na rede]]+L151))</f>
        <v>701.56799999999998</v>
      </c>
      <c r="N152" s="17">
        <f ca="1">IFERROR(VLOOKUP(balanco_geracao_consumo[[#This Row],[Ano]],$B$321:$C$327,2,FALSE),1)*$E$307*balanco_geracao_consumo[[#This Row],[Energia Fornecida 14.300]]</f>
        <v>138.24564413184001</v>
      </c>
      <c r="O152"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553.09139422401415</v>
      </c>
      <c r="P152" s="13">
        <f ca="1">balanco_geracao_consumo[[#This Row],[Tarifa 14.300]]</f>
        <v>553.09139422401415</v>
      </c>
      <c r="Q152" s="17">
        <f t="shared" ca="1" si="40"/>
        <v>2015.7455153370024</v>
      </c>
      <c r="R152" s="17">
        <f t="shared" ca="1" si="45"/>
        <v>103156.71937788191</v>
      </c>
    </row>
    <row r="153" spans="1:18">
      <c r="A153">
        <v>10</v>
      </c>
      <c r="B153" s="1" t="s">
        <v>96</v>
      </c>
      <c r="C153">
        <f ca="1">$C$23</f>
        <v>1202.6880000000001</v>
      </c>
      <c r="D153" s="14">
        <f ca="1">(IF(balanco_geracao_consumo[[#This Row],[Consumido da rede]]&lt;$C$8,($C$8*$B$307/(1-(IFERROR(INDEX($I$307:$L$307,MATCH(balanco_geracao_consumo[[#This Row],[Consumido da rede]]-0.01,$I$306:$K$306,1)+1),$I$307)+$G$307+$H$307))),(C153*$B$307/(1-(IFERROR(INDEX($I$307:$L$307,MATCH(C153-0.01,$I$306:$K$306,1)+1),$I$307)+$G$307+$H$307))))+IFERROR(INDEX($M$307:$AS$307,MATCH(C153-0.001,$M$306:$AR$306,1)+1),$M$307))*((1+$C$10)^(A153-1))</f>
        <v>3362.6778139223279</v>
      </c>
      <c r="E153" s="17">
        <f ca="1">$H$23*((1-$C$12)^(A153-1))</f>
        <v>1025.5544838863761</v>
      </c>
      <c r="F153" s="17">
        <f t="shared" ca="1" si="41"/>
        <v>360.8064</v>
      </c>
      <c r="G153" s="17">
        <f t="shared" ca="1" si="42"/>
        <v>841.88160000000016</v>
      </c>
      <c r="H153" s="17">
        <f t="shared" ca="1" si="43"/>
        <v>664.74808388637621</v>
      </c>
      <c r="I153" s="17">
        <f ca="1">balanco_geracao_consumo[[#This Row],[Injetado na rede]]-balanco_geracao_consumo[[#This Row],[Energia Fornecida]]+I152</f>
        <v>9151.9416648767001</v>
      </c>
      <c r="J153" s="17">
        <f t="shared" ca="1" si="44"/>
        <v>741.88160000000016</v>
      </c>
      <c r="K153"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562.21501558222042</v>
      </c>
      <c r="L153" s="17">
        <f ca="1">balanco_geracao_consumo[[#This Row],[Injetado na rede]]-balanco_geracao_consumo[[#This Row],[Energia Fornecida 14.300]]+L152</f>
        <v>167.83061917286369</v>
      </c>
      <c r="M153" s="17">
        <f ca="1">IF(balanco_geracao_consumo[[#This Row],[Consumido da rede]]&lt;$C$8,0,IF((balanco_geracao_consumo[[#This Row],[Injetado na rede]]+L152)&gt;balanco_geracao_consumo[[#This Row],[Consumido da rede]],balanco_geracao_consumo[[#This Row],[Consumido da rede]],balanco_geracao_consumo[[#This Row],[Injetado na rede]]+L152))</f>
        <v>841.88160000000016</v>
      </c>
      <c r="N153" s="17">
        <f ca="1">IFERROR(VLOOKUP(balanco_geracao_consumo[[#This Row],[Ano]],$B$321:$C$327,2,FALSE),1)*$E$307*balanco_geracao_consumo[[#This Row],[Energia Fornecida 14.300]]</f>
        <v>165.89477295820802</v>
      </c>
      <c r="O153"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715.0557976886472</v>
      </c>
      <c r="P153" s="13">
        <f ca="1">balanco_geracao_consumo[[#This Row],[Tarifa 14.300]]</f>
        <v>715.0557976886472</v>
      </c>
      <c r="Q153" s="17">
        <f t="shared" ca="1" si="40"/>
        <v>2647.6220162336808</v>
      </c>
      <c r="R153" s="17">
        <f t="shared" ca="1" si="45"/>
        <v>105804.34139411559</v>
      </c>
    </row>
    <row r="154" spans="1:18">
      <c r="A154">
        <v>10</v>
      </c>
      <c r="B154" s="1" t="s">
        <v>98</v>
      </c>
      <c r="C154">
        <f ca="1">$C$24</f>
        <v>1202.6880000000001</v>
      </c>
      <c r="D154" s="14">
        <f ca="1">(IF(balanco_geracao_consumo[[#This Row],[Consumido da rede]]&lt;$C$8,($C$8*$B$307/(1-(IFERROR(INDEX($I$307:$L$307,MATCH(balanco_geracao_consumo[[#This Row],[Consumido da rede]]-0.01,$I$306:$K$306,1)+1),$I$307)+$G$307+$H$307))),(C154*$B$307/(1-(IFERROR(INDEX($I$307:$L$307,MATCH(C154-0.01,$I$306:$K$306,1)+1),$I$307)+$G$307+$H$307))))+IFERROR(INDEX($M$307:$AS$307,MATCH(C154-0.001,$M$306:$AR$306,1)+1),$M$307))*((1+$C$10)^(A154-1))</f>
        <v>3362.6778139223279</v>
      </c>
      <c r="E154" s="17">
        <f ca="1">$H$24*((1-$C$12)^(A154-1))</f>
        <v>995.40985161296931</v>
      </c>
      <c r="F154" s="17">
        <f t="shared" ca="1" si="41"/>
        <v>360.8064</v>
      </c>
      <c r="G154" s="17">
        <f t="shared" ca="1" si="42"/>
        <v>841.88160000000016</v>
      </c>
      <c r="H154" s="17">
        <f t="shared" ca="1" si="43"/>
        <v>634.60345161296937</v>
      </c>
      <c r="I154" s="17">
        <f ca="1">balanco_geracao_consumo[[#This Row],[Injetado na rede]]-balanco_geracao_consumo[[#This Row],[Energia Fornecida]]+I153</f>
        <v>9044.6635164896688</v>
      </c>
      <c r="J154" s="17">
        <f t="shared" ca="1" si="44"/>
        <v>741.88160000000016</v>
      </c>
      <c r="K154"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562.21501558222042</v>
      </c>
      <c r="L154" s="17">
        <f ca="1">balanco_geracao_consumo[[#This Row],[Injetado na rede]]-balanco_geracao_consumo[[#This Row],[Energia Fornecida 14.300]]+L153</f>
        <v>0</v>
      </c>
      <c r="M154" s="17">
        <f ca="1">IF(balanco_geracao_consumo[[#This Row],[Consumido da rede]]&lt;$C$8,0,IF((balanco_geracao_consumo[[#This Row],[Injetado na rede]]+L153)&gt;balanco_geracao_consumo[[#This Row],[Consumido da rede]],balanco_geracao_consumo[[#This Row],[Consumido da rede]],balanco_geracao_consumo[[#This Row],[Injetado na rede]]+L153))</f>
        <v>802.434070785833</v>
      </c>
      <c r="N154" s="17">
        <f ca="1">IFERROR(VLOOKUP(balanco_geracao_consumo[[#This Row],[Ano]],$B$321:$C$327,2,FALSE),1)*$E$307*balanco_geracao_consumo[[#This Row],[Energia Fornecida 14.300]]</f>
        <v>158.12154344143687</v>
      </c>
      <c r="O154"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790.74238907851418</v>
      </c>
      <c r="P154" s="13">
        <f ca="1">balanco_geracao_consumo[[#This Row],[Tarifa 14.300]]</f>
        <v>790.74238907851418</v>
      </c>
      <c r="Q154" s="17">
        <f t="shared" ca="1" si="40"/>
        <v>2571.935424843814</v>
      </c>
      <c r="R154" s="17">
        <f t="shared" ca="1" si="45"/>
        <v>108376.27681895941</v>
      </c>
    </row>
    <row r="155" spans="1:18">
      <c r="A155">
        <v>10</v>
      </c>
      <c r="B155" s="1" t="s">
        <v>99</v>
      </c>
      <c r="C155">
        <f ca="1">$C$25</f>
        <v>1002.24</v>
      </c>
      <c r="D155" s="14">
        <f ca="1">(IF(balanco_geracao_consumo[[#This Row],[Consumido da rede]]&lt;$C$8,($C$8*$B$307/(1-(IFERROR(INDEX($I$307:$L$307,MATCH(balanco_geracao_consumo[[#This Row],[Consumido da rede]]-0.01,$I$306:$K$306,1)+1),$I$307)+$G$307+$H$307))),(C155*$B$307/(1-(IFERROR(INDEX($I$307:$L$307,MATCH(C155-0.01,$I$306:$K$306,1)+1),$I$307)+$G$307+$H$307))))+IFERROR(INDEX($M$307:$AS$307,MATCH(C155-0.001,$M$306:$AR$306,1)+1),$M$307))*((1+$C$10)^(A155-1))</f>
        <v>2825.7206005171183</v>
      </c>
      <c r="E155" s="17">
        <f ca="1">$H$25*((1-$C$12)^(A155-1))</f>
        <v>866.69988014373985</v>
      </c>
      <c r="F155" s="17">
        <f t="shared" ca="1" si="41"/>
        <v>300.67199999999997</v>
      </c>
      <c r="G155" s="17">
        <f t="shared" ca="1" si="42"/>
        <v>701.56799999999998</v>
      </c>
      <c r="H155" s="17">
        <f t="shared" ca="1" si="43"/>
        <v>566.02788014373982</v>
      </c>
      <c r="I155" s="17">
        <f ca="1">balanco_geracao_consumo[[#This Row],[Injetado na rede]]-balanco_geracao_consumo[[#This Row],[Energia Fornecida]]+I154</f>
        <v>9009.1233966334094</v>
      </c>
      <c r="J155" s="17">
        <f t="shared" ca="1" si="44"/>
        <v>601.56799999999998</v>
      </c>
      <c r="K155"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520.75495101428487</v>
      </c>
      <c r="L155" s="17">
        <f ca="1">balanco_geracao_consumo[[#This Row],[Injetado na rede]]-balanco_geracao_consumo[[#This Row],[Energia Fornecida 14.300]]+L154</f>
        <v>0</v>
      </c>
      <c r="M155" s="17">
        <f ca="1">IF(balanco_geracao_consumo[[#This Row],[Consumido da rede]]&lt;$C$8,0,IF((balanco_geracao_consumo[[#This Row],[Injetado na rede]]+L154)&gt;balanco_geracao_consumo[[#This Row],[Consumido da rede]],balanco_geracao_consumo[[#This Row],[Consumido da rede]],balanco_geracao_consumo[[#This Row],[Injetado na rede]]+L154))</f>
        <v>566.02788014373982</v>
      </c>
      <c r="N155" s="17">
        <f ca="1">IFERROR(VLOOKUP(balanco_geracao_consumo[[#This Row],[Ano]],$B$321:$C$327,2,FALSE),1)*$E$307*balanco_geracao_consumo[[#This Row],[Energia Fornecida 14.300]]</f>
        <v>111.53714092867867</v>
      </c>
      <c r="O155"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868.45660998009134</v>
      </c>
      <c r="P155" s="13">
        <f ca="1">balanco_geracao_consumo[[#This Row],[Tarifa 14.300]]</f>
        <v>868.45660998009134</v>
      </c>
      <c r="Q155" s="17">
        <f t="shared" ca="1" si="40"/>
        <v>1957.263990537027</v>
      </c>
      <c r="R155" s="17">
        <f t="shared" ca="1" si="45"/>
        <v>110333.54080949644</v>
      </c>
    </row>
    <row r="156" spans="1:18">
      <c r="A156">
        <v>10</v>
      </c>
      <c r="B156" s="1" t="s">
        <v>103</v>
      </c>
      <c r="C156">
        <f ca="1">$C$26</f>
        <v>902.01600000000008</v>
      </c>
      <c r="D156" s="14">
        <f ca="1">(IF(balanco_geracao_consumo[[#This Row],[Consumido da rede]]&lt;$C$8,($C$8*$B$307/(1-(IFERROR(INDEX($I$307:$L$307,MATCH(balanco_geracao_consumo[[#This Row],[Consumido da rede]]-0.01,$I$306:$K$306,1)+1),$I$307)+$G$307+$H$307))),(C156*$B$307/(1-(IFERROR(INDEX($I$307:$L$307,MATCH(C156-0.01,$I$306:$K$306,1)+1),$I$307)+$G$307+$H$307))))+IFERROR(INDEX($M$307:$AS$307,MATCH(C156-0.001,$M$306:$AR$306,1)+1),$M$307))*((1+$C$10)^(A156-1))</f>
        <v>2491.4316737587033</v>
      </c>
      <c r="E156" s="17">
        <f ca="1">$H$26*((1-$C$12)^(A156-1))</f>
        <v>738.48491773027251</v>
      </c>
      <c r="F156" s="17">
        <f t="shared" ca="1" si="41"/>
        <v>270.60480000000001</v>
      </c>
      <c r="G156" s="17">
        <f t="shared" ca="1" si="42"/>
        <v>631.41120000000001</v>
      </c>
      <c r="H156" s="17">
        <f t="shared" ca="1" si="43"/>
        <v>467.8801177302725</v>
      </c>
      <c r="I156" s="17">
        <f ca="1">balanco_geracao_consumo[[#This Row],[Injetado na rede]]-balanco_geracao_consumo[[#This Row],[Energia Fornecida]]+I155</f>
        <v>8945.592314363681</v>
      </c>
      <c r="J156" s="17">
        <f t="shared" ca="1" si="44"/>
        <v>531.41120000000001</v>
      </c>
      <c r="K156"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500.02491873031738</v>
      </c>
      <c r="L156" s="17">
        <f ca="1">balanco_geracao_consumo[[#This Row],[Injetado na rede]]-balanco_geracao_consumo[[#This Row],[Energia Fornecida 14.300]]+L155</f>
        <v>0</v>
      </c>
      <c r="M156" s="17">
        <f ca="1">IF(balanco_geracao_consumo[[#This Row],[Consumido da rede]]&lt;$C$8,0,IF((balanco_geracao_consumo[[#This Row],[Injetado na rede]]+L155)&gt;balanco_geracao_consumo[[#This Row],[Consumido da rede]],balanco_geracao_consumo[[#This Row],[Consumido da rede]],balanco_geracao_consumo[[#This Row],[Injetado na rede]]+L155))</f>
        <v>467.8801177302725</v>
      </c>
      <c r="N156" s="17">
        <f ca="1">IFERROR(VLOOKUP(balanco_geracao_consumo[[#This Row],[Ano]],$B$321:$C$327,2,FALSE),1)*$E$307*balanco_geracao_consumo[[#This Row],[Energia Fornecida 14.300]]</f>
        <v>92.196890753430395</v>
      </c>
      <c r="O156"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868.83425626158703</v>
      </c>
      <c r="P156" s="13">
        <f ca="1">balanco_geracao_consumo[[#This Row],[Tarifa 14.300]]</f>
        <v>868.83425626158703</v>
      </c>
      <c r="Q156" s="17">
        <f t="shared" ca="1" si="40"/>
        <v>1622.5974174971161</v>
      </c>
      <c r="R156" s="17">
        <f t="shared" ca="1" si="45"/>
        <v>111956.13822699356</v>
      </c>
    </row>
    <row r="157" spans="1:18">
      <c r="A157">
        <v>10</v>
      </c>
      <c r="B157" s="1" t="s">
        <v>106</v>
      </c>
      <c r="C157">
        <f ca="1">$C$27</f>
        <v>701.56799999999998</v>
      </c>
      <c r="D157" s="14">
        <f ca="1">(IF(balanco_geracao_consumo[[#This Row],[Consumido da rede]]&lt;$C$8,($C$8*$B$307/(1-(IFERROR(INDEX($I$307:$L$307,MATCH(balanco_geracao_consumo[[#This Row],[Consumido da rede]]-0.01,$I$306:$K$306,1)+1),$I$307)+$G$307+$H$307))),(C157*$B$307/(1-(IFERROR(INDEX($I$307:$L$307,MATCH(C157-0.01,$I$306:$K$306,1)+1),$I$307)+$G$307+$H$307))))+IFERROR(INDEX($M$307:$AS$307,MATCH(C157-0.001,$M$306:$AR$306,1)+1),$M$307))*((1+$C$10)^(A157-1))</f>
        <v>1954.4744603534937</v>
      </c>
      <c r="E157" s="17">
        <f ca="1">$H$27*((1-$C$12)^(A157-1))</f>
        <v>613.299592713008</v>
      </c>
      <c r="F157" s="17">
        <f t="shared" ca="1" si="41"/>
        <v>210.47039999999998</v>
      </c>
      <c r="G157" s="17">
        <f t="shared" ca="1" si="42"/>
        <v>491.0976</v>
      </c>
      <c r="H157" s="17">
        <f t="shared" ca="1" si="43"/>
        <v>402.82919271300801</v>
      </c>
      <c r="I157" s="17">
        <f ca="1">balanco_geracao_consumo[[#This Row],[Injetado na rede]]-balanco_geracao_consumo[[#This Row],[Energia Fornecida]]+I156</f>
        <v>8957.3239070766886</v>
      </c>
      <c r="J157" s="17">
        <f t="shared" ca="1" si="44"/>
        <v>391.0976</v>
      </c>
      <c r="K157"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438.73451408107235</v>
      </c>
      <c r="L157" s="17">
        <f ca="1">balanco_geracao_consumo[[#This Row],[Injetado na rede]]-balanco_geracao_consumo[[#This Row],[Energia Fornecida 14.300]]+L156</f>
        <v>0</v>
      </c>
      <c r="M157" s="17">
        <f ca="1">IF(balanco_geracao_consumo[[#This Row],[Consumido da rede]]&lt;$C$8,0,IF((balanco_geracao_consumo[[#This Row],[Injetado na rede]]+L156)&gt;balanco_geracao_consumo[[#This Row],[Consumido da rede]],balanco_geracao_consumo[[#This Row],[Consumido da rede]],balanco_geracao_consumo[[#This Row],[Injetado na rede]]+L156))</f>
        <v>402.82919271300801</v>
      </c>
      <c r="N157" s="17">
        <f ca="1">IFERROR(VLOOKUP(balanco_geracao_consumo[[#This Row],[Ano]],$B$321:$C$327,2,FALSE),1)*$E$307*balanco_geracao_consumo[[#This Row],[Energia Fornecida 14.300]]</f>
        <v>79.37845115757689</v>
      </c>
      <c r="O157"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597.94479613479393</v>
      </c>
      <c r="P157" s="13">
        <f ca="1">balanco_geracao_consumo[[#This Row],[Tarifa 14.300]]</f>
        <v>597.94479613479393</v>
      </c>
      <c r="Q157" s="17">
        <f t="shared" ca="1" si="40"/>
        <v>1356.5296642186997</v>
      </c>
      <c r="R157" s="17">
        <f t="shared" ca="1" si="45"/>
        <v>113312.66789121226</v>
      </c>
    </row>
    <row r="158" spans="1:18">
      <c r="A158">
        <v>10</v>
      </c>
      <c r="B158" s="1" t="s">
        <v>114</v>
      </c>
      <c r="C158">
        <f ca="1">$C$28</f>
        <v>601.34400000000005</v>
      </c>
      <c r="D158" s="14">
        <f ca="1">(IF(balanco_geracao_consumo[[#This Row],[Consumido da rede]]&lt;$C$8,($C$8*$B$307/(1-(IFERROR(INDEX($I$307:$L$307,MATCH(balanco_geracao_consumo[[#This Row],[Consumido da rede]]-0.01,$I$306:$K$306,1)+1),$I$307)+$G$307+$H$307))),(C158*$B$307/(1-(IFERROR(INDEX($I$307:$L$307,MATCH(C158-0.01,$I$306:$K$306,1)+1),$I$307)+$G$307+$H$307))))+IFERROR(INDEX($M$307:$AS$307,MATCH(C158-0.001,$M$306:$AR$306,1)+1),$M$307))*((1+$C$10)^(A158-1))</f>
        <v>1685.9958536508891</v>
      </c>
      <c r="E158" s="17">
        <f ca="1">$H$28*((1-$C$12)^(A158-1))</f>
        <v>565.26512253220574</v>
      </c>
      <c r="F158" s="17">
        <f t="shared" ca="1" si="41"/>
        <v>180.4032</v>
      </c>
      <c r="G158" s="17">
        <f t="shared" ca="1" si="42"/>
        <v>420.94080000000008</v>
      </c>
      <c r="H158" s="17">
        <f t="shared" ca="1" si="43"/>
        <v>384.86192253220577</v>
      </c>
      <c r="I158" s="17">
        <f ca="1">balanco_geracao_consumo[[#This Row],[Injetado na rede]]-balanco_geracao_consumo[[#This Row],[Energia Fornecida]]+I157</f>
        <v>9021.2450296088937</v>
      </c>
      <c r="J158" s="17">
        <f t="shared" ca="1" si="44"/>
        <v>320.94080000000008</v>
      </c>
      <c r="K158"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418.00448179710475</v>
      </c>
      <c r="L158" s="17">
        <f ca="1">balanco_geracao_consumo[[#This Row],[Injetado na rede]]-balanco_geracao_consumo[[#This Row],[Energia Fornecida 14.300]]+L157</f>
        <v>0</v>
      </c>
      <c r="M158" s="17">
        <f ca="1">IF(balanco_geracao_consumo[[#This Row],[Consumido da rede]]&lt;$C$8,0,IF((balanco_geracao_consumo[[#This Row],[Injetado na rede]]+L157)&gt;balanco_geracao_consumo[[#This Row],[Consumido da rede]],balanco_geracao_consumo[[#This Row],[Consumido da rede]],balanco_geracao_consumo[[#This Row],[Injetado na rede]]+L157))</f>
        <v>384.86192253220577</v>
      </c>
      <c r="N158" s="17">
        <f ca="1">IFERROR(VLOOKUP(balanco_geracao_consumo[[#This Row],[Ano]],$B$321:$C$327,2,FALSE),1)*$E$307*balanco_geracao_consumo[[#This Row],[Energia Fornecida 14.300]]</f>
        <v>75.837957806346779</v>
      </c>
      <c r="O158"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444.48294285968234</v>
      </c>
      <c r="P158" s="13">
        <f ca="1">balanco_geracao_consumo[[#This Row],[Tarifa 14.300]]</f>
        <v>444.48294285968234</v>
      </c>
      <c r="Q158" s="17">
        <f t="shared" ca="1" si="40"/>
        <v>1241.5129107912067</v>
      </c>
      <c r="R158" s="17">
        <f t="shared" ca="1" si="45"/>
        <v>114554.18080200347</v>
      </c>
    </row>
    <row r="159" spans="1:18">
      <c r="A159">
        <v>10</v>
      </c>
      <c r="B159" s="1" t="s">
        <v>119</v>
      </c>
      <c r="C159">
        <f ca="1">$C$29</f>
        <v>601.34400000000005</v>
      </c>
      <c r="D159" s="14">
        <f ca="1">(IF(balanco_geracao_consumo[[#This Row],[Consumido da rede]]&lt;$C$8,($C$8*$B$307/(1-(IFERROR(INDEX($I$307:$L$307,MATCH(balanco_geracao_consumo[[#This Row],[Consumido da rede]]-0.01,$I$306:$K$306,1)+1),$I$307)+$G$307+$H$307))),(C159*$B$307/(1-(IFERROR(INDEX($I$307:$L$307,MATCH(C159-0.01,$I$306:$K$306,1)+1),$I$307)+$G$307+$H$307))))+IFERROR(INDEX($M$307:$AS$307,MATCH(C159-0.001,$M$306:$AR$306,1)+1),$M$307))*((1+$C$10)^(A159-1))</f>
        <v>1685.9958536508891</v>
      </c>
      <c r="E159" s="17">
        <f ca="1">$H$29*((1-$C$12)^(A159-1))</f>
        <v>568.8839448452768</v>
      </c>
      <c r="F159" s="17">
        <f t="shared" ca="1" si="41"/>
        <v>180.4032</v>
      </c>
      <c r="G159" s="17">
        <f t="shared" ca="1" si="42"/>
        <v>420.94080000000008</v>
      </c>
      <c r="H159" s="17">
        <f t="shared" ca="1" si="43"/>
        <v>388.48074484527683</v>
      </c>
      <c r="I159" s="17">
        <f ca="1">balanco_geracao_consumo[[#This Row],[Injetado na rede]]-balanco_geracao_consumo[[#This Row],[Energia Fornecida]]+I158</f>
        <v>9088.7849744541709</v>
      </c>
      <c r="J159" s="17">
        <f t="shared" ca="1" si="44"/>
        <v>320.94080000000008</v>
      </c>
      <c r="K159"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418.00448179710475</v>
      </c>
      <c r="L159" s="17">
        <f ca="1">balanco_geracao_consumo[[#This Row],[Injetado na rede]]-balanco_geracao_consumo[[#This Row],[Energia Fornecida 14.300]]+L158</f>
        <v>0</v>
      </c>
      <c r="M159" s="17">
        <f ca="1">IF(balanco_geracao_consumo[[#This Row],[Consumido da rede]]&lt;$C$8,0,IF((balanco_geracao_consumo[[#This Row],[Injetado na rede]]+L158)&gt;balanco_geracao_consumo[[#This Row],[Consumido da rede]],balanco_geracao_consumo[[#This Row],[Consumido da rede]],balanco_geracao_consumo[[#This Row],[Injetado na rede]]+L158))</f>
        <v>388.48074484527683</v>
      </c>
      <c r="N159" s="17">
        <f ca="1">IFERROR(VLOOKUP(balanco_geracao_consumo[[#This Row],[Ano]],$B$321:$C$327,2,FALSE),1)*$E$307*balanco_geracao_consumo[[#This Row],[Energia Fornecida 14.300]]</f>
        <v>76.551055355934537</v>
      </c>
      <c r="O159"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437.53963535276807</v>
      </c>
      <c r="P159" s="13">
        <f ca="1">balanco_geracao_consumo[[#This Row],[Tarifa 14.300]]</f>
        <v>437.53963535276807</v>
      </c>
      <c r="Q159" s="17">
        <f t="shared" ca="1" si="40"/>
        <v>1248.456218298121</v>
      </c>
      <c r="R159" s="17">
        <f t="shared" ca="1" si="45"/>
        <v>115802.63702030158</v>
      </c>
    </row>
    <row r="160" spans="1:18">
      <c r="A160">
        <v>10</v>
      </c>
      <c r="B160" s="1" t="s">
        <v>122</v>
      </c>
      <c r="C160">
        <f ca="1">$C$30</f>
        <v>701.56799999999998</v>
      </c>
      <c r="D160" s="14">
        <f ca="1">(IF(balanco_geracao_consumo[[#This Row],[Consumido da rede]]&lt;$C$8,($C$8*$B$307/(1-(IFERROR(INDEX($I$307:$L$307,MATCH(balanco_geracao_consumo[[#This Row],[Consumido da rede]]-0.01,$I$306:$K$306,1)+1),$I$307)+$G$307+$H$307))),(C160*$B$307/(1-(IFERROR(INDEX($I$307:$L$307,MATCH(C160-0.01,$I$306:$K$306,1)+1),$I$307)+$G$307+$H$307))))+IFERROR(INDEX($M$307:$AS$307,MATCH(C160-0.001,$M$306:$AR$306,1)+1),$M$307))*((1+$C$10)^(A160-1))</f>
        <v>1954.4744603534937</v>
      </c>
      <c r="E160" s="17">
        <f ca="1">$H$30*((1-$C$12)^(A160-1))</f>
        <v>732.98893846128874</v>
      </c>
      <c r="F160" s="17">
        <f t="shared" ca="1" si="41"/>
        <v>210.47039999999998</v>
      </c>
      <c r="G160" s="17">
        <f t="shared" ca="1" si="42"/>
        <v>491.0976</v>
      </c>
      <c r="H160" s="17">
        <f t="shared" ca="1" si="43"/>
        <v>522.5185384612887</v>
      </c>
      <c r="I160" s="17">
        <f ca="1">balanco_geracao_consumo[[#This Row],[Injetado na rede]]-balanco_geracao_consumo[[#This Row],[Energia Fornecida]]+I159</f>
        <v>9220.2059129154604</v>
      </c>
      <c r="J160" s="17">
        <f t="shared" ca="1" si="44"/>
        <v>391.0976</v>
      </c>
      <c r="K160"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438.73451408107235</v>
      </c>
      <c r="L160" s="17">
        <f ca="1">balanco_geracao_consumo[[#This Row],[Injetado na rede]]-balanco_geracao_consumo[[#This Row],[Energia Fornecida 14.300]]+L159</f>
        <v>31.420938461288699</v>
      </c>
      <c r="M160" s="17">
        <f ca="1">IF(balanco_geracao_consumo[[#This Row],[Consumido da rede]]&lt;$C$8,0,IF((balanco_geracao_consumo[[#This Row],[Injetado na rede]]+L159)&gt;balanco_geracao_consumo[[#This Row],[Consumido da rede]],balanco_geracao_consumo[[#This Row],[Consumido da rede]],balanco_geracao_consumo[[#This Row],[Injetado na rede]]+L159))</f>
        <v>491.0976</v>
      </c>
      <c r="N160" s="17">
        <f ca="1">IFERROR(VLOOKUP(balanco_geracao_consumo[[#This Row],[Ano]],$B$321:$C$327,2,FALSE),1)*$E$307*balanco_geracao_consumo[[#This Row],[Energia Fornecida 14.300]]</f>
        <v>96.771950892288004</v>
      </c>
      <c r="O160"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428.58729750175911</v>
      </c>
      <c r="P160" s="13">
        <f ca="1">balanco_geracao_consumo[[#This Row],[Tarifa 14.300]]</f>
        <v>428.58729750175911</v>
      </c>
      <c r="Q160" s="17">
        <f t="shared" ca="1" si="40"/>
        <v>1525.8871628517345</v>
      </c>
      <c r="R160" s="17">
        <f t="shared" ca="1" si="45"/>
        <v>117328.52418315332</v>
      </c>
    </row>
    <row r="161" spans="1:59">
      <c r="A161">
        <v>10</v>
      </c>
      <c r="B161" s="1" t="s">
        <v>123</v>
      </c>
      <c r="C161">
        <f ca="1">$C$31</f>
        <v>701.56799999999998</v>
      </c>
      <c r="D161" s="14">
        <f ca="1">(IF(balanco_geracao_consumo[[#This Row],[Consumido da rede]]&lt;$C$8,($C$8*$B$307/(1-(IFERROR(INDEX($I$307:$L$307,MATCH(balanco_geracao_consumo[[#This Row],[Consumido da rede]]-0.01,$I$306:$K$306,1)+1),$I$307)+$G$307+$H$307))),(C161*$B$307/(1-(IFERROR(INDEX($I$307:$L$307,MATCH(C161-0.01,$I$306:$K$306,1)+1),$I$307)+$G$307+$H$307))))+IFERROR(INDEX($M$307:$AS$307,MATCH(C161-0.001,$M$306:$AR$306,1)+1),$M$307))*((1+$C$10)^(A161-1))</f>
        <v>1954.4744603534937</v>
      </c>
      <c r="E161" s="17">
        <f ca="1">$H$31*((1-$C$12)^(A161-1))</f>
        <v>723.46464183359012</v>
      </c>
      <c r="F161" s="17">
        <f t="shared" ca="1" si="41"/>
        <v>210.47039999999998</v>
      </c>
      <c r="G161" s="17">
        <f t="shared" ca="1" si="42"/>
        <v>491.0976</v>
      </c>
      <c r="H161" s="17">
        <f t="shared" ca="1" si="43"/>
        <v>512.99424183359019</v>
      </c>
      <c r="I161" s="17">
        <f ca="1">balanco_geracao_consumo[[#This Row],[Injetado na rede]]-balanco_geracao_consumo[[#This Row],[Energia Fornecida]]+I160</f>
        <v>9342.1025547490499</v>
      </c>
      <c r="J161" s="17">
        <f t="shared" ca="1" si="44"/>
        <v>391.0976</v>
      </c>
      <c r="K161"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438.73451408107235</v>
      </c>
      <c r="L161" s="17">
        <f ca="1">balanco_geracao_consumo[[#This Row],[Injetado na rede]]-balanco_geracao_consumo[[#This Row],[Energia Fornecida 14.300]]+L160</f>
        <v>53.317580294878894</v>
      </c>
      <c r="M161" s="17">
        <f ca="1">IF(balanco_geracao_consumo[[#This Row],[Consumido da rede]]&lt;$C$8,0,IF((balanco_geracao_consumo[[#This Row],[Injetado na rede]]+L160)&gt;balanco_geracao_consumo[[#This Row],[Consumido da rede]],balanco_geracao_consumo[[#This Row],[Consumido da rede]],balanco_geracao_consumo[[#This Row],[Injetado na rede]]+L160))</f>
        <v>491.0976</v>
      </c>
      <c r="N161" s="17">
        <f ca="1">IFERROR(VLOOKUP(balanco_geracao_consumo[[#This Row],[Ano]],$B$321:$C$327,2,FALSE),1)*$E$307*balanco_geracao_consumo[[#This Row],[Energia Fornecida 14.300]]</f>
        <v>96.771950892288004</v>
      </c>
      <c r="O161"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428.58729750175911</v>
      </c>
      <c r="P161" s="13">
        <f ca="1">balanco_geracao_consumo[[#This Row],[Tarifa 14.300]]</f>
        <v>428.58729750175911</v>
      </c>
      <c r="Q161" s="17">
        <f t="shared" ca="1" si="40"/>
        <v>1525.8871628517345</v>
      </c>
      <c r="R161" s="17">
        <f t="shared" ca="1" si="45"/>
        <v>118854.41134600506</v>
      </c>
    </row>
    <row r="162" spans="1:59">
      <c r="A162">
        <v>10</v>
      </c>
      <c r="B162" s="1" t="s">
        <v>124</v>
      </c>
      <c r="C162">
        <f ca="1">$C$32</f>
        <v>701.56799999999998</v>
      </c>
      <c r="D162" s="14">
        <f ca="1">(IF(balanco_geracao_consumo[[#This Row],[Consumido da rede]]&lt;$C$8,($C$8*$B$307/(1-(IFERROR(INDEX($I$307:$L$307,MATCH(balanco_geracao_consumo[[#This Row],[Consumido da rede]]-0.01,$I$306:$K$306,1)+1),$I$307)+$G$307+$H$307))),(C162*$B$307/(1-(IFERROR(INDEX($I$307:$L$307,MATCH(C162-0.01,$I$306:$K$306,1)+1),$I$307)+$G$307+$H$307))))+IFERROR(INDEX($M$307:$AS$307,MATCH(C162-0.001,$M$306:$AR$306,1)+1),$M$307))*((1+$C$10)^(A162-1))</f>
        <v>1954.4744603534937</v>
      </c>
      <c r="E162" s="17">
        <f ca="1">$H$32*((1-$C$12)^(A162-1))</f>
        <v>867.80262620218286</v>
      </c>
      <c r="F162" s="17">
        <f t="shared" ca="1" si="41"/>
        <v>210.47039999999998</v>
      </c>
      <c r="G162" s="17">
        <f t="shared" ca="1" si="42"/>
        <v>491.0976</v>
      </c>
      <c r="H162" s="17">
        <f t="shared" ca="1" si="43"/>
        <v>657.33222620218294</v>
      </c>
      <c r="I162" s="17">
        <f ca="1">balanco_geracao_consumo[[#This Row],[Injetado na rede]]-balanco_geracao_consumo[[#This Row],[Energia Fornecida]]+I161</f>
        <v>9608.3371809512337</v>
      </c>
      <c r="J162" s="17">
        <f t="shared" ca="1" si="44"/>
        <v>391.0976</v>
      </c>
      <c r="K162"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438.73451408107235</v>
      </c>
      <c r="L162" s="17">
        <f ca="1">balanco_geracao_consumo[[#This Row],[Injetado na rede]]-balanco_geracao_consumo[[#This Row],[Energia Fornecida 14.300]]+L161</f>
        <v>219.55220649706183</v>
      </c>
      <c r="M162" s="17">
        <f ca="1">IF(balanco_geracao_consumo[[#This Row],[Consumido da rede]]&lt;$C$8,0,IF((balanco_geracao_consumo[[#This Row],[Injetado na rede]]+L161)&gt;balanco_geracao_consumo[[#This Row],[Consumido da rede]],balanco_geracao_consumo[[#This Row],[Consumido da rede]],balanco_geracao_consumo[[#This Row],[Injetado na rede]]+L161))</f>
        <v>491.0976</v>
      </c>
      <c r="N162" s="17">
        <f ca="1">IFERROR(VLOOKUP(balanco_geracao_consumo[[#This Row],[Ano]],$B$321:$C$327,2,FALSE),1)*$E$307*balanco_geracao_consumo[[#This Row],[Energia Fornecida 14.300]]</f>
        <v>96.771950892288004</v>
      </c>
      <c r="O162"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428.58729750175911</v>
      </c>
      <c r="P162" s="13">
        <f ca="1">balanco_geracao_consumo[[#This Row],[Tarifa 14.300]]</f>
        <v>428.58729750175911</v>
      </c>
      <c r="Q162" s="17">
        <f t="shared" ca="1" si="40"/>
        <v>1525.8871628517345</v>
      </c>
      <c r="R162" s="17">
        <f t="shared" ca="1" si="45"/>
        <v>120380.29850885679</v>
      </c>
    </row>
    <row r="163" spans="1:59">
      <c r="A163">
        <v>10</v>
      </c>
      <c r="B163" s="1" t="s">
        <v>125</v>
      </c>
      <c r="C163">
        <f ca="1">$C$33</f>
        <v>801.79200000000003</v>
      </c>
      <c r="D163" s="14">
        <f ca="1">(IF(balanco_geracao_consumo[[#This Row],[Consumido da rede]]&lt;$C$8,($C$8*$B$307/(1-(IFERROR(INDEX($I$307:$L$307,MATCH(balanco_geracao_consumo[[#This Row],[Consumido da rede]]-0.01,$I$306:$K$306,1)+1),$I$307)+$G$307+$H$307))),(C163*$B$307/(1-(IFERROR(INDEX($I$307:$L$307,MATCH(C163-0.01,$I$306:$K$306,1)+1),$I$307)+$G$307+$H$307))))+IFERROR(INDEX($M$307:$AS$307,MATCH(C163-0.001,$M$306:$AR$306,1)+1),$M$307))*((1+$C$10)^(A163-1))</f>
        <v>2222.9530670560985</v>
      </c>
      <c r="E163" s="17">
        <f ca="1">$H$33*((1-$C$12)^(A163-1))</f>
        <v>869.34432316169773</v>
      </c>
      <c r="F163" s="17">
        <f t="shared" ca="1" si="41"/>
        <v>240.5376</v>
      </c>
      <c r="G163" s="17">
        <f t="shared" ca="1" si="42"/>
        <v>561.25440000000003</v>
      </c>
      <c r="H163" s="17">
        <f t="shared" ca="1" si="43"/>
        <v>628.80672316169773</v>
      </c>
      <c r="I163" s="17">
        <f ca="1">balanco_geracao_consumo[[#This Row],[Injetado na rede]]-balanco_geracao_consumo[[#This Row],[Energia Fornecida]]+I162</f>
        <v>9775.8895041129308</v>
      </c>
      <c r="J163" s="17">
        <f t="shared" ca="1" si="44"/>
        <v>461.25440000000003</v>
      </c>
      <c r="K163"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471.72587435824005</v>
      </c>
      <c r="L163" s="17">
        <f ca="1">balanco_geracao_consumo[[#This Row],[Injetado na rede]]-balanco_geracao_consumo[[#This Row],[Energia Fornecida 14.300]]+L162</f>
        <v>287.10452965875953</v>
      </c>
      <c r="M163" s="17">
        <f ca="1">IF(balanco_geracao_consumo[[#This Row],[Consumido da rede]]&lt;$C$8,0,IF((balanco_geracao_consumo[[#This Row],[Injetado na rede]]+L162)&gt;balanco_geracao_consumo[[#This Row],[Consumido da rede]],balanco_geracao_consumo[[#This Row],[Consumido da rede]],balanco_geracao_consumo[[#This Row],[Injetado na rede]]+L162))</f>
        <v>561.25440000000003</v>
      </c>
      <c r="N163" s="17">
        <f ca="1">IFERROR(VLOOKUP(balanco_geracao_consumo[[#This Row],[Ano]],$B$321:$C$327,2,FALSE),1)*$E$307*balanco_geracao_consumo[[#This Row],[Energia Fornecida 14.300]]</f>
        <v>110.59651530547201</v>
      </c>
      <c r="O163"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494.17625751607488</v>
      </c>
      <c r="P163" s="13">
        <f ca="1">balanco_geracao_consumo[[#This Row],[Tarifa 14.300]]</f>
        <v>494.17625751607488</v>
      </c>
      <c r="Q163" s="17">
        <f t="shared" ca="1" si="40"/>
        <v>1728.7768095400236</v>
      </c>
      <c r="R163" s="17">
        <f t="shared" ca="1" si="45"/>
        <v>122109.07531839682</v>
      </c>
    </row>
    <row r="164" spans="1:59">
      <c r="A164">
        <v>10</v>
      </c>
      <c r="B164" s="1" t="s">
        <v>126</v>
      </c>
      <c r="C164">
        <f ca="1">$C$34</f>
        <v>1002.24</v>
      </c>
      <c r="D164" s="14">
        <f ca="1">(IF(balanco_geracao_consumo[[#This Row],[Consumido da rede]]&lt;$C$8,($C$8*$B$307/(1-(IFERROR(INDEX($I$307:$L$307,MATCH(balanco_geracao_consumo[[#This Row],[Consumido da rede]]-0.01,$I$306:$K$306,1)+1),$I$307)+$G$307+$H$307))),(C164*$B$307/(1-(IFERROR(INDEX($I$307:$L$307,MATCH(C164-0.01,$I$306:$K$306,1)+1),$I$307)+$G$307+$H$307))))+IFERROR(INDEX($M$307:$AS$307,MATCH(C164-0.001,$M$306:$AR$306,1)+1),$M$307))*((1+$C$10)^(A164-1))</f>
        <v>2825.7206005171183</v>
      </c>
      <c r="E164" s="17">
        <f ca="1">$H$34*((1-$C$12)^(A164-1))</f>
        <v>1030.3237046807228</v>
      </c>
      <c r="F164" s="17">
        <f t="shared" ca="1" si="41"/>
        <v>300.67199999999997</v>
      </c>
      <c r="G164" s="17">
        <f t="shared" ca="1" si="42"/>
        <v>701.56799999999998</v>
      </c>
      <c r="H164" s="17">
        <f t="shared" ca="1" si="43"/>
        <v>729.65170468072279</v>
      </c>
      <c r="I164" s="17">
        <f ca="1">balanco_geracao_consumo[[#This Row],[Injetado na rede]]-balanco_geracao_consumo[[#This Row],[Energia Fornecida]]+I163</f>
        <v>9903.9732087936536</v>
      </c>
      <c r="J164" s="17">
        <f t="shared" ca="1" si="44"/>
        <v>601.56799999999998</v>
      </c>
      <c r="K164" s="17">
        <f ca="1">(IF(balanco_geracao_consumo[[#This Row],[Consumido da rede]]&lt;$C$8,($C$8*$B$307/(1-(IFERROR(INDEX($I$307:$L$307,MATCH(balanco_geracao_consumo[[#This Row],[Consumido da rede]]-0.01,$I$306:$K$306,1)+1),$I$307)+$G$307+$H$307))),IF($C$2="Sim",0,balanco_geracao_consumo[[#This Row],[Energia Fornecida]]*($C$307+$D$307)/(1-(IFERROR(INDEX($I$307:$L$307,MATCH(balanco_geracao_consumo[[#This Row],[Consumido da rede]]-0.01,$I$306:$K$306,1)+1),$I$307)+$G$307+$H$307))-balanco_geracao_consumo[[#This Row],[Energia Fornecida]]*($C$307/(1-($G$307+$H$307))+$D$307/(1-(IFERROR(INDEX($I$307:$L$307,MATCH(balanco_geracao_consumo[[#This Row],[Consumido da rede]]-0.01,$I$306:$K$306,1)+1),$I$307)+$G$307+$H$307))))+((balanco_geracao_consumo[[#This Row],[Consumido da rede]]-balanco_geracao_consumo[[#This Row],[Energia Fornecida]])*$B$307/(1-(IFERROR(INDEX($I$307:$L$307,MATCH(balanco_geracao_consumo[[#This Row],[Consumido da rede]]-0.01,$I$306:$K$306,1)+1),$I$307)+$G$307+$H$307))))+IFERROR(INDEX($M$307:$AS$307,MATCH(balanco_geracao_consumo[[#This Row],[Consumido da rede]]-0.001,$M$306:$AR$306,1)+1),$M$307))*((1+$C$10)^(balanco_geracao_consumo[[#This Row],[Ano]]-1))</f>
        <v>520.75495101428487</v>
      </c>
      <c r="L164" s="17">
        <f ca="1">balanco_geracao_consumo[[#This Row],[Injetado na rede]]-balanco_geracao_consumo[[#This Row],[Energia Fornecida 14.300]]+L163</f>
        <v>315.18823433948234</v>
      </c>
      <c r="M164" s="17">
        <f ca="1">IF(balanco_geracao_consumo[[#This Row],[Consumido da rede]]&lt;$C$8,0,IF((balanco_geracao_consumo[[#This Row],[Injetado na rede]]+L163)&gt;balanco_geracao_consumo[[#This Row],[Consumido da rede]],balanco_geracao_consumo[[#This Row],[Consumido da rede]],balanco_geracao_consumo[[#This Row],[Injetado na rede]]+L163))</f>
        <v>701.56799999999998</v>
      </c>
      <c r="N164" s="17">
        <f ca="1">IFERROR(VLOOKUP(balanco_geracao_consumo[[#This Row],[Ano]],$B$321:$C$327,2,FALSE),1)*$E$307*balanco_geracao_consumo[[#This Row],[Energia Fornecida 14.300]]</f>
        <v>138.24564413184001</v>
      </c>
      <c r="O164" s="17">
        <f ca="1">(MAX(($C$8*$B$307/(1-(IFERROR(INDEX($I$307:$L$307,MATCH(balanco_geracao_consumo[[#This Row],[Consumido da rede]]-0.01,$I$306:$K$306,1)+1),$I$307)+$G$307+$H$307))),IF($C$2="Sim",0,balanco_geracao_consumo[[#This Row],[Energia Fornecida 14.300]]*($C$307+$D$307)/(1-(IFERROR(INDEX($I$307:$L$307,MATCH(balanco_geracao_consumo[[#This Row],[Consumido da rede]]-0.01,$I$306:$K$306,1)+1),$I$307)+$G$307+$H$307))-balanco_geracao_consumo[[#This Row],[Energia Fornecida 14.300]]*($C$307/(1-($G$307+$H$307))+$D$307/(1-(IFERROR(INDEX($I$307:$L$307,MATCH(balanco_geracao_consumo[[#This Row],[Consumido da rede]]-0.01,$I$306:$K$306,1)+1),$I$307)+$G$307+$H$307))))+balanco_geracao_consumo[[#This Row],[Custo FioB]]+((balanco_geracao_consumo[[#This Row],[Consumido da rede]]-balanco_geracao_consumo[[#This Row],[Energia Fornecida 14.300]])*$B$307/(1-(IFERROR(INDEX($I$307:$L$307,MATCH(balanco_geracao_consumo[[#This Row],[Consumido da rede]]-0.01,$I$306:$K$306,1)+1),$I$307)+$G$307+$H$307))))+IFERROR(INDEX($M$307:$AS$307,MATCH(balanco_geracao_consumo[[#This Row],[Consumido da rede]]-0.001,$M$306:$AR$306,1)+1),$M$307))*((1+$C$10)^(balanco_geracao_consumo[[#This Row],[Ano]]-1))</f>
        <v>608.40053364641562</v>
      </c>
      <c r="P164" s="13">
        <f ca="1">balanco_geracao_consumo[[#This Row],[Tarifa 14.300]]</f>
        <v>608.40053364641562</v>
      </c>
      <c r="Q164" s="17">
        <f t="shared" ca="1" si="40"/>
        <v>2217.3200668707027</v>
      </c>
      <c r="R164" s="17">
        <f t="shared" ca="1" si="45"/>
        <v>124326.39538526752</v>
      </c>
    </row>
    <row r="165" spans="1:59">
      <c r="BA165" s="15" t="s">
        <v>2263</v>
      </c>
      <c r="BB165" s="32">
        <f ca="1">NPV($T$171,$BA$173:$BA$197)+$BA$172</f>
        <v>321837.01699055237</v>
      </c>
      <c r="BC165" s="15" t="s">
        <v>2263</v>
      </c>
      <c r="BD165" s="32">
        <f ca="1">NPV($T$171,$BC$173:$BC$197)+$BC$172</f>
        <v>309437.01699055237</v>
      </c>
    </row>
    <row r="166" spans="1:59">
      <c r="BA166" s="15" t="s">
        <v>2265</v>
      </c>
      <c r="BB166" s="169">
        <f ca="1">IRR(BA172:BA197)</f>
        <v>0.45650527893582438</v>
      </c>
      <c r="BC166" s="15" t="s">
        <v>2265</v>
      </c>
      <c r="BD166" s="169">
        <f ca="1">IRR(BC172:BC197)</f>
        <v>0.33045272448531393</v>
      </c>
    </row>
    <row r="167" spans="1:59">
      <c r="N167" s="14"/>
      <c r="BA167" s="15" t="s">
        <v>2267</v>
      </c>
      <c r="BB167" s="17">
        <f ca="1">NPV($T$171,$BA$173:$BA$197)/-$BA$172</f>
        <v>13.265130220676538</v>
      </c>
      <c r="BC167" s="15" t="s">
        <v>2267</v>
      </c>
      <c r="BD167" s="17">
        <f ca="1">NPV($T$171,$BC$173:$BC$197)/-$BC$172</f>
        <v>9.0082043734615009</v>
      </c>
    </row>
    <row r="168" spans="1:59">
      <c r="BA168" s="15" t="s">
        <v>2271</v>
      </c>
      <c r="BB168" s="17">
        <f ca="1">MATCH(0,BB172:BB197,1)-1+(-INDEX(BB172:BB197,MATCH(0,BB172:BB197,1))/INDEX(BA172:BA197,MATCH(0,BB172:BB197,1)+1))</f>
        <v>2.485071986258288</v>
      </c>
      <c r="BC168" s="15" t="s">
        <v>2271</v>
      </c>
      <c r="BD168" s="17">
        <f ca="1">MATCH(0,BD172:BD197,1)-1+(-INDEX(BD172:BD197,MATCH(0,BD172:BD197,1))/INDEX(BC172:BC197,MATCH(0,BD172:BD197,1)+1))</f>
        <v>3.5011853647158486</v>
      </c>
      <c r="BG168" s="20"/>
    </row>
    <row r="169" spans="1:59">
      <c r="BB169" s="20" t="str">
        <f ca="1">"PayBack de "&amp;ROUNDDOWN(BB168,0)&amp;" anos e "&amp;ROUNDDOWN((BB168-(ROUNDDOWN(BB168,0)))*12,0)&amp;" meses"</f>
        <v>PayBack de 2 anos e 5 meses</v>
      </c>
      <c r="BD169" s="20" t="str">
        <f ca="1">"PayBack de "&amp;ROUNDDOWN(BD168,0)&amp;" anos e "&amp;ROUNDDOWN((BD168-(ROUNDDOWN(BD168,0)))*12,0)&amp;" meses"</f>
        <v>PayBack de 3 anos e 6 meses</v>
      </c>
    </row>
    <row r="170" spans="1:59">
      <c r="AH170" s="130" t="s">
        <v>2239</v>
      </c>
      <c r="AM170" s="789" t="s">
        <v>2240</v>
      </c>
      <c r="AN170" s="789"/>
      <c r="AO170" s="789"/>
      <c r="AP170" s="789"/>
      <c r="AQ170" s="789"/>
      <c r="AR170" s="789"/>
      <c r="AS170" s="789"/>
      <c r="AT170" s="789"/>
      <c r="AU170" s="789"/>
      <c r="AV170" s="789"/>
      <c r="AW170" s="789"/>
      <c r="AX170" s="789"/>
      <c r="BA170" t="s">
        <v>2938</v>
      </c>
      <c r="BC170" t="s">
        <v>4525</v>
      </c>
    </row>
    <row r="171" spans="1:59" ht="26.45" customHeight="1">
      <c r="B171" t="s">
        <v>2229</v>
      </c>
      <c r="C171" s="10" t="s">
        <v>2241</v>
      </c>
      <c r="D171" s="10" t="s">
        <v>2242</v>
      </c>
      <c r="E171" s="10" t="s">
        <v>2243</v>
      </c>
      <c r="F171" s="10" t="s">
        <v>2244</v>
      </c>
      <c r="G171" s="10" t="s">
        <v>2245</v>
      </c>
      <c r="H171" s="10" t="s">
        <v>2246</v>
      </c>
      <c r="I171" s="10" t="s">
        <v>2247</v>
      </c>
      <c r="J171" s="10" t="s">
        <v>2238</v>
      </c>
      <c r="K171" s="10" t="s">
        <v>2248</v>
      </c>
      <c r="L171" s="10" t="s">
        <v>2249</v>
      </c>
      <c r="M171" s="10" t="s">
        <v>2250</v>
      </c>
      <c r="N171" s="10" t="s">
        <v>2251</v>
      </c>
      <c r="O171" s="10" t="s">
        <v>2252</v>
      </c>
      <c r="P171" s="10" t="s">
        <v>2253</v>
      </c>
      <c r="Q171" s="10" t="s">
        <v>2254</v>
      </c>
      <c r="S171" s="15" t="s">
        <v>2255</v>
      </c>
      <c r="T171" s="11">
        <f>C11</f>
        <v>0.02</v>
      </c>
      <c r="Z171" s="197" t="s">
        <v>2229</v>
      </c>
      <c r="AA171" s="198" t="s">
        <v>2241</v>
      </c>
      <c r="AB171" s="198" t="s">
        <v>2256</v>
      </c>
      <c r="AC171" s="198" t="s">
        <v>2257</v>
      </c>
      <c r="AD171" s="198" t="s">
        <v>2258</v>
      </c>
      <c r="AE171" s="198" t="s">
        <v>2238</v>
      </c>
      <c r="AF171" s="198" t="s">
        <v>2248</v>
      </c>
      <c r="AG171" s="182"/>
      <c r="AH171" s="165" t="s">
        <v>2259</v>
      </c>
      <c r="AI171" s="165" t="s">
        <v>2260</v>
      </c>
      <c r="AJ171" s="164" t="s">
        <v>2261</v>
      </c>
      <c r="AK171" s="164" t="s">
        <v>2262</v>
      </c>
      <c r="AM171" s="15"/>
      <c r="AN171" s="11"/>
      <c r="AP171" s="10" t="s">
        <v>2247</v>
      </c>
      <c r="AQ171" s="10" t="s">
        <v>2238</v>
      </c>
      <c r="AR171" s="10" t="s">
        <v>2248</v>
      </c>
      <c r="AS171" s="10" t="s">
        <v>2249</v>
      </c>
      <c r="AT171" s="10" t="s">
        <v>2250</v>
      </c>
      <c r="AU171" s="10" t="s">
        <v>2251</v>
      </c>
      <c r="AV171" s="10" t="s">
        <v>2252</v>
      </c>
      <c r="AW171" s="10" t="s">
        <v>2253</v>
      </c>
      <c r="AX171" s="10" t="s">
        <v>2254</v>
      </c>
      <c r="AZ171" t="s">
        <v>2229</v>
      </c>
      <c r="BA171" s="10" t="s">
        <v>2238</v>
      </c>
      <c r="BB171" s="10" t="s">
        <v>2248</v>
      </c>
      <c r="BC171" s="10" t="s">
        <v>2238</v>
      </c>
      <c r="BD171" s="10" t="s">
        <v>2248</v>
      </c>
    </row>
    <row r="172" spans="1:59">
      <c r="B172">
        <v>0</v>
      </c>
      <c r="C172">
        <f>SUMIF(balanco_geracao_consumo[Ano],$B172,balanco_geracao_consumo[kWh])</f>
        <v>0</v>
      </c>
      <c r="D172" s="13">
        <f ca="1">SUMIF(balanco_geracao_consumo[Ano],$B172,balanco_geracao_consumo[Tarifa Final])</f>
        <v>0</v>
      </c>
      <c r="E172" s="20">
        <f>SUMIF(balanco_geracao_consumo[Ano],$B172,balanco_geracao_consumo[Geração kWh])</f>
        <v>0</v>
      </c>
      <c r="F172" s="20">
        <f t="shared" ref="F172" si="46">C172*$A$9</f>
        <v>0</v>
      </c>
      <c r="G172" s="117">
        <f t="shared" ref="G172" si="47">C172-F172</f>
        <v>0</v>
      </c>
      <c r="H172" s="20">
        <f>SUMIF(balanco_geracao_consumo[Ano],$B172,balanco_geracao_consumo[Injetado na rede])</f>
        <v>0</v>
      </c>
      <c r="I172" s="13">
        <f>SUMIF(balanco_geracao_consumo[Ano],$B172,balanco_geracao_consumo[Energia Fornecida])</f>
        <v>0</v>
      </c>
      <c r="J172" s="21">
        <f>-$C$5</f>
        <v>-23440</v>
      </c>
      <c r="K172" s="21">
        <f>J172</f>
        <v>-23440</v>
      </c>
      <c r="L172" s="170">
        <f t="shared" ref="L172:L197" si="48">PV($T$171,B172,,-J172)</f>
        <v>-23440</v>
      </c>
      <c r="M172" s="170">
        <f>L172</f>
        <v>-23440</v>
      </c>
      <c r="N172" s="13">
        <f t="shared" ref="N172:N197" si="49">IF(K172&lt;0,K172,"")</f>
        <v>-23440</v>
      </c>
      <c r="O172" s="13" t="str">
        <f t="shared" ref="O172:O197" si="50">IF(K172&gt;=0,K172,"")</f>
        <v/>
      </c>
      <c r="P172" s="14">
        <f>$C$5</f>
        <v>23440</v>
      </c>
      <c r="Q172" s="14">
        <f>$C$5</f>
        <v>23440</v>
      </c>
      <c r="S172" s="15" t="s">
        <v>2263</v>
      </c>
      <c r="T172" s="32">
        <f ca="1">NPV($T$171,$J$173:$J$197)+$J$172</f>
        <v>324637.01699055237</v>
      </c>
      <c r="V172" t="s">
        <v>2264</v>
      </c>
      <c r="Z172" s="199">
        <f t="shared" ref="Z172:AC182" si="51">B172</f>
        <v>0</v>
      </c>
      <c r="AA172" s="200">
        <f t="shared" si="51"/>
        <v>0</v>
      </c>
      <c r="AB172" s="201">
        <f t="shared" ref="AB172:AB182" ca="1" si="52">D172</f>
        <v>0</v>
      </c>
      <c r="AC172" s="200">
        <f t="shared" si="51"/>
        <v>0</v>
      </c>
      <c r="AD172" s="201">
        <f t="shared" ref="AD172" si="53">I172</f>
        <v>0</v>
      </c>
      <c r="AE172" s="734">
        <f t="shared" ref="AE172:AE182" si="54">J172</f>
        <v>-23440</v>
      </c>
      <c r="AF172" s="735">
        <f t="shared" ref="AF172:AF182" si="55">K172</f>
        <v>-23440</v>
      </c>
      <c r="AH172" s="166">
        <f ca="1">AVERAGEIF(balanco_geracao_consumo[Ano],2,balanco_geracao_consumo[Tarifa Final])</f>
        <v>1099.4440330811947</v>
      </c>
      <c r="AI172" s="166">
        <f ca="1">AVERAGEIF(balanco_geracao_consumo[Ano],2,balanco_geracao_consumo[Tarifa c/ FV])</f>
        <v>190.3498353829211</v>
      </c>
      <c r="AJ172" s="167">
        <f ca="1">AH172-AI172</f>
        <v>909.09419769827355</v>
      </c>
      <c r="AK172" s="168">
        <f ca="1">AJ172/AH172</f>
        <v>0.82686718954718852</v>
      </c>
      <c r="AM172" s="15" t="s">
        <v>2263</v>
      </c>
      <c r="AN172" s="32">
        <f ca="1">NPV($T$171,$AQ$173:$AQ$197)+$AQ$172</f>
        <v>344237.9167703265</v>
      </c>
      <c r="AP172" s="13"/>
      <c r="AQ172" s="21">
        <f>-$C$5</f>
        <v>-23440</v>
      </c>
      <c r="AR172" s="21">
        <f>AQ172</f>
        <v>-23440</v>
      </c>
      <c r="AS172" s="170">
        <f t="shared" ref="AS172:AS197" si="56">PV($T$171,B172,,-AQ172)</f>
        <v>-23440</v>
      </c>
      <c r="AT172" s="170">
        <f>AS172</f>
        <v>-23440</v>
      </c>
      <c r="AU172" s="13">
        <f t="shared" ref="AU172:AU197" si="57">IF(AR172&lt;0,AR172,"")</f>
        <v>-23440</v>
      </c>
      <c r="AV172" s="13" t="str">
        <f t="shared" ref="AV172:AV197" si="58">IF(AR172&gt;=0,AR172,"")</f>
        <v/>
      </c>
      <c r="AW172" s="14">
        <f>$C$5</f>
        <v>23440</v>
      </c>
      <c r="AX172" s="14">
        <f>$C$5</f>
        <v>23440</v>
      </c>
      <c r="AZ172">
        <v>0</v>
      </c>
      <c r="BA172" s="21">
        <f>-Resumo!$J$353</f>
        <v>-26240</v>
      </c>
      <c r="BB172" s="21">
        <f>BA172</f>
        <v>-26240</v>
      </c>
      <c r="BC172" s="21">
        <f>-Resumo!$J$354</f>
        <v>-38640</v>
      </c>
      <c r="BD172" s="21">
        <f>BC172</f>
        <v>-38640</v>
      </c>
    </row>
    <row r="173" spans="1:59">
      <c r="B173">
        <v>1</v>
      </c>
      <c r="C173">
        <f ca="1">SUMIF(balanco_geracao_consumo[Ano],$B173,balanco_geracao_consumo[kWh])</f>
        <v>10122.624</v>
      </c>
      <c r="D173" s="13">
        <f ca="1">SUMIF(balanco_geracao_consumo[Ano],$B173,balanco_geracao_consumo[Tarifa Final])</f>
        <v>11993.934906340308</v>
      </c>
      <c r="E173" s="20">
        <f ca="1">SUMIF(balanco_geracao_consumo[Ano],$B173,balanco_geracao_consumo[Geração kWh])</f>
        <v>10223.88324103499</v>
      </c>
      <c r="F173" s="20">
        <f t="shared" ref="F173:F197" ca="1" si="59">C173*$A$9</f>
        <v>3036.7871999999998</v>
      </c>
      <c r="G173" s="117">
        <f t="shared" ref="G173:G197" ca="1" si="60">C173-F173</f>
        <v>7085.8368</v>
      </c>
      <c r="H173" s="20">
        <f ca="1">SUMIF(balanco_geracao_consumo[Ano],$B173,balanco_geracao_consumo[Injetado na rede])</f>
        <v>7187.096041034989</v>
      </c>
      <c r="I173" s="13">
        <f ca="1">SUMIF(balanco_geracao_consumo[Ano],$B173,balanco_geracao_consumo[Tarifa c/ FV])+($C$13*$C$5*((1+$C$11)^(B173-1)))</f>
        <v>2374.0377549480254</v>
      </c>
      <c r="J173" s="14">
        <f t="shared" ref="J173:J197" ca="1" si="61">D173-I173</f>
        <v>9619.8971513922825</v>
      </c>
      <c r="K173" s="14">
        <f t="shared" ref="K173:K197" ca="1" si="62">J173+K172</f>
        <v>-13820.102848607718</v>
      </c>
      <c r="L173" s="170">
        <f t="shared" ca="1" si="48"/>
        <v>9431.2717170512569</v>
      </c>
      <c r="M173" s="170">
        <f t="shared" ref="M173:M197" ca="1" si="63">M172+L173</f>
        <v>-14008.728282948743</v>
      </c>
      <c r="N173" s="13">
        <f t="shared" ca="1" si="49"/>
        <v>-13820.102848607718</v>
      </c>
      <c r="O173" s="13" t="str">
        <f t="shared" ca="1" si="50"/>
        <v/>
      </c>
      <c r="P173" s="14">
        <f t="shared" ref="P173:P197" si="64">P172*(1+$T$179)</f>
        <v>23885.359999999997</v>
      </c>
      <c r="Q173" s="14">
        <f t="shared" ref="Q173:Q197" si="65">Q172*(1+$T$180)</f>
        <v>23751.752</v>
      </c>
      <c r="S173" s="15" t="s">
        <v>2265</v>
      </c>
      <c r="T173" s="169">
        <f ca="1">IRR(J172:J197)</f>
        <v>0.5023441122190333</v>
      </c>
      <c r="Z173" s="202">
        <f t="shared" si="51"/>
        <v>1</v>
      </c>
      <c r="AA173" s="203">
        <f t="shared" ref="AA173:AA182" ca="1" si="66">C173</f>
        <v>10122.624</v>
      </c>
      <c r="AB173" s="204">
        <f t="shared" ca="1" si="52"/>
        <v>11993.934906340308</v>
      </c>
      <c r="AC173" s="205">
        <f t="shared" ref="AC173:AC182" ca="1" si="67">E173</f>
        <v>10223.88324103499</v>
      </c>
      <c r="AD173" s="204">
        <f t="shared" ref="AD173:AD182" ca="1" si="68">I173</f>
        <v>2374.0377549480254</v>
      </c>
      <c r="AE173" s="736">
        <f t="shared" ca="1" si="54"/>
        <v>9619.8971513922825</v>
      </c>
      <c r="AF173" s="737">
        <f t="shared" ca="1" si="55"/>
        <v>-13820.102848607718</v>
      </c>
      <c r="AH173" s="792" t="s">
        <v>2266</v>
      </c>
      <c r="AI173" s="792"/>
      <c r="AJ173" s="792"/>
      <c r="AK173" s="792"/>
      <c r="AM173" s="15" t="s">
        <v>2265</v>
      </c>
      <c r="AN173" s="169">
        <f ca="1">IRR(AQ172:AQ197)</f>
        <v>0.50239191103368008</v>
      </c>
      <c r="AP173" s="13">
        <f ca="1">SUMIF(balanco_geracao_consumo[Ano],$B173,balanco_geracao_consumo[Tarifa c/ D.A.])+($C$13*$C$5*((1+$C$11)^(B173-1)))</f>
        <v>2482.5842436177031</v>
      </c>
      <c r="AQ173" s="14">
        <f t="shared" ref="AQ173:AQ197" ca="1" si="69">D173-AP173</f>
        <v>9511.3506627226052</v>
      </c>
      <c r="AR173" s="14">
        <f t="shared" ref="AR173:AR197" ca="1" si="70">AQ173+AR172</f>
        <v>-13928.649337277395</v>
      </c>
      <c r="AS173" s="170">
        <f t="shared" ca="1" si="56"/>
        <v>9324.8535909045149</v>
      </c>
      <c r="AT173" s="170">
        <f t="shared" ref="AT173:AT197" ca="1" si="71">AT172+AS173</f>
        <v>-14115.146409095485</v>
      </c>
      <c r="AU173" s="13">
        <f t="shared" ca="1" si="57"/>
        <v>-13928.649337277395</v>
      </c>
      <c r="AV173" s="13" t="str">
        <f t="shared" ca="1" si="58"/>
        <v/>
      </c>
      <c r="AW173" s="14">
        <f t="shared" ref="AW173:AW197" si="72">AW172*(1+$T$179)</f>
        <v>23885.359999999997</v>
      </c>
      <c r="AX173" s="14">
        <f t="shared" ref="AX173:AX197" si="73">AX172*(1+$T$180)</f>
        <v>23751.752</v>
      </c>
      <c r="AZ173">
        <v>1</v>
      </c>
      <c r="BA173" s="14">
        <f t="shared" ref="BA173:BA197" ca="1" si="74">D173-I173</f>
        <v>9619.8971513922825</v>
      </c>
      <c r="BB173" s="14">
        <f t="shared" ref="BB173:BB197" ca="1" si="75">BA173+BB172</f>
        <v>-16620.102848607719</v>
      </c>
      <c r="BC173" s="14">
        <f ca="1">D173-I173</f>
        <v>9619.8971513922825</v>
      </c>
      <c r="BD173" s="14">
        <f t="shared" ref="BD173:BD197" ca="1" si="76">BC173+BD172</f>
        <v>-29020.102848607719</v>
      </c>
    </row>
    <row r="174" spans="1:59">
      <c r="B174">
        <v>2</v>
      </c>
      <c r="C174">
        <f t="shared" ref="C174:C197" ca="1" si="77">C173</f>
        <v>10122.624</v>
      </c>
      <c r="D174" s="13">
        <f ca="1">SUMIF(balanco_geracao_consumo[Ano],$B174,balanco_geracao_consumo[Tarifa Final])</f>
        <v>13193.328396974337</v>
      </c>
      <c r="E174" s="20">
        <f t="shared" ref="E174:E197" ca="1" si="78">E173*99.2%</f>
        <v>10142.092175106709</v>
      </c>
      <c r="F174" s="20">
        <f t="shared" ca="1" si="59"/>
        <v>3036.7871999999998</v>
      </c>
      <c r="G174" s="117">
        <f t="shared" ca="1" si="60"/>
        <v>7085.8368</v>
      </c>
      <c r="H174" s="20">
        <f ca="1">SUMIF(balanco_geracao_consumo[Ano],$B174,balanco_geracao_consumo[Injetado na rede])</f>
        <v>7115.528858347745</v>
      </c>
      <c r="I174" s="13">
        <f ca="1">SUMIF(balanco_geracao_consumo[Ano],$B174,balanco_geracao_consumo[Tarifa c/ FV])+($C$13*$C$5*((1+$C$11)^(B174-1)))</f>
        <v>2284.1980245950531</v>
      </c>
      <c r="J174" s="14">
        <f t="shared" ca="1" si="61"/>
        <v>10909.130372379284</v>
      </c>
      <c r="K174" s="14">
        <f t="shared" ca="1" si="62"/>
        <v>-2910.9724762284332</v>
      </c>
      <c r="L174" s="170">
        <f t="shared" ca="1" si="48"/>
        <v>10485.515544386086</v>
      </c>
      <c r="M174" s="170">
        <f t="shared" ca="1" si="63"/>
        <v>-3523.2127385626573</v>
      </c>
      <c r="N174" s="13">
        <f t="shared" ca="1" si="49"/>
        <v>-2910.9724762284332</v>
      </c>
      <c r="O174" s="13" t="str">
        <f t="shared" ca="1" si="50"/>
        <v/>
      </c>
      <c r="P174" s="14">
        <f t="shared" si="64"/>
        <v>24339.181839999994</v>
      </c>
      <c r="Q174" s="14">
        <f t="shared" si="65"/>
        <v>24067.650301600002</v>
      </c>
      <c r="S174" s="15" t="s">
        <v>2267</v>
      </c>
      <c r="T174" s="17">
        <f ca="1">NPV($T$171,$J$173:$J$197)/-$J$172</f>
        <v>14.84970209004063</v>
      </c>
      <c r="V174" t="s">
        <v>2268</v>
      </c>
      <c r="W174" t="s">
        <v>2269</v>
      </c>
      <c r="X174" t="s">
        <v>2270</v>
      </c>
      <c r="Z174" s="202">
        <f t="shared" si="51"/>
        <v>2</v>
      </c>
      <c r="AA174" s="203">
        <f t="shared" ca="1" si="66"/>
        <v>10122.624</v>
      </c>
      <c r="AB174" s="204">
        <f t="shared" ca="1" si="52"/>
        <v>13193.328396974337</v>
      </c>
      <c r="AC174" s="205">
        <f t="shared" ca="1" si="67"/>
        <v>10142.092175106709</v>
      </c>
      <c r="AD174" s="204">
        <f t="shared" ca="1" si="68"/>
        <v>2284.1980245950531</v>
      </c>
      <c r="AE174" s="736">
        <f t="shared" ca="1" si="54"/>
        <v>10909.130372379284</v>
      </c>
      <c r="AF174" s="737">
        <f t="shared" ca="1" si="55"/>
        <v>-2910.9724762284332</v>
      </c>
      <c r="AH174" s="793"/>
      <c r="AI174" s="793"/>
      <c r="AJ174" s="793"/>
      <c r="AK174" s="793"/>
      <c r="AM174" s="15" t="s">
        <v>2267</v>
      </c>
      <c r="AN174" s="17">
        <f ca="1">NPV($T$171,$AQ$173:$AQ$197)/-$AQ$172</f>
        <v>15.685917950952495</v>
      </c>
      <c r="AP174" s="13">
        <f ca="1">SUMIF(balanco_geracao_consumo[Ano],$B174,balanco_geracao_consumo[Tarifa c/ D.A.])+($C$13*$C$5*((1+$C$11)^(B174-1)))</f>
        <v>2672.4517871503831</v>
      </c>
      <c r="AQ174" s="14">
        <f t="shared" ca="1" si="69"/>
        <v>10520.876609823954</v>
      </c>
      <c r="AR174" s="14">
        <f t="shared" ca="1" si="70"/>
        <v>-3407.7727274534409</v>
      </c>
      <c r="AS174" s="170">
        <f t="shared" ca="1" si="56"/>
        <v>10112.338148619718</v>
      </c>
      <c r="AT174" s="170">
        <f t="shared" ca="1" si="71"/>
        <v>-4002.8082604757674</v>
      </c>
      <c r="AU174" s="13">
        <f t="shared" ca="1" si="57"/>
        <v>-3407.7727274534409</v>
      </c>
      <c r="AV174" s="13" t="str">
        <f t="shared" ca="1" si="58"/>
        <v/>
      </c>
      <c r="AW174" s="14">
        <f t="shared" si="72"/>
        <v>24339.181839999994</v>
      </c>
      <c r="AX174" s="14">
        <f t="shared" si="73"/>
        <v>24067.650301600002</v>
      </c>
      <c r="AZ174">
        <v>2</v>
      </c>
      <c r="BA174" s="14">
        <f t="shared" ca="1" si="74"/>
        <v>10909.130372379284</v>
      </c>
      <c r="BB174" s="14">
        <f t="shared" ca="1" si="75"/>
        <v>-5710.972476228435</v>
      </c>
      <c r="BC174" s="14">
        <f t="shared" ref="BC174:BC197" ca="1" si="79">D174-I174</f>
        <v>10909.130372379284</v>
      </c>
      <c r="BD174" s="14">
        <f t="shared" ca="1" si="76"/>
        <v>-18110.972476228435</v>
      </c>
    </row>
    <row r="175" spans="1:59">
      <c r="B175">
        <v>3</v>
      </c>
      <c r="C175">
        <f t="shared" ca="1" si="77"/>
        <v>10122.624</v>
      </c>
      <c r="D175" s="13">
        <f ca="1">SUMIF(balanco_geracao_consumo[Ano],$B175,balanco_geracao_consumo[Tarifa Final])</f>
        <v>14512.661236671775</v>
      </c>
      <c r="E175" s="20">
        <f t="shared" ca="1" si="78"/>
        <v>10060.955437705856</v>
      </c>
      <c r="F175" s="20">
        <f t="shared" ca="1" si="59"/>
        <v>3036.7871999999998</v>
      </c>
      <c r="G175" s="117">
        <f t="shared" ca="1" si="60"/>
        <v>7085.8368</v>
      </c>
      <c r="H175" s="20">
        <f ca="1">SUMIF(balanco_geracao_consumo[Ano],$B175,balanco_geracao_consumo[Injetado na rede])</f>
        <v>7044.4626459393094</v>
      </c>
      <c r="I175" s="13">
        <f ca="1">SUMIF(balanco_geracao_consumo[Ano],$B175,balanco_geracao_consumo[Tarifa c/ FV])+($C$13*$C$5*((1+$C$11)^(B175-1)))</f>
        <v>2739.2077328293753</v>
      </c>
      <c r="J175" s="14">
        <f t="shared" ca="1" si="61"/>
        <v>11773.4535038424</v>
      </c>
      <c r="K175" s="14">
        <f t="shared" ca="1" si="62"/>
        <v>8862.4810276139669</v>
      </c>
      <c r="L175" s="170">
        <f t="shared" ca="1" si="48"/>
        <v>11094.388191421853</v>
      </c>
      <c r="M175" s="170">
        <f t="shared" ca="1" si="63"/>
        <v>7571.1754528591955</v>
      </c>
      <c r="N175" s="13" t="str">
        <f t="shared" ca="1" si="49"/>
        <v/>
      </c>
      <c r="O175" s="13">
        <f t="shared" ca="1" si="50"/>
        <v>8862.4810276139669</v>
      </c>
      <c r="P175" s="14">
        <f t="shared" si="64"/>
        <v>24801.626294959991</v>
      </c>
      <c r="Q175" s="14">
        <f t="shared" si="65"/>
        <v>24387.750050611285</v>
      </c>
      <c r="S175" s="15" t="s">
        <v>2271</v>
      </c>
      <c r="T175" s="17">
        <f ca="1">MATCH(0,K172:K197,1)-1+(-INDEX(K172:K197,MATCH(0,K172:K197,1))/INDEX(J172:J197,MATCH(0,K172:K197,1)+1))</f>
        <v>2.2472488191573019</v>
      </c>
      <c r="U175" s="17"/>
      <c r="V175" s="20">
        <f ca="1">ROUNDDOWN(T175,0)</f>
        <v>2</v>
      </c>
      <c r="W175" s="20">
        <f ca="1">ROUNDDOWN((T175-V175)*12,0)</f>
        <v>2</v>
      </c>
      <c r="X175">
        <f ca="1">ROUNDUP((((T175-V175)*12)-ROUNDDOWN((T175-V175)*12,0))*30,0)</f>
        <v>30</v>
      </c>
      <c r="Z175" s="202">
        <f t="shared" si="51"/>
        <v>3</v>
      </c>
      <c r="AA175" s="203">
        <f t="shared" ca="1" si="66"/>
        <v>10122.624</v>
      </c>
      <c r="AB175" s="204">
        <f t="shared" ca="1" si="52"/>
        <v>14512.661236671775</v>
      </c>
      <c r="AC175" s="205">
        <f t="shared" ca="1" si="67"/>
        <v>10060.955437705856</v>
      </c>
      <c r="AD175" s="204">
        <f t="shared" ca="1" si="68"/>
        <v>2739.2077328293753</v>
      </c>
      <c r="AE175" s="736">
        <f t="shared" ca="1" si="54"/>
        <v>11773.4535038424</v>
      </c>
      <c r="AF175" s="737">
        <f t="shared" ca="1" si="55"/>
        <v>8862.4810276139669</v>
      </c>
      <c r="AM175" s="15" t="s">
        <v>2271</v>
      </c>
      <c r="AN175" s="17">
        <f ca="1">MATCH(0,AR172:AR197,1)-1+(-INDEX(AR172:AR197,MATCH(0,AR172:AR197,1))/INDEX(AQ172:AQ197,MATCH(0,AR172:AR197,1)+1))</f>
        <v>2.2944597985193642</v>
      </c>
      <c r="AP175" s="13">
        <f ca="1">SUMIF(balanco_geracao_consumo[Ano],$B175,balanco_geracao_consumo[Tarifa c/ D.A.])+($C$13*$C$5*((1+$C$11)^(B175-1)))</f>
        <v>2939.6969658654225</v>
      </c>
      <c r="AQ175" s="14">
        <f t="shared" ca="1" si="69"/>
        <v>11572.964270806351</v>
      </c>
      <c r="AR175" s="14">
        <f t="shared" ca="1" si="70"/>
        <v>8165.1915433529102</v>
      </c>
      <c r="AS175" s="170">
        <f t="shared" ca="1" si="56"/>
        <v>10905.462709295776</v>
      </c>
      <c r="AT175" s="170">
        <f t="shared" ca="1" si="71"/>
        <v>6902.6544488200088</v>
      </c>
      <c r="AU175" s="13" t="str">
        <f t="shared" ca="1" si="57"/>
        <v/>
      </c>
      <c r="AV175" s="13">
        <f t="shared" ca="1" si="58"/>
        <v>8165.1915433529102</v>
      </c>
      <c r="AW175" s="14">
        <f t="shared" si="72"/>
        <v>24801.626294959991</v>
      </c>
      <c r="AX175" s="14">
        <f t="shared" si="73"/>
        <v>24387.750050611285</v>
      </c>
      <c r="AZ175">
        <v>3</v>
      </c>
      <c r="BA175" s="14">
        <f t="shared" ca="1" si="74"/>
        <v>11773.4535038424</v>
      </c>
      <c r="BB175" s="14">
        <f t="shared" ca="1" si="75"/>
        <v>6062.4810276139651</v>
      </c>
      <c r="BC175" s="14">
        <f t="shared" ca="1" si="79"/>
        <v>11773.4535038424</v>
      </c>
      <c r="BD175" s="14">
        <f t="shared" ca="1" si="76"/>
        <v>-6337.5189723860349</v>
      </c>
    </row>
    <row r="176" spans="1:59">
      <c r="B176">
        <v>4</v>
      </c>
      <c r="C176">
        <f t="shared" ca="1" si="77"/>
        <v>10122.624</v>
      </c>
      <c r="D176" s="13">
        <f ca="1">SUMIF(balanco_geracao_consumo[Ano],$B176,balanco_geracao_consumo[Tarifa Final])</f>
        <v>15963.927360338956</v>
      </c>
      <c r="E176" s="20">
        <f t="shared" ca="1" si="78"/>
        <v>9980.467794204209</v>
      </c>
      <c r="F176" s="20">
        <f t="shared" ca="1" si="59"/>
        <v>3036.7871999999998</v>
      </c>
      <c r="G176" s="117">
        <f t="shared" ca="1" si="60"/>
        <v>7085.8368</v>
      </c>
      <c r="H176" s="20">
        <f ca="1">SUMIF(balanco_geracao_consumo[Ano],$B176,balanco_geracao_consumo[Injetado na rede])</f>
        <v>6973.8938970177351</v>
      </c>
      <c r="I176" s="13">
        <f ca="1">SUMIF(balanco_geracao_consumo[Ano],$B176,balanco_geracao_consumo[Tarifa c/ FV])+($C$13*$C$5*((1+$C$11)^(B176-1)))</f>
        <v>3318.8674313062211</v>
      </c>
      <c r="J176" s="14">
        <f t="shared" ca="1" si="61"/>
        <v>12645.059929032734</v>
      </c>
      <c r="K176" s="14">
        <f t="shared" ca="1" si="62"/>
        <v>21507.540956646699</v>
      </c>
      <c r="L176" s="170">
        <f t="shared" ca="1" si="48"/>
        <v>11682.080777268049</v>
      </c>
      <c r="M176" s="170">
        <f t="shared" ca="1" si="63"/>
        <v>19253.256230127245</v>
      </c>
      <c r="N176" s="13" t="str">
        <f t="shared" ca="1" si="49"/>
        <v/>
      </c>
      <c r="O176" s="13">
        <f t="shared" ca="1" si="50"/>
        <v>21507.540956646699</v>
      </c>
      <c r="P176" s="14">
        <f t="shared" si="64"/>
        <v>25272.857194564229</v>
      </c>
      <c r="Q176" s="14">
        <f t="shared" si="65"/>
        <v>24712.107126284416</v>
      </c>
      <c r="S176" s="15" t="s">
        <v>2272</v>
      </c>
      <c r="T176" s="17">
        <f ca="1">MATCH(0,M172:M197,1)-1+(-INDEX(M172:M197,MATCH(0,M172:M197,1))/INDEX(L172:L197,MATCH(0,M172:M197,1)+1))</f>
        <v>2.3175671048978432</v>
      </c>
      <c r="Z176" s="202">
        <f t="shared" si="51"/>
        <v>4</v>
      </c>
      <c r="AA176" s="203">
        <f t="shared" ca="1" si="66"/>
        <v>10122.624</v>
      </c>
      <c r="AB176" s="204">
        <f t="shared" ca="1" si="52"/>
        <v>15963.927360338956</v>
      </c>
      <c r="AC176" s="205">
        <f t="shared" ca="1" si="67"/>
        <v>9980.467794204209</v>
      </c>
      <c r="AD176" s="204">
        <f t="shared" ca="1" si="68"/>
        <v>3318.8674313062211</v>
      </c>
      <c r="AE176" s="736">
        <f t="shared" ca="1" si="54"/>
        <v>12645.059929032734</v>
      </c>
      <c r="AF176" s="737">
        <f t="shared" ca="1" si="55"/>
        <v>21507.540956646699</v>
      </c>
      <c r="AM176" s="15" t="s">
        <v>2272</v>
      </c>
      <c r="AN176" s="17">
        <f ca="1">MATCH(0,AT172:AT197,1)-1+(-INDEX(AT172:AT197,MATCH(0,AT172:AT197,1))/INDEX(AS172:AS197,MATCH(0,AT172:AT197,1)+1))</f>
        <v>2.3670461645853678</v>
      </c>
      <c r="AP176" s="13">
        <f ca="1">SUMIF(balanco_geracao_consumo[Ano],$B176,balanco_geracao_consumo[Tarifa c/ D.A.])+($C$13*$C$5*((1+$C$11)^(B176-1)))</f>
        <v>3233.6666624519653</v>
      </c>
      <c r="AQ176" s="14">
        <f t="shared" ca="1" si="69"/>
        <v>12730.26069788699</v>
      </c>
      <c r="AR176" s="14">
        <f t="shared" ca="1" si="70"/>
        <v>20895.452241239902</v>
      </c>
      <c r="AS176" s="170">
        <f t="shared" ca="1" si="56"/>
        <v>11760.793117867997</v>
      </c>
      <c r="AT176" s="170">
        <f t="shared" ca="1" si="71"/>
        <v>18663.447566688006</v>
      </c>
      <c r="AU176" s="13" t="str">
        <f t="shared" ca="1" si="57"/>
        <v/>
      </c>
      <c r="AV176" s="13">
        <f t="shared" ca="1" si="58"/>
        <v>20895.452241239902</v>
      </c>
      <c r="AW176" s="14">
        <f t="shared" si="72"/>
        <v>25272.857194564229</v>
      </c>
      <c r="AX176" s="14">
        <f t="shared" si="73"/>
        <v>24712.107126284416</v>
      </c>
      <c r="AZ176">
        <v>4</v>
      </c>
      <c r="BA176" s="14">
        <f t="shared" ca="1" si="74"/>
        <v>12645.059929032734</v>
      </c>
      <c r="BB176" s="14">
        <f t="shared" ca="1" si="75"/>
        <v>18707.540956646699</v>
      </c>
      <c r="BC176" s="14">
        <f t="shared" ca="1" si="79"/>
        <v>12645.059929032734</v>
      </c>
      <c r="BD176" s="14">
        <f t="shared" ca="1" si="76"/>
        <v>6307.5409566466988</v>
      </c>
    </row>
    <row r="177" spans="2:56">
      <c r="B177">
        <v>5</v>
      </c>
      <c r="C177">
        <f t="shared" ca="1" si="77"/>
        <v>10122.624</v>
      </c>
      <c r="D177" s="13">
        <f ca="1">SUMIF(balanco_geracao_consumo[Ano],$B177,balanco_geracao_consumo[Tarifa Final])</f>
        <v>17560.320096372852</v>
      </c>
      <c r="E177" s="20">
        <f t="shared" ca="1" si="78"/>
        <v>9900.6240518505747</v>
      </c>
      <c r="F177" s="20">
        <f t="shared" ca="1" si="59"/>
        <v>3036.7871999999998</v>
      </c>
      <c r="G177" s="117">
        <f t="shared" ca="1" si="60"/>
        <v>7085.8368</v>
      </c>
      <c r="H177" s="20">
        <f ca="1">SUMIF(balanco_geracao_consumo[Ano],$B177,balanco_geracao_consumo[Injetado na rede])</f>
        <v>6903.8191293386099</v>
      </c>
      <c r="I177" s="13">
        <f ca="1">SUMIF(balanco_geracao_consumo[Ano],$B177,balanco_geracao_consumo[Tarifa c/ FV])+($C$13*$C$5*((1+$C$11)^(B177-1)))</f>
        <v>4005.6187505062489</v>
      </c>
      <c r="J177" s="14">
        <f t="shared" ca="1" si="61"/>
        <v>13554.701345866604</v>
      </c>
      <c r="K177" s="14">
        <f t="shared" ca="1" si="62"/>
        <v>35062.242302513303</v>
      </c>
      <c r="L177" s="170">
        <f t="shared" ca="1" si="48"/>
        <v>12276.91062699441</v>
      </c>
      <c r="M177" s="170">
        <f t="shared" ca="1" si="63"/>
        <v>31530.166857121654</v>
      </c>
      <c r="N177" s="13" t="str">
        <f t="shared" ca="1" si="49"/>
        <v/>
      </c>
      <c r="O177" s="13">
        <f t="shared" ca="1" si="50"/>
        <v>35062.242302513303</v>
      </c>
      <c r="P177" s="14">
        <f t="shared" si="64"/>
        <v>25753.041481260945</v>
      </c>
      <c r="Q177" s="14">
        <f t="shared" si="65"/>
        <v>25040.778151064002</v>
      </c>
      <c r="S177" s="15"/>
      <c r="Z177" s="202">
        <f t="shared" si="51"/>
        <v>5</v>
      </c>
      <c r="AA177" s="203">
        <f t="shared" ca="1" si="66"/>
        <v>10122.624</v>
      </c>
      <c r="AB177" s="204">
        <f t="shared" ca="1" si="52"/>
        <v>17560.320096372852</v>
      </c>
      <c r="AC177" s="205">
        <f t="shared" ca="1" si="67"/>
        <v>9900.6240518505747</v>
      </c>
      <c r="AD177" s="204">
        <f t="shared" ca="1" si="68"/>
        <v>4005.6187505062489</v>
      </c>
      <c r="AE177" s="736">
        <f t="shared" ca="1" si="54"/>
        <v>13554.701345866604</v>
      </c>
      <c r="AF177" s="737">
        <f t="shared" ca="1" si="55"/>
        <v>35062.242302513303</v>
      </c>
      <c r="AP177" s="13">
        <f ca="1">SUMIF(balanco_geracao_consumo[Ano],$B177,balanco_geracao_consumo[Tarifa c/ D.A.])+($C$13*$C$5*((1+$C$11)^(B177-1)))</f>
        <v>3557.0333286971609</v>
      </c>
      <c r="AQ177" s="14">
        <f t="shared" ca="1" si="69"/>
        <v>14003.28676767569</v>
      </c>
      <c r="AR177" s="14">
        <f t="shared" ca="1" si="70"/>
        <v>34898.739008915596</v>
      </c>
      <c r="AS177" s="170">
        <f t="shared" ca="1" si="56"/>
        <v>12683.208264367448</v>
      </c>
      <c r="AT177" s="170">
        <f t="shared" ca="1" si="71"/>
        <v>31346.655831055454</v>
      </c>
      <c r="AU177" s="13" t="str">
        <f t="shared" ca="1" si="57"/>
        <v/>
      </c>
      <c r="AV177" s="13">
        <f t="shared" ca="1" si="58"/>
        <v>34898.739008915596</v>
      </c>
      <c r="AW177" s="14">
        <f t="shared" si="72"/>
        <v>25753.041481260945</v>
      </c>
      <c r="AX177" s="14">
        <f t="shared" si="73"/>
        <v>25040.778151064002</v>
      </c>
      <c r="AZ177">
        <v>5</v>
      </c>
      <c r="BA177" s="14">
        <f t="shared" ca="1" si="74"/>
        <v>13554.701345866604</v>
      </c>
      <c r="BB177" s="14">
        <f t="shared" ca="1" si="75"/>
        <v>32262.242302513303</v>
      </c>
      <c r="BC177" s="14">
        <f t="shared" ca="1" si="79"/>
        <v>13554.701345866604</v>
      </c>
      <c r="BD177" s="14">
        <f t="shared" ca="1" si="76"/>
        <v>19862.242302513303</v>
      </c>
    </row>
    <row r="178" spans="2:56">
      <c r="B178">
        <v>6</v>
      </c>
      <c r="C178">
        <f t="shared" ca="1" si="77"/>
        <v>10122.624</v>
      </c>
      <c r="D178" s="13">
        <f ca="1">SUMIF(balanco_geracao_consumo[Ano],$B178,balanco_geracao_consumo[Tarifa Final])</f>
        <v>19316.352106010138</v>
      </c>
      <c r="E178" s="20">
        <f t="shared" ca="1" si="78"/>
        <v>9821.4190594357697</v>
      </c>
      <c r="F178" s="20">
        <f t="shared" ca="1" si="59"/>
        <v>3036.7871999999998</v>
      </c>
      <c r="G178" s="117">
        <f t="shared" ca="1" si="60"/>
        <v>7085.8368</v>
      </c>
      <c r="H178" s="20">
        <f ca="1">SUMIF(balanco_geracao_consumo[Ano],$B178,balanco_geracao_consumo[Injetado na rede])</f>
        <v>6834.234885033241</v>
      </c>
      <c r="I178" s="13">
        <f ca="1">SUMIF(balanco_geracao_consumo[Ano],$B178,balanco_geracao_consumo[Tarifa c/ FV])+($C$13*$C$5*((1+$C$11)^(B178-1)))</f>
        <v>4497.6518745287558</v>
      </c>
      <c r="J178" s="14">
        <f t="shared" ca="1" si="61"/>
        <v>14818.700231481382</v>
      </c>
      <c r="K178" s="14">
        <f t="shared" ca="1" si="62"/>
        <v>49880.942533994683</v>
      </c>
      <c r="L178" s="170">
        <f t="shared" ca="1" si="48"/>
        <v>13158.581726751367</v>
      </c>
      <c r="M178" s="170">
        <f t="shared" ca="1" si="63"/>
        <v>44688.748583873021</v>
      </c>
      <c r="N178" s="13" t="str">
        <f t="shared" ca="1" si="49"/>
        <v/>
      </c>
      <c r="O178" s="13">
        <f t="shared" ca="1" si="50"/>
        <v>49880.942533994683</v>
      </c>
      <c r="P178" s="14">
        <f t="shared" si="64"/>
        <v>26242.349269404902</v>
      </c>
      <c r="Q178" s="14">
        <f t="shared" si="65"/>
        <v>25373.820500473154</v>
      </c>
      <c r="S178" s="15" t="s">
        <v>2273</v>
      </c>
      <c r="Z178" s="202">
        <f t="shared" si="51"/>
        <v>6</v>
      </c>
      <c r="AA178" s="203">
        <f t="shared" ca="1" si="66"/>
        <v>10122.624</v>
      </c>
      <c r="AB178" s="204">
        <f t="shared" ca="1" si="52"/>
        <v>19316.352106010138</v>
      </c>
      <c r="AC178" s="205">
        <f t="shared" ca="1" si="67"/>
        <v>9821.4190594357697</v>
      </c>
      <c r="AD178" s="204">
        <f t="shared" ca="1" si="68"/>
        <v>4497.6518745287558</v>
      </c>
      <c r="AE178" s="736">
        <f t="shared" ca="1" si="54"/>
        <v>14818.700231481382</v>
      </c>
      <c r="AF178" s="737">
        <f t="shared" ca="1" si="55"/>
        <v>49880.942533994683</v>
      </c>
      <c r="AP178" s="13">
        <f ca="1">SUMIF(balanco_geracao_consumo[Ano],$B178,balanco_geracao_consumo[Tarifa c/ D.A.])+($C$13*$C$5*((1+$C$11)^(B178-1)))</f>
        <v>3912.736661566878</v>
      </c>
      <c r="AQ178" s="14">
        <f t="shared" ca="1" si="69"/>
        <v>15403.61544444326</v>
      </c>
      <c r="AR178" s="14">
        <f t="shared" ca="1" si="70"/>
        <v>50302.354453358857</v>
      </c>
      <c r="AS178" s="170">
        <f t="shared" ca="1" si="56"/>
        <v>13677.969696866856</v>
      </c>
      <c r="AT178" s="170">
        <f t="shared" ca="1" si="71"/>
        <v>45024.625527922311</v>
      </c>
      <c r="AU178" s="13" t="str">
        <f t="shared" ca="1" si="57"/>
        <v/>
      </c>
      <c r="AV178" s="13">
        <f t="shared" ca="1" si="58"/>
        <v>50302.354453358857</v>
      </c>
      <c r="AW178" s="14">
        <f t="shared" si="72"/>
        <v>26242.349269404902</v>
      </c>
      <c r="AX178" s="14">
        <f t="shared" si="73"/>
        <v>25373.820500473154</v>
      </c>
      <c r="AZ178">
        <v>6</v>
      </c>
      <c r="BA178" s="14">
        <f t="shared" ca="1" si="74"/>
        <v>14818.700231481382</v>
      </c>
      <c r="BB178" s="14">
        <f t="shared" ca="1" si="75"/>
        <v>47080.942533994683</v>
      </c>
      <c r="BC178" s="14">
        <f t="shared" ca="1" si="79"/>
        <v>14818.700231481382</v>
      </c>
      <c r="BD178" s="14">
        <f t="shared" ca="1" si="76"/>
        <v>34680.942533994683</v>
      </c>
    </row>
    <row r="179" spans="2:56">
      <c r="B179">
        <v>7</v>
      </c>
      <c r="C179">
        <f t="shared" ca="1" si="77"/>
        <v>10122.624</v>
      </c>
      <c r="D179" s="13">
        <f ca="1">SUMIF(balanco_geracao_consumo[Ano],$B179,balanco_geracao_consumo[Tarifa Final])</f>
        <v>21247.98731661115</v>
      </c>
      <c r="E179" s="20">
        <f t="shared" ca="1" si="78"/>
        <v>9742.8477069602832</v>
      </c>
      <c r="F179" s="20">
        <f t="shared" ca="1" si="59"/>
        <v>3036.7871999999998</v>
      </c>
      <c r="G179" s="117">
        <f t="shared" ca="1" si="60"/>
        <v>7085.8368</v>
      </c>
      <c r="H179" s="20">
        <f ca="1">SUMIF(balanco_geracao_consumo[Ano],$B179,balanco_geracao_consumo[Injetado na rede])</f>
        <v>6765.1377304380076</v>
      </c>
      <c r="I179" s="13">
        <f ca="1">SUMIF(balanco_geracao_consumo[Ano],$B179,balanco_geracao_consumo[Tarifa c/ FV])+($C$13*$C$5*((1+$C$11)^(B179-1)))</f>
        <v>5047.3311072336146</v>
      </c>
      <c r="J179" s="14">
        <f t="shared" ca="1" si="61"/>
        <v>16200.656209377536</v>
      </c>
      <c r="K179" s="14">
        <f t="shared" ca="1" si="62"/>
        <v>66081.598743372218</v>
      </c>
      <c r="L179" s="170">
        <f t="shared" ca="1" si="48"/>
        <v>14103.646163298321</v>
      </c>
      <c r="M179" s="170">
        <f t="shared" ca="1" si="63"/>
        <v>58792.39474717134</v>
      </c>
      <c r="N179" s="13" t="str">
        <f t="shared" ca="1" si="49"/>
        <v/>
      </c>
      <c r="O179" s="13">
        <f t="shared" ca="1" si="50"/>
        <v>66081.598743372218</v>
      </c>
      <c r="P179" s="14">
        <f t="shared" si="64"/>
        <v>26740.953905523591</v>
      </c>
      <c r="Q179" s="14">
        <f t="shared" si="65"/>
        <v>25711.292313129448</v>
      </c>
      <c r="S179" s="15" t="s">
        <v>2253</v>
      </c>
      <c r="T179" s="12">
        <v>1.9E-2</v>
      </c>
      <c r="Z179" s="202">
        <f t="shared" si="51"/>
        <v>7</v>
      </c>
      <c r="AA179" s="203">
        <f t="shared" ca="1" si="66"/>
        <v>10122.624</v>
      </c>
      <c r="AB179" s="204">
        <f t="shared" ca="1" si="52"/>
        <v>21247.98731661115</v>
      </c>
      <c r="AC179" s="205">
        <f t="shared" ca="1" si="67"/>
        <v>9742.8477069602832</v>
      </c>
      <c r="AD179" s="204">
        <f t="shared" ca="1" si="68"/>
        <v>5047.3311072336146</v>
      </c>
      <c r="AE179" s="736">
        <f t="shared" ca="1" si="54"/>
        <v>16200.656209377536</v>
      </c>
      <c r="AF179" s="737">
        <f t="shared" ca="1" si="55"/>
        <v>66081.598743372218</v>
      </c>
      <c r="AP179" s="13">
        <f ca="1">SUMIF(balanco_geracao_consumo[Ano],$B179,balanco_geracao_consumo[Tarifa c/ D.A.])+($C$13*$C$5*((1+$C$11)^(B179-1)))</f>
        <v>4304.0103277235648</v>
      </c>
      <c r="AQ179" s="14">
        <f t="shared" ca="1" si="69"/>
        <v>16943.976988887585</v>
      </c>
      <c r="AR179" s="14">
        <f t="shared" ca="1" si="70"/>
        <v>67246.331442246446</v>
      </c>
      <c r="AS179" s="170">
        <f t="shared" ca="1" si="56"/>
        <v>14750.751633876023</v>
      </c>
      <c r="AT179" s="170">
        <f t="shared" ca="1" si="71"/>
        <v>59775.377161798337</v>
      </c>
      <c r="AU179" s="13" t="str">
        <f t="shared" ca="1" si="57"/>
        <v/>
      </c>
      <c r="AV179" s="13">
        <f t="shared" ca="1" si="58"/>
        <v>67246.331442246446</v>
      </c>
      <c r="AW179" s="14">
        <f t="shared" si="72"/>
        <v>26740.953905523591</v>
      </c>
      <c r="AX179" s="14">
        <f t="shared" si="73"/>
        <v>25711.292313129448</v>
      </c>
      <c r="AZ179">
        <v>7</v>
      </c>
      <c r="BA179" s="14">
        <f t="shared" ca="1" si="74"/>
        <v>16200.656209377536</v>
      </c>
      <c r="BB179" s="14">
        <f t="shared" ca="1" si="75"/>
        <v>63281.598743372218</v>
      </c>
      <c r="BC179" s="14">
        <f t="shared" ca="1" si="79"/>
        <v>16200.656209377536</v>
      </c>
      <c r="BD179" s="14">
        <f t="shared" ca="1" si="76"/>
        <v>50881.598743372218</v>
      </c>
    </row>
    <row r="180" spans="2:56">
      <c r="B180">
        <v>8</v>
      </c>
      <c r="C180">
        <f t="shared" ca="1" si="77"/>
        <v>10122.624</v>
      </c>
      <c r="D180" s="13">
        <f ca="1">SUMIF(balanco_geracao_consumo[Ano],$B180,balanco_geracao_consumo[Tarifa Final])</f>
        <v>23372.786048272272</v>
      </c>
      <c r="E180" s="20">
        <f t="shared" ca="1" si="78"/>
        <v>9664.9049253046014</v>
      </c>
      <c r="F180" s="20">
        <f t="shared" ca="1" si="59"/>
        <v>3036.7871999999998</v>
      </c>
      <c r="G180" s="117">
        <f t="shared" ca="1" si="60"/>
        <v>7085.8368</v>
      </c>
      <c r="H180" s="20">
        <f ca="1">SUMIF(balanco_geracao_consumo[Ano],$B180,balanco_geracao_consumo[Injetado na rede])</f>
        <v>6696.52425592494</v>
      </c>
      <c r="I180" s="13">
        <f ca="1">SUMIF(balanco_geracao_consumo[Ano],$B180,balanco_geracao_consumo[Tarifa c/ FV])+($C$13*$C$5*((1+$C$11)^(B180-1)))</f>
        <v>5661.2003295857203</v>
      </c>
      <c r="J180" s="14">
        <f t="shared" ca="1" si="61"/>
        <v>17711.585718686551</v>
      </c>
      <c r="K180" s="14">
        <f t="shared" ca="1" si="62"/>
        <v>83793.184462058765</v>
      </c>
      <c r="L180" s="170">
        <f t="shared" ca="1" si="48"/>
        <v>15116.667869407263</v>
      </c>
      <c r="M180" s="170">
        <f t="shared" ca="1" si="63"/>
        <v>73909.062616578609</v>
      </c>
      <c r="N180" s="13" t="str">
        <f t="shared" ca="1" si="49"/>
        <v/>
      </c>
      <c r="O180" s="13">
        <f t="shared" ca="1" si="50"/>
        <v>83793.184462058765</v>
      </c>
      <c r="P180" s="14">
        <f t="shared" si="64"/>
        <v>27249.032029728536</v>
      </c>
      <c r="Q180" s="14">
        <f t="shared" si="65"/>
        <v>26053.252500894072</v>
      </c>
      <c r="S180" s="15" t="s">
        <v>2254</v>
      </c>
      <c r="T180" s="23">
        <f>0.7*T179</f>
        <v>1.3299999999999999E-2</v>
      </c>
      <c r="Z180" s="202">
        <f t="shared" si="51"/>
        <v>8</v>
      </c>
      <c r="AA180" s="203">
        <f t="shared" ca="1" si="66"/>
        <v>10122.624</v>
      </c>
      <c r="AB180" s="204">
        <f t="shared" ca="1" si="52"/>
        <v>23372.786048272272</v>
      </c>
      <c r="AC180" s="205">
        <f t="shared" ca="1" si="67"/>
        <v>9664.9049253046014</v>
      </c>
      <c r="AD180" s="204">
        <f t="shared" ca="1" si="68"/>
        <v>5661.2003295857203</v>
      </c>
      <c r="AE180" s="736">
        <f t="shared" ca="1" si="54"/>
        <v>17711.585718686551</v>
      </c>
      <c r="AF180" s="737">
        <f t="shared" ca="1" si="55"/>
        <v>83793.184462058765</v>
      </c>
      <c r="AP180" s="13">
        <f ca="1">SUMIF(balanco_geracao_consumo[Ano],$B180,balanco_geracao_consumo[Tarifa c/ D.A.])+($C$13*$C$5*((1+$C$11)^(B180-1)))</f>
        <v>4734.4113604959248</v>
      </c>
      <c r="AQ180" s="14">
        <f t="shared" ca="1" si="69"/>
        <v>18638.374687776348</v>
      </c>
      <c r="AR180" s="14">
        <f t="shared" ca="1" si="70"/>
        <v>85884.706130022794</v>
      </c>
      <c r="AS180" s="170">
        <f t="shared" ca="1" si="56"/>
        <v>15907.673330650616</v>
      </c>
      <c r="AT180" s="170">
        <f t="shared" ca="1" si="71"/>
        <v>75683.050492448951</v>
      </c>
      <c r="AU180" s="13" t="str">
        <f t="shared" ca="1" si="57"/>
        <v/>
      </c>
      <c r="AV180" s="13">
        <f t="shared" ca="1" si="58"/>
        <v>85884.706130022794</v>
      </c>
      <c r="AW180" s="14">
        <f t="shared" si="72"/>
        <v>27249.032029728536</v>
      </c>
      <c r="AX180" s="14">
        <f t="shared" si="73"/>
        <v>26053.252500894072</v>
      </c>
      <c r="AZ180">
        <v>8</v>
      </c>
      <c r="BA180" s="14">
        <f t="shared" ca="1" si="74"/>
        <v>17711.585718686551</v>
      </c>
      <c r="BB180" s="14">
        <f t="shared" ca="1" si="75"/>
        <v>80993.184462058765</v>
      </c>
      <c r="BC180" s="14">
        <f t="shared" ca="1" si="79"/>
        <v>17711.585718686551</v>
      </c>
      <c r="BD180" s="14">
        <f t="shared" ca="1" si="76"/>
        <v>68593.184462058765</v>
      </c>
    </row>
    <row r="181" spans="2:56">
      <c r="B181">
        <v>9</v>
      </c>
      <c r="C181">
        <f t="shared" ca="1" si="77"/>
        <v>10122.624</v>
      </c>
      <c r="D181" s="13">
        <f ca="1">SUMIF(balanco_geracao_consumo[Ano],$B181,balanco_geracao_consumo[Tarifa Final])</f>
        <v>25710.064653099496</v>
      </c>
      <c r="E181" s="20">
        <f t="shared" ca="1" si="78"/>
        <v>9587.5856859021642</v>
      </c>
      <c r="F181" s="20">
        <f t="shared" ca="1" si="59"/>
        <v>3036.7871999999998</v>
      </c>
      <c r="G181" s="117">
        <f t="shared" ca="1" si="60"/>
        <v>7085.8368</v>
      </c>
      <c r="H181" s="20">
        <f ca="1">SUMIF(balanco_geracao_consumo[Ano],$B181,balanco_geracao_consumo[Injetado na rede])</f>
        <v>6628.3910757334652</v>
      </c>
      <c r="I181" s="13">
        <f ca="1">SUMIF(balanco_geracao_consumo[Ano],$B181,balanco_geracao_consumo[Tarifa c/ FV])+($C$13*$C$5*((1+$C$11)^(B181-1)))</f>
        <v>6346.5297372763662</v>
      </c>
      <c r="J181" s="14">
        <f t="shared" ca="1" si="61"/>
        <v>19363.534915823129</v>
      </c>
      <c r="K181" s="14">
        <f t="shared" ca="1" si="62"/>
        <v>103156.71937788189</v>
      </c>
      <c r="L181" s="170">
        <f t="shared" ca="1" si="48"/>
        <v>16202.539806724088</v>
      </c>
      <c r="M181" s="170">
        <f t="shared" ca="1" si="63"/>
        <v>90111.602423302698</v>
      </c>
      <c r="N181" s="13" t="str">
        <f t="shared" ca="1" si="49"/>
        <v/>
      </c>
      <c r="O181" s="13">
        <f t="shared" ca="1" si="50"/>
        <v>103156.71937788189</v>
      </c>
      <c r="P181" s="14">
        <f t="shared" si="64"/>
        <v>27766.763638293374</v>
      </c>
      <c r="Q181" s="14">
        <f t="shared" si="65"/>
        <v>26399.760759155964</v>
      </c>
      <c r="Z181" s="202">
        <f t="shared" si="51"/>
        <v>9</v>
      </c>
      <c r="AA181" s="203">
        <f t="shared" ca="1" si="66"/>
        <v>10122.624</v>
      </c>
      <c r="AB181" s="204">
        <f t="shared" ca="1" si="52"/>
        <v>25710.064653099496</v>
      </c>
      <c r="AC181" s="205">
        <f t="shared" ca="1" si="67"/>
        <v>9587.5856859021642</v>
      </c>
      <c r="AD181" s="204">
        <f t="shared" ca="1" si="68"/>
        <v>6346.5297372763662</v>
      </c>
      <c r="AE181" s="736">
        <f t="shared" ca="1" si="54"/>
        <v>19363.534915823129</v>
      </c>
      <c r="AF181" s="737">
        <f t="shared" ca="1" si="55"/>
        <v>103156.71937788189</v>
      </c>
      <c r="AP181" s="13">
        <f ca="1">SUMIF(balanco_geracao_consumo[Ano],$B181,balanco_geracao_consumo[Tarifa c/ D.A.])+($C$13*$C$5*((1+$C$11)^(B181-1)))</f>
        <v>5207.8524965455144</v>
      </c>
      <c r="AQ181" s="14">
        <f t="shared" ca="1" si="69"/>
        <v>20502.212156553982</v>
      </c>
      <c r="AR181" s="14">
        <f t="shared" ca="1" si="70"/>
        <v>106386.91828657678</v>
      </c>
      <c r="AS181" s="170">
        <f t="shared" ca="1" si="56"/>
        <v>17155.333984034976</v>
      </c>
      <c r="AT181" s="170">
        <f t="shared" ca="1" si="71"/>
        <v>92838.38447648393</v>
      </c>
      <c r="AU181" s="13" t="str">
        <f t="shared" ca="1" si="57"/>
        <v/>
      </c>
      <c r="AV181" s="13">
        <f t="shared" ca="1" si="58"/>
        <v>106386.91828657678</v>
      </c>
      <c r="AW181" s="14">
        <f t="shared" si="72"/>
        <v>27766.763638293374</v>
      </c>
      <c r="AX181" s="14">
        <f t="shared" si="73"/>
        <v>26399.760759155964</v>
      </c>
      <c r="AZ181">
        <v>9</v>
      </c>
      <c r="BA181" s="14">
        <f t="shared" ca="1" si="74"/>
        <v>19363.534915823129</v>
      </c>
      <c r="BB181" s="14">
        <f t="shared" ca="1" si="75"/>
        <v>100356.71937788189</v>
      </c>
      <c r="BC181" s="14">
        <f t="shared" ca="1" si="79"/>
        <v>19363.534915823129</v>
      </c>
      <c r="BD181" s="14">
        <f t="shared" ca="1" si="76"/>
        <v>87956.719377881891</v>
      </c>
    </row>
    <row r="182" spans="2:56">
      <c r="B182">
        <v>10</v>
      </c>
      <c r="C182">
        <f t="shared" ca="1" si="77"/>
        <v>10122.624</v>
      </c>
      <c r="D182" s="13">
        <f ca="1">SUMIF(balanco_geracao_consumo[Ano],$B182,balanco_geracao_consumo[Tarifa Final])</f>
        <v>28281.071118409443</v>
      </c>
      <c r="E182" s="20">
        <f t="shared" ca="1" si="78"/>
        <v>9510.8850004149463</v>
      </c>
      <c r="F182" s="20">
        <f t="shared" ca="1" si="59"/>
        <v>3036.7871999999998</v>
      </c>
      <c r="G182" s="117">
        <f t="shared" ca="1" si="60"/>
        <v>7085.8368</v>
      </c>
      <c r="H182" s="20">
        <f ca="1">SUMIF(balanco_geracao_consumo[Ano],$B182,balanco_geracao_consumo[Injetado na rede])</f>
        <v>6560.7348278033314</v>
      </c>
      <c r="I182" s="13">
        <f ca="1">SUMIF(balanco_geracao_consumo[Ano],$B182,balanco_geracao_consumo[Tarifa c/ FV])+($C$13*$C$5*((1+$C$11)^(B182-1)))</f>
        <v>7111.3951110238522</v>
      </c>
      <c r="J182" s="14">
        <f t="shared" ca="1" si="61"/>
        <v>21169.676007385591</v>
      </c>
      <c r="K182" s="14">
        <f t="shared" ca="1" si="62"/>
        <v>124326.39538526747</v>
      </c>
      <c r="L182" s="170">
        <f t="shared" ca="1" si="48"/>
        <v>17366.507721566635</v>
      </c>
      <c r="M182" s="170">
        <f t="shared" ca="1" si="63"/>
        <v>107478.11014486934</v>
      </c>
      <c r="N182" s="13" t="str">
        <f t="shared" ca="1" si="49"/>
        <v/>
      </c>
      <c r="O182" s="13">
        <f t="shared" ca="1" si="50"/>
        <v>124326.39538526747</v>
      </c>
      <c r="P182" s="14">
        <f t="shared" si="64"/>
        <v>28294.332147420944</v>
      </c>
      <c r="Q182" s="14">
        <f t="shared" si="65"/>
        <v>26750.877577252741</v>
      </c>
      <c r="S182" s="14" t="s">
        <v>2274</v>
      </c>
      <c r="Z182" s="202">
        <f t="shared" si="51"/>
        <v>10</v>
      </c>
      <c r="AA182" s="203">
        <f t="shared" ca="1" si="66"/>
        <v>10122.624</v>
      </c>
      <c r="AB182" s="204">
        <f t="shared" ca="1" si="52"/>
        <v>28281.071118409443</v>
      </c>
      <c r="AC182" s="205">
        <f t="shared" ca="1" si="67"/>
        <v>9510.8850004149463</v>
      </c>
      <c r="AD182" s="204">
        <f t="shared" ca="1" si="68"/>
        <v>7111.3951110238522</v>
      </c>
      <c r="AE182" s="736">
        <f t="shared" ca="1" si="54"/>
        <v>21169.676007385591</v>
      </c>
      <c r="AF182" s="737">
        <f t="shared" ca="1" si="55"/>
        <v>124326.39538526747</v>
      </c>
      <c r="AP182" s="13">
        <f ca="1">SUMIF(balanco_geracao_consumo[Ano],$B182,balanco_geracao_consumo[Tarifa c/ D.A.])+($C$13*$C$5*((1+$C$11)^(B182-1)))</f>
        <v>5728.6377462000655</v>
      </c>
      <c r="AQ182" s="14">
        <f t="shared" ca="1" si="69"/>
        <v>22552.43337220938</v>
      </c>
      <c r="AR182" s="14">
        <f t="shared" ca="1" si="70"/>
        <v>128939.35165878615</v>
      </c>
      <c r="AS182" s="170">
        <f t="shared" ca="1" si="56"/>
        <v>18500.85037493968</v>
      </c>
      <c r="AT182" s="170">
        <f t="shared" ca="1" si="71"/>
        <v>111339.23485142361</v>
      </c>
      <c r="AU182" s="13" t="str">
        <f t="shared" ca="1" si="57"/>
        <v/>
      </c>
      <c r="AV182" s="13">
        <f t="shared" ca="1" si="58"/>
        <v>128939.35165878615</v>
      </c>
      <c r="AW182" s="14">
        <f t="shared" si="72"/>
        <v>28294.332147420944</v>
      </c>
      <c r="AX182" s="14">
        <f t="shared" si="73"/>
        <v>26750.877577252741</v>
      </c>
      <c r="AZ182">
        <v>10</v>
      </c>
      <c r="BA182" s="14">
        <f t="shared" ca="1" si="74"/>
        <v>21169.676007385591</v>
      </c>
      <c r="BB182" s="14">
        <f t="shared" ca="1" si="75"/>
        <v>121526.39538526747</v>
      </c>
      <c r="BC182" s="14">
        <f t="shared" ca="1" si="79"/>
        <v>21169.676007385591</v>
      </c>
      <c r="BD182" s="14">
        <f t="shared" ca="1" si="76"/>
        <v>109126.39538526747</v>
      </c>
    </row>
    <row r="183" spans="2:56">
      <c r="B183">
        <v>11</v>
      </c>
      <c r="C183">
        <f t="shared" ca="1" si="77"/>
        <v>10122.624</v>
      </c>
      <c r="D183" s="14">
        <f t="shared" ref="D183:D197" ca="1" si="80">D182</f>
        <v>28281.071118409443</v>
      </c>
      <c r="E183" s="20">
        <f t="shared" ca="1" si="78"/>
        <v>9434.7979204116273</v>
      </c>
      <c r="F183" s="20">
        <f t="shared" ca="1" si="59"/>
        <v>3036.7871999999998</v>
      </c>
      <c r="G183" s="117">
        <f t="shared" ca="1" si="60"/>
        <v>7085.8368</v>
      </c>
      <c r="H183" s="20">
        <f t="shared" ref="H183:H197" ca="1" si="81">E183-F183</f>
        <v>6398.0107204116275</v>
      </c>
      <c r="I183" s="14">
        <f t="shared" ref="I183:I197" ca="1" si="82">I182*1.01</f>
        <v>7182.5090621340905</v>
      </c>
      <c r="J183" s="14">
        <f t="shared" ca="1" si="61"/>
        <v>21098.562056275354</v>
      </c>
      <c r="K183" s="14">
        <f t="shared" ca="1" si="62"/>
        <v>145424.95744154282</v>
      </c>
      <c r="L183" s="170">
        <f t="shared" ca="1" si="48"/>
        <v>16968.793639878382</v>
      </c>
      <c r="M183" s="170">
        <f t="shared" ca="1" si="63"/>
        <v>124446.90378474772</v>
      </c>
      <c r="N183" s="13" t="str">
        <f t="shared" ca="1" si="49"/>
        <v/>
      </c>
      <c r="O183" s="13">
        <f t="shared" ca="1" si="50"/>
        <v>145424.95744154282</v>
      </c>
      <c r="P183" s="14">
        <f t="shared" si="64"/>
        <v>28831.92445822194</v>
      </c>
      <c r="Q183" s="14">
        <f t="shared" si="65"/>
        <v>27106.664249030204</v>
      </c>
      <c r="S183" s="14" t="s">
        <v>2275</v>
      </c>
      <c r="Z183" s="211"/>
      <c r="AA183" s="211"/>
      <c r="AB183" s="211"/>
      <c r="AC183" s="213"/>
      <c r="AD183" s="211"/>
      <c r="AE183" s="211"/>
      <c r="AF183" s="211"/>
      <c r="AP183" s="14">
        <f t="shared" ref="AP183:AP197" ca="1" si="83">AP182*1.01</f>
        <v>5785.9241236620664</v>
      </c>
      <c r="AQ183" s="14">
        <f t="shared" ca="1" si="69"/>
        <v>22495.146994747378</v>
      </c>
      <c r="AR183" s="14">
        <f t="shared" ca="1" si="70"/>
        <v>151434.49865353352</v>
      </c>
      <c r="AS183" s="170">
        <f t="shared" ca="1" si="56"/>
        <v>18092.015286845806</v>
      </c>
      <c r="AT183" s="170">
        <f t="shared" ca="1" si="71"/>
        <v>129431.25013826942</v>
      </c>
      <c r="AU183" s="13" t="str">
        <f t="shared" ca="1" si="57"/>
        <v/>
      </c>
      <c r="AV183" s="13">
        <f t="shared" ca="1" si="58"/>
        <v>151434.49865353352</v>
      </c>
      <c r="AW183" s="14">
        <f t="shared" si="72"/>
        <v>28831.92445822194</v>
      </c>
      <c r="AX183" s="14">
        <f t="shared" si="73"/>
        <v>27106.664249030204</v>
      </c>
      <c r="AZ183">
        <v>11</v>
      </c>
      <c r="BA183" s="14">
        <f t="shared" ca="1" si="74"/>
        <v>21098.562056275354</v>
      </c>
      <c r="BB183" s="14">
        <f t="shared" ca="1" si="75"/>
        <v>142624.95744154282</v>
      </c>
      <c r="BC183" s="14">
        <f t="shared" ca="1" si="79"/>
        <v>21098.562056275354</v>
      </c>
      <c r="BD183" s="14">
        <f t="shared" ca="1" si="76"/>
        <v>130224.95744154282</v>
      </c>
    </row>
    <row r="184" spans="2:56">
      <c r="B184">
        <v>12</v>
      </c>
      <c r="C184">
        <f t="shared" ca="1" si="77"/>
        <v>10122.624</v>
      </c>
      <c r="D184" s="14">
        <f t="shared" ca="1" si="80"/>
        <v>28281.071118409443</v>
      </c>
      <c r="E184" s="20">
        <f t="shared" ca="1" si="78"/>
        <v>9359.3195370483336</v>
      </c>
      <c r="F184" s="20">
        <f t="shared" ca="1" si="59"/>
        <v>3036.7871999999998</v>
      </c>
      <c r="G184" s="117">
        <f t="shared" ca="1" si="60"/>
        <v>7085.8368</v>
      </c>
      <c r="H184" s="20">
        <f t="shared" ca="1" si="81"/>
        <v>6322.5323370483338</v>
      </c>
      <c r="I184" s="14">
        <f t="shared" ca="1" si="82"/>
        <v>7254.3341527554312</v>
      </c>
      <c r="J184" s="14">
        <f t="shared" ca="1" si="61"/>
        <v>21026.73696565401</v>
      </c>
      <c r="K184" s="14">
        <f t="shared" ca="1" si="62"/>
        <v>166451.69440719683</v>
      </c>
      <c r="L184" s="170">
        <f t="shared" ca="1" si="48"/>
        <v>16579.438602168731</v>
      </c>
      <c r="M184" s="170">
        <f t="shared" ca="1" si="63"/>
        <v>141026.34238691645</v>
      </c>
      <c r="N184" s="13" t="str">
        <f t="shared" ca="1" si="49"/>
        <v/>
      </c>
      <c r="O184" s="13">
        <f t="shared" ca="1" si="50"/>
        <v>166451.69440719683</v>
      </c>
      <c r="P184" s="14">
        <f t="shared" si="64"/>
        <v>29379.731022928154</v>
      </c>
      <c r="Q184" s="14">
        <f t="shared" si="65"/>
        <v>27467.182883542308</v>
      </c>
      <c r="Z184" s="212"/>
      <c r="AA184" s="212"/>
      <c r="AB184" s="212"/>
      <c r="AC184" s="214"/>
      <c r="AD184" s="212"/>
      <c r="AE184" s="212"/>
      <c r="AF184" s="212"/>
      <c r="AP184" s="14">
        <f t="shared" ca="1" si="83"/>
        <v>5843.7833648986871</v>
      </c>
      <c r="AQ184" s="14">
        <f t="shared" ca="1" si="69"/>
        <v>22437.287753510755</v>
      </c>
      <c r="AR184" s="14">
        <f t="shared" ca="1" si="70"/>
        <v>173871.78640704427</v>
      </c>
      <c r="AS184" s="170">
        <f t="shared" ca="1" si="56"/>
        <v>17691.648272205104</v>
      </c>
      <c r="AT184" s="170">
        <f t="shared" ca="1" si="71"/>
        <v>147122.89841047453</v>
      </c>
      <c r="AU184" s="13" t="str">
        <f t="shared" ca="1" si="57"/>
        <v/>
      </c>
      <c r="AV184" s="13">
        <f t="shared" ca="1" si="58"/>
        <v>173871.78640704427</v>
      </c>
      <c r="AW184" s="14">
        <f t="shared" si="72"/>
        <v>29379.731022928154</v>
      </c>
      <c r="AX184" s="14">
        <f t="shared" si="73"/>
        <v>27467.182883542308</v>
      </c>
      <c r="AZ184">
        <v>12</v>
      </c>
      <c r="BA184" s="14">
        <f t="shared" ca="1" si="74"/>
        <v>21026.73696565401</v>
      </c>
      <c r="BB184" s="14">
        <f t="shared" ca="1" si="75"/>
        <v>163651.69440719683</v>
      </c>
      <c r="BC184" s="14">
        <f t="shared" ca="1" si="79"/>
        <v>21026.73696565401</v>
      </c>
      <c r="BD184" s="14">
        <f t="shared" ca="1" si="76"/>
        <v>151251.69440719683</v>
      </c>
    </row>
    <row r="185" spans="2:56">
      <c r="B185">
        <v>13</v>
      </c>
      <c r="C185">
        <f t="shared" ca="1" si="77"/>
        <v>10122.624</v>
      </c>
      <c r="D185" s="14">
        <f t="shared" ca="1" si="80"/>
        <v>28281.071118409443</v>
      </c>
      <c r="E185" s="20">
        <f t="shared" ca="1" si="78"/>
        <v>9284.4449807519468</v>
      </c>
      <c r="F185" s="20">
        <f t="shared" ca="1" si="59"/>
        <v>3036.7871999999998</v>
      </c>
      <c r="G185" s="117">
        <f t="shared" ca="1" si="60"/>
        <v>7085.8368</v>
      </c>
      <c r="H185" s="20">
        <f t="shared" ca="1" si="81"/>
        <v>6247.657780751947</v>
      </c>
      <c r="I185" s="14">
        <f t="shared" ca="1" si="82"/>
        <v>7326.8774942829859</v>
      </c>
      <c r="J185" s="14">
        <f t="shared" ca="1" si="61"/>
        <v>20954.193624126456</v>
      </c>
      <c r="K185" s="14">
        <f t="shared" ca="1" si="62"/>
        <v>187405.88803132329</v>
      </c>
      <c r="L185" s="170">
        <f t="shared" ca="1" si="48"/>
        <v>16198.27320827487</v>
      </c>
      <c r="M185" s="170">
        <f t="shared" ca="1" si="63"/>
        <v>157224.61559519131</v>
      </c>
      <c r="N185" s="13" t="str">
        <f t="shared" ca="1" si="49"/>
        <v/>
      </c>
      <c r="O185" s="13">
        <f t="shared" ca="1" si="50"/>
        <v>187405.88803132329</v>
      </c>
      <c r="P185" s="14">
        <f t="shared" si="64"/>
        <v>29937.945912363786</v>
      </c>
      <c r="Q185" s="14">
        <f t="shared" si="65"/>
        <v>27832.496415893424</v>
      </c>
      <c r="S185" t="s">
        <v>2276</v>
      </c>
      <c r="Z185" s="206">
        <f>B197</f>
        <v>25</v>
      </c>
      <c r="AA185" s="207">
        <f ca="1">C197</f>
        <v>10122.624</v>
      </c>
      <c r="AB185" s="208">
        <f ca="1">D197</f>
        <v>28281.071118409443</v>
      </c>
      <c r="AC185" s="209">
        <f ca="1">E197</f>
        <v>8431.3285439949614</v>
      </c>
      <c r="AD185" s="208">
        <f ca="1">I197</f>
        <v>8256.1089532686765</v>
      </c>
      <c r="AE185" s="208">
        <f ca="1">J197</f>
        <v>20024.962165140765</v>
      </c>
      <c r="AF185" s="210">
        <f ca="1">K197</f>
        <v>432926.36409468192</v>
      </c>
      <c r="AP185" s="14">
        <f t="shared" ca="1" si="83"/>
        <v>5902.2211985476742</v>
      </c>
      <c r="AQ185" s="14">
        <f t="shared" ca="1" si="69"/>
        <v>22378.849919861768</v>
      </c>
      <c r="AR185" s="14">
        <f t="shared" ca="1" si="70"/>
        <v>196250.63632690604</v>
      </c>
      <c r="AS185" s="170">
        <f t="shared" ca="1" si="56"/>
        <v>17299.578861938338</v>
      </c>
      <c r="AT185" s="170">
        <f t="shared" ca="1" si="71"/>
        <v>164422.47727241286</v>
      </c>
      <c r="AU185" s="13" t="str">
        <f t="shared" ca="1" si="57"/>
        <v/>
      </c>
      <c r="AV185" s="13">
        <f t="shared" ca="1" si="58"/>
        <v>196250.63632690604</v>
      </c>
      <c r="AW185" s="14">
        <f t="shared" si="72"/>
        <v>29937.945912363786</v>
      </c>
      <c r="AX185" s="14">
        <f t="shared" si="73"/>
        <v>27832.496415893424</v>
      </c>
      <c r="AZ185">
        <v>13</v>
      </c>
      <c r="BA185" s="14">
        <f t="shared" ca="1" si="74"/>
        <v>20954.193624126456</v>
      </c>
      <c r="BB185" s="14">
        <f t="shared" ca="1" si="75"/>
        <v>184605.88803132329</v>
      </c>
      <c r="BC185" s="14">
        <f t="shared" ca="1" si="79"/>
        <v>20954.193624126456</v>
      </c>
      <c r="BD185" s="14">
        <f t="shared" ca="1" si="76"/>
        <v>172205.88803132329</v>
      </c>
    </row>
    <row r="186" spans="2:56">
      <c r="B186">
        <v>14</v>
      </c>
      <c r="C186">
        <f t="shared" ca="1" si="77"/>
        <v>10122.624</v>
      </c>
      <c r="D186" s="14">
        <f t="shared" ca="1" si="80"/>
        <v>28281.071118409443</v>
      </c>
      <c r="E186" s="20">
        <f t="shared" ca="1" si="78"/>
        <v>9210.1694209059315</v>
      </c>
      <c r="F186" s="20">
        <f t="shared" ca="1" si="59"/>
        <v>3036.7871999999998</v>
      </c>
      <c r="G186" s="117">
        <f t="shared" ca="1" si="60"/>
        <v>7085.8368</v>
      </c>
      <c r="H186" s="20">
        <f t="shared" ca="1" si="81"/>
        <v>6173.3822209059317</v>
      </c>
      <c r="I186" s="14">
        <f t="shared" ca="1" si="82"/>
        <v>7400.1462692258156</v>
      </c>
      <c r="J186" s="14">
        <f t="shared" ca="1" si="61"/>
        <v>20880.924849183626</v>
      </c>
      <c r="K186" s="14">
        <f t="shared" ca="1" si="62"/>
        <v>208286.81288050691</v>
      </c>
      <c r="L186" s="170">
        <f t="shared" ca="1" si="48"/>
        <v>15825.131433501265</v>
      </c>
      <c r="M186" s="170">
        <f t="shared" ca="1" si="63"/>
        <v>173049.74702869257</v>
      </c>
      <c r="N186" s="13" t="str">
        <f t="shared" ca="1" si="49"/>
        <v/>
      </c>
      <c r="O186" s="13">
        <f t="shared" ca="1" si="50"/>
        <v>208286.81288050691</v>
      </c>
      <c r="P186" s="14">
        <f t="shared" si="64"/>
        <v>30506.766884698696</v>
      </c>
      <c r="Q186" s="14">
        <f t="shared" si="65"/>
        <v>28202.668618224809</v>
      </c>
      <c r="S186" t="s">
        <v>2277</v>
      </c>
      <c r="Z186" s="791" t="str">
        <f>"*Inflação anual conservadora de "&amp;TEXT($C$10,"0%")&amp;", até o 10º ano"</f>
        <v>*Inflação anual conservadora de 10%, até o 10º ano</v>
      </c>
      <c r="AA186" s="791"/>
      <c r="AB186" s="791"/>
      <c r="AC186" s="791"/>
      <c r="AD186" s="791"/>
      <c r="AE186" s="791"/>
      <c r="AF186" s="791"/>
      <c r="AP186" s="14">
        <f t="shared" ca="1" si="83"/>
        <v>5961.2434105331513</v>
      </c>
      <c r="AQ186" s="14">
        <f t="shared" ca="1" si="69"/>
        <v>22319.827707876291</v>
      </c>
      <c r="AR186" s="14">
        <f t="shared" ca="1" si="70"/>
        <v>218570.46403478232</v>
      </c>
      <c r="AS186" s="170">
        <f t="shared" ca="1" si="56"/>
        <v>16915.63997291313</v>
      </c>
      <c r="AT186" s="170">
        <f t="shared" ca="1" si="71"/>
        <v>181338.11724532599</v>
      </c>
      <c r="AU186" s="13" t="str">
        <f t="shared" ca="1" si="57"/>
        <v/>
      </c>
      <c r="AV186" s="13">
        <f t="shared" ca="1" si="58"/>
        <v>218570.46403478232</v>
      </c>
      <c r="AW186" s="14">
        <f t="shared" si="72"/>
        <v>30506.766884698696</v>
      </c>
      <c r="AX186" s="14">
        <f t="shared" si="73"/>
        <v>28202.668618224809</v>
      </c>
      <c r="AZ186">
        <v>14</v>
      </c>
      <c r="BA186" s="14">
        <f t="shared" ca="1" si="74"/>
        <v>20880.924849183626</v>
      </c>
      <c r="BB186" s="14">
        <f t="shared" ca="1" si="75"/>
        <v>205486.81288050691</v>
      </c>
      <c r="BC186" s="14">
        <f t="shared" ca="1" si="79"/>
        <v>20880.924849183626</v>
      </c>
      <c r="BD186" s="14">
        <f t="shared" ca="1" si="76"/>
        <v>193086.81288050691</v>
      </c>
    </row>
    <row r="187" spans="2:56">
      <c r="B187">
        <v>15</v>
      </c>
      <c r="C187">
        <f t="shared" ca="1" si="77"/>
        <v>10122.624</v>
      </c>
      <c r="D187" s="14">
        <f t="shared" ca="1" si="80"/>
        <v>28281.071118409443</v>
      </c>
      <c r="E187" s="20">
        <f t="shared" ca="1" si="78"/>
        <v>9136.4880655386842</v>
      </c>
      <c r="F187" s="20">
        <f t="shared" ca="1" si="59"/>
        <v>3036.7871999999998</v>
      </c>
      <c r="G187" s="117">
        <f t="shared" ca="1" si="60"/>
        <v>7085.8368</v>
      </c>
      <c r="H187" s="20">
        <f t="shared" ca="1" si="81"/>
        <v>6099.7008655386844</v>
      </c>
      <c r="I187" s="14">
        <f t="shared" ca="1" si="82"/>
        <v>7474.147731918074</v>
      </c>
      <c r="J187" s="14">
        <f t="shared" ca="1" si="61"/>
        <v>20806.923386491369</v>
      </c>
      <c r="K187" s="14">
        <f t="shared" ca="1" si="62"/>
        <v>229093.73626699828</v>
      </c>
      <c r="L187" s="170">
        <f t="shared" ca="1" si="48"/>
        <v>15459.850561905692</v>
      </c>
      <c r="M187" s="170">
        <f t="shared" ca="1" si="63"/>
        <v>188509.59759059825</v>
      </c>
      <c r="N187" s="13" t="str">
        <f t="shared" ca="1" si="49"/>
        <v/>
      </c>
      <c r="O187" s="13">
        <f t="shared" ca="1" si="50"/>
        <v>229093.73626699828</v>
      </c>
      <c r="P187" s="14">
        <f t="shared" si="64"/>
        <v>31086.395455507969</v>
      </c>
      <c r="Q187" s="14">
        <f t="shared" si="65"/>
        <v>28577.764110847202</v>
      </c>
      <c r="S187" t="s">
        <v>2278</v>
      </c>
      <c r="Z187" s="791" t="str">
        <f>"*Redução na geração a uma taxa de "&amp;TEXT($C$12,"0,00%")&amp;"/ano, devido a degração dos módulos"</f>
        <v>*Redução na geração a uma taxa de 0,70%/ano, devido a degração dos módulos</v>
      </c>
      <c r="AA187" s="791"/>
      <c r="AB187" s="791"/>
      <c r="AC187" s="791"/>
      <c r="AD187" s="791"/>
      <c r="AE187" s="791"/>
      <c r="AF187" s="791"/>
      <c r="AP187" s="14">
        <f t="shared" ca="1" si="83"/>
        <v>6020.8558446384832</v>
      </c>
      <c r="AQ187" s="14">
        <f t="shared" ca="1" si="69"/>
        <v>22260.215273770962</v>
      </c>
      <c r="AR187" s="14">
        <f t="shared" ca="1" si="70"/>
        <v>240830.67930855328</v>
      </c>
      <c r="AS187" s="170">
        <f t="shared" ca="1" si="56"/>
        <v>16539.667841127244</v>
      </c>
      <c r="AT187" s="170">
        <f t="shared" ca="1" si="71"/>
        <v>197877.78508645325</v>
      </c>
      <c r="AU187" s="13" t="str">
        <f t="shared" ca="1" si="57"/>
        <v/>
      </c>
      <c r="AV187" s="13">
        <f t="shared" ca="1" si="58"/>
        <v>240830.67930855328</v>
      </c>
      <c r="AW187" s="14">
        <f t="shared" si="72"/>
        <v>31086.395455507969</v>
      </c>
      <c r="AX187" s="14">
        <f t="shared" si="73"/>
        <v>28577.764110847202</v>
      </c>
      <c r="AZ187">
        <v>15</v>
      </c>
      <c r="BA187" s="14">
        <f t="shared" ca="1" si="74"/>
        <v>20806.923386491369</v>
      </c>
      <c r="BB187" s="14">
        <f t="shared" ca="1" si="75"/>
        <v>226293.73626699828</v>
      </c>
      <c r="BC187" s="14">
        <f t="shared" ca="1" si="79"/>
        <v>20806.923386491369</v>
      </c>
      <c r="BD187" s="14">
        <f t="shared" ca="1" si="76"/>
        <v>213893.73626699828</v>
      </c>
    </row>
    <row r="188" spans="2:56">
      <c r="B188">
        <v>16</v>
      </c>
      <c r="C188">
        <f t="shared" ca="1" si="77"/>
        <v>10122.624</v>
      </c>
      <c r="D188" s="14">
        <f t="shared" ca="1" si="80"/>
        <v>28281.071118409443</v>
      </c>
      <c r="E188" s="20">
        <f t="shared" ca="1" si="78"/>
        <v>9063.3961610143742</v>
      </c>
      <c r="F188" s="20">
        <f t="shared" ca="1" si="59"/>
        <v>3036.7871999999998</v>
      </c>
      <c r="G188" s="117">
        <f t="shared" ca="1" si="60"/>
        <v>7085.8368</v>
      </c>
      <c r="H188" s="20">
        <f t="shared" ca="1" si="81"/>
        <v>6026.6089610143745</v>
      </c>
      <c r="I188" s="14">
        <f t="shared" ca="1" si="82"/>
        <v>7548.8892092372544</v>
      </c>
      <c r="J188" s="14">
        <f t="shared" ca="1" si="61"/>
        <v>20732.181909172188</v>
      </c>
      <c r="K188" s="14">
        <f t="shared" ca="1" si="62"/>
        <v>249825.91817617047</v>
      </c>
      <c r="L188" s="170">
        <f t="shared" ca="1" si="48"/>
        <v>15102.271120898466</v>
      </c>
      <c r="M188" s="170">
        <f t="shared" ca="1" si="63"/>
        <v>203611.8687114967</v>
      </c>
      <c r="N188" s="13" t="str">
        <f t="shared" ca="1" si="49"/>
        <v/>
      </c>
      <c r="O188" s="13">
        <f t="shared" ca="1" si="50"/>
        <v>249825.91817617047</v>
      </c>
      <c r="P188" s="14">
        <f t="shared" si="64"/>
        <v>31677.036969162618</v>
      </c>
      <c r="Q188" s="14">
        <f t="shared" si="65"/>
        <v>28957.848373521472</v>
      </c>
      <c r="S188" t="s">
        <v>2279</v>
      </c>
      <c r="Z188" s="791" t="str">
        <f>IF($C$13=0,"","*O&amp;M considerado de "&amp;TEXT($C$13,"0,00%"))</f>
        <v/>
      </c>
      <c r="AA188" s="791"/>
      <c r="AB188" s="791"/>
      <c r="AC188" s="791"/>
      <c r="AD188" s="791"/>
      <c r="AE188" s="791"/>
      <c r="AF188" s="791"/>
      <c r="AP188" s="14">
        <f t="shared" ca="1" si="83"/>
        <v>6081.064403084868</v>
      </c>
      <c r="AQ188" s="14">
        <f t="shared" ca="1" si="69"/>
        <v>22200.006715324576</v>
      </c>
      <c r="AR188" s="14">
        <f t="shared" ca="1" si="70"/>
        <v>263030.68602387788</v>
      </c>
      <c r="AS188" s="170">
        <f t="shared" ca="1" si="56"/>
        <v>16171.501956206081</v>
      </c>
      <c r="AT188" s="170">
        <f t="shared" ca="1" si="71"/>
        <v>214049.28704265933</v>
      </c>
      <c r="AU188" s="13" t="str">
        <f t="shared" ca="1" si="57"/>
        <v/>
      </c>
      <c r="AV188" s="13">
        <f t="shared" ca="1" si="58"/>
        <v>263030.68602387788</v>
      </c>
      <c r="AW188" s="14">
        <f t="shared" si="72"/>
        <v>31677.036969162618</v>
      </c>
      <c r="AX188" s="14">
        <f t="shared" si="73"/>
        <v>28957.848373521472</v>
      </c>
      <c r="AZ188">
        <v>16</v>
      </c>
      <c r="BA188" s="14">
        <f t="shared" ca="1" si="74"/>
        <v>20732.181909172188</v>
      </c>
      <c r="BB188" s="14">
        <f t="shared" ca="1" si="75"/>
        <v>247025.91817617047</v>
      </c>
      <c r="BC188" s="14">
        <f t="shared" ca="1" si="79"/>
        <v>20732.181909172188</v>
      </c>
      <c r="BD188" s="14">
        <f t="shared" ca="1" si="76"/>
        <v>234625.91817617047</v>
      </c>
    </row>
    <row r="189" spans="2:56">
      <c r="B189">
        <v>17</v>
      </c>
      <c r="C189">
        <f t="shared" ca="1" si="77"/>
        <v>10122.624</v>
      </c>
      <c r="D189" s="14">
        <f t="shared" ca="1" si="80"/>
        <v>28281.071118409443</v>
      </c>
      <c r="E189" s="20">
        <f t="shared" ca="1" si="78"/>
        <v>8990.8889917262586</v>
      </c>
      <c r="F189" s="20">
        <f t="shared" ca="1" si="59"/>
        <v>3036.7871999999998</v>
      </c>
      <c r="G189" s="117">
        <f t="shared" ca="1" si="60"/>
        <v>7085.8368</v>
      </c>
      <c r="H189" s="20">
        <f t="shared" ca="1" si="81"/>
        <v>5954.1017917262589</v>
      </c>
      <c r="I189" s="14">
        <f t="shared" ca="1" si="82"/>
        <v>7624.3781013296266</v>
      </c>
      <c r="J189" s="14">
        <f t="shared" ca="1" si="61"/>
        <v>20656.693017079815</v>
      </c>
      <c r="K189" s="14">
        <f t="shared" ca="1" si="62"/>
        <v>270482.61119325028</v>
      </c>
      <c r="L189" s="170">
        <f t="shared" ca="1" si="48"/>
        <v>14752.236817129264</v>
      </c>
      <c r="M189" s="170">
        <f t="shared" ca="1" si="63"/>
        <v>218364.10552862598</v>
      </c>
      <c r="N189" s="13" t="str">
        <f t="shared" ca="1" si="49"/>
        <v/>
      </c>
      <c r="O189" s="13">
        <f t="shared" ca="1" si="50"/>
        <v>270482.61119325028</v>
      </c>
      <c r="P189" s="14">
        <f t="shared" si="64"/>
        <v>32278.900671576706</v>
      </c>
      <c r="Q189" s="14">
        <f t="shared" si="65"/>
        <v>29342.98775688931</v>
      </c>
      <c r="S189" t="s">
        <v>2280</v>
      </c>
      <c r="AP189" s="14">
        <f t="shared" ca="1" si="83"/>
        <v>6141.8750471157164</v>
      </c>
      <c r="AQ189" s="14">
        <f t="shared" ca="1" si="69"/>
        <v>22139.196071293729</v>
      </c>
      <c r="AR189" s="14">
        <f t="shared" ca="1" si="70"/>
        <v>285169.8820951716</v>
      </c>
      <c r="AS189" s="170">
        <f t="shared" ca="1" si="56"/>
        <v>15810.984997188767</v>
      </c>
      <c r="AT189" s="170">
        <f t="shared" ca="1" si="71"/>
        <v>229860.27203984809</v>
      </c>
      <c r="AU189" s="13" t="str">
        <f t="shared" ca="1" si="57"/>
        <v/>
      </c>
      <c r="AV189" s="13">
        <f t="shared" ca="1" si="58"/>
        <v>285169.8820951716</v>
      </c>
      <c r="AW189" s="14">
        <f t="shared" si="72"/>
        <v>32278.900671576706</v>
      </c>
      <c r="AX189" s="14">
        <f t="shared" si="73"/>
        <v>29342.98775688931</v>
      </c>
      <c r="AZ189">
        <v>17</v>
      </c>
      <c r="BA189" s="14">
        <f t="shared" ca="1" si="74"/>
        <v>20656.693017079815</v>
      </c>
      <c r="BB189" s="14">
        <f t="shared" ca="1" si="75"/>
        <v>267682.61119325028</v>
      </c>
      <c r="BC189" s="14">
        <f t="shared" ca="1" si="79"/>
        <v>20656.693017079815</v>
      </c>
      <c r="BD189" s="14">
        <f t="shared" ca="1" si="76"/>
        <v>255282.61119325028</v>
      </c>
    </row>
    <row r="190" spans="2:56">
      <c r="B190">
        <v>18</v>
      </c>
      <c r="C190">
        <f t="shared" ca="1" si="77"/>
        <v>10122.624</v>
      </c>
      <c r="D190" s="14">
        <f t="shared" ca="1" si="80"/>
        <v>28281.071118409443</v>
      </c>
      <c r="E190" s="20">
        <f t="shared" ca="1" si="78"/>
        <v>8918.9618797924486</v>
      </c>
      <c r="F190" s="20">
        <f t="shared" ca="1" si="59"/>
        <v>3036.7871999999998</v>
      </c>
      <c r="G190" s="117">
        <f t="shared" ca="1" si="60"/>
        <v>7085.8368</v>
      </c>
      <c r="H190" s="20">
        <f t="shared" ca="1" si="81"/>
        <v>5882.1746797924488</v>
      </c>
      <c r="I190" s="14">
        <f t="shared" ca="1" si="82"/>
        <v>7700.6218823429226</v>
      </c>
      <c r="J190" s="14">
        <f t="shared" ca="1" si="61"/>
        <v>20580.449236066521</v>
      </c>
      <c r="K190" s="14">
        <f t="shared" ca="1" si="62"/>
        <v>291063.06042931683</v>
      </c>
      <c r="L190" s="170">
        <f t="shared" ca="1" si="48"/>
        <v>14409.594473636074</v>
      </c>
      <c r="M190" s="170">
        <f t="shared" ca="1" si="63"/>
        <v>232773.70000226205</v>
      </c>
      <c r="N190" s="13" t="str">
        <f t="shared" ca="1" si="49"/>
        <v/>
      </c>
      <c r="O190" s="13">
        <f t="shared" ca="1" si="50"/>
        <v>291063.06042931683</v>
      </c>
      <c r="P190" s="14">
        <f t="shared" si="64"/>
        <v>32892.199784336663</v>
      </c>
      <c r="Q190" s="14">
        <f t="shared" si="65"/>
        <v>29733.249494055941</v>
      </c>
      <c r="S190" t="s">
        <v>2281</v>
      </c>
      <c r="AP190" s="14">
        <f t="shared" ca="1" si="83"/>
        <v>6203.2937975868736</v>
      </c>
      <c r="AQ190" s="14">
        <f t="shared" ca="1" si="69"/>
        <v>22077.77732082257</v>
      </c>
      <c r="AR190" s="14">
        <f t="shared" ca="1" si="70"/>
        <v>307247.65941599419</v>
      </c>
      <c r="AS190" s="170">
        <f t="shared" ca="1" si="56"/>
        <v>15457.962769577343</v>
      </c>
      <c r="AT190" s="170">
        <f t="shared" ca="1" si="71"/>
        <v>245318.23480942543</v>
      </c>
      <c r="AU190" s="13" t="str">
        <f t="shared" ca="1" si="57"/>
        <v/>
      </c>
      <c r="AV190" s="13">
        <f t="shared" ca="1" si="58"/>
        <v>307247.65941599419</v>
      </c>
      <c r="AW190" s="14">
        <f t="shared" si="72"/>
        <v>32892.199784336663</v>
      </c>
      <c r="AX190" s="14">
        <f t="shared" si="73"/>
        <v>29733.249494055941</v>
      </c>
      <c r="AZ190">
        <v>18</v>
      </c>
      <c r="BA190" s="14">
        <f t="shared" ca="1" si="74"/>
        <v>20580.449236066521</v>
      </c>
      <c r="BB190" s="14">
        <f t="shared" ca="1" si="75"/>
        <v>288263.06042931683</v>
      </c>
      <c r="BC190" s="14">
        <f t="shared" ca="1" si="79"/>
        <v>20580.449236066521</v>
      </c>
      <c r="BD190" s="14">
        <f t="shared" ca="1" si="76"/>
        <v>275863.06042931683</v>
      </c>
    </row>
    <row r="191" spans="2:56">
      <c r="B191">
        <v>19</v>
      </c>
      <c r="C191">
        <f t="shared" ca="1" si="77"/>
        <v>10122.624</v>
      </c>
      <c r="D191" s="14">
        <f t="shared" ca="1" si="80"/>
        <v>28281.071118409443</v>
      </c>
      <c r="E191" s="20">
        <f t="shared" ca="1" si="78"/>
        <v>8847.6101847541086</v>
      </c>
      <c r="F191" s="20">
        <f t="shared" ca="1" si="59"/>
        <v>3036.7871999999998</v>
      </c>
      <c r="G191" s="117">
        <f t="shared" ca="1" si="60"/>
        <v>7085.8368</v>
      </c>
      <c r="H191" s="20">
        <f t="shared" ca="1" si="81"/>
        <v>5810.8229847541088</v>
      </c>
      <c r="I191" s="14">
        <f t="shared" ca="1" si="82"/>
        <v>7777.6281011663523</v>
      </c>
      <c r="J191" s="14">
        <f t="shared" ca="1" si="61"/>
        <v>20503.443017243091</v>
      </c>
      <c r="K191" s="14">
        <f t="shared" ca="1" si="62"/>
        <v>311566.50344655995</v>
      </c>
      <c r="L191" s="170">
        <f t="shared" ca="1" si="48"/>
        <v>14074.193968231566</v>
      </c>
      <c r="M191" s="170">
        <f t="shared" ca="1" si="63"/>
        <v>246847.89397049361</v>
      </c>
      <c r="N191" s="13" t="str">
        <f t="shared" ca="1" si="49"/>
        <v/>
      </c>
      <c r="O191" s="13">
        <f t="shared" ca="1" si="50"/>
        <v>311566.50344655995</v>
      </c>
      <c r="P191" s="14">
        <f t="shared" si="64"/>
        <v>33517.151580239057</v>
      </c>
      <c r="Q191" s="14">
        <f t="shared" si="65"/>
        <v>30128.701712326889</v>
      </c>
      <c r="S191" t="s">
        <v>2282</v>
      </c>
      <c r="AP191" s="14">
        <f t="shared" ca="1" si="83"/>
        <v>6265.3267355627422</v>
      </c>
      <c r="AQ191" s="14">
        <f t="shared" ca="1" si="69"/>
        <v>22015.7443828467</v>
      </c>
      <c r="AR191" s="14">
        <f t="shared" ca="1" si="70"/>
        <v>329263.40379884088</v>
      </c>
      <c r="AS191" s="170">
        <f t="shared" ca="1" si="56"/>
        <v>15112.284143624391</v>
      </c>
      <c r="AT191" s="170">
        <f t="shared" ca="1" si="71"/>
        <v>260430.51895304982</v>
      </c>
      <c r="AU191" s="13" t="str">
        <f t="shared" ca="1" si="57"/>
        <v/>
      </c>
      <c r="AV191" s="13">
        <f t="shared" ca="1" si="58"/>
        <v>329263.40379884088</v>
      </c>
      <c r="AW191" s="14">
        <f t="shared" si="72"/>
        <v>33517.151580239057</v>
      </c>
      <c r="AX191" s="14">
        <f t="shared" si="73"/>
        <v>30128.701712326889</v>
      </c>
      <c r="AZ191">
        <v>19</v>
      </c>
      <c r="BA191" s="14">
        <f t="shared" ca="1" si="74"/>
        <v>20503.443017243091</v>
      </c>
      <c r="BB191" s="14">
        <f t="shared" ca="1" si="75"/>
        <v>308766.50344655995</v>
      </c>
      <c r="BC191" s="14">
        <f t="shared" ca="1" si="79"/>
        <v>20503.443017243091</v>
      </c>
      <c r="BD191" s="14">
        <f t="shared" ca="1" si="76"/>
        <v>296366.50344655995</v>
      </c>
    </row>
    <row r="192" spans="2:56">
      <c r="B192">
        <v>20</v>
      </c>
      <c r="C192">
        <f t="shared" ca="1" si="77"/>
        <v>10122.624</v>
      </c>
      <c r="D192" s="14">
        <f t="shared" ca="1" si="80"/>
        <v>28281.071118409443</v>
      </c>
      <c r="E192" s="20">
        <f t="shared" ca="1" si="78"/>
        <v>8776.8293032760757</v>
      </c>
      <c r="F192" s="20">
        <f t="shared" ca="1" si="59"/>
        <v>3036.7871999999998</v>
      </c>
      <c r="G192" s="117">
        <f t="shared" ca="1" si="60"/>
        <v>7085.8368</v>
      </c>
      <c r="H192" s="20">
        <f t="shared" ca="1" si="81"/>
        <v>5740.042103276076</v>
      </c>
      <c r="I192" s="14">
        <f t="shared" ca="1" si="82"/>
        <v>7855.404382178016</v>
      </c>
      <c r="J192" s="14">
        <f t="shared" ca="1" si="61"/>
        <v>20425.666736231426</v>
      </c>
      <c r="K192" s="14">
        <f t="shared" ca="1" si="62"/>
        <v>331992.17018279136</v>
      </c>
      <c r="L192" s="170">
        <f t="shared" ca="1" si="48"/>
        <v>13745.888173102574</v>
      </c>
      <c r="M192" s="170">
        <f t="shared" ca="1" si="63"/>
        <v>260593.78214359618</v>
      </c>
      <c r="N192" s="13" t="str">
        <f t="shared" ca="1" si="49"/>
        <v/>
      </c>
      <c r="O192" s="13">
        <f t="shared" ca="1" si="50"/>
        <v>331992.17018279136</v>
      </c>
      <c r="P192" s="14">
        <f t="shared" si="64"/>
        <v>34153.977460263595</v>
      </c>
      <c r="Q192" s="14">
        <f t="shared" si="65"/>
        <v>30529.413445100839</v>
      </c>
      <c r="AP192" s="14">
        <f t="shared" ca="1" si="83"/>
        <v>6327.9800029183698</v>
      </c>
      <c r="AQ192" s="14">
        <f t="shared" ca="1" si="69"/>
        <v>21953.091115491072</v>
      </c>
      <c r="AR192" s="14">
        <f t="shared" ca="1" si="70"/>
        <v>351216.49491433194</v>
      </c>
      <c r="AS192" s="170">
        <f t="shared" ca="1" si="56"/>
        <v>14773.800993834684</v>
      </c>
      <c r="AT192" s="170">
        <f t="shared" ca="1" si="71"/>
        <v>275204.31994688453</v>
      </c>
      <c r="AU192" s="13" t="str">
        <f t="shared" ca="1" si="57"/>
        <v/>
      </c>
      <c r="AV192" s="13">
        <f t="shared" ca="1" si="58"/>
        <v>351216.49491433194</v>
      </c>
      <c r="AW192" s="14">
        <f t="shared" si="72"/>
        <v>34153.977460263595</v>
      </c>
      <c r="AX192" s="14">
        <f t="shared" si="73"/>
        <v>30529.413445100839</v>
      </c>
      <c r="AZ192">
        <v>20</v>
      </c>
      <c r="BA192" s="14">
        <f t="shared" ca="1" si="74"/>
        <v>20425.666736231426</v>
      </c>
      <c r="BB192" s="14">
        <f t="shared" ca="1" si="75"/>
        <v>329192.17018279136</v>
      </c>
      <c r="BC192" s="14">
        <f t="shared" ca="1" si="79"/>
        <v>20425.666736231426</v>
      </c>
      <c r="BD192" s="14">
        <f t="shared" ca="1" si="76"/>
        <v>316792.17018279136</v>
      </c>
    </row>
    <row r="193" spans="2:56">
      <c r="B193">
        <v>21</v>
      </c>
      <c r="C193">
        <f t="shared" ca="1" si="77"/>
        <v>10122.624</v>
      </c>
      <c r="D193" s="14">
        <f t="shared" ca="1" si="80"/>
        <v>28281.071118409443</v>
      </c>
      <c r="E193" s="20">
        <f t="shared" ca="1" si="78"/>
        <v>8706.6146688498666</v>
      </c>
      <c r="F193" s="20">
        <f t="shared" ca="1" si="59"/>
        <v>3036.7871999999998</v>
      </c>
      <c r="G193" s="117">
        <f t="shared" ca="1" si="60"/>
        <v>7085.8368</v>
      </c>
      <c r="H193" s="20">
        <f t="shared" ca="1" si="81"/>
        <v>5669.8274688498668</v>
      </c>
      <c r="I193" s="14">
        <f t="shared" ca="1" si="82"/>
        <v>7933.9584259997964</v>
      </c>
      <c r="J193" s="14">
        <f t="shared" ca="1" si="61"/>
        <v>20347.112692409646</v>
      </c>
      <c r="K193" s="14">
        <f t="shared" ca="1" si="62"/>
        <v>352339.28287520102</v>
      </c>
      <c r="L193" s="170">
        <f t="shared" ca="1" si="48"/>
        <v>13424.532895598826</v>
      </c>
      <c r="M193" s="170">
        <f t="shared" ca="1" si="63"/>
        <v>274018.315039195</v>
      </c>
      <c r="N193" s="13" t="str">
        <f t="shared" ca="1" si="49"/>
        <v/>
      </c>
      <c r="O193" s="13">
        <f t="shared" ca="1" si="50"/>
        <v>352339.28287520102</v>
      </c>
      <c r="P193" s="14">
        <f t="shared" si="64"/>
        <v>34802.903032008602</v>
      </c>
      <c r="Q193" s="14">
        <f t="shared" si="65"/>
        <v>30935.454643920682</v>
      </c>
      <c r="AP193" s="14">
        <f t="shared" ca="1" si="83"/>
        <v>6391.2598029475539</v>
      </c>
      <c r="AQ193" s="14">
        <f t="shared" ca="1" si="69"/>
        <v>21889.811315461891</v>
      </c>
      <c r="AR193" s="14">
        <f t="shared" ca="1" si="70"/>
        <v>373106.30622979382</v>
      </c>
      <c r="AS193" s="170">
        <f t="shared" ca="1" si="56"/>
        <v>14442.368139657096</v>
      </c>
      <c r="AT193" s="170">
        <f t="shared" ca="1" si="71"/>
        <v>289646.6880865416</v>
      </c>
      <c r="AU193" s="13" t="str">
        <f t="shared" ca="1" si="57"/>
        <v/>
      </c>
      <c r="AV193" s="13">
        <f t="shared" ca="1" si="58"/>
        <v>373106.30622979382</v>
      </c>
      <c r="AW193" s="14">
        <f t="shared" si="72"/>
        <v>34802.903032008602</v>
      </c>
      <c r="AX193" s="14">
        <f t="shared" si="73"/>
        <v>30935.454643920682</v>
      </c>
      <c r="AZ193">
        <v>21</v>
      </c>
      <c r="BA193" s="14">
        <f t="shared" ca="1" si="74"/>
        <v>20347.112692409646</v>
      </c>
      <c r="BB193" s="14">
        <f t="shared" ca="1" si="75"/>
        <v>349539.28287520102</v>
      </c>
      <c r="BC193" s="14">
        <f t="shared" ca="1" si="79"/>
        <v>20347.112692409646</v>
      </c>
      <c r="BD193" s="14">
        <f t="shared" ca="1" si="76"/>
        <v>337139.28287520102</v>
      </c>
    </row>
    <row r="194" spans="2:56">
      <c r="B194">
        <v>22</v>
      </c>
      <c r="C194">
        <f t="shared" ca="1" si="77"/>
        <v>10122.624</v>
      </c>
      <c r="D194" s="14">
        <f t="shared" ca="1" si="80"/>
        <v>28281.071118409443</v>
      </c>
      <c r="E194" s="20">
        <f t="shared" ca="1" si="78"/>
        <v>8636.9617514990678</v>
      </c>
      <c r="F194" s="20">
        <f t="shared" ca="1" si="59"/>
        <v>3036.7871999999998</v>
      </c>
      <c r="G194" s="117">
        <f t="shared" ca="1" si="60"/>
        <v>7085.8368</v>
      </c>
      <c r="H194" s="20">
        <f t="shared" ca="1" si="81"/>
        <v>5600.174551499068</v>
      </c>
      <c r="I194" s="14">
        <f t="shared" ca="1" si="82"/>
        <v>8013.2980102597949</v>
      </c>
      <c r="J194" s="14">
        <f t="shared" ca="1" si="61"/>
        <v>20267.773108149649</v>
      </c>
      <c r="K194" s="14">
        <f t="shared" ca="1" si="62"/>
        <v>372607.05598335067</v>
      </c>
      <c r="L194" s="170">
        <f t="shared" ca="1" si="48"/>
        <v>13109.986820187536</v>
      </c>
      <c r="M194" s="170">
        <f t="shared" ca="1" si="63"/>
        <v>287128.30185938254</v>
      </c>
      <c r="N194" s="13" t="str">
        <f t="shared" ca="1" si="49"/>
        <v/>
      </c>
      <c r="O194" s="13">
        <f t="shared" ca="1" si="50"/>
        <v>372607.05598335067</v>
      </c>
      <c r="P194" s="14">
        <f t="shared" si="64"/>
        <v>35464.158189616763</v>
      </c>
      <c r="Q194" s="14">
        <f t="shared" si="65"/>
        <v>31346.896190684831</v>
      </c>
      <c r="S194" s="28" t="s">
        <v>2283</v>
      </c>
      <c r="T194" s="607">
        <f ca="1">SUM(E173:E197)</f>
        <v>232500.66567399801</v>
      </c>
      <c r="AP194" s="14">
        <f t="shared" ca="1" si="83"/>
        <v>6455.1724009770296</v>
      </c>
      <c r="AQ194" s="14">
        <f t="shared" ca="1" si="69"/>
        <v>21825.898717432414</v>
      </c>
      <c r="AR194" s="14">
        <f t="shared" ca="1" si="70"/>
        <v>394932.20494722622</v>
      </c>
      <c r="AS194" s="170">
        <f t="shared" ca="1" si="56"/>
        <v>14117.84328734327</v>
      </c>
      <c r="AT194" s="170">
        <f t="shared" ca="1" si="71"/>
        <v>303764.53137388488</v>
      </c>
      <c r="AU194" s="13" t="str">
        <f t="shared" ca="1" si="57"/>
        <v/>
      </c>
      <c r="AV194" s="13">
        <f t="shared" ca="1" si="58"/>
        <v>394932.20494722622</v>
      </c>
      <c r="AW194" s="14">
        <f t="shared" si="72"/>
        <v>35464.158189616763</v>
      </c>
      <c r="AX194" s="14">
        <f t="shared" si="73"/>
        <v>31346.896190684831</v>
      </c>
      <c r="AZ194">
        <v>22</v>
      </c>
      <c r="BA194" s="14">
        <f t="shared" ca="1" si="74"/>
        <v>20267.773108149649</v>
      </c>
      <c r="BB194" s="14">
        <f t="shared" ca="1" si="75"/>
        <v>369807.05598335067</v>
      </c>
      <c r="BC194" s="14">
        <f t="shared" ca="1" si="79"/>
        <v>20267.773108149649</v>
      </c>
      <c r="BD194" s="14">
        <f t="shared" ca="1" si="76"/>
        <v>357407.05598335067</v>
      </c>
    </row>
    <row r="195" spans="2:56">
      <c r="B195">
        <v>23</v>
      </c>
      <c r="C195">
        <f t="shared" ca="1" si="77"/>
        <v>10122.624</v>
      </c>
      <c r="D195" s="14">
        <f t="shared" ca="1" si="80"/>
        <v>28281.071118409443</v>
      </c>
      <c r="E195" s="20">
        <f t="shared" ca="1" si="78"/>
        <v>8567.8660574870755</v>
      </c>
      <c r="F195" s="20">
        <f t="shared" ca="1" si="59"/>
        <v>3036.7871999999998</v>
      </c>
      <c r="G195" s="117">
        <f t="shared" ca="1" si="60"/>
        <v>7085.8368</v>
      </c>
      <c r="H195" s="20">
        <f t="shared" ca="1" si="81"/>
        <v>5531.0788574870758</v>
      </c>
      <c r="I195" s="14">
        <f t="shared" ca="1" si="82"/>
        <v>8093.4309903623925</v>
      </c>
      <c r="J195" s="14">
        <f t="shared" ca="1" si="61"/>
        <v>20187.640128047053</v>
      </c>
      <c r="K195" s="14">
        <f t="shared" ca="1" si="62"/>
        <v>392794.6961113977</v>
      </c>
      <c r="L195" s="170">
        <f t="shared" ca="1" si="48"/>
        <v>12802.111451551014</v>
      </c>
      <c r="M195" s="170">
        <f t="shared" ca="1" si="63"/>
        <v>299930.41331093357</v>
      </c>
      <c r="N195" s="13" t="str">
        <f t="shared" ca="1" si="49"/>
        <v/>
      </c>
      <c r="O195" s="13">
        <f t="shared" ca="1" si="50"/>
        <v>392794.6961113977</v>
      </c>
      <c r="P195" s="14">
        <f t="shared" si="64"/>
        <v>36137.977195219479</v>
      </c>
      <c r="Q195" s="14">
        <f t="shared" si="65"/>
        <v>31763.80991002094</v>
      </c>
      <c r="S195" s="28" t="s">
        <v>2284</v>
      </c>
      <c r="T195" t="s">
        <v>2285</v>
      </c>
      <c r="U195" t="s">
        <v>2286</v>
      </c>
      <c r="AP195" s="14">
        <f t="shared" ca="1" si="83"/>
        <v>6519.7241249868002</v>
      </c>
      <c r="AQ195" s="14">
        <f t="shared" ca="1" si="69"/>
        <v>21761.346993422645</v>
      </c>
      <c r="AR195" s="14">
        <f t="shared" ca="1" si="70"/>
        <v>416693.55194064887</v>
      </c>
      <c r="AS195" s="170">
        <f t="shared" ca="1" si="56"/>
        <v>13800.086972950321</v>
      </c>
      <c r="AT195" s="170">
        <f t="shared" ca="1" si="71"/>
        <v>317564.6183468352</v>
      </c>
      <c r="AU195" s="13" t="str">
        <f t="shared" ca="1" si="57"/>
        <v/>
      </c>
      <c r="AV195" s="13">
        <f t="shared" ca="1" si="58"/>
        <v>416693.55194064887</v>
      </c>
      <c r="AW195" s="14">
        <f t="shared" si="72"/>
        <v>36137.977195219479</v>
      </c>
      <c r="AX195" s="14">
        <f t="shared" si="73"/>
        <v>31763.80991002094</v>
      </c>
      <c r="AZ195">
        <v>23</v>
      </c>
      <c r="BA195" s="14">
        <f t="shared" ca="1" si="74"/>
        <v>20187.640128047053</v>
      </c>
      <c r="BB195" s="14">
        <f t="shared" ca="1" si="75"/>
        <v>389994.6961113977</v>
      </c>
      <c r="BC195" s="14">
        <f t="shared" ca="1" si="79"/>
        <v>20187.640128047053</v>
      </c>
      <c r="BD195" s="14">
        <f t="shared" ca="1" si="76"/>
        <v>377594.6961113977</v>
      </c>
    </row>
    <row r="196" spans="2:56">
      <c r="B196">
        <v>24</v>
      </c>
      <c r="C196">
        <f t="shared" ca="1" si="77"/>
        <v>10122.624</v>
      </c>
      <c r="D196" s="14">
        <f t="shared" ca="1" si="80"/>
        <v>28281.071118409443</v>
      </c>
      <c r="E196" s="20">
        <f t="shared" ca="1" si="78"/>
        <v>8499.3231290271797</v>
      </c>
      <c r="F196" s="20">
        <f t="shared" ca="1" si="59"/>
        <v>3036.7871999999998</v>
      </c>
      <c r="G196" s="117">
        <f t="shared" ca="1" si="60"/>
        <v>7085.8368</v>
      </c>
      <c r="H196" s="20">
        <f t="shared" ca="1" si="81"/>
        <v>5462.5359290271799</v>
      </c>
      <c r="I196" s="14">
        <f t="shared" ca="1" si="82"/>
        <v>8174.3653002660167</v>
      </c>
      <c r="J196" s="14">
        <f t="shared" ca="1" si="61"/>
        <v>20106.705818143426</v>
      </c>
      <c r="K196" s="14">
        <f t="shared" ca="1" si="62"/>
        <v>412901.40192954114</v>
      </c>
      <c r="L196" s="170">
        <f t="shared" ca="1" si="48"/>
        <v>12500.771058804761</v>
      </c>
      <c r="M196" s="170">
        <f t="shared" ca="1" si="63"/>
        <v>312431.18436973833</v>
      </c>
      <c r="N196" s="13" t="str">
        <f t="shared" ca="1" si="49"/>
        <v/>
      </c>
      <c r="O196" s="13">
        <f t="shared" ca="1" si="50"/>
        <v>412901.40192954114</v>
      </c>
      <c r="P196" s="14">
        <f t="shared" si="64"/>
        <v>36824.598761928646</v>
      </c>
      <c r="Q196" s="14">
        <f t="shared" si="65"/>
        <v>32186.268581824221</v>
      </c>
      <c r="S196" s="28" t="s">
        <v>2287</v>
      </c>
      <c r="T196" t="s">
        <v>2288</v>
      </c>
      <c r="U196" t="s">
        <v>2286</v>
      </c>
      <c r="AP196" s="14">
        <f t="shared" ca="1" si="83"/>
        <v>6584.9213662366683</v>
      </c>
      <c r="AQ196" s="14">
        <f t="shared" ca="1" si="69"/>
        <v>21696.149752172776</v>
      </c>
      <c r="AR196" s="14">
        <f t="shared" ca="1" si="70"/>
        <v>438389.70169282163</v>
      </c>
      <c r="AS196" s="170">
        <f t="shared" ca="1" si="56"/>
        <v>13488.962506464859</v>
      </c>
      <c r="AT196" s="170">
        <f t="shared" ca="1" si="71"/>
        <v>331053.58085330005</v>
      </c>
      <c r="AU196" s="13" t="str">
        <f t="shared" ca="1" si="57"/>
        <v/>
      </c>
      <c r="AV196" s="13">
        <f t="shared" ca="1" si="58"/>
        <v>438389.70169282163</v>
      </c>
      <c r="AW196" s="14">
        <f t="shared" si="72"/>
        <v>36824.598761928646</v>
      </c>
      <c r="AX196" s="14">
        <f t="shared" si="73"/>
        <v>32186.268581824221</v>
      </c>
      <c r="AZ196">
        <v>24</v>
      </c>
      <c r="BA196" s="14">
        <f t="shared" ca="1" si="74"/>
        <v>20106.705818143426</v>
      </c>
      <c r="BB196" s="14">
        <f t="shared" ca="1" si="75"/>
        <v>410101.40192954114</v>
      </c>
      <c r="BC196" s="14">
        <f t="shared" ca="1" si="79"/>
        <v>20106.705818143426</v>
      </c>
      <c r="BD196" s="14">
        <f t="shared" ca="1" si="76"/>
        <v>397701.40192954114</v>
      </c>
    </row>
    <row r="197" spans="2:56">
      <c r="B197">
        <v>25</v>
      </c>
      <c r="C197">
        <f t="shared" ca="1" si="77"/>
        <v>10122.624</v>
      </c>
      <c r="D197" s="14">
        <f t="shared" ca="1" si="80"/>
        <v>28281.071118409443</v>
      </c>
      <c r="E197" s="20">
        <f t="shared" ca="1" si="78"/>
        <v>8431.3285439949614</v>
      </c>
      <c r="F197" s="20">
        <f t="shared" ca="1" si="59"/>
        <v>3036.7871999999998</v>
      </c>
      <c r="G197" s="117">
        <f t="shared" ca="1" si="60"/>
        <v>7085.8368</v>
      </c>
      <c r="H197" s="20">
        <f t="shared" ca="1" si="81"/>
        <v>5394.5413439949616</v>
      </c>
      <c r="I197" s="14">
        <f t="shared" ca="1" si="82"/>
        <v>8256.1089532686765</v>
      </c>
      <c r="J197" s="14">
        <f t="shared" ca="1" si="61"/>
        <v>20024.962165140765</v>
      </c>
      <c r="K197" s="14">
        <f t="shared" ca="1" si="62"/>
        <v>432926.36409468192</v>
      </c>
      <c r="L197" s="170">
        <f t="shared" ca="1" si="48"/>
        <v>12205.832620814108</v>
      </c>
      <c r="M197" s="170">
        <f t="shared" ca="1" si="63"/>
        <v>324637.01699055242</v>
      </c>
      <c r="N197" s="13" t="str">
        <f t="shared" ca="1" si="49"/>
        <v/>
      </c>
      <c r="O197" s="13">
        <f t="shared" ca="1" si="50"/>
        <v>432926.36409468192</v>
      </c>
      <c r="P197" s="14">
        <f t="shared" si="64"/>
        <v>37524.266138405284</v>
      </c>
      <c r="Q197" s="14">
        <f t="shared" si="65"/>
        <v>32614.345953962486</v>
      </c>
      <c r="S197" s="28" t="s">
        <v>2289</v>
      </c>
      <c r="T197" s="13">
        <f ca="1">($C$5*(1+(30%+25%)))/T194</f>
        <v>0.15626621925867129</v>
      </c>
      <c r="AP197" s="14">
        <f t="shared" ca="1" si="83"/>
        <v>6650.7705798990346</v>
      </c>
      <c r="AQ197" s="14">
        <f t="shared" ca="1" si="69"/>
        <v>21630.300538510408</v>
      </c>
      <c r="AR197" s="14">
        <f t="shared" ca="1" si="70"/>
        <v>460020.00223133207</v>
      </c>
      <c r="AS197" s="170">
        <f t="shared" ca="1" si="56"/>
        <v>13184.335917026558</v>
      </c>
      <c r="AT197" s="170">
        <f t="shared" ca="1" si="71"/>
        <v>344237.91677032661</v>
      </c>
      <c r="AU197" s="13" t="str">
        <f t="shared" ca="1" si="57"/>
        <v/>
      </c>
      <c r="AV197" s="13">
        <f t="shared" ca="1" si="58"/>
        <v>460020.00223133207</v>
      </c>
      <c r="AW197" s="14">
        <f t="shared" si="72"/>
        <v>37524.266138405284</v>
      </c>
      <c r="AX197" s="14">
        <f t="shared" si="73"/>
        <v>32614.345953962486</v>
      </c>
      <c r="AZ197">
        <v>25</v>
      </c>
      <c r="BA197" s="14">
        <f t="shared" ca="1" si="74"/>
        <v>20024.962165140765</v>
      </c>
      <c r="BB197" s="14">
        <f t="shared" ca="1" si="75"/>
        <v>430126.36409468192</v>
      </c>
      <c r="BC197" s="14">
        <f t="shared" ca="1" si="79"/>
        <v>20024.962165140765</v>
      </c>
      <c r="BD197" s="14">
        <f t="shared" ca="1" si="76"/>
        <v>417726.36409468192</v>
      </c>
    </row>
    <row r="200" spans="2:56">
      <c r="O200" t="s">
        <v>2290</v>
      </c>
      <c r="P200" s="14">
        <f>P197*0.85</f>
        <v>31895.626217644491</v>
      </c>
    </row>
    <row r="207" spans="2:56">
      <c r="Q207" t="s">
        <v>2291</v>
      </c>
      <c r="R207">
        <v>999</v>
      </c>
    </row>
    <row r="209" spans="14:34">
      <c r="O209" t="s">
        <v>2292</v>
      </c>
      <c r="P209" s="14">
        <f>$C$5</f>
        <v>23440</v>
      </c>
      <c r="R209" t="s">
        <v>2293</v>
      </c>
    </row>
    <row r="210" spans="14:34">
      <c r="O210" t="s">
        <v>2294</v>
      </c>
      <c r="P210" s="32">
        <f ca="1">PMT(OFFSET(O217,MATCH(P213,O218:O220,0)+4*($P$215-1),MATCH(P212,P217:W217,0)),P212,P209+IF(P215=1,$R$207,0))</f>
        <v>-844.8558963776627</v>
      </c>
      <c r="R210" t="s">
        <v>2295</v>
      </c>
    </row>
    <row r="211" spans="14:34">
      <c r="O211" t="s">
        <v>2296</v>
      </c>
      <c r="P211" s="32">
        <f ca="1">P210*P212</f>
        <v>-50691.35378265976</v>
      </c>
      <c r="R211" t="s">
        <v>2297</v>
      </c>
    </row>
    <row r="212" spans="14:34">
      <c r="O212" t="s">
        <v>2298</v>
      </c>
      <c r="P212" s="161">
        <v>60</v>
      </c>
    </row>
    <row r="213" spans="14:34">
      <c r="O213" t="s">
        <v>2299</v>
      </c>
      <c r="P213">
        <v>60</v>
      </c>
    </row>
    <row r="214" spans="14:34">
      <c r="O214" t="s">
        <v>2300</v>
      </c>
      <c r="P214" s="12">
        <f ca="1">RATE(P212,P210,P209+$R$207)</f>
        <v>2.7961840725286683E-2</v>
      </c>
    </row>
    <row r="215" spans="14:34">
      <c r="O215" t="s">
        <v>2301</v>
      </c>
      <c r="P215">
        <v>1</v>
      </c>
    </row>
    <row r="216" spans="14:34">
      <c r="O216" t="s">
        <v>2302</v>
      </c>
    </row>
    <row r="217" spans="14:34">
      <c r="O217" s="3" t="s">
        <v>2299</v>
      </c>
      <c r="P217" s="171">
        <v>12</v>
      </c>
      <c r="Q217" s="171">
        <v>24</v>
      </c>
      <c r="R217" s="171">
        <v>36</v>
      </c>
      <c r="S217" s="171">
        <v>48</v>
      </c>
      <c r="T217" s="171">
        <v>60</v>
      </c>
      <c r="U217" s="171">
        <v>72</v>
      </c>
      <c r="V217" s="171">
        <v>84</v>
      </c>
      <c r="W217" s="172">
        <v>96</v>
      </c>
      <c r="Z217" s="3" t="s">
        <v>2299</v>
      </c>
      <c r="AA217" s="171">
        <v>12</v>
      </c>
      <c r="AB217" s="171">
        <v>24</v>
      </c>
      <c r="AC217" s="171">
        <v>36</v>
      </c>
      <c r="AD217" s="171">
        <v>48</v>
      </c>
      <c r="AE217" s="171">
        <v>60</v>
      </c>
      <c r="AF217" s="171">
        <v>72</v>
      </c>
      <c r="AG217" s="171">
        <v>84</v>
      </c>
      <c r="AH217" s="172">
        <v>96</v>
      </c>
    </row>
    <row r="218" spans="14:34" ht="14.45" customHeight="1">
      <c r="N218" s="794" t="s">
        <v>2295</v>
      </c>
      <c r="O218" s="3">
        <v>30</v>
      </c>
      <c r="P218" s="175">
        <v>2.6323668438428618E-2</v>
      </c>
      <c r="Q218" s="175">
        <v>2.6382059553562036E-2</v>
      </c>
      <c r="R218" s="175">
        <v>2.6825269569309262E-2</v>
      </c>
      <c r="S218" s="175">
        <v>2.6781469949810104E-2</v>
      </c>
      <c r="T218" s="175">
        <v>2.6769843559502526E-2</v>
      </c>
      <c r="U218" s="175">
        <v>2.7027573416724425E-2</v>
      </c>
      <c r="V218" s="175">
        <v>2.8152925143175071E-2</v>
      </c>
      <c r="W218" s="354">
        <v>2.807377836662283E-2</v>
      </c>
      <c r="Y218" s="794" t="s">
        <v>2295</v>
      </c>
      <c r="Z218" s="3">
        <v>30</v>
      </c>
      <c r="AA218" s="373">
        <f t="shared" ref="AA218:AH220" si="84">PMT(P218,AA$217,$P$209+$R$207)</f>
        <v>-2401.6230670816299</v>
      </c>
      <c r="AB218" s="373">
        <f t="shared" si="84"/>
        <v>-1387.4034032826455</v>
      </c>
      <c r="AC218" s="373">
        <f t="shared" si="84"/>
        <v>-1067.0095796696774</v>
      </c>
      <c r="AD218" s="373">
        <f t="shared" si="84"/>
        <v>-910.59501412743236</v>
      </c>
      <c r="AE218" s="373">
        <f t="shared" si="84"/>
        <v>-822.8600980983573</v>
      </c>
      <c r="AF218" s="373">
        <f t="shared" si="84"/>
        <v>-773.98054636655104</v>
      </c>
      <c r="AG218" s="373">
        <f t="shared" si="84"/>
        <v>-762.00893552176308</v>
      </c>
      <c r="AH218" s="373">
        <f t="shared" si="84"/>
        <v>-737.80967808501953</v>
      </c>
    </row>
    <row r="219" spans="14:34">
      <c r="N219" s="794"/>
      <c r="O219" s="6">
        <v>60</v>
      </c>
      <c r="P219" s="111">
        <v>3.064597543307284E-2</v>
      </c>
      <c r="Q219" s="111">
        <v>2.8773646885854258E-2</v>
      </c>
      <c r="R219" s="111">
        <v>2.8567429965813178E-2</v>
      </c>
      <c r="S219" s="111">
        <v>2.8181450864623446E-2</v>
      </c>
      <c r="T219" s="111">
        <v>2.7961840725286697E-2</v>
      </c>
      <c r="U219" s="111">
        <v>2.8109728054319896E-2</v>
      </c>
      <c r="V219" s="111">
        <v>2.9191304488969737E-2</v>
      </c>
      <c r="W219" s="355">
        <v>2.905471909549754E-2</v>
      </c>
      <c r="Y219" s="794"/>
      <c r="Z219" s="6">
        <v>60</v>
      </c>
      <c r="AA219" s="286">
        <f t="shared" si="84"/>
        <v>-2464.6699301565386</v>
      </c>
      <c r="AB219" s="286">
        <f t="shared" si="84"/>
        <v>-1424.063067081494</v>
      </c>
      <c r="AC219" s="286">
        <f t="shared" si="84"/>
        <v>-1095.6002381029346</v>
      </c>
      <c r="AD219" s="286">
        <f t="shared" si="84"/>
        <v>-935.03478999333561</v>
      </c>
      <c r="AE219" s="286">
        <f t="shared" si="84"/>
        <v>-844.8558963776627</v>
      </c>
      <c r="AF219" s="286">
        <f t="shared" si="84"/>
        <v>-794.99875361132661</v>
      </c>
      <c r="AG219" s="286">
        <f t="shared" si="84"/>
        <v>-783.26766119559409</v>
      </c>
      <c r="AH219" s="286">
        <f t="shared" si="84"/>
        <v>-758.58736690053627</v>
      </c>
    </row>
    <row r="220" spans="14:34">
      <c r="N220" s="794"/>
      <c r="O220" s="8">
        <v>90</v>
      </c>
      <c r="P220" s="173">
        <v>3.5042693889211267E-2</v>
      </c>
      <c r="Q220" s="173">
        <v>3.1179199309106301E-2</v>
      </c>
      <c r="R220" s="173">
        <v>3.0330616964332761E-2</v>
      </c>
      <c r="S220" s="173">
        <v>2.9591574081513954E-2</v>
      </c>
      <c r="T220" s="173">
        <v>2.9166289537807481E-2</v>
      </c>
      <c r="U220" s="173">
        <v>2.9193097354315925E-2</v>
      </c>
      <c r="V220" s="173">
        <v>3.0267360493280465E-2</v>
      </c>
      <c r="W220" s="174">
        <v>3.0049803065602801E-2</v>
      </c>
      <c r="Y220" s="794"/>
      <c r="Z220">
        <v>90</v>
      </c>
      <c r="AA220" s="13">
        <f t="shared" si="84"/>
        <v>-2529.6797339598156</v>
      </c>
      <c r="AB220" s="13">
        <f t="shared" si="84"/>
        <v>-1461.4520448268204</v>
      </c>
      <c r="AC220" s="13">
        <f t="shared" si="84"/>
        <v>-1124.927969141911</v>
      </c>
      <c r="AD220" s="13">
        <f t="shared" si="84"/>
        <v>-959.96336137655328</v>
      </c>
      <c r="AE220" s="13">
        <f t="shared" si="84"/>
        <v>-867.34049017429061</v>
      </c>
      <c r="AF220" s="13">
        <f t="shared" si="84"/>
        <v>-816.26523794408558</v>
      </c>
      <c r="AG220" s="13">
        <f t="shared" si="84"/>
        <v>-805.5117365632658</v>
      </c>
      <c r="AH220" s="13">
        <f t="shared" si="84"/>
        <v>-779.84609257436762</v>
      </c>
    </row>
    <row r="221" spans="14:34">
      <c r="N221" s="795" t="s">
        <v>2297</v>
      </c>
      <c r="O221" s="3">
        <v>30</v>
      </c>
      <c r="P221" s="175"/>
      <c r="Q221" s="175"/>
      <c r="R221" s="175"/>
      <c r="S221" s="175"/>
      <c r="T221" s="175"/>
      <c r="U221" s="175"/>
      <c r="V221" s="4"/>
      <c r="W221" s="5"/>
      <c r="Z221" s="8">
        <v>120</v>
      </c>
      <c r="AA221" s="173"/>
      <c r="AB221" s="173"/>
      <c r="AC221" s="173"/>
      <c r="AD221" s="173"/>
      <c r="AE221" s="173"/>
      <c r="AF221" s="173"/>
      <c r="AG221" s="173"/>
      <c r="AH221" s="174" t="s">
        <v>2303</v>
      </c>
    </row>
    <row r="222" spans="14:34" ht="14.45" customHeight="1">
      <c r="N222" s="795"/>
      <c r="O222" s="6">
        <v>60</v>
      </c>
      <c r="P222" s="111"/>
      <c r="Q222" s="111"/>
      <c r="R222" s="111"/>
      <c r="S222" s="111"/>
      <c r="T222" s="111"/>
      <c r="U222" s="111"/>
      <c r="W222" s="7"/>
      <c r="Y222" s="795" t="s">
        <v>2297</v>
      </c>
      <c r="Z222" s="3">
        <v>30</v>
      </c>
      <c r="AA222" s="175"/>
      <c r="AB222" s="175"/>
      <c r="AC222" s="175"/>
      <c r="AD222" s="175"/>
      <c r="AE222" s="175"/>
      <c r="AF222" s="175"/>
      <c r="AG222" s="4"/>
      <c r="AH222" s="5"/>
    </row>
    <row r="223" spans="14:34">
      <c r="N223" s="795"/>
      <c r="O223" s="8">
        <v>90</v>
      </c>
      <c r="P223" s="2"/>
      <c r="Q223" s="173"/>
      <c r="R223" s="173"/>
      <c r="S223" s="173"/>
      <c r="T223" s="173"/>
      <c r="U223" s="173"/>
      <c r="V223" s="173"/>
      <c r="W223" s="174"/>
      <c r="Y223" s="795"/>
      <c r="Z223" s="6">
        <v>60</v>
      </c>
      <c r="AA223" s="111"/>
      <c r="AB223" s="111"/>
      <c r="AC223" s="111"/>
      <c r="AD223" s="111"/>
      <c r="AE223" s="111"/>
      <c r="AF223" s="111"/>
      <c r="AH223" s="7"/>
    </row>
    <row r="224" spans="14:34">
      <c r="Y224" s="795"/>
      <c r="Z224" s="8">
        <v>90</v>
      </c>
      <c r="AA224" s="2"/>
      <c r="AB224" s="173"/>
      <c r="AC224" s="173"/>
      <c r="AD224" s="173"/>
      <c r="AE224" s="173"/>
      <c r="AF224" s="173"/>
      <c r="AG224" s="173"/>
      <c r="AH224" s="174"/>
    </row>
    <row r="233" spans="2:20" ht="45">
      <c r="B233" t="str">
        <f>B171</f>
        <v>Ano</v>
      </c>
      <c r="C233" s="10" t="str">
        <f t="shared" ref="C233:K233" si="85">C171</f>
        <v>Consumo (kWh/Ano)</v>
      </c>
      <c r="D233" s="10" t="str">
        <f t="shared" si="85"/>
        <v>Tarifa sem FV¹/Ano</v>
      </c>
      <c r="E233" s="10" t="str">
        <f t="shared" si="85"/>
        <v>Geração FV¹ (kWh/Ano)</v>
      </c>
      <c r="F233" s="10" t="str">
        <f t="shared" si="85"/>
        <v>AutoConsumo (kWh/Ano)</v>
      </c>
      <c r="G233" s="10" t="str">
        <f t="shared" si="85"/>
        <v>Consumo da Rede (kWh/Ano)</v>
      </c>
      <c r="H233" s="10" t="str">
        <f t="shared" si="85"/>
        <v xml:space="preserve">Injeção na Rede (kWh/Ano) </v>
      </c>
      <c r="I233" s="10" t="str">
        <f t="shared" si="85"/>
        <v>Tarifa com FV/Ano</v>
      </c>
      <c r="J233" s="10" t="str">
        <f t="shared" si="85"/>
        <v>Fluxo de Caixa</v>
      </c>
      <c r="K233" s="10" t="str">
        <f t="shared" si="85"/>
        <v>Economia Acumulada</v>
      </c>
      <c r="L233" s="162" t="s">
        <v>2249</v>
      </c>
      <c r="M233" s="162" t="s">
        <v>2250</v>
      </c>
    </row>
    <row r="234" spans="2:20">
      <c r="B234">
        <f t="shared" ref="B234:I234" si="86">B172</f>
        <v>0</v>
      </c>
      <c r="C234" s="10">
        <f t="shared" si="86"/>
        <v>0</v>
      </c>
      <c r="D234" s="10">
        <f t="shared" ref="D234:D259" ca="1" si="87">D172</f>
        <v>0</v>
      </c>
      <c r="E234" s="10">
        <f t="shared" si="86"/>
        <v>0</v>
      </c>
      <c r="F234" s="10">
        <f t="shared" si="86"/>
        <v>0</v>
      </c>
      <c r="G234" s="10">
        <f t="shared" si="86"/>
        <v>0</v>
      </c>
      <c r="H234" s="10">
        <f t="shared" si="86"/>
        <v>0</v>
      </c>
      <c r="I234" s="10">
        <f t="shared" si="86"/>
        <v>0</v>
      </c>
      <c r="J234" s="21">
        <v>0</v>
      </c>
      <c r="K234" s="21">
        <f>J234</f>
        <v>0</v>
      </c>
      <c r="L234" s="162">
        <f t="shared" ref="L234" si="88">PV($T$171,B234,,-J234)</f>
        <v>0</v>
      </c>
      <c r="M234" s="162">
        <f>L234</f>
        <v>0</v>
      </c>
    </row>
    <row r="235" spans="2:20">
      <c r="B235">
        <f t="shared" ref="B235" si="89">B173</f>
        <v>1</v>
      </c>
      <c r="C235">
        <f t="shared" ref="C235:C259" ca="1" si="90">C173</f>
        <v>10122.624</v>
      </c>
      <c r="D235" s="13">
        <f t="shared" ca="1" si="87"/>
        <v>11993.934906340308</v>
      </c>
      <c r="E235" s="20">
        <f t="shared" ref="E235:J244" ca="1" si="91">E173</f>
        <v>10223.88324103499</v>
      </c>
      <c r="F235" s="20">
        <f t="shared" ca="1" si="91"/>
        <v>3036.7871999999998</v>
      </c>
      <c r="G235" s="20">
        <f t="shared" ca="1" si="91"/>
        <v>7085.8368</v>
      </c>
      <c r="H235" s="20">
        <f t="shared" ca="1" si="91"/>
        <v>7187.096041034989</v>
      </c>
      <c r="I235" s="13">
        <f t="shared" ca="1" si="91"/>
        <v>2374.0377549480254</v>
      </c>
      <c r="J235" s="14">
        <f t="shared" ca="1" si="91"/>
        <v>9619.8971513922825</v>
      </c>
      <c r="K235" s="14">
        <f ca="1">J235+K234+((12-$P$213/30)*$P$210)</f>
        <v>1171.3381876156545</v>
      </c>
      <c r="L235" s="162">
        <f t="shared" ref="L235:L259" ca="1" si="92">PV($T$171,B235,,-J235)</f>
        <v>9431.2717170512569</v>
      </c>
      <c r="M235" s="162">
        <f t="shared" ref="M235:M259" ca="1" si="93">M234+L235</f>
        <v>9431.2717170512569</v>
      </c>
      <c r="O235" s="15" t="s">
        <v>2255</v>
      </c>
      <c r="P235" s="15">
        <f>C11</f>
        <v>0.02</v>
      </c>
      <c r="Q235" s="15"/>
      <c r="R235" s="15"/>
      <c r="S235" s="15"/>
      <c r="T235" s="15"/>
    </row>
    <row r="236" spans="2:20">
      <c r="B236">
        <f t="shared" ref="B236" si="94">B174</f>
        <v>2</v>
      </c>
      <c r="C236">
        <f t="shared" ca="1" si="90"/>
        <v>10122.624</v>
      </c>
      <c r="D236" s="13">
        <f t="shared" ca="1" si="87"/>
        <v>13193.328396974337</v>
      </c>
      <c r="E236" s="20">
        <f t="shared" ca="1" si="91"/>
        <v>10142.092175106709</v>
      </c>
      <c r="F236" s="20">
        <f t="shared" ca="1" si="91"/>
        <v>3036.7871999999998</v>
      </c>
      <c r="G236" s="20">
        <f t="shared" ca="1" si="91"/>
        <v>7085.8368</v>
      </c>
      <c r="H236" s="20">
        <f t="shared" ca="1" si="91"/>
        <v>7115.528858347745</v>
      </c>
      <c r="I236" s="13">
        <f t="shared" ca="1" si="91"/>
        <v>2284.1980245950531</v>
      </c>
      <c r="J236" s="14">
        <f t="shared" ca="1" si="91"/>
        <v>10909.130372379284</v>
      </c>
      <c r="K236" s="14">
        <f t="shared" ref="K236:K241" ca="1" si="95">J236+K235+(IF($P$212-(12*B235-$P$213/30)&gt;12,12,$P$212-(12*B235-$P$213/30))*$P$210)</f>
        <v>1942.1978034629865</v>
      </c>
      <c r="L236" s="162">
        <f t="shared" ca="1" si="92"/>
        <v>10485.515544386086</v>
      </c>
      <c r="M236" s="162">
        <f t="shared" ca="1" si="93"/>
        <v>19916.787261437341</v>
      </c>
      <c r="O236" s="15" t="s">
        <v>2263</v>
      </c>
      <c r="P236" s="13">
        <f ca="1">NPV($T$171,$J$235:$J$259)+$J$234</f>
        <v>348077.01699055237</v>
      </c>
      <c r="Q236" s="15"/>
      <c r="R236" s="15" t="s">
        <v>2264</v>
      </c>
      <c r="S236" s="15"/>
      <c r="T236" s="15"/>
    </row>
    <row r="237" spans="2:20">
      <c r="B237">
        <f t="shared" ref="B237" si="96">B175</f>
        <v>3</v>
      </c>
      <c r="C237">
        <f t="shared" ca="1" si="90"/>
        <v>10122.624</v>
      </c>
      <c r="D237" s="13">
        <f t="shared" ca="1" si="87"/>
        <v>14512.661236671775</v>
      </c>
      <c r="E237" s="20">
        <f t="shared" ca="1" si="91"/>
        <v>10060.955437705856</v>
      </c>
      <c r="F237" s="20">
        <f t="shared" ca="1" si="91"/>
        <v>3036.7871999999998</v>
      </c>
      <c r="G237" s="20">
        <f t="shared" ca="1" si="91"/>
        <v>7085.8368</v>
      </c>
      <c r="H237" s="20">
        <f t="shared" ca="1" si="91"/>
        <v>7044.4626459393094</v>
      </c>
      <c r="I237" s="13">
        <f t="shared" ca="1" si="91"/>
        <v>2739.2077328293753</v>
      </c>
      <c r="J237" s="14">
        <f t="shared" ca="1" si="91"/>
        <v>11773.4535038424</v>
      </c>
      <c r="K237" s="14">
        <f t="shared" ca="1" si="95"/>
        <v>3577.3805507734342</v>
      </c>
      <c r="L237" s="162">
        <f t="shared" ca="1" si="92"/>
        <v>11094.388191421853</v>
      </c>
      <c r="M237" s="162">
        <f t="shared" ca="1" si="93"/>
        <v>31011.175452859192</v>
      </c>
      <c r="O237" s="15" t="s">
        <v>2265</v>
      </c>
      <c r="P237" s="15" t="e">
        <f ca="1">IRR(J234:J259)</f>
        <v>#NUM!</v>
      </c>
      <c r="Q237" s="15"/>
      <c r="R237" s="15"/>
      <c r="S237" s="15"/>
      <c r="T237" s="15"/>
    </row>
    <row r="238" spans="2:20">
      <c r="B238">
        <f t="shared" ref="B238" si="97">B176</f>
        <v>4</v>
      </c>
      <c r="C238">
        <f t="shared" ca="1" si="90"/>
        <v>10122.624</v>
      </c>
      <c r="D238" s="13">
        <f t="shared" ca="1" si="87"/>
        <v>15963.927360338956</v>
      </c>
      <c r="E238" s="20">
        <f t="shared" ca="1" si="91"/>
        <v>9980.467794204209</v>
      </c>
      <c r="F238" s="20">
        <f t="shared" ca="1" si="91"/>
        <v>3036.7871999999998</v>
      </c>
      <c r="G238" s="20">
        <f t="shared" ca="1" si="91"/>
        <v>7085.8368</v>
      </c>
      <c r="H238" s="20">
        <f t="shared" ca="1" si="91"/>
        <v>6973.8938970177351</v>
      </c>
      <c r="I238" s="13">
        <f t="shared" ca="1" si="91"/>
        <v>3318.8674313062211</v>
      </c>
      <c r="J238" s="14">
        <f t="shared" ca="1" si="91"/>
        <v>12645.059929032734</v>
      </c>
      <c r="K238" s="14">
        <f t="shared" ca="1" si="95"/>
        <v>6084.1697232742154</v>
      </c>
      <c r="L238" s="162">
        <f t="shared" ca="1" si="92"/>
        <v>11682.080777268049</v>
      </c>
      <c r="M238" s="162">
        <f t="shared" ca="1" si="93"/>
        <v>42693.256230127241</v>
      </c>
      <c r="O238" s="15" t="s">
        <v>2267</v>
      </c>
      <c r="P238" s="129" t="e">
        <f ca="1">NPV($T$171,$J$235:$J$259)/-$J$234</f>
        <v>#DIV/0!</v>
      </c>
      <c r="Q238" s="15"/>
      <c r="R238" s="15" t="s">
        <v>2268</v>
      </c>
      <c r="S238" s="15" t="s">
        <v>2269</v>
      </c>
      <c r="T238" s="15" t="s">
        <v>2270</v>
      </c>
    </row>
    <row r="239" spans="2:20">
      <c r="B239">
        <f t="shared" ref="B239" si="98">B177</f>
        <v>5</v>
      </c>
      <c r="C239">
        <f t="shared" ca="1" si="90"/>
        <v>10122.624</v>
      </c>
      <c r="D239" s="13">
        <f t="shared" ca="1" si="87"/>
        <v>17560.320096372852</v>
      </c>
      <c r="E239" s="20">
        <f t="shared" ca="1" si="91"/>
        <v>9900.6240518505747</v>
      </c>
      <c r="F239" s="20">
        <f t="shared" ca="1" si="91"/>
        <v>3036.7871999999998</v>
      </c>
      <c r="G239" s="20">
        <f t="shared" ca="1" si="91"/>
        <v>7085.8368</v>
      </c>
      <c r="H239" s="20">
        <f t="shared" ca="1" si="91"/>
        <v>6903.8191293386099</v>
      </c>
      <c r="I239" s="13">
        <f t="shared" ca="1" si="91"/>
        <v>4005.6187505062489</v>
      </c>
      <c r="J239" s="14">
        <f t="shared" ca="1" si="91"/>
        <v>13554.701345866604</v>
      </c>
      <c r="K239" s="14">
        <f t="shared" ca="1" si="95"/>
        <v>9500.6003126088672</v>
      </c>
      <c r="L239" s="162">
        <f t="shared" ca="1" si="92"/>
        <v>12276.91062699441</v>
      </c>
      <c r="M239" s="162">
        <f t="shared" ca="1" si="93"/>
        <v>54970.166857121651</v>
      </c>
      <c r="O239" s="15" t="s">
        <v>2271</v>
      </c>
      <c r="P239" s="163">
        <f ca="1">MATCH(0,K234:K259,1)-1+(-INDEX(K234:K259,MATCH(0,K234:K259,1))/INDEX(J234:J259,MATCH(0,K234:K259,1)+1))</f>
        <v>0</v>
      </c>
      <c r="Q239" s="15"/>
      <c r="R239" s="129">
        <f ca="1">ROUNDDOWN(P239,0)</f>
        <v>0</v>
      </c>
      <c r="S239" s="129">
        <f ca="1">ROUNDDOWN((P239-R239)*12,0)</f>
        <v>0</v>
      </c>
      <c r="T239" s="129">
        <f ca="1">ROUNDUP((((P239-R239)*12)-ROUNDDOWN((P239-R239)*12,0))*30,0)</f>
        <v>0</v>
      </c>
    </row>
    <row r="240" spans="2:20">
      <c r="B240">
        <f t="shared" ref="B240" si="99">B178</f>
        <v>6</v>
      </c>
      <c r="C240">
        <f t="shared" ca="1" si="90"/>
        <v>10122.624</v>
      </c>
      <c r="D240" s="14">
        <f t="shared" ca="1" si="87"/>
        <v>19316.352106010138</v>
      </c>
      <c r="E240" s="20">
        <f t="shared" ca="1" si="91"/>
        <v>9821.4190594357697</v>
      </c>
      <c r="F240" s="20">
        <f t="shared" ca="1" si="91"/>
        <v>3036.7871999999998</v>
      </c>
      <c r="G240" s="20">
        <f t="shared" ca="1" si="91"/>
        <v>7085.8368</v>
      </c>
      <c r="H240" s="20">
        <f t="shared" ca="1" si="91"/>
        <v>6834.234885033241</v>
      </c>
      <c r="I240" s="13">
        <f t="shared" ca="1" si="91"/>
        <v>4497.6518745287558</v>
      </c>
      <c r="J240" s="14">
        <f t="shared" ca="1" si="91"/>
        <v>14818.700231481382</v>
      </c>
      <c r="K240" s="14">
        <f t="shared" ca="1" si="95"/>
        <v>22629.588751334923</v>
      </c>
      <c r="L240" s="162">
        <f t="shared" ca="1" si="92"/>
        <v>13158.581726751367</v>
      </c>
      <c r="M240" s="162">
        <f t="shared" ca="1" si="93"/>
        <v>68128.748583873021</v>
      </c>
      <c r="O240" s="15" t="s">
        <v>2272</v>
      </c>
      <c r="P240" s="163">
        <f ca="1">MATCH(0,M234:M259,1)-1+(-INDEX(M234:M259,MATCH(0,M234:M259,1))/INDEX(L234:L259,MATCH(0,M234:M259,1)+1))</f>
        <v>0</v>
      </c>
      <c r="Q240" s="15"/>
      <c r="R240" s="15"/>
      <c r="S240" s="15"/>
      <c r="T240" s="15"/>
    </row>
    <row r="241" spans="2:16">
      <c r="B241">
        <f t="shared" ref="B241" si="100">B179</f>
        <v>7</v>
      </c>
      <c r="C241">
        <f t="shared" ca="1" si="90"/>
        <v>10122.624</v>
      </c>
      <c r="D241" s="14">
        <f t="shared" ca="1" si="87"/>
        <v>21247.98731661115</v>
      </c>
      <c r="E241" s="20">
        <f t="shared" ca="1" si="91"/>
        <v>9742.8477069602832</v>
      </c>
      <c r="F241" s="20">
        <f t="shared" ca="1" si="91"/>
        <v>3036.7871999999998</v>
      </c>
      <c r="G241" s="20">
        <f t="shared" ca="1" si="91"/>
        <v>7085.8368</v>
      </c>
      <c r="H241" s="20">
        <f t="shared" ca="1" si="91"/>
        <v>6765.1377304380076</v>
      </c>
      <c r="I241" s="13">
        <f t="shared" ca="1" si="91"/>
        <v>5047.3311072336146</v>
      </c>
      <c r="J241" s="14">
        <f t="shared" ca="1" si="91"/>
        <v>16200.656209377536</v>
      </c>
      <c r="K241" s="14">
        <f t="shared" ca="1" si="95"/>
        <v>47278.803924489082</v>
      </c>
      <c r="L241" s="162">
        <f t="shared" ca="1" si="92"/>
        <v>14103.646163298321</v>
      </c>
      <c r="M241" s="162">
        <f t="shared" ca="1" si="93"/>
        <v>82232.394747171347</v>
      </c>
      <c r="P241" s="129"/>
    </row>
    <row r="242" spans="2:16">
      <c r="B242">
        <f t="shared" ref="B242" si="101">B180</f>
        <v>8</v>
      </c>
      <c r="C242">
        <f t="shared" ca="1" si="90"/>
        <v>10122.624</v>
      </c>
      <c r="D242" s="14">
        <f t="shared" ca="1" si="87"/>
        <v>23372.786048272272</v>
      </c>
      <c r="E242" s="20">
        <f t="shared" ca="1" si="91"/>
        <v>9664.9049253046014</v>
      </c>
      <c r="F242" s="20">
        <f t="shared" ca="1" si="91"/>
        <v>3036.7871999999998</v>
      </c>
      <c r="G242" s="20">
        <f t="shared" ca="1" si="91"/>
        <v>7085.8368</v>
      </c>
      <c r="H242" s="20">
        <f t="shared" ca="1" si="91"/>
        <v>6696.52425592494</v>
      </c>
      <c r="I242" s="13">
        <f t="shared" ca="1" si="91"/>
        <v>5661.2003295857203</v>
      </c>
      <c r="J242" s="14">
        <f t="shared" ca="1" si="91"/>
        <v>17711.585718686551</v>
      </c>
      <c r="K242" s="14">
        <f t="shared" ref="K242:K259" ca="1" si="102">J242+K241</f>
        <v>64990.389643175629</v>
      </c>
      <c r="L242" s="162">
        <f t="shared" ca="1" si="92"/>
        <v>15116.667869407263</v>
      </c>
      <c r="M242" s="162">
        <f t="shared" ca="1" si="93"/>
        <v>97349.062616578609</v>
      </c>
      <c r="P242" s="129"/>
    </row>
    <row r="243" spans="2:16">
      <c r="B243">
        <f t="shared" ref="B243" si="103">B181</f>
        <v>9</v>
      </c>
      <c r="C243">
        <f t="shared" ca="1" si="90"/>
        <v>10122.624</v>
      </c>
      <c r="D243" s="14">
        <f t="shared" ca="1" si="87"/>
        <v>25710.064653099496</v>
      </c>
      <c r="E243" s="20">
        <f t="shared" ca="1" si="91"/>
        <v>9587.5856859021642</v>
      </c>
      <c r="F243" s="20">
        <f t="shared" ca="1" si="91"/>
        <v>3036.7871999999998</v>
      </c>
      <c r="G243" s="20">
        <f t="shared" ca="1" si="91"/>
        <v>7085.8368</v>
      </c>
      <c r="H243" s="20">
        <f t="shared" ca="1" si="91"/>
        <v>6628.3910757334652</v>
      </c>
      <c r="I243" s="13">
        <f t="shared" ca="1" si="91"/>
        <v>6346.5297372763662</v>
      </c>
      <c r="J243" s="14">
        <f t="shared" ca="1" si="91"/>
        <v>19363.534915823129</v>
      </c>
      <c r="K243" s="14">
        <f t="shared" ca="1" si="102"/>
        <v>84353.924558998755</v>
      </c>
      <c r="L243" s="162">
        <f t="shared" ca="1" si="92"/>
        <v>16202.539806724088</v>
      </c>
      <c r="M243" s="162">
        <f t="shared" ca="1" si="93"/>
        <v>113551.6024233027</v>
      </c>
    </row>
    <row r="244" spans="2:16">
      <c r="B244">
        <f t="shared" ref="B244" si="104">B182</f>
        <v>10</v>
      </c>
      <c r="C244">
        <f t="shared" ca="1" si="90"/>
        <v>10122.624</v>
      </c>
      <c r="D244" s="14">
        <f t="shared" ca="1" si="87"/>
        <v>28281.071118409443</v>
      </c>
      <c r="E244" s="20">
        <f t="shared" ca="1" si="91"/>
        <v>9510.8850004149463</v>
      </c>
      <c r="F244" s="20">
        <f t="shared" ca="1" si="91"/>
        <v>3036.7871999999998</v>
      </c>
      <c r="G244" s="20">
        <f t="shared" ca="1" si="91"/>
        <v>7085.8368</v>
      </c>
      <c r="H244" s="20">
        <f t="shared" ca="1" si="91"/>
        <v>6560.7348278033314</v>
      </c>
      <c r="I244" s="13">
        <f t="shared" ca="1" si="91"/>
        <v>7111.3951110238522</v>
      </c>
      <c r="J244" s="14">
        <f t="shared" ca="1" si="91"/>
        <v>21169.676007385591</v>
      </c>
      <c r="K244" s="14">
        <f t="shared" ca="1" si="102"/>
        <v>105523.60056638435</v>
      </c>
      <c r="L244" s="162">
        <f t="shared" ca="1" si="92"/>
        <v>17366.507721566635</v>
      </c>
      <c r="M244" s="162">
        <f t="shared" ca="1" si="93"/>
        <v>130918.11014486934</v>
      </c>
    </row>
    <row r="245" spans="2:16">
      <c r="B245">
        <f t="shared" ref="B245" si="105">B183</f>
        <v>11</v>
      </c>
      <c r="C245">
        <f t="shared" ca="1" si="90"/>
        <v>10122.624</v>
      </c>
      <c r="D245" s="14">
        <f t="shared" ca="1" si="87"/>
        <v>28281.071118409443</v>
      </c>
      <c r="E245" s="20">
        <f t="shared" ref="E245:J254" ca="1" si="106">E183</f>
        <v>9434.7979204116273</v>
      </c>
      <c r="F245" s="20">
        <f t="shared" ca="1" si="106"/>
        <v>3036.7871999999998</v>
      </c>
      <c r="G245" s="20">
        <f t="shared" ca="1" si="106"/>
        <v>7085.8368</v>
      </c>
      <c r="H245" s="20">
        <f t="shared" ca="1" si="106"/>
        <v>6398.0107204116275</v>
      </c>
      <c r="I245" s="14">
        <f t="shared" ca="1" si="106"/>
        <v>7182.5090621340905</v>
      </c>
      <c r="J245" s="14">
        <f t="shared" ca="1" si="106"/>
        <v>21098.562056275354</v>
      </c>
      <c r="K245" s="14">
        <f t="shared" ca="1" si="102"/>
        <v>126622.1626226597</v>
      </c>
      <c r="L245" s="162">
        <f t="shared" ca="1" si="92"/>
        <v>16968.793639878382</v>
      </c>
      <c r="M245" s="162">
        <f t="shared" ca="1" si="93"/>
        <v>147886.90378474773</v>
      </c>
    </row>
    <row r="246" spans="2:16">
      <c r="B246">
        <f t="shared" ref="B246" si="107">B184</f>
        <v>12</v>
      </c>
      <c r="C246">
        <f t="shared" ca="1" si="90"/>
        <v>10122.624</v>
      </c>
      <c r="D246" s="14">
        <f t="shared" ca="1" si="87"/>
        <v>28281.071118409443</v>
      </c>
      <c r="E246" s="20">
        <f t="shared" ca="1" si="106"/>
        <v>9359.3195370483336</v>
      </c>
      <c r="F246" s="20">
        <f t="shared" ca="1" si="106"/>
        <v>3036.7871999999998</v>
      </c>
      <c r="G246" s="20">
        <f t="shared" ca="1" si="106"/>
        <v>7085.8368</v>
      </c>
      <c r="H246" s="20">
        <f t="shared" ca="1" si="106"/>
        <v>6322.5323370483338</v>
      </c>
      <c r="I246" s="14">
        <f t="shared" ca="1" si="106"/>
        <v>7254.3341527554312</v>
      </c>
      <c r="J246" s="14">
        <f t="shared" ca="1" si="106"/>
        <v>21026.73696565401</v>
      </c>
      <c r="K246" s="14">
        <f t="shared" ca="1" si="102"/>
        <v>147648.89958831371</v>
      </c>
      <c r="L246" s="162">
        <f t="shared" ca="1" si="92"/>
        <v>16579.438602168731</v>
      </c>
      <c r="M246" s="162">
        <f t="shared" ca="1" si="93"/>
        <v>164466.34238691645</v>
      </c>
    </row>
    <row r="247" spans="2:16">
      <c r="B247">
        <f t="shared" ref="B247" si="108">B185</f>
        <v>13</v>
      </c>
      <c r="C247">
        <f t="shared" ca="1" si="90"/>
        <v>10122.624</v>
      </c>
      <c r="D247" s="14">
        <f t="shared" ca="1" si="87"/>
        <v>28281.071118409443</v>
      </c>
      <c r="E247" s="20">
        <f t="shared" ca="1" si="106"/>
        <v>9284.4449807519468</v>
      </c>
      <c r="F247" s="20">
        <f t="shared" ca="1" si="106"/>
        <v>3036.7871999999998</v>
      </c>
      <c r="G247" s="20">
        <f t="shared" ca="1" si="106"/>
        <v>7085.8368</v>
      </c>
      <c r="H247" s="20">
        <f t="shared" ca="1" si="106"/>
        <v>6247.657780751947</v>
      </c>
      <c r="I247" s="14">
        <f t="shared" ca="1" si="106"/>
        <v>7326.8774942829859</v>
      </c>
      <c r="J247" s="14">
        <f t="shared" ca="1" si="106"/>
        <v>20954.193624126456</v>
      </c>
      <c r="K247" s="14">
        <f t="shared" ca="1" si="102"/>
        <v>168603.09321244017</v>
      </c>
      <c r="L247" s="162">
        <f t="shared" ca="1" si="92"/>
        <v>16198.27320827487</v>
      </c>
      <c r="M247" s="162">
        <f t="shared" ca="1" si="93"/>
        <v>180664.61559519131</v>
      </c>
    </row>
    <row r="248" spans="2:16">
      <c r="B248">
        <f t="shared" ref="B248" si="109">B186</f>
        <v>14</v>
      </c>
      <c r="C248">
        <f t="shared" ca="1" si="90"/>
        <v>10122.624</v>
      </c>
      <c r="D248" s="14">
        <f t="shared" ca="1" si="87"/>
        <v>28281.071118409443</v>
      </c>
      <c r="E248" s="20">
        <f t="shared" ca="1" si="106"/>
        <v>9210.1694209059315</v>
      </c>
      <c r="F248" s="20">
        <f t="shared" ca="1" si="106"/>
        <v>3036.7871999999998</v>
      </c>
      <c r="G248" s="20">
        <f t="shared" ca="1" si="106"/>
        <v>7085.8368</v>
      </c>
      <c r="H248" s="20">
        <f t="shared" ca="1" si="106"/>
        <v>6173.3822209059317</v>
      </c>
      <c r="I248" s="14">
        <f t="shared" ca="1" si="106"/>
        <v>7400.1462692258156</v>
      </c>
      <c r="J248" s="14">
        <f t="shared" ca="1" si="106"/>
        <v>20880.924849183626</v>
      </c>
      <c r="K248" s="14">
        <f t="shared" ca="1" si="102"/>
        <v>189484.01806162379</v>
      </c>
      <c r="L248" s="162">
        <f t="shared" ca="1" si="92"/>
        <v>15825.131433501265</v>
      </c>
      <c r="M248" s="162">
        <f t="shared" ca="1" si="93"/>
        <v>196489.74702869257</v>
      </c>
    </row>
    <row r="249" spans="2:16">
      <c r="B249">
        <f t="shared" ref="B249" si="110">B187</f>
        <v>15</v>
      </c>
      <c r="C249">
        <f t="shared" ca="1" si="90"/>
        <v>10122.624</v>
      </c>
      <c r="D249" s="14">
        <f t="shared" ca="1" si="87"/>
        <v>28281.071118409443</v>
      </c>
      <c r="E249" s="20">
        <f t="shared" ca="1" si="106"/>
        <v>9136.4880655386842</v>
      </c>
      <c r="F249" s="20">
        <f t="shared" ca="1" si="106"/>
        <v>3036.7871999999998</v>
      </c>
      <c r="G249" s="20">
        <f t="shared" ca="1" si="106"/>
        <v>7085.8368</v>
      </c>
      <c r="H249" s="20">
        <f t="shared" ca="1" si="106"/>
        <v>6099.7008655386844</v>
      </c>
      <c r="I249" s="14">
        <f t="shared" ca="1" si="106"/>
        <v>7474.147731918074</v>
      </c>
      <c r="J249" s="14">
        <f t="shared" ca="1" si="106"/>
        <v>20806.923386491369</v>
      </c>
      <c r="K249" s="14">
        <f t="shared" ca="1" si="102"/>
        <v>210290.94144811516</v>
      </c>
      <c r="L249" s="162">
        <f t="shared" ca="1" si="92"/>
        <v>15459.850561905692</v>
      </c>
      <c r="M249" s="162">
        <f t="shared" ca="1" si="93"/>
        <v>211949.59759059825</v>
      </c>
    </row>
    <row r="250" spans="2:16">
      <c r="B250">
        <f t="shared" ref="B250" si="111">B188</f>
        <v>16</v>
      </c>
      <c r="C250">
        <f t="shared" ca="1" si="90"/>
        <v>10122.624</v>
      </c>
      <c r="D250" s="14">
        <f t="shared" ca="1" si="87"/>
        <v>28281.071118409443</v>
      </c>
      <c r="E250" s="20">
        <f t="shared" ca="1" si="106"/>
        <v>9063.3961610143742</v>
      </c>
      <c r="F250" s="20">
        <f t="shared" ca="1" si="106"/>
        <v>3036.7871999999998</v>
      </c>
      <c r="G250" s="20">
        <f t="shared" ca="1" si="106"/>
        <v>7085.8368</v>
      </c>
      <c r="H250" s="20">
        <f t="shared" ca="1" si="106"/>
        <v>6026.6089610143745</v>
      </c>
      <c r="I250" s="14">
        <f t="shared" ca="1" si="106"/>
        <v>7548.8892092372544</v>
      </c>
      <c r="J250" s="14">
        <f t="shared" ca="1" si="106"/>
        <v>20732.181909172188</v>
      </c>
      <c r="K250" s="14">
        <f t="shared" ca="1" si="102"/>
        <v>231023.12335728735</v>
      </c>
      <c r="L250" s="162">
        <f t="shared" ca="1" si="92"/>
        <v>15102.271120898466</v>
      </c>
      <c r="M250" s="162">
        <f t="shared" ca="1" si="93"/>
        <v>227051.8687114967</v>
      </c>
    </row>
    <row r="251" spans="2:16">
      <c r="B251">
        <f t="shared" ref="B251" si="112">B189</f>
        <v>17</v>
      </c>
      <c r="C251">
        <f t="shared" ca="1" si="90"/>
        <v>10122.624</v>
      </c>
      <c r="D251" s="14">
        <f t="shared" ca="1" si="87"/>
        <v>28281.071118409443</v>
      </c>
      <c r="E251" s="20">
        <f t="shared" ca="1" si="106"/>
        <v>8990.8889917262586</v>
      </c>
      <c r="F251" s="20">
        <f t="shared" ca="1" si="106"/>
        <v>3036.7871999999998</v>
      </c>
      <c r="G251" s="20">
        <f t="shared" ca="1" si="106"/>
        <v>7085.8368</v>
      </c>
      <c r="H251" s="20">
        <f t="shared" ca="1" si="106"/>
        <v>5954.1017917262589</v>
      </c>
      <c r="I251" s="14">
        <f t="shared" ca="1" si="106"/>
        <v>7624.3781013296266</v>
      </c>
      <c r="J251" s="14">
        <f t="shared" ca="1" si="106"/>
        <v>20656.693017079815</v>
      </c>
      <c r="K251" s="14">
        <f t="shared" ca="1" si="102"/>
        <v>251679.81637436716</v>
      </c>
      <c r="L251" s="162">
        <f t="shared" ca="1" si="92"/>
        <v>14752.236817129264</v>
      </c>
      <c r="M251" s="162">
        <f t="shared" ca="1" si="93"/>
        <v>241804.10552862598</v>
      </c>
    </row>
    <row r="252" spans="2:16">
      <c r="B252">
        <f t="shared" ref="B252" si="113">B190</f>
        <v>18</v>
      </c>
      <c r="C252">
        <f t="shared" ca="1" si="90"/>
        <v>10122.624</v>
      </c>
      <c r="D252" s="14">
        <f t="shared" ca="1" si="87"/>
        <v>28281.071118409443</v>
      </c>
      <c r="E252" s="20">
        <f t="shared" ca="1" si="106"/>
        <v>8918.9618797924486</v>
      </c>
      <c r="F252" s="20">
        <f t="shared" ca="1" si="106"/>
        <v>3036.7871999999998</v>
      </c>
      <c r="G252" s="20">
        <f t="shared" ca="1" si="106"/>
        <v>7085.8368</v>
      </c>
      <c r="H252" s="20">
        <f t="shared" ca="1" si="106"/>
        <v>5882.1746797924488</v>
      </c>
      <c r="I252" s="14">
        <f t="shared" ca="1" si="106"/>
        <v>7700.6218823429226</v>
      </c>
      <c r="J252" s="14">
        <f t="shared" ca="1" si="106"/>
        <v>20580.449236066521</v>
      </c>
      <c r="K252" s="14">
        <f t="shared" ca="1" si="102"/>
        <v>272260.26561043371</v>
      </c>
      <c r="L252" s="162">
        <f t="shared" ca="1" si="92"/>
        <v>14409.594473636074</v>
      </c>
      <c r="M252" s="162">
        <f t="shared" ca="1" si="93"/>
        <v>256213.70000226205</v>
      </c>
    </row>
    <row r="253" spans="2:16">
      <c r="B253">
        <f t="shared" ref="B253" si="114">B191</f>
        <v>19</v>
      </c>
      <c r="C253">
        <f t="shared" ca="1" si="90"/>
        <v>10122.624</v>
      </c>
      <c r="D253" s="14">
        <f t="shared" ca="1" si="87"/>
        <v>28281.071118409443</v>
      </c>
      <c r="E253" s="20">
        <f t="shared" ca="1" si="106"/>
        <v>8847.6101847541086</v>
      </c>
      <c r="F253" s="20">
        <f t="shared" ca="1" si="106"/>
        <v>3036.7871999999998</v>
      </c>
      <c r="G253" s="20">
        <f t="shared" ca="1" si="106"/>
        <v>7085.8368</v>
      </c>
      <c r="H253" s="20">
        <f t="shared" ca="1" si="106"/>
        <v>5810.8229847541088</v>
      </c>
      <c r="I253" s="14">
        <f t="shared" ca="1" si="106"/>
        <v>7777.6281011663523</v>
      </c>
      <c r="J253" s="14">
        <f t="shared" ca="1" si="106"/>
        <v>20503.443017243091</v>
      </c>
      <c r="K253" s="14">
        <f t="shared" ca="1" si="102"/>
        <v>292763.70862767682</v>
      </c>
      <c r="L253" s="162">
        <f t="shared" ca="1" si="92"/>
        <v>14074.193968231566</v>
      </c>
      <c r="M253" s="162">
        <f t="shared" ca="1" si="93"/>
        <v>270287.89397049363</v>
      </c>
    </row>
    <row r="254" spans="2:16">
      <c r="B254">
        <f t="shared" ref="B254" si="115">B192</f>
        <v>20</v>
      </c>
      <c r="C254">
        <f t="shared" ca="1" si="90"/>
        <v>10122.624</v>
      </c>
      <c r="D254" s="14">
        <f t="shared" ca="1" si="87"/>
        <v>28281.071118409443</v>
      </c>
      <c r="E254" s="20">
        <f t="shared" ca="1" si="106"/>
        <v>8776.8293032760757</v>
      </c>
      <c r="F254" s="20">
        <f t="shared" ca="1" si="106"/>
        <v>3036.7871999999998</v>
      </c>
      <c r="G254" s="20">
        <f t="shared" ca="1" si="106"/>
        <v>7085.8368</v>
      </c>
      <c r="H254" s="20">
        <f t="shared" ca="1" si="106"/>
        <v>5740.042103276076</v>
      </c>
      <c r="I254" s="14">
        <f t="shared" ca="1" si="106"/>
        <v>7855.404382178016</v>
      </c>
      <c r="J254" s="14">
        <f t="shared" ca="1" si="106"/>
        <v>20425.666736231426</v>
      </c>
      <c r="K254" s="14">
        <f t="shared" ca="1" si="102"/>
        <v>313189.37536390824</v>
      </c>
      <c r="L254" s="162">
        <f t="shared" ca="1" si="92"/>
        <v>13745.888173102574</v>
      </c>
      <c r="M254" s="162">
        <f t="shared" ca="1" si="93"/>
        <v>284033.78214359621</v>
      </c>
    </row>
    <row r="255" spans="2:16">
      <c r="B255">
        <f t="shared" ref="B255" si="116">B193</f>
        <v>21</v>
      </c>
      <c r="C255">
        <f t="shared" ca="1" si="90"/>
        <v>10122.624</v>
      </c>
      <c r="D255" s="14">
        <f t="shared" ca="1" si="87"/>
        <v>28281.071118409443</v>
      </c>
      <c r="E255" s="20">
        <f t="shared" ref="E255:J259" ca="1" si="117">E193</f>
        <v>8706.6146688498666</v>
      </c>
      <c r="F255" s="20">
        <f t="shared" ca="1" si="117"/>
        <v>3036.7871999999998</v>
      </c>
      <c r="G255" s="20">
        <f t="shared" ca="1" si="117"/>
        <v>7085.8368</v>
      </c>
      <c r="H255" s="20">
        <f t="shared" ca="1" si="117"/>
        <v>5669.8274688498668</v>
      </c>
      <c r="I255" s="14">
        <f t="shared" ca="1" si="117"/>
        <v>7933.9584259997964</v>
      </c>
      <c r="J255" s="14">
        <f t="shared" ca="1" si="117"/>
        <v>20347.112692409646</v>
      </c>
      <c r="K255" s="14">
        <f t="shared" ca="1" si="102"/>
        <v>333536.4880563179</v>
      </c>
      <c r="L255" s="162">
        <f t="shared" ca="1" si="92"/>
        <v>13424.532895598826</v>
      </c>
      <c r="M255" s="162">
        <f t="shared" ca="1" si="93"/>
        <v>297458.31503919506</v>
      </c>
    </row>
    <row r="256" spans="2:16">
      <c r="B256">
        <f t="shared" ref="B256" si="118">B194</f>
        <v>22</v>
      </c>
      <c r="C256">
        <f t="shared" ca="1" si="90"/>
        <v>10122.624</v>
      </c>
      <c r="D256" s="14">
        <f t="shared" ca="1" si="87"/>
        <v>28281.071118409443</v>
      </c>
      <c r="E256" s="20">
        <f t="shared" ca="1" si="117"/>
        <v>8636.9617514990678</v>
      </c>
      <c r="F256" s="20">
        <f t="shared" ca="1" si="117"/>
        <v>3036.7871999999998</v>
      </c>
      <c r="G256" s="20">
        <f t="shared" ca="1" si="117"/>
        <v>7085.8368</v>
      </c>
      <c r="H256" s="20">
        <f t="shared" ca="1" si="117"/>
        <v>5600.174551499068</v>
      </c>
      <c r="I256" s="14">
        <f t="shared" ca="1" si="117"/>
        <v>8013.2980102597949</v>
      </c>
      <c r="J256" s="14">
        <f t="shared" ca="1" si="117"/>
        <v>20267.773108149649</v>
      </c>
      <c r="K256" s="14">
        <f t="shared" ca="1" si="102"/>
        <v>353804.26116446755</v>
      </c>
      <c r="L256" s="162">
        <f t="shared" ca="1" si="92"/>
        <v>13109.986820187536</v>
      </c>
      <c r="M256" s="162">
        <f t="shared" ca="1" si="93"/>
        <v>310568.3018593826</v>
      </c>
    </row>
    <row r="257" spans="2:13">
      <c r="B257">
        <f t="shared" ref="B257:B259" si="119">B195</f>
        <v>23</v>
      </c>
      <c r="C257">
        <f t="shared" ca="1" si="90"/>
        <v>10122.624</v>
      </c>
      <c r="D257" s="14">
        <f t="shared" ca="1" si="87"/>
        <v>28281.071118409443</v>
      </c>
      <c r="E257" s="20">
        <f t="shared" ca="1" si="117"/>
        <v>8567.8660574870755</v>
      </c>
      <c r="F257" s="20">
        <f t="shared" ca="1" si="117"/>
        <v>3036.7871999999998</v>
      </c>
      <c r="G257" s="20">
        <f t="shared" ca="1" si="117"/>
        <v>7085.8368</v>
      </c>
      <c r="H257" s="20">
        <f t="shared" ca="1" si="117"/>
        <v>5531.0788574870758</v>
      </c>
      <c r="I257" s="14">
        <f t="shared" ca="1" si="117"/>
        <v>8093.4309903623925</v>
      </c>
      <c r="J257" s="14">
        <f t="shared" ca="1" si="117"/>
        <v>20187.640128047053</v>
      </c>
      <c r="K257" s="14">
        <f t="shared" ca="1" si="102"/>
        <v>373991.90129251458</v>
      </c>
      <c r="L257" s="162">
        <f t="shared" ca="1" si="92"/>
        <v>12802.111451551014</v>
      </c>
      <c r="M257" s="162">
        <f t="shared" ca="1" si="93"/>
        <v>323370.41331093363</v>
      </c>
    </row>
    <row r="258" spans="2:13">
      <c r="B258">
        <f t="shared" si="119"/>
        <v>24</v>
      </c>
      <c r="C258">
        <f t="shared" ca="1" si="90"/>
        <v>10122.624</v>
      </c>
      <c r="D258" s="14">
        <f t="shared" ca="1" si="87"/>
        <v>28281.071118409443</v>
      </c>
      <c r="E258" s="20">
        <f t="shared" ca="1" si="117"/>
        <v>8499.3231290271797</v>
      </c>
      <c r="F258" s="20">
        <f t="shared" ca="1" si="117"/>
        <v>3036.7871999999998</v>
      </c>
      <c r="G258" s="20">
        <f t="shared" ca="1" si="117"/>
        <v>7085.8368</v>
      </c>
      <c r="H258" s="20">
        <f t="shared" ca="1" si="117"/>
        <v>5462.5359290271799</v>
      </c>
      <c r="I258" s="14">
        <f t="shared" ca="1" si="117"/>
        <v>8174.3653002660167</v>
      </c>
      <c r="J258" s="14">
        <f t="shared" ca="1" si="117"/>
        <v>20106.705818143426</v>
      </c>
      <c r="K258" s="14">
        <f t="shared" ca="1" si="102"/>
        <v>394098.60711065802</v>
      </c>
      <c r="L258" s="162">
        <f t="shared" ca="1" si="92"/>
        <v>12500.771058804761</v>
      </c>
      <c r="M258" s="162">
        <f t="shared" ca="1" si="93"/>
        <v>335871.18436973839</v>
      </c>
    </row>
    <row r="259" spans="2:13">
      <c r="B259">
        <f t="shared" si="119"/>
        <v>25</v>
      </c>
      <c r="C259">
        <f t="shared" ca="1" si="90"/>
        <v>10122.624</v>
      </c>
      <c r="D259" s="14">
        <f t="shared" ca="1" si="87"/>
        <v>28281.071118409443</v>
      </c>
      <c r="E259" s="20">
        <f t="shared" ca="1" si="117"/>
        <v>8431.3285439949614</v>
      </c>
      <c r="F259" s="20">
        <f t="shared" ca="1" si="117"/>
        <v>3036.7871999999998</v>
      </c>
      <c r="G259" s="20">
        <f t="shared" ca="1" si="117"/>
        <v>7085.8368</v>
      </c>
      <c r="H259" s="20">
        <f t="shared" ca="1" si="117"/>
        <v>5394.5413439949616</v>
      </c>
      <c r="I259" s="14">
        <f t="shared" ca="1" si="117"/>
        <v>8256.1089532686765</v>
      </c>
      <c r="J259" s="14">
        <f t="shared" ca="1" si="117"/>
        <v>20024.962165140765</v>
      </c>
      <c r="K259" s="14">
        <f t="shared" ca="1" si="102"/>
        <v>414123.5692757988</v>
      </c>
      <c r="L259" s="162">
        <f t="shared" ca="1" si="92"/>
        <v>12205.832620814108</v>
      </c>
      <c r="M259" s="162">
        <f t="shared" ca="1" si="93"/>
        <v>348077.01699055248</v>
      </c>
    </row>
    <row r="306" spans="1:45">
      <c r="A306" s="3" t="s">
        <v>284</v>
      </c>
      <c r="B306" s="4" t="s">
        <v>2304</v>
      </c>
      <c r="C306" s="97" t="s">
        <v>2305</v>
      </c>
      <c r="D306" s="97" t="s">
        <v>2306</v>
      </c>
      <c r="E306" s="97" t="s">
        <v>2307</v>
      </c>
      <c r="F306" s="97" t="s">
        <v>2308</v>
      </c>
      <c r="G306" s="4" t="s">
        <v>2309</v>
      </c>
      <c r="H306" s="4" t="s">
        <v>2310</v>
      </c>
      <c r="I306" s="98">
        <v>50</v>
      </c>
      <c r="J306" s="98">
        <v>299</v>
      </c>
      <c r="K306" s="98">
        <v>450</v>
      </c>
      <c r="L306" s="99">
        <v>450</v>
      </c>
      <c r="M306" s="98">
        <v>80</v>
      </c>
      <c r="N306" s="98">
        <v>100</v>
      </c>
      <c r="O306" s="98">
        <v>140</v>
      </c>
      <c r="P306" s="98">
        <v>200</v>
      </c>
      <c r="Q306" s="98">
        <v>300</v>
      </c>
      <c r="R306" s="98">
        <v>400</v>
      </c>
      <c r="S306" s="98">
        <v>500</v>
      </c>
      <c r="T306" s="98">
        <v>600</v>
      </c>
      <c r="U306" s="98">
        <v>700</v>
      </c>
      <c r="V306" s="98">
        <v>800</v>
      </c>
      <c r="W306" s="98">
        <v>900</v>
      </c>
      <c r="X306" s="98">
        <v>1000</v>
      </c>
      <c r="Y306" s="98">
        <v>2000</v>
      </c>
      <c r="Z306" s="98">
        <v>3000</v>
      </c>
      <c r="AA306" s="98">
        <v>4000</v>
      </c>
      <c r="AB306" s="98">
        <v>5000</v>
      </c>
      <c r="AC306" s="98">
        <v>6000</v>
      </c>
      <c r="AD306" s="98">
        <v>7000</v>
      </c>
      <c r="AE306" s="98">
        <v>8000</v>
      </c>
      <c r="AF306" s="98">
        <v>9000</v>
      </c>
      <c r="AG306" s="98">
        <v>10000</v>
      </c>
      <c r="AH306" s="98">
        <v>15000</v>
      </c>
      <c r="AI306" s="98">
        <v>20000</v>
      </c>
      <c r="AJ306" s="98">
        <v>25000</v>
      </c>
      <c r="AK306" s="98">
        <v>30000</v>
      </c>
      <c r="AL306" s="98">
        <v>35000</v>
      </c>
      <c r="AM306" s="98">
        <v>40000</v>
      </c>
      <c r="AN306" s="98">
        <v>45000</v>
      </c>
      <c r="AO306" s="98">
        <v>50000</v>
      </c>
      <c r="AP306" s="98">
        <v>75000</v>
      </c>
      <c r="AQ306" s="98">
        <v>100000</v>
      </c>
      <c r="AR306" s="98">
        <v>200000</v>
      </c>
      <c r="AS306" s="118">
        <v>200000</v>
      </c>
    </row>
    <row r="307" spans="1:45">
      <c r="A307" s="8" t="s">
        <v>2311</v>
      </c>
      <c r="B307" s="100">
        <f ca="1">OFFSET(Tarifas7[[#Headers],[Concessionária]],$B$310,COLUMN(A1))</f>
        <v>0.86329699999999998</v>
      </c>
      <c r="C307" s="100">
        <f ca="1">OFFSET(Tarifas7[[#Headers],[Concessionária]],$B$310,COLUMN(B1))</f>
        <v>0.49723492969999999</v>
      </c>
      <c r="D307" s="100">
        <f ca="1">OFFSET(Tarifas7[[#Headers],[Concessionária]],$B$310,COLUMN(C1))</f>
        <v>0.366062</v>
      </c>
      <c r="E307" s="100">
        <f ca="1">OFFSET(Tarifas7[[#Headers],[Concessionária]],$B$310,COLUMN(D1))</f>
        <v>0.19705238</v>
      </c>
      <c r="F307" s="427">
        <f ca="1">OFFSET(Tarifas7[[#Headers],[Concessionária]],$B$310,COLUMN(E1))</f>
        <v>0.22825560612396428</v>
      </c>
      <c r="G307" s="101">
        <f ca="1">OFFSET(Tarifas7[[#Headers],[Concessionária]],$B$310,COLUMN(F1))</f>
        <v>1.0699999999999999E-2</v>
      </c>
      <c r="H307" s="101">
        <f ca="1">OFFSET(Tarifas7[[#Headers],[Concessionária]],$B$310,COLUMN(G1))</f>
        <v>4.9399999999999999E-2</v>
      </c>
      <c r="I307" s="102">
        <f ca="1">OFFSET(Tarifas7[[#Headers],[Concessionária]],$B$310,COLUMN(H1))</f>
        <v>0</v>
      </c>
      <c r="J307" s="102">
        <f ca="1">OFFSET(Tarifas7[[#Headers],[Concessionária]],$B$310,COLUMN(I1))</f>
        <v>0.18</v>
      </c>
      <c r="K307" s="102">
        <f ca="1">OFFSET(Tarifas7[[#Headers],[Concessionária]],$B$310,COLUMN(J1))</f>
        <v>0.18</v>
      </c>
      <c r="L307" s="102">
        <f ca="1">OFFSET(Tarifas7[[#Headers],[Concessionária]],$B$310,COLUMN(K1))</f>
        <v>0.18</v>
      </c>
      <c r="M307" s="24">
        <f ca="1">OFFSET(Tarifas7[[#Headers],[Concessionária]],$B$310,COLUMN(L1))</f>
        <v>0</v>
      </c>
      <c r="N307" s="24">
        <f ca="1">OFFSET(Tarifas7[[#Headers],[Concessionária]],$B$310,COLUMN(M1))</f>
        <v>0</v>
      </c>
      <c r="O307" s="24">
        <f ca="1">OFFSET(Tarifas7[[#Headers],[Concessionária]],$B$310,COLUMN(N1))</f>
        <v>6.22</v>
      </c>
      <c r="P307" s="24">
        <f ca="1">OFFSET(Tarifas7[[#Headers],[Concessionária]],$B$310,COLUMN(O1))</f>
        <v>8.86</v>
      </c>
      <c r="Q307" s="24">
        <f ca="1">OFFSET(Tarifas7[[#Headers],[Concessionária]],$B$310,COLUMN(P1))</f>
        <v>13.02</v>
      </c>
      <c r="R307" s="24">
        <f ca="1">OFFSET(Tarifas7[[#Headers],[Concessionária]],$B$310,COLUMN(Q1))</f>
        <v>18.239999999999998</v>
      </c>
      <c r="S307" s="24">
        <f ca="1">OFFSET(Tarifas7[[#Headers],[Concessionária]],$B$310,COLUMN(R1))</f>
        <v>23.45</v>
      </c>
      <c r="T307" s="24">
        <f ca="1">OFFSET(Tarifas7[[#Headers],[Concessionária]],$B$310,COLUMN(S1))</f>
        <v>28.65</v>
      </c>
      <c r="U307" s="24">
        <f ca="1">OFFSET(Tarifas7[[#Headers],[Concessionária]],$B$310,COLUMN(T1))</f>
        <v>31.86</v>
      </c>
      <c r="V307" s="24">
        <f ca="1">OFFSET(Tarifas7[[#Headers],[Concessionária]],$B$310,COLUMN(U1))</f>
        <v>31.86</v>
      </c>
      <c r="W307" s="24">
        <f ca="1">OFFSET(Tarifas7[[#Headers],[Concessionária]],$B$310,COLUMN(V1))</f>
        <v>31.86</v>
      </c>
      <c r="X307" s="24">
        <f ca="1">OFFSET(Tarifas7[[#Headers],[Concessionária]],$B$310,COLUMN(W1))</f>
        <v>31.86</v>
      </c>
      <c r="Y307" s="24">
        <f ca="1">OFFSET(Tarifas7[[#Headers],[Concessionária]],$B$310,COLUMN(X1))</f>
        <v>59.77</v>
      </c>
      <c r="Z307" s="24">
        <f ca="1">OFFSET(Tarifas7[[#Headers],[Concessionária]],$B$310,COLUMN(Y1))</f>
        <v>59.77</v>
      </c>
      <c r="AA307" s="24">
        <f ca="1">OFFSET(Tarifas7[[#Headers],[Concessionária]],$B$310,COLUMN(Z1))</f>
        <v>97.38</v>
      </c>
      <c r="AB307" s="24">
        <f ca="1">OFFSET(Tarifas7[[#Headers],[Concessionária]],$B$310,COLUMN(AA1))</f>
        <v>150.29</v>
      </c>
      <c r="AC307" s="24">
        <f ca="1">OFFSET(Tarifas7[[#Headers],[Concessionária]],$B$310,COLUMN(AB1))</f>
        <v>286.5</v>
      </c>
      <c r="AD307" s="24">
        <f ca="1">OFFSET(Tarifas7[[#Headers],[Concessionária]],$B$310,COLUMN(AC1))</f>
        <v>372.46</v>
      </c>
      <c r="AE307" s="24">
        <f ca="1">OFFSET(Tarifas7[[#Headers],[Concessionária]],$B$310,COLUMN(AD1))</f>
        <v>429.75</v>
      </c>
      <c r="AF307" s="24">
        <f ca="1">OFFSET(Tarifas7[[#Headers],[Concessionária]],$B$310,COLUMN(AE1))</f>
        <v>487.06</v>
      </c>
      <c r="AG307" s="24">
        <f ca="1">OFFSET(Tarifas7[[#Headers],[Concessionária]],$B$310,COLUMN(AF1))</f>
        <v>544.36</v>
      </c>
      <c r="AH307" s="24">
        <f ca="1">OFFSET(Tarifas7[[#Headers],[Concessionária]],$B$310,COLUMN(AG1))</f>
        <v>859.56</v>
      </c>
      <c r="AI307" s="24">
        <f ca="1">OFFSET(Tarifas7[[#Headers],[Concessionária]],$B$310,COLUMN(AH1))</f>
        <v>976.79</v>
      </c>
      <c r="AJ307" s="24">
        <f ca="1">OFFSET(Tarifas7[[#Headers],[Concessionária]],$B$310,COLUMN(AI1))</f>
        <v>976.79</v>
      </c>
      <c r="AK307" s="24">
        <f ca="1">OFFSET(Tarifas7[[#Headers],[Concessionária]],$B$310,COLUMN(AJ1))</f>
        <v>1015.86</v>
      </c>
      <c r="AL307" s="24">
        <f ca="1">OFFSET(Tarifas7[[#Headers],[Concessionária]],$B$310,COLUMN(AK1))</f>
        <v>1015.86</v>
      </c>
      <c r="AM307" s="24">
        <f ca="1">OFFSET(Tarifas7[[#Headers],[Concessionária]],$B$310,COLUMN(AL1))</f>
        <v>1015.86</v>
      </c>
      <c r="AN307" s="24">
        <f ca="1">OFFSET(Tarifas7[[#Headers],[Concessionária]],$B$310,COLUMN(AM1))</f>
        <v>1054.93</v>
      </c>
      <c r="AO307" s="24">
        <f ca="1">OFFSET(Tarifas7[[#Headers],[Concessionária]],$B$310,COLUMN(AN1))</f>
        <v>1054.93</v>
      </c>
      <c r="AP307" s="24">
        <f ca="1">OFFSET(Tarifas7[[#Headers],[Concessionária]],$B$310,COLUMN(AO1))</f>
        <v>1289.3699999999999</v>
      </c>
      <c r="AQ307" s="24">
        <f ca="1">OFFSET(Tarifas7[[#Headers],[Concessionária]],$B$310,COLUMN(AP1))</f>
        <v>1289.3699999999999</v>
      </c>
      <c r="AR307" s="24">
        <f ca="1">OFFSET(Tarifas7[[#Headers],[Concessionária]],$B$310,COLUMN(AQ1))</f>
        <v>1562.87</v>
      </c>
      <c r="AS307" s="103">
        <f ca="1">OFFSET(Tarifas7[[#Headers],[Concessionária]],$B$310,COLUMN(AR1))</f>
        <v>1953.61</v>
      </c>
    </row>
    <row r="310" spans="1:45">
      <c r="A310" t="s">
        <v>2312</v>
      </c>
      <c r="B310">
        <f>MATCH(IF(Início!$K$7=0,"Light",Início!$K$7),Tarifas7[Concessionária],0)</f>
        <v>2</v>
      </c>
      <c r="G310" s="790" t="s">
        <v>2313</v>
      </c>
      <c r="H310" s="790"/>
      <c r="I310" s="790"/>
      <c r="J310" s="790"/>
      <c r="K310" t="s">
        <v>2215</v>
      </c>
    </row>
    <row r="311" spans="1:45">
      <c r="A311" t="s">
        <v>284</v>
      </c>
      <c r="B311" t="s">
        <v>2304</v>
      </c>
      <c r="C311" s="19" t="s">
        <v>2305</v>
      </c>
      <c r="D311" s="19" t="s">
        <v>2306</v>
      </c>
      <c r="E311" s="19" t="s">
        <v>2307</v>
      </c>
      <c r="F311" s="19" t="s">
        <v>2308</v>
      </c>
      <c r="G311" t="s">
        <v>2309</v>
      </c>
      <c r="H311" t="s">
        <v>2310</v>
      </c>
      <c r="I311" s="30" t="s">
        <v>2314</v>
      </c>
      <c r="J311" s="30" t="s">
        <v>2315</v>
      </c>
      <c r="K311" s="30" t="s">
        <v>2316</v>
      </c>
      <c r="L311" s="31" t="s">
        <v>2317</v>
      </c>
      <c r="M311" s="30" t="s">
        <v>2318</v>
      </c>
      <c r="N311" s="30" t="s">
        <v>2319</v>
      </c>
      <c r="O311" s="30" t="s">
        <v>2320</v>
      </c>
      <c r="P311" s="30" t="s">
        <v>2321</v>
      </c>
      <c r="Q311" s="30" t="s">
        <v>2322</v>
      </c>
      <c r="R311" s="30" t="s">
        <v>2323</v>
      </c>
      <c r="S311" s="30" t="s">
        <v>2324</v>
      </c>
      <c r="T311" s="30" t="s">
        <v>2325</v>
      </c>
      <c r="U311" s="30" t="s">
        <v>2326</v>
      </c>
      <c r="V311" s="30" t="s">
        <v>2327</v>
      </c>
      <c r="W311" s="30" t="s">
        <v>2328</v>
      </c>
      <c r="X311" s="30" t="s">
        <v>2329</v>
      </c>
      <c r="Y311" s="30" t="s">
        <v>2330</v>
      </c>
      <c r="Z311" s="30" t="s">
        <v>2331</v>
      </c>
      <c r="AA311" s="30" t="s">
        <v>2332</v>
      </c>
      <c r="AB311" s="30" t="s">
        <v>2333</v>
      </c>
      <c r="AC311" s="30" t="s">
        <v>2334</v>
      </c>
      <c r="AD311" s="30" t="s">
        <v>2335</v>
      </c>
      <c r="AE311" s="30" t="s">
        <v>2336</v>
      </c>
      <c r="AF311" s="30" t="s">
        <v>2337</v>
      </c>
      <c r="AG311" s="30" t="s">
        <v>2338</v>
      </c>
      <c r="AH311" s="30" t="s">
        <v>2339</v>
      </c>
      <c r="AI311" s="30" t="s">
        <v>2340</v>
      </c>
      <c r="AJ311" s="30" t="s">
        <v>2341</v>
      </c>
      <c r="AK311" s="30" t="s">
        <v>2342</v>
      </c>
      <c r="AL311" s="30" t="s">
        <v>2343</v>
      </c>
      <c r="AM311" s="30" t="s">
        <v>2344</v>
      </c>
      <c r="AN311" s="30" t="s">
        <v>2345</v>
      </c>
      <c r="AO311" s="30" t="s">
        <v>2346</v>
      </c>
      <c r="AP311" s="30" t="s">
        <v>2347</v>
      </c>
      <c r="AQ311" s="30" t="s">
        <v>2348</v>
      </c>
      <c r="AR311" s="30" t="s">
        <v>2349</v>
      </c>
      <c r="AS311" s="30" t="s">
        <v>2350</v>
      </c>
    </row>
    <row r="312" spans="1:45">
      <c r="A312" t="s">
        <v>379</v>
      </c>
      <c r="B312" s="16">
        <v>0.97025099999999997</v>
      </c>
      <c r="C312" s="16">
        <v>0.63926269999999996</v>
      </c>
      <c r="D312" s="16">
        <v>0.330988</v>
      </c>
      <c r="E312" s="16">
        <v>0.33574799999999999</v>
      </c>
      <c r="F312" s="176">
        <f>Tarifas7[[#This Row],[FioB]]/Tarifas7[[#This Row],[Tarifa base B1]]</f>
        <v>0.3460424158284815</v>
      </c>
      <c r="G312" s="12">
        <v>1.0699999999999999E-2</v>
      </c>
      <c r="H312" s="12">
        <v>4.9399999999999999E-2</v>
      </c>
      <c r="I312" s="29">
        <v>0</v>
      </c>
      <c r="J312" s="29">
        <v>0.18</v>
      </c>
      <c r="K312" s="29">
        <v>0.18</v>
      </c>
      <c r="L312" s="29">
        <v>0.18</v>
      </c>
      <c r="M312" s="13">
        <v>0</v>
      </c>
      <c r="N312" s="13">
        <v>0</v>
      </c>
      <c r="O312" s="13">
        <v>16.262344139650899</v>
      </c>
      <c r="P312" s="13">
        <v>23.147132169576057</v>
      </c>
      <c r="Q312" s="13">
        <v>34.03815461346634</v>
      </c>
      <c r="R312" s="13">
        <v>47.689027431421451</v>
      </c>
      <c r="S312" s="13">
        <v>61.339900249376562</v>
      </c>
      <c r="T312" s="13">
        <v>74.93142144638405</v>
      </c>
      <c r="U312" s="13">
        <v>83.3</v>
      </c>
      <c r="V312" s="13">
        <v>83.3</v>
      </c>
      <c r="W312" s="13">
        <v>83.3</v>
      </c>
      <c r="X312" s="13">
        <v>83.3</v>
      </c>
      <c r="Y312" s="13">
        <v>156.2728179551122</v>
      </c>
      <c r="Z312" s="13">
        <v>156.2728179551122</v>
      </c>
      <c r="AA312" s="13">
        <v>254.58877805486287</v>
      </c>
      <c r="AB312" s="13">
        <v>392.90773067331673</v>
      </c>
      <c r="AC312" s="13">
        <v>749.01745635910231</v>
      </c>
      <c r="AD312" s="13">
        <v>973.72269326683283</v>
      </c>
      <c r="AE312" s="13">
        <v>1123.4965087281796</v>
      </c>
      <c r="AF312" s="13">
        <v>1273.3296758104736</v>
      </c>
      <c r="AG312" s="13">
        <v>1423.1331670822942</v>
      </c>
      <c r="AH312" s="13">
        <v>2247.1710723192023</v>
      </c>
      <c r="AI312" s="13">
        <v>2553.6331670822942</v>
      </c>
      <c r="AJ312" s="13">
        <v>2553.6331670822942</v>
      </c>
      <c r="AK312" s="13">
        <v>2655.7773067331673</v>
      </c>
      <c r="AL312" s="13">
        <v>2655.7773067331673</v>
      </c>
      <c r="AM312" s="13">
        <v>2655.7773067331673</v>
      </c>
      <c r="AN312" s="13">
        <v>2757.8917705735662</v>
      </c>
      <c r="AO312" s="13">
        <v>2757.8917705735662</v>
      </c>
      <c r="AP312" s="13">
        <v>3370.7862842892764</v>
      </c>
      <c r="AQ312" s="13">
        <v>3370.7862842892764</v>
      </c>
      <c r="AR312" s="13">
        <v>4085.795261845386</v>
      </c>
      <c r="AS312" s="13">
        <v>5107.3256857855358</v>
      </c>
    </row>
    <row r="313" spans="1:45">
      <c r="A313" t="s">
        <v>2351</v>
      </c>
      <c r="B313" s="126">
        <v>0.86329699999999998</v>
      </c>
      <c r="C313" s="126">
        <v>0.49723492969999999</v>
      </c>
      <c r="D313" s="126">
        <v>0.366062</v>
      </c>
      <c r="E313" s="126">
        <v>0.19705238</v>
      </c>
      <c r="F313" s="176">
        <f>Tarifas7[[#This Row],[FioB]]/Tarifas7[[#This Row],[Tarifa base B1]]</f>
        <v>0.22825560612396428</v>
      </c>
      <c r="G313" s="12">
        <v>1.0699999999999999E-2</v>
      </c>
      <c r="H313" s="12">
        <v>4.9399999999999999E-2</v>
      </c>
      <c r="I313" s="29">
        <v>0</v>
      </c>
      <c r="J313" s="29">
        <v>0.18</v>
      </c>
      <c r="K313" s="29">
        <v>0.18</v>
      </c>
      <c r="L313" s="29">
        <v>0.18</v>
      </c>
      <c r="M313" s="13">
        <v>0</v>
      </c>
      <c r="N313" s="13">
        <v>0</v>
      </c>
      <c r="O313" s="32">
        <v>6.22</v>
      </c>
      <c r="P313" s="32">
        <v>8.86</v>
      </c>
      <c r="Q313" s="32">
        <v>13.02</v>
      </c>
      <c r="R313" s="32">
        <v>18.239999999999998</v>
      </c>
      <c r="S313" s="32">
        <v>23.45</v>
      </c>
      <c r="T313" s="32">
        <v>28.65</v>
      </c>
      <c r="U313" s="32">
        <v>31.86</v>
      </c>
      <c r="V313" s="32">
        <v>31.86</v>
      </c>
      <c r="W313" s="32">
        <v>31.86</v>
      </c>
      <c r="X313" s="32">
        <v>31.86</v>
      </c>
      <c r="Y313" s="32">
        <v>59.77</v>
      </c>
      <c r="Z313" s="32">
        <v>59.77</v>
      </c>
      <c r="AA313" s="32">
        <v>97.38</v>
      </c>
      <c r="AB313" s="32">
        <v>150.29</v>
      </c>
      <c r="AC313" s="32">
        <v>286.5</v>
      </c>
      <c r="AD313" s="32">
        <v>372.46</v>
      </c>
      <c r="AE313" s="32">
        <v>429.75</v>
      </c>
      <c r="AF313" s="32">
        <v>487.06</v>
      </c>
      <c r="AG313" s="32">
        <v>544.36</v>
      </c>
      <c r="AH313" s="32">
        <v>859.56</v>
      </c>
      <c r="AI313" s="32">
        <v>976.79</v>
      </c>
      <c r="AJ313" s="32">
        <v>976.79</v>
      </c>
      <c r="AK313" s="32">
        <v>1015.86</v>
      </c>
      <c r="AL313" s="32">
        <v>1015.86</v>
      </c>
      <c r="AM313" s="32">
        <v>1015.86</v>
      </c>
      <c r="AN313" s="32">
        <v>1054.93</v>
      </c>
      <c r="AO313" s="32">
        <v>1054.93</v>
      </c>
      <c r="AP313" s="32">
        <v>1289.3699999999999</v>
      </c>
      <c r="AQ313" s="32">
        <v>1289.3699999999999</v>
      </c>
      <c r="AR313" s="32">
        <v>1562.87</v>
      </c>
      <c r="AS313" s="32">
        <v>1953.61</v>
      </c>
    </row>
    <row r="314" spans="1:45">
      <c r="A314" t="s">
        <v>1815</v>
      </c>
      <c r="B314" s="126">
        <v>0.86329699999999998</v>
      </c>
      <c r="C314" s="126">
        <v>0.49723492969999999</v>
      </c>
      <c r="D314" s="126">
        <v>0.366062</v>
      </c>
      <c r="E314" s="126">
        <v>0.19705238</v>
      </c>
      <c r="F314" s="755">
        <f>Tarifas7[[#This Row],[FioB]]/Tarifas7[[#This Row],[Tarifa base B1]]</f>
        <v>0.22825560612396428</v>
      </c>
      <c r="G314" s="12">
        <v>1.0699999999999999E-2</v>
      </c>
      <c r="H314" s="12">
        <v>4.9399999999999999E-2</v>
      </c>
      <c r="I314" s="29">
        <v>0</v>
      </c>
      <c r="J314" s="29">
        <v>0.18</v>
      </c>
      <c r="K314" s="29">
        <v>0.18</v>
      </c>
      <c r="L314" s="29">
        <v>0.18</v>
      </c>
      <c r="M314" s="13">
        <v>0</v>
      </c>
      <c r="N314" s="13">
        <v>0</v>
      </c>
      <c r="O314" s="32">
        <v>6.22</v>
      </c>
      <c r="P314" s="32">
        <v>8.86</v>
      </c>
      <c r="Q314" s="32">
        <v>13.02</v>
      </c>
      <c r="R314" s="32">
        <v>18.239999999999998</v>
      </c>
      <c r="S314" s="32">
        <v>23.45</v>
      </c>
      <c r="T314" s="32">
        <v>28.65</v>
      </c>
      <c r="U314" s="32">
        <v>31.86</v>
      </c>
      <c r="V314" s="32">
        <v>31.86</v>
      </c>
      <c r="W314" s="32">
        <v>31.86</v>
      </c>
      <c r="X314" s="32">
        <v>31.86</v>
      </c>
      <c r="Y314" s="32">
        <v>59.77</v>
      </c>
      <c r="Z314" s="32">
        <v>59.77</v>
      </c>
      <c r="AA314" s="32">
        <v>97.38</v>
      </c>
      <c r="AB314" s="32">
        <v>150.29</v>
      </c>
      <c r="AC314" s="32">
        <v>286.5</v>
      </c>
      <c r="AD314" s="32">
        <v>372.46</v>
      </c>
      <c r="AE314" s="32">
        <v>429.75</v>
      </c>
      <c r="AF314" s="32">
        <v>487.06</v>
      </c>
      <c r="AG314" s="32">
        <v>544.36</v>
      </c>
      <c r="AH314" s="32">
        <v>859.56</v>
      </c>
      <c r="AI314" s="32">
        <v>976.79</v>
      </c>
      <c r="AJ314" s="32">
        <v>976.79</v>
      </c>
      <c r="AK314" s="32">
        <v>1015.86</v>
      </c>
      <c r="AL314" s="32">
        <v>1015.86</v>
      </c>
      <c r="AM314" s="32">
        <v>1015.86</v>
      </c>
      <c r="AN314" s="32">
        <v>1054.93</v>
      </c>
      <c r="AO314" s="32">
        <v>1054.93</v>
      </c>
      <c r="AP314" s="32">
        <v>1289.3699999999999</v>
      </c>
      <c r="AQ314" s="32">
        <v>1289.3699999999999</v>
      </c>
      <c r="AR314" s="32">
        <v>1562.87</v>
      </c>
      <c r="AS314" s="32">
        <v>1953.61</v>
      </c>
    </row>
    <row r="316" spans="1:45">
      <c r="B316" s="428" t="s">
        <v>2352</v>
      </c>
      <c r="C316" s="428"/>
      <c r="D316" s="428"/>
    </row>
    <row r="317" spans="1:45">
      <c r="B317" s="346" t="s">
        <v>2353</v>
      </c>
    </row>
    <row r="319" spans="1:45">
      <c r="B319" t="s">
        <v>2354</v>
      </c>
      <c r="C319" s="428"/>
      <c r="D319" s="428"/>
    </row>
    <row r="320" spans="1:45">
      <c r="A320" t="s">
        <v>2229</v>
      </c>
      <c r="B320" t="s">
        <v>2355</v>
      </c>
      <c r="C320" s="428" t="s">
        <v>2356</v>
      </c>
      <c r="D320" s="428"/>
    </row>
    <row r="321" spans="1:3">
      <c r="A321">
        <v>2023</v>
      </c>
      <c r="B321">
        <f t="shared" ref="B321:B327" ca="1" si="120">A321-YEAR(TODAY())+1</f>
        <v>-1</v>
      </c>
      <c r="C321" s="11">
        <v>0.15</v>
      </c>
    </row>
    <row r="322" spans="1:3">
      <c r="A322">
        <v>2024</v>
      </c>
      <c r="B322">
        <f t="shared" ca="1" si="120"/>
        <v>0</v>
      </c>
      <c r="C322" s="11">
        <v>0.3</v>
      </c>
    </row>
    <row r="323" spans="1:3">
      <c r="A323">
        <v>2025</v>
      </c>
      <c r="B323">
        <f t="shared" ca="1" si="120"/>
        <v>1</v>
      </c>
      <c r="C323" s="11">
        <v>0.45</v>
      </c>
    </row>
    <row r="324" spans="1:3">
      <c r="A324">
        <v>2026</v>
      </c>
      <c r="B324">
        <f t="shared" ca="1" si="120"/>
        <v>2</v>
      </c>
      <c r="C324" s="11">
        <v>0.6</v>
      </c>
    </row>
    <row r="325" spans="1:3">
      <c r="A325">
        <v>2027</v>
      </c>
      <c r="B325">
        <f t="shared" ca="1" si="120"/>
        <v>3</v>
      </c>
      <c r="C325" s="11">
        <v>0.75</v>
      </c>
    </row>
    <row r="326" spans="1:3">
      <c r="A326">
        <v>2028</v>
      </c>
      <c r="B326">
        <f t="shared" ca="1" si="120"/>
        <v>4</v>
      </c>
      <c r="C326" s="11">
        <v>0.9</v>
      </c>
    </row>
    <row r="327" spans="1:3">
      <c r="A327">
        <v>2029</v>
      </c>
      <c r="B327">
        <f t="shared" ca="1" si="120"/>
        <v>5</v>
      </c>
      <c r="C327" s="11">
        <v>1</v>
      </c>
    </row>
  </sheetData>
  <sheetProtection selectLockedCells="1"/>
  <mergeCells count="10">
    <mergeCell ref="AM170:AX170"/>
    <mergeCell ref="G310:J310"/>
    <mergeCell ref="Z186:AF186"/>
    <mergeCell ref="Z188:AF188"/>
    <mergeCell ref="AH173:AK174"/>
    <mergeCell ref="N218:N220"/>
    <mergeCell ref="N221:N223"/>
    <mergeCell ref="Z187:AF187"/>
    <mergeCell ref="Y218:Y220"/>
    <mergeCell ref="Y222:Y224"/>
  </mergeCells>
  <phoneticPr fontId="2" type="noConversion"/>
  <conditionalFormatting sqref="J234:M259">
    <cfRule type="cellIs" dxfId="60" priority="5" operator="lessThan">
      <formula>0</formula>
    </cfRule>
  </conditionalFormatting>
  <conditionalFormatting sqref="AF172:AF182 J172:M197">
    <cfRule type="cellIs" dxfId="59" priority="4" operator="lessThan">
      <formula>0</formula>
    </cfRule>
  </conditionalFormatting>
  <conditionalFormatting sqref="AQ172:AT197">
    <cfRule type="cellIs" dxfId="58" priority="3" operator="lessThan">
      <formula>0</formula>
    </cfRule>
  </conditionalFormatting>
  <conditionalFormatting sqref="BA172:BB197">
    <cfRule type="cellIs" dxfId="57" priority="2" operator="lessThan">
      <formula>0</formula>
    </cfRule>
  </conditionalFormatting>
  <conditionalFormatting sqref="BC172:BD197">
    <cfRule type="cellIs" dxfId="56" priority="1" operator="lessThan">
      <formula>0</formula>
    </cfRule>
  </conditionalFormatting>
  <dataValidations disablePrompts="1" count="2">
    <dataValidation type="list" allowBlank="1" showInputMessage="1" showErrorMessage="1" sqref="P213" xr:uid="{F26076F1-00A2-41E7-8030-83C2BDF1950A}">
      <formula1>"30,60,90,120"</formula1>
    </dataValidation>
    <dataValidation type="list" allowBlank="1" showInputMessage="1" showErrorMessage="1" sqref="P212" xr:uid="{4493959F-CDD1-4FD2-A0FA-FA63F9FE2966}">
      <formula1>$P$217:$W$217</formula1>
    </dataValidation>
  </dataValidations>
  <hyperlinks>
    <hyperlink ref="B317" r:id="rId1" xr:uid="{317E9013-0ED9-48FF-B704-9311CAEDA42E}"/>
  </hyperlinks>
  <pageMargins left="0.511811024" right="0.511811024" top="0.78740157499999996" bottom="0.78740157499999996" header="0.31496062000000002" footer="0.31496062000000002"/>
  <pageSetup paperSize="9" orientation="portrait" horizontalDpi="360" verticalDpi="360" r:id="rId2"/>
  <ignoredErrors>
    <ignoredError sqref="J45" calculatedColumn="1"/>
  </ignoredErrors>
  <drawing r:id="rId3"/>
  <legacyDrawing r:id="rId4"/>
  <mc:AlternateContent xmlns:mc="http://schemas.openxmlformats.org/markup-compatibility/2006">
    <mc:Choice Requires="x14">
      <controls>
        <mc:AlternateContent xmlns:mc="http://schemas.openxmlformats.org/markup-compatibility/2006">
          <mc:Choice Requires="x14">
            <control shapeId="1812" r:id="rId5" name="Drop Down 788">
              <controlPr defaultSize="0" autoLine="0" autoPict="0">
                <anchor moveWithCells="1">
                  <from>
                    <xdr:col>15</xdr:col>
                    <xdr:colOff>0</xdr:colOff>
                    <xdr:row>213</xdr:row>
                    <xdr:rowOff>171450</xdr:rowOff>
                  </from>
                  <to>
                    <xdr:col>16</xdr:col>
                    <xdr:colOff>9525</xdr:colOff>
                    <xdr:row>215</xdr:row>
                    <xdr:rowOff>28575</xdr:rowOff>
                  </to>
                </anchor>
              </controlPr>
            </control>
          </mc:Choice>
        </mc:AlternateContent>
        <mc:AlternateContent xmlns:mc="http://schemas.openxmlformats.org/markup-compatibility/2006">
          <mc:Choice Requires="x14">
            <control shapeId="1819" r:id="rId6" name="Drop Down 795">
              <controlPr defaultSize="0" autoLine="0" autoPict="0">
                <anchor moveWithCells="1">
                  <from>
                    <xdr:col>1</xdr:col>
                    <xdr:colOff>0</xdr:colOff>
                    <xdr:row>15</xdr:row>
                    <xdr:rowOff>171450</xdr:rowOff>
                  </from>
                  <to>
                    <xdr:col>3</xdr:col>
                    <xdr:colOff>0</xdr:colOff>
                    <xdr:row>17</xdr:row>
                    <xdr:rowOff>0</xdr:rowOff>
                  </to>
                </anchor>
              </controlPr>
            </control>
          </mc:Choice>
        </mc:AlternateContent>
      </controls>
    </mc:Choice>
  </mc:AlternateContent>
  <tableParts count="2">
    <tablePart r:id="rId7"/>
    <tablePart r:id="rId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F0211-B887-4B8D-91FD-2023955A8E7D}">
  <sheetPr codeName="Planilha13"/>
  <dimension ref="A1:BH423"/>
  <sheetViews>
    <sheetView topLeftCell="AU1" workbookViewId="0">
      <selection activeCell="BA3" sqref="BA3:BC3"/>
    </sheetView>
  </sheetViews>
  <sheetFormatPr defaultRowHeight="15"/>
  <cols>
    <col min="1" max="1" width="18" bestFit="1" customWidth="1"/>
    <col min="2" max="3" width="15.7109375" bestFit="1" customWidth="1"/>
    <col min="4" max="4" width="12.7109375" customWidth="1"/>
    <col min="53" max="53" width="9.42578125" customWidth="1"/>
    <col min="55" max="55" width="23.85546875" bestFit="1" customWidth="1"/>
    <col min="56" max="56" width="14.85546875" customWidth="1"/>
    <col min="58" max="58" width="11.5703125" customWidth="1"/>
    <col min="59" max="59" width="10.140625" customWidth="1"/>
  </cols>
  <sheetData>
    <row r="1" spans="1:60">
      <c r="A1" s="764" t="s">
        <v>0</v>
      </c>
      <c r="B1" s="764"/>
      <c r="C1" s="764"/>
      <c r="BA1" t="s">
        <v>1</v>
      </c>
      <c r="BB1" t="s">
        <v>2</v>
      </c>
      <c r="BC1" t="s">
        <v>3</v>
      </c>
      <c r="BD1" t="s">
        <v>4</v>
      </c>
      <c r="BE1" t="s">
        <v>5</v>
      </c>
      <c r="BF1" t="s">
        <v>6</v>
      </c>
      <c r="BG1" t="s">
        <v>7</v>
      </c>
      <c r="BH1" t="s">
        <v>3673</v>
      </c>
    </row>
    <row r="2" spans="1:60">
      <c r="A2" s="649" t="s">
        <v>1</v>
      </c>
      <c r="B2" s="649" t="s">
        <v>8</v>
      </c>
      <c r="C2" s="649" t="s">
        <v>9</v>
      </c>
      <c r="D2" s="649" t="s">
        <v>10</v>
      </c>
      <c r="BA2" t="s">
        <v>11</v>
      </c>
      <c r="BB2" s="378">
        <v>147963</v>
      </c>
      <c r="BC2" t="s">
        <v>3706</v>
      </c>
      <c r="BD2" t="s">
        <v>13</v>
      </c>
      <c r="BE2" t="s">
        <v>14</v>
      </c>
      <c r="BF2" t="s">
        <v>14</v>
      </c>
      <c r="BG2" t="s">
        <v>14</v>
      </c>
    </row>
    <row r="3" spans="1:60">
      <c r="A3" t="s">
        <v>12</v>
      </c>
      <c r="B3" s="650">
        <v>45146.656238425923</v>
      </c>
      <c r="C3" s="650">
        <v>45146.657048611109</v>
      </c>
      <c r="D3" s="651">
        <f>Tabela2[[#This Row],[Final]]-Tabela2[[#This Row],[Início]]</f>
        <v>8.1018518540076911E-4</v>
      </c>
      <c r="BA3" t="s">
        <v>5516</v>
      </c>
      <c r="BB3" s="378" t="s">
        <v>5517</v>
      </c>
      <c r="BC3" t="s">
        <v>5518</v>
      </c>
      <c r="BD3" t="s">
        <v>15</v>
      </c>
      <c r="BG3" t="s">
        <v>14</v>
      </c>
    </row>
    <row r="4" spans="1:60">
      <c r="A4" t="s">
        <v>12</v>
      </c>
      <c r="B4" s="650">
        <v>45146.657465277778</v>
      </c>
      <c r="C4" s="650">
        <v>45146.702210648145</v>
      </c>
      <c r="D4" s="651">
        <f>Tabela2[[#This Row],[Final]]-Tabela2[[#This Row],[Início]]</f>
        <v>4.4745370367309079E-2</v>
      </c>
      <c r="BA4" t="s">
        <v>16</v>
      </c>
      <c r="BB4" s="378" t="s">
        <v>17</v>
      </c>
      <c r="BC4" t="s">
        <v>22</v>
      </c>
      <c r="BD4" t="s">
        <v>18</v>
      </c>
      <c r="BF4" t="s">
        <v>14</v>
      </c>
      <c r="BH4" s="28" t="s">
        <v>3672</v>
      </c>
    </row>
    <row r="5" spans="1:60">
      <c r="A5" t="s">
        <v>19</v>
      </c>
      <c r="B5" s="650">
        <v>45146.728958333333</v>
      </c>
      <c r="C5" s="650">
        <v>45146.748912037037</v>
      </c>
      <c r="D5" s="651">
        <f>Tabela2[[#This Row],[Final]]-Tabela2[[#This Row],[Início]]</f>
        <v>1.9953703704231884E-2</v>
      </c>
    </row>
    <row r="6" spans="1:60">
      <c r="A6" t="s">
        <v>12</v>
      </c>
      <c r="B6" s="650">
        <v>45149.533958333333</v>
      </c>
      <c r="C6" s="650">
        <v>45149.541666666664</v>
      </c>
      <c r="D6" s="651">
        <f>Tabela2[[#This Row],[Final]]-Tabela2[[#This Row],[Início]]</f>
        <v>7.7083333308110014E-3</v>
      </c>
    </row>
    <row r="7" spans="1:60">
      <c r="A7" t="s">
        <v>19</v>
      </c>
      <c r="B7" s="650">
        <v>45149.536863425928</v>
      </c>
      <c r="C7" s="650">
        <v>45149.616666666669</v>
      </c>
      <c r="D7" s="651">
        <f>Tabela2[[#This Row],[Final]]-Tabela2[[#This Row],[Início]]</f>
        <v>7.9803240740147885E-2</v>
      </c>
    </row>
    <row r="8" spans="1:60">
      <c r="A8" t="s">
        <v>19</v>
      </c>
      <c r="B8" s="650">
        <v>45149.649317129632</v>
      </c>
      <c r="C8" s="650">
        <v>45149.747291666667</v>
      </c>
      <c r="D8" s="651">
        <f>Tabela2[[#This Row],[Final]]-Tabela2[[#This Row],[Início]]</f>
        <v>9.7974537035042886E-2</v>
      </c>
    </row>
    <row r="9" spans="1:60">
      <c r="A9" t="s">
        <v>12</v>
      </c>
      <c r="B9" s="650">
        <v>45152.470925925925</v>
      </c>
      <c r="C9" s="650">
        <v>45152.597638888888</v>
      </c>
      <c r="D9" s="651">
        <f>Tabela2[[#This Row],[Final]]-Tabela2[[#This Row],[Início]]</f>
        <v>0.12671296296321088</v>
      </c>
    </row>
    <row r="10" spans="1:60">
      <c r="A10" t="s">
        <v>19</v>
      </c>
      <c r="B10" s="650">
        <v>45152.664027777777</v>
      </c>
      <c r="C10" s="650">
        <v>45152.673402777778</v>
      </c>
      <c r="D10" s="651">
        <f>Tabela2[[#This Row],[Final]]-Tabela2[[#This Row],[Início]]</f>
        <v>9.3750000014551915E-3</v>
      </c>
    </row>
    <row r="11" spans="1:60">
      <c r="A11" t="s">
        <v>19</v>
      </c>
      <c r="B11" s="650">
        <v>45152.676215277781</v>
      </c>
      <c r="C11" s="650">
        <v>45152.799745370372</v>
      </c>
      <c r="D11" s="651">
        <f>Tabela2[[#This Row],[Final]]-Tabela2[[#This Row],[Início]]</f>
        <v>0.12353009259095415</v>
      </c>
    </row>
    <row r="12" spans="1:60">
      <c r="A12" t="s">
        <v>12</v>
      </c>
      <c r="B12" s="650">
        <v>45152.858090277776</v>
      </c>
      <c r="D12" s="651">
        <f>Tabela2[[#This Row],[Final]]-Tabela2[[#This Row],[Início]]</f>
        <v>-45152.858090277776</v>
      </c>
    </row>
    <row r="13" spans="1:60">
      <c r="A13" t="s">
        <v>12</v>
      </c>
      <c r="B13" s="650">
        <v>45152.865636574075</v>
      </c>
      <c r="C13" s="650">
        <v>45152.866932870369</v>
      </c>
      <c r="D13" s="651">
        <f>Tabela2[[#This Row],[Final]]-Tabela2[[#This Row],[Início]]</f>
        <v>1.2962962937308475E-3</v>
      </c>
    </row>
    <row r="14" spans="1:60">
      <c r="A14" t="s">
        <v>19</v>
      </c>
      <c r="B14" s="650">
        <v>45153.58353009259</v>
      </c>
      <c r="C14" s="650">
        <v>45153.583935185183</v>
      </c>
      <c r="D14" s="651">
        <f>Tabela2[[#This Row],[Final]]-Tabela2[[#This Row],[Início]]</f>
        <v>4.0509259270038456E-4</v>
      </c>
    </row>
    <row r="15" spans="1:60">
      <c r="A15" t="s">
        <v>19</v>
      </c>
      <c r="B15" s="650">
        <v>45153.587604166663</v>
      </c>
      <c r="C15" s="650">
        <v>45153.753252314818</v>
      </c>
      <c r="D15" s="651">
        <f>Tabela2[[#This Row],[Final]]-Tabela2[[#This Row],[Início]]</f>
        <v>0.1656481481550145</v>
      </c>
    </row>
    <row r="16" spans="1:60">
      <c r="A16" t="s">
        <v>19</v>
      </c>
      <c r="B16" s="650">
        <v>45154.52449074074</v>
      </c>
      <c r="C16" s="650">
        <v>45154.755509259259</v>
      </c>
      <c r="D16" s="651">
        <f>Tabela2[[#This Row],[Final]]-Tabela2[[#This Row],[Início]]</f>
        <v>0.23101851851970423</v>
      </c>
    </row>
    <row r="17" spans="1:4">
      <c r="A17" t="s">
        <v>19</v>
      </c>
      <c r="B17" s="650">
        <v>45155.384930555556</v>
      </c>
      <c r="C17" s="650">
        <v>45155.625949074078</v>
      </c>
      <c r="D17" s="651">
        <f>Tabela2[[#This Row],[Final]]-Tabela2[[#This Row],[Início]]</f>
        <v>0.2410185185217415</v>
      </c>
    </row>
    <row r="18" spans="1:4">
      <c r="A18" t="s">
        <v>12</v>
      </c>
      <c r="B18" s="650">
        <v>45156.697013888886</v>
      </c>
      <c r="C18" s="650"/>
      <c r="D18" s="651">
        <f>Tabela2[[#This Row],[Final]]-Tabela2[[#This Row],[Início]]</f>
        <v>-45156.697013888886</v>
      </c>
    </row>
    <row r="19" spans="1:4">
      <c r="A19" t="s">
        <v>12</v>
      </c>
      <c r="B19" s="650">
        <v>45156.732048611113</v>
      </c>
      <c r="C19" s="650"/>
      <c r="D19" s="651">
        <f>Tabela2[[#This Row],[Final]]-Tabela2[[#This Row],[Início]]</f>
        <v>-45156.732048611113</v>
      </c>
    </row>
    <row r="20" spans="1:4">
      <c r="A20" t="s">
        <v>12</v>
      </c>
      <c r="B20" s="650">
        <v>45156.744768518518</v>
      </c>
      <c r="C20" s="650">
        <v>45156.806574074071</v>
      </c>
      <c r="D20" s="651">
        <f>Tabela2[[#This Row],[Final]]-Tabela2[[#This Row],[Início]]</f>
        <v>6.1805555553291924E-2</v>
      </c>
    </row>
    <row r="21" spans="1:4">
      <c r="A21" t="s">
        <v>19</v>
      </c>
      <c r="B21" s="650">
        <v>45160.504884259259</v>
      </c>
      <c r="C21" s="650"/>
      <c r="D21" s="651">
        <f>Tabela2[[#This Row],[Final]]-Tabela2[[#This Row],[Início]]</f>
        <v>-45160.504884259259</v>
      </c>
    </row>
    <row r="22" spans="1:4">
      <c r="A22" t="s">
        <v>19</v>
      </c>
      <c r="B22" s="650">
        <v>45160.507025462961</v>
      </c>
      <c r="C22" s="650">
        <v>45160.743333333332</v>
      </c>
      <c r="D22" s="651">
        <f>Tabela2[[#This Row],[Final]]-Tabela2[[#This Row],[Início]]</f>
        <v>0.23630787037109258</v>
      </c>
    </row>
    <row r="23" spans="1:4">
      <c r="A23" t="s">
        <v>12</v>
      </c>
      <c r="B23" s="650">
        <v>45162.509525462963</v>
      </c>
      <c r="C23" s="650">
        <v>45162.660162037035</v>
      </c>
      <c r="D23" s="651">
        <f>Tabela2[[#This Row],[Final]]-Tabela2[[#This Row],[Início]]</f>
        <v>0.15063657407154096</v>
      </c>
    </row>
    <row r="24" spans="1:4">
      <c r="A24" t="s">
        <v>12</v>
      </c>
      <c r="B24" s="650">
        <v>45162.660671296297</v>
      </c>
      <c r="C24" s="650">
        <v>45162.850324074076</v>
      </c>
      <c r="D24" s="651">
        <f>Tabela2[[#This Row],[Final]]-Tabela2[[#This Row],[Início]]</f>
        <v>0.18965277777897427</v>
      </c>
    </row>
    <row r="25" spans="1:4">
      <c r="A25" t="s">
        <v>19</v>
      </c>
      <c r="B25" s="650">
        <v>45163.519652777781</v>
      </c>
      <c r="C25" s="650">
        <v>45163.750497685185</v>
      </c>
      <c r="D25" s="651">
        <f>Tabela2[[#This Row],[Final]]-Tabela2[[#This Row],[Início]]</f>
        <v>0.23084490740438923</v>
      </c>
    </row>
    <row r="26" spans="1:4">
      <c r="A26" t="s">
        <v>12</v>
      </c>
      <c r="B26" s="650">
        <v>45166.46665509259</v>
      </c>
      <c r="C26" s="650">
        <v>45166.539039351854</v>
      </c>
      <c r="D26" s="651">
        <f>Tabela2[[#This Row],[Final]]-Tabela2[[#This Row],[Início]]</f>
        <v>7.2384259263344575E-2</v>
      </c>
    </row>
    <row r="27" spans="1:4">
      <c r="A27" t="s">
        <v>12</v>
      </c>
      <c r="B27" s="650">
        <v>45166.575358796297</v>
      </c>
      <c r="C27" s="650">
        <v>45166.597500000003</v>
      </c>
      <c r="D27" s="651">
        <f>Tabela2[[#This Row],[Final]]-Tabela2[[#This Row],[Início]]</f>
        <v>2.2141203706269152E-2</v>
      </c>
    </row>
    <row r="28" spans="1:4">
      <c r="A28" t="s">
        <v>19</v>
      </c>
      <c r="B28" s="650">
        <v>45166.606145833335</v>
      </c>
      <c r="C28" s="650">
        <v>45166.607187499998</v>
      </c>
      <c r="D28" s="651">
        <f>Tabela2[[#This Row],[Final]]-Tabela2[[#This Row],[Início]]</f>
        <v>1.0416666627861559E-3</v>
      </c>
    </row>
    <row r="29" spans="1:4">
      <c r="A29" t="s">
        <v>19</v>
      </c>
      <c r="B29" s="650">
        <v>45166.61078703704</v>
      </c>
      <c r="C29" s="650">
        <v>45166.611076388886</v>
      </c>
      <c r="D29" s="651">
        <f>Tabela2[[#This Row],[Final]]-Tabela2[[#This Row],[Início]]</f>
        <v>2.8935184673173353E-4</v>
      </c>
    </row>
    <row r="30" spans="1:4">
      <c r="A30" t="s">
        <v>19</v>
      </c>
      <c r="B30" s="650">
        <v>45166.613877314812</v>
      </c>
      <c r="C30" s="650">
        <v>45166.809965277775</v>
      </c>
      <c r="D30" s="651">
        <f>Tabela2[[#This Row],[Final]]-Tabela2[[#This Row],[Início]]</f>
        <v>0.19608796296233777</v>
      </c>
    </row>
    <row r="31" spans="1:4">
      <c r="A31" t="s">
        <v>19</v>
      </c>
      <c r="B31" s="650">
        <v>45167.608217592591</v>
      </c>
      <c r="C31" s="650">
        <v>45167.751956018517</v>
      </c>
      <c r="D31" s="651">
        <f>Tabela2[[#This Row],[Final]]-Tabela2[[#This Row],[Início]]</f>
        <v>0.14373842592613073</v>
      </c>
    </row>
    <row r="32" spans="1:4">
      <c r="A32" t="s">
        <v>19</v>
      </c>
      <c r="B32" s="650">
        <v>45168.515219907407</v>
      </c>
      <c r="C32" s="650">
        <v>45168.515729166669</v>
      </c>
      <c r="D32" s="651">
        <f>Tabela2[[#This Row],[Final]]-Tabela2[[#This Row],[Início]]</f>
        <v>5.092592618893832E-4</v>
      </c>
    </row>
    <row r="33" spans="1:4">
      <c r="A33" t="s">
        <v>12</v>
      </c>
      <c r="B33" s="650">
        <v>45168.609537037039</v>
      </c>
      <c r="C33" s="650"/>
      <c r="D33" s="651">
        <f>Tabela2[[#This Row],[Final]]-Tabela2[[#This Row],[Início]]</f>
        <v>-45168.609537037039</v>
      </c>
    </row>
    <row r="34" spans="1:4">
      <c r="A34" t="s">
        <v>19</v>
      </c>
      <c r="B34" s="650">
        <v>45168.69803240741</v>
      </c>
      <c r="C34" s="650">
        <v>45168.785671296297</v>
      </c>
      <c r="D34" s="651">
        <f>Tabela2[[#This Row],[Final]]-Tabela2[[#This Row],[Início]]</f>
        <v>8.7638888886431232E-2</v>
      </c>
    </row>
    <row r="35" spans="1:4">
      <c r="A35" t="s">
        <v>12</v>
      </c>
      <c r="B35" s="650">
        <v>45169.438159722224</v>
      </c>
      <c r="C35" s="650">
        <v>45169.472997685189</v>
      </c>
      <c r="D35" s="651">
        <f>Tabela2[[#This Row],[Final]]-Tabela2[[#This Row],[Início]]</f>
        <v>3.4837962964957114E-2</v>
      </c>
    </row>
    <row r="36" spans="1:4">
      <c r="A36" t="s">
        <v>19</v>
      </c>
      <c r="B36" s="650">
        <v>45169.530092592591</v>
      </c>
      <c r="C36" s="650">
        <v>45169.540995370371</v>
      </c>
      <c r="D36" s="651">
        <f>Tabela2[[#This Row],[Final]]-Tabela2[[#This Row],[Início]]</f>
        <v>1.0902777779847383E-2</v>
      </c>
    </row>
    <row r="37" spans="1:4">
      <c r="A37" t="s">
        <v>19</v>
      </c>
      <c r="B37" s="650">
        <v>45169.541712962964</v>
      </c>
      <c r="C37" s="650">
        <v>45169.625740740739</v>
      </c>
      <c r="D37" s="651">
        <f>Tabela2[[#This Row],[Final]]-Tabela2[[#This Row],[Início]]</f>
        <v>8.4027777775190771E-2</v>
      </c>
    </row>
    <row r="38" spans="1:4">
      <c r="A38" t="s">
        <v>19</v>
      </c>
      <c r="B38" s="650">
        <v>45169.626516203702</v>
      </c>
      <c r="C38" s="650">
        <v>45169.65792824074</v>
      </c>
      <c r="D38" s="651">
        <f>Tabela2[[#This Row],[Final]]-Tabela2[[#This Row],[Início]]</f>
        <v>3.1412037038535345E-2</v>
      </c>
    </row>
    <row r="39" spans="1:4">
      <c r="A39" t="s">
        <v>12</v>
      </c>
      <c r="B39" s="650">
        <v>45169.65896990741</v>
      </c>
      <c r="C39" s="650"/>
      <c r="D39" s="651">
        <f>Tabela2[[#This Row],[Final]]-Tabela2[[#This Row],[Início]]</f>
        <v>-45169.65896990741</v>
      </c>
    </row>
    <row r="40" spans="1:4">
      <c r="A40" t="s">
        <v>19</v>
      </c>
      <c r="B40" s="650">
        <v>45169.659363425926</v>
      </c>
      <c r="C40" s="650">
        <v>45169.71806712963</v>
      </c>
      <c r="D40" s="651">
        <f>Tabela2[[#This Row],[Final]]-Tabela2[[#This Row],[Início]]</f>
        <v>5.8703703703940846E-2</v>
      </c>
    </row>
    <row r="41" spans="1:4">
      <c r="A41" t="s">
        <v>12</v>
      </c>
      <c r="B41" s="650">
        <v>45170.448599537034</v>
      </c>
      <c r="C41" s="650">
        <v>45170.699236111112</v>
      </c>
      <c r="D41" s="651">
        <f>Tabela2[[#This Row],[Final]]-Tabela2[[#This Row],[Início]]</f>
        <v>0.25063657407736173</v>
      </c>
    </row>
    <row r="42" spans="1:4">
      <c r="A42" t="s">
        <v>12</v>
      </c>
      <c r="B42" s="650">
        <v>45174.467650462961</v>
      </c>
      <c r="C42" s="650">
        <v>45174.824652777781</v>
      </c>
      <c r="D42" s="651">
        <f>Tabela2[[#This Row],[Final]]-Tabela2[[#This Row],[Início]]</f>
        <v>0.35700231482042</v>
      </c>
    </row>
    <row r="43" spans="1:4">
      <c r="A43" t="s">
        <v>12</v>
      </c>
      <c r="B43" s="650">
        <v>45175.689444444448</v>
      </c>
      <c r="C43" s="650">
        <v>45175.713379629633</v>
      </c>
      <c r="D43" s="651">
        <f>Tabela2[[#This Row],[Final]]-Tabela2[[#This Row],[Início]]</f>
        <v>2.3935185185109731E-2</v>
      </c>
    </row>
    <row r="44" spans="1:4">
      <c r="A44" t="s">
        <v>12</v>
      </c>
      <c r="B44" s="650">
        <v>45177.376828703702</v>
      </c>
      <c r="C44" s="650">
        <v>45177.385069444441</v>
      </c>
      <c r="D44" s="651">
        <f>Tabela2[[#This Row],[Final]]-Tabela2[[#This Row],[Início]]</f>
        <v>8.2407407389837317E-3</v>
      </c>
    </row>
    <row r="45" spans="1:4">
      <c r="A45" t="s">
        <v>12</v>
      </c>
      <c r="B45" s="650">
        <v>45177.4453125</v>
      </c>
      <c r="C45" s="650"/>
      <c r="D45" s="651">
        <f>Tabela2[[#This Row],[Final]]-Tabela2[[#This Row],[Início]]</f>
        <v>-45177.4453125</v>
      </c>
    </row>
    <row r="46" spans="1:4">
      <c r="A46" t="s">
        <v>12</v>
      </c>
      <c r="B46" s="650">
        <v>45177.449699074074</v>
      </c>
      <c r="C46" s="650"/>
      <c r="D46" s="651">
        <f>Tabela2[[#This Row],[Final]]-Tabela2[[#This Row],[Início]]</f>
        <v>-45177.449699074074</v>
      </c>
    </row>
    <row r="47" spans="1:4">
      <c r="A47" t="s">
        <v>12</v>
      </c>
      <c r="B47" s="650">
        <v>45180.446469907409</v>
      </c>
      <c r="C47" s="650"/>
      <c r="D47" s="651">
        <f>Tabela2[[#This Row],[Final]]-Tabela2[[#This Row],[Início]]</f>
        <v>-45180.446469907409</v>
      </c>
    </row>
    <row r="48" spans="1:4">
      <c r="A48" t="s">
        <v>12</v>
      </c>
      <c r="B48" s="650">
        <v>45182.35974537037</v>
      </c>
      <c r="C48" s="650"/>
      <c r="D48" s="651">
        <f>Tabela2[[#This Row],[Final]]-Tabela2[[#This Row],[Início]]</f>
        <v>-45182.35974537037</v>
      </c>
    </row>
    <row r="49" spans="1:4">
      <c r="A49" t="s">
        <v>12</v>
      </c>
      <c r="B49" s="650">
        <v>45182.51059027778</v>
      </c>
      <c r="C49" s="650">
        <v>45182.656967592593</v>
      </c>
      <c r="D49" s="651">
        <f>Tabela2[[#This Row],[Final]]-Tabela2[[#This Row],[Início]]</f>
        <v>0.14637731481343508</v>
      </c>
    </row>
    <row r="50" spans="1:4">
      <c r="A50" t="s">
        <v>12</v>
      </c>
      <c r="B50" s="650">
        <v>45183.561064814814</v>
      </c>
      <c r="C50" s="650"/>
      <c r="D50" s="651">
        <f>Tabela2[[#This Row],[Final]]-Tabela2[[#This Row],[Início]]</f>
        <v>-45183.561064814814</v>
      </c>
    </row>
    <row r="51" spans="1:4">
      <c r="A51" t="s">
        <v>12</v>
      </c>
      <c r="B51" s="650">
        <v>45183.653668981482</v>
      </c>
      <c r="C51" s="650">
        <v>45183.654166666667</v>
      </c>
      <c r="D51" s="651">
        <f>Tabela2[[#This Row],[Final]]-Tabela2[[#This Row],[Início]]</f>
        <v>4.9768518510973081E-4</v>
      </c>
    </row>
    <row r="52" spans="1:4">
      <c r="A52" t="s">
        <v>12</v>
      </c>
      <c r="B52" s="650">
        <v>45183.721018518518</v>
      </c>
      <c r="C52" s="650">
        <v>45183.722129629627</v>
      </c>
      <c r="D52" s="651">
        <f>Tabela2[[#This Row],[Final]]-Tabela2[[#This Row],[Início]]</f>
        <v>1.111111108912155E-3</v>
      </c>
    </row>
    <row r="53" spans="1:4">
      <c r="A53" t="s">
        <v>12</v>
      </c>
      <c r="B53" s="650">
        <v>45183.725949074076</v>
      </c>
      <c r="C53" s="650">
        <v>45184.865439814814</v>
      </c>
      <c r="D53" s="651">
        <f>Tabela2[[#This Row],[Final]]-Tabela2[[#This Row],[Início]]</f>
        <v>1.1394907407375285</v>
      </c>
    </row>
    <row r="54" spans="1:4">
      <c r="A54" t="s">
        <v>12</v>
      </c>
      <c r="B54" s="650">
        <v>45187.528009259258</v>
      </c>
      <c r="C54" s="650"/>
      <c r="D54" s="651">
        <f>Tabela2[[#This Row],[Final]]-Tabela2[[#This Row],[Início]]</f>
        <v>-45187.528009259258</v>
      </c>
    </row>
    <row r="55" spans="1:4">
      <c r="A55" t="s">
        <v>12</v>
      </c>
      <c r="B55" s="650">
        <v>45187.73369212963</v>
      </c>
      <c r="C55" s="650"/>
      <c r="D55" s="651">
        <f>Tabela2[[#This Row],[Final]]-Tabela2[[#This Row],[Início]]</f>
        <v>-45187.73369212963</v>
      </c>
    </row>
    <row r="56" spans="1:4">
      <c r="A56" t="s">
        <v>12</v>
      </c>
      <c r="B56" s="650">
        <v>45189.390497685185</v>
      </c>
      <c r="C56" s="650">
        <v>45189.396365740744</v>
      </c>
      <c r="D56" s="651">
        <f>Tabela2[[#This Row],[Final]]-Tabela2[[#This Row],[Início]]</f>
        <v>5.8680555594037287E-3</v>
      </c>
    </row>
    <row r="57" spans="1:4">
      <c r="A57" t="s">
        <v>12</v>
      </c>
      <c r="B57" s="650">
        <v>45189.396793981483</v>
      </c>
      <c r="C57" s="650"/>
      <c r="D57" s="651">
        <f>Tabela2[[#This Row],[Final]]-Tabela2[[#This Row],[Início]]</f>
        <v>-45189.396793981483</v>
      </c>
    </row>
    <row r="58" spans="1:4">
      <c r="A58" t="s">
        <v>12</v>
      </c>
      <c r="B58" s="650">
        <v>45189.39707175926</v>
      </c>
      <c r="C58" s="650"/>
      <c r="D58" s="651">
        <f>Tabela2[[#This Row],[Final]]-Tabela2[[#This Row],[Início]]</f>
        <v>-45189.39707175926</v>
      </c>
    </row>
    <row r="59" spans="1:4">
      <c r="A59" t="s">
        <v>12</v>
      </c>
      <c r="B59" s="650">
        <v>45189.410162037035</v>
      </c>
      <c r="C59" s="650">
        <v>45189.411608796298</v>
      </c>
      <c r="D59" s="651">
        <f>Tabela2[[#This Row],[Final]]-Tabela2[[#This Row],[Início]]</f>
        <v>1.4467592627624981E-3</v>
      </c>
    </row>
    <row r="60" spans="1:4">
      <c r="A60" t="s">
        <v>20</v>
      </c>
      <c r="B60" s="650">
        <v>45189.710081018522</v>
      </c>
      <c r="C60" s="650"/>
      <c r="D60" s="651">
        <f>Tabela2[[#This Row],[Final]]-Tabela2[[#This Row],[Início]]</f>
        <v>-45189.710081018522</v>
      </c>
    </row>
    <row r="61" spans="1:4">
      <c r="A61" t="s">
        <v>12</v>
      </c>
      <c r="B61" s="650">
        <v>45189.713437500002</v>
      </c>
      <c r="C61" s="650">
        <v>45189.718530092592</v>
      </c>
      <c r="D61" s="651">
        <f>Tabela2[[#This Row],[Final]]-Tabela2[[#This Row],[Início]]</f>
        <v>5.0925925897900015E-3</v>
      </c>
    </row>
    <row r="62" spans="1:4">
      <c r="A62" t="s">
        <v>12</v>
      </c>
      <c r="B62" s="650">
        <v>45189.721655092595</v>
      </c>
      <c r="C62" s="650">
        <v>45189.722141203703</v>
      </c>
      <c r="D62" s="651">
        <f>Tabela2[[#This Row],[Final]]-Tabela2[[#This Row],[Início]]</f>
        <v>4.8611110833007842E-4</v>
      </c>
    </row>
    <row r="63" spans="1:4">
      <c r="A63" t="s">
        <v>12</v>
      </c>
      <c r="B63" s="650">
        <v>45189.724479166667</v>
      </c>
      <c r="C63" s="650">
        <v>45189.725300925929</v>
      </c>
      <c r="D63" s="651">
        <f>Tabela2[[#This Row],[Final]]-Tabela2[[#This Row],[Início]]</f>
        <v>8.217592621804215E-4</v>
      </c>
    </row>
    <row r="64" spans="1:4">
      <c r="A64" t="s">
        <v>12</v>
      </c>
      <c r="B64" s="650">
        <v>45189.734953703701</v>
      </c>
      <c r="C64" s="650">
        <v>45189.735717592594</v>
      </c>
      <c r="D64" s="651">
        <f>Tabela2[[#This Row],[Final]]-Tabela2[[#This Row],[Início]]</f>
        <v>7.638888928340748E-4</v>
      </c>
    </row>
    <row r="65" spans="1:4">
      <c r="A65" t="s">
        <v>12</v>
      </c>
      <c r="B65" s="652">
        <v>45190.935925925929</v>
      </c>
      <c r="C65" s="652">
        <v>45190.96297453704</v>
      </c>
      <c r="D65" s="651">
        <f>Tabela2[[#This Row],[Final]]-Tabela2[[#This Row],[Início]]</f>
        <v>2.7048611111240461E-2</v>
      </c>
    </row>
    <row r="66" spans="1:4">
      <c r="A66" t="s">
        <v>12</v>
      </c>
      <c r="B66" s="652">
        <v>45191.440694444442</v>
      </c>
      <c r="C66" s="652"/>
      <c r="D66" s="651">
        <f>Tabela2[[#This Row],[Final]]-Tabela2[[#This Row],[Início]]</f>
        <v>-45191.440694444442</v>
      </c>
    </row>
    <row r="67" spans="1:4">
      <c r="A67" t="s">
        <v>12</v>
      </c>
      <c r="B67" s="652">
        <v>45194.588449074072</v>
      </c>
      <c r="C67" s="652"/>
      <c r="D67" s="651">
        <f>Tabela2[[#This Row],[Final]]-Tabela2[[#This Row],[Início]]</f>
        <v>-45194.588449074072</v>
      </c>
    </row>
    <row r="68" spans="1:4">
      <c r="A68" t="s">
        <v>12</v>
      </c>
      <c r="B68" s="652">
        <v>45194.59447916667</v>
      </c>
      <c r="C68" s="652">
        <v>45195.565138888887</v>
      </c>
      <c r="D68" s="651">
        <f>Tabela2[[#This Row],[Final]]-Tabela2[[#This Row],[Início]]</f>
        <v>0.97065972221753327</v>
      </c>
    </row>
    <row r="69" spans="1:4">
      <c r="A69" t="s">
        <v>12</v>
      </c>
      <c r="B69" s="652">
        <v>45195.78696759259</v>
      </c>
      <c r="C69" s="652">
        <v>45195.791041666664</v>
      </c>
      <c r="D69" s="651">
        <f>Tabela2[[#This Row],[Final]]-Tabela2[[#This Row],[Início]]</f>
        <v>4.0740740732871927E-3</v>
      </c>
    </row>
    <row r="70" spans="1:4">
      <c r="A70" t="s">
        <v>12</v>
      </c>
      <c r="B70" s="652">
        <v>45197.481909722221</v>
      </c>
      <c r="C70" s="652">
        <v>45197.724537037036</v>
      </c>
      <c r="D70" s="651">
        <f>Tabela2[[#This Row],[Final]]-Tabela2[[#This Row],[Início]]</f>
        <v>0.24262731481576338</v>
      </c>
    </row>
    <row r="71" spans="1:4">
      <c r="A71" t="s">
        <v>12</v>
      </c>
      <c r="B71" s="652">
        <v>45201.731377314813</v>
      </c>
      <c r="C71" s="652"/>
      <c r="D71" s="651">
        <f>Tabela2[[#This Row],[Final]]-Tabela2[[#This Row],[Início]]</f>
        <v>-45201.731377314813</v>
      </c>
    </row>
    <row r="72" spans="1:4">
      <c r="A72" t="s">
        <v>12</v>
      </c>
      <c r="B72" s="652">
        <v>45201.736967592595</v>
      </c>
      <c r="C72" s="652"/>
      <c r="D72" s="651">
        <f>Tabela2[[#This Row],[Final]]-Tabela2[[#This Row],[Início]]</f>
        <v>-45201.736967592595</v>
      </c>
    </row>
    <row r="73" spans="1:4">
      <c r="A73" t="s">
        <v>12</v>
      </c>
      <c r="B73" s="652">
        <v>45202.443935185183</v>
      </c>
      <c r="C73" s="652">
        <v>45202.445381944446</v>
      </c>
      <c r="D73" s="651">
        <f>Tabela2[[#This Row],[Final]]-Tabela2[[#This Row],[Início]]</f>
        <v>1.4467592627624981E-3</v>
      </c>
    </row>
    <row r="74" spans="1:4">
      <c r="A74" t="s">
        <v>12</v>
      </c>
      <c r="B74" s="652">
        <v>45203.472916666666</v>
      </c>
      <c r="C74" s="652">
        <v>45203.659212962964</v>
      </c>
      <c r="D74" s="651">
        <f>Tabela2[[#This Row],[Final]]-Tabela2[[#This Row],[Início]]</f>
        <v>0.1862962962986785</v>
      </c>
    </row>
    <row r="75" spans="1:4">
      <c r="A75" t="s">
        <v>12</v>
      </c>
      <c r="B75" s="652">
        <v>45203.663460648146</v>
      </c>
      <c r="C75" s="652">
        <v>45203.784930555557</v>
      </c>
      <c r="D75" s="651">
        <f>Tabela2[[#This Row],[Final]]-Tabela2[[#This Row],[Início]]</f>
        <v>0.12146990741166519</v>
      </c>
    </row>
    <row r="76" spans="1:4">
      <c r="A76" t="s">
        <v>12</v>
      </c>
      <c r="B76" s="652">
        <v>45204.482824074075</v>
      </c>
      <c r="C76" s="652">
        <v>45204.689212962963</v>
      </c>
      <c r="D76" s="651">
        <f>Tabela2[[#This Row],[Final]]-Tabela2[[#This Row],[Início]]</f>
        <v>0.20638888888788642</v>
      </c>
    </row>
    <row r="77" spans="1:4">
      <c r="A77" t="s">
        <v>12</v>
      </c>
      <c r="B77" s="652">
        <v>45205.597314814811</v>
      </c>
      <c r="C77" s="652">
        <v>45205.696446759262</v>
      </c>
      <c r="D77" s="651">
        <f>Tabela2[[#This Row],[Final]]-Tabela2[[#This Row],[Início]]</f>
        <v>9.913194445107365E-2</v>
      </c>
    </row>
    <row r="78" spans="1:4">
      <c r="A78" t="s">
        <v>12</v>
      </c>
      <c r="B78" s="652">
        <v>45208.567650462966</v>
      </c>
      <c r="C78" s="652"/>
      <c r="D78" s="651">
        <f>Tabela2[[#This Row],[Final]]-Tabela2[[#This Row],[Início]]</f>
        <v>-45208.567650462966</v>
      </c>
    </row>
    <row r="79" spans="1:4">
      <c r="A79" t="s">
        <v>12</v>
      </c>
      <c r="B79" s="652">
        <v>45212.03460648148</v>
      </c>
      <c r="C79" s="652"/>
      <c r="D79" s="651">
        <f>Tabela2[[#This Row],[Final]]-Tabela2[[#This Row],[Início]]</f>
        <v>-45212.03460648148</v>
      </c>
    </row>
    <row r="80" spans="1:4">
      <c r="A80" t="s">
        <v>12</v>
      </c>
      <c r="B80" s="652">
        <v>45212.606782407405</v>
      </c>
      <c r="C80" s="652">
        <v>45213.027581018519</v>
      </c>
      <c r="D80" s="651">
        <f>Tabela2[[#This Row],[Final]]-Tabela2[[#This Row],[Início]]</f>
        <v>0.42079861111415084</v>
      </c>
    </row>
    <row r="81" spans="1:4">
      <c r="A81" t="s">
        <v>12</v>
      </c>
      <c r="B81" s="652">
        <v>45215.489502314813</v>
      </c>
      <c r="C81" s="652">
        <v>45216.725532407407</v>
      </c>
      <c r="D81" s="651">
        <f>Tabela2[[#This Row],[Final]]-Tabela2[[#This Row],[Início]]</f>
        <v>1.2360300925938645</v>
      </c>
    </row>
    <row r="82" spans="1:4">
      <c r="A82" t="s">
        <v>12</v>
      </c>
      <c r="B82" s="652">
        <v>45216.729629629626</v>
      </c>
      <c r="C82" s="652">
        <v>45216.772372685184</v>
      </c>
      <c r="D82" s="651">
        <f>Tabela2[[#This Row],[Final]]-Tabela2[[#This Row],[Início]]</f>
        <v>4.2743055557366461E-2</v>
      </c>
    </row>
    <row r="83" spans="1:4">
      <c r="A83" t="s">
        <v>12</v>
      </c>
      <c r="B83" s="652">
        <v>45224.453946759262</v>
      </c>
      <c r="C83" s="652">
        <v>45229.363599537035</v>
      </c>
      <c r="D83" s="651">
        <f>Tabela2[[#This Row],[Final]]-Tabela2[[#This Row],[Início]]</f>
        <v>4.9096527777728625</v>
      </c>
    </row>
    <row r="84" spans="1:4">
      <c r="A84" t="s">
        <v>12</v>
      </c>
      <c r="B84" s="652">
        <v>45229.366770833331</v>
      </c>
      <c r="C84" s="652">
        <v>45229.72755787037</v>
      </c>
      <c r="D84" s="651">
        <f>Tabela2[[#This Row],[Final]]-Tabela2[[#This Row],[Início]]</f>
        <v>0.3607870370396995</v>
      </c>
    </row>
    <row r="85" spans="1:4">
      <c r="A85" t="s">
        <v>12</v>
      </c>
      <c r="B85" s="652">
        <v>45229.765277777777</v>
      </c>
      <c r="C85" s="652"/>
      <c r="D85" s="651">
        <f>Tabela2[[#This Row],[Final]]-Tabela2[[#This Row],[Início]]</f>
        <v>-45229.765277777777</v>
      </c>
    </row>
    <row r="86" spans="1:4">
      <c r="A86" t="s">
        <v>12</v>
      </c>
      <c r="B86" s="652">
        <v>45229.788101851853</v>
      </c>
      <c r="C86" s="652"/>
      <c r="D86" s="651">
        <f>Tabela2[[#This Row],[Final]]-Tabela2[[#This Row],[Início]]</f>
        <v>-45229.788101851853</v>
      </c>
    </row>
    <row r="87" spans="1:4">
      <c r="A87" t="s">
        <v>12</v>
      </c>
      <c r="B87" s="652">
        <v>45239.861620370371</v>
      </c>
      <c r="C87" s="652">
        <v>45239.910844907405</v>
      </c>
      <c r="D87" s="651">
        <f>Tabela2[[#This Row],[Final]]-Tabela2[[#This Row],[Início]]</f>
        <v>4.9224537033296656E-2</v>
      </c>
    </row>
    <row r="88" spans="1:4">
      <c r="A88" t="s">
        <v>12</v>
      </c>
      <c r="B88" s="652">
        <v>45254.604699074072</v>
      </c>
      <c r="C88" s="652">
        <v>45254.747476851851</v>
      </c>
      <c r="D88" s="651">
        <f>Tabela2[[#This Row],[Final]]-Tabela2[[#This Row],[Início]]</f>
        <v>0.14277777777897427</v>
      </c>
    </row>
    <row r="89" spans="1:4">
      <c r="A89" t="s">
        <v>12</v>
      </c>
      <c r="B89" s="652">
        <v>45259.402442129627</v>
      </c>
      <c r="C89" s="652">
        <v>45260.881307870368</v>
      </c>
      <c r="D89" s="651">
        <f>Tabela2[[#This Row],[Final]]-Tabela2[[#This Row],[Início]]</f>
        <v>1.47886574074073</v>
      </c>
    </row>
    <row r="90" spans="1:4">
      <c r="A90" t="s">
        <v>12</v>
      </c>
      <c r="B90" s="652">
        <v>45264.643645833334</v>
      </c>
      <c r="C90" s="652">
        <v>45264.864861111113</v>
      </c>
      <c r="D90" s="651">
        <f>Tabela2[[#This Row],[Final]]-Tabela2[[#This Row],[Início]]</f>
        <v>0.22121527777926531</v>
      </c>
    </row>
    <row r="91" spans="1:4">
      <c r="A91" t="s">
        <v>12</v>
      </c>
      <c r="B91" s="652">
        <v>45265.881215277775</v>
      </c>
      <c r="C91" s="652">
        <v>45266.670740740738</v>
      </c>
      <c r="D91" s="651">
        <f>Tabela2[[#This Row],[Final]]-Tabela2[[#This Row],[Início]]</f>
        <v>0.78952546296204673</v>
      </c>
    </row>
    <row r="92" spans="1:4">
      <c r="A92" t="s">
        <v>12</v>
      </c>
      <c r="B92" s="652">
        <v>45267.459120370368</v>
      </c>
      <c r="C92" s="652">
        <v>45268.773888888885</v>
      </c>
      <c r="D92" s="651">
        <f>Tabela2[[#This Row],[Final]]-Tabela2[[#This Row],[Início]]</f>
        <v>1.314768518517667</v>
      </c>
    </row>
    <row r="93" spans="1:4">
      <c r="A93" t="s">
        <v>12</v>
      </c>
      <c r="B93" s="652">
        <v>45278.680115740739</v>
      </c>
      <c r="C93" s="652">
        <v>45278.841493055559</v>
      </c>
      <c r="D93" s="651">
        <f>Tabela2[[#This Row],[Final]]-Tabela2[[#This Row],[Início]]</f>
        <v>0.16137731482012896</v>
      </c>
    </row>
    <row r="94" spans="1:4">
      <c r="A94" t="s">
        <v>12</v>
      </c>
      <c r="B94" s="652">
        <v>45279.467268518521</v>
      </c>
      <c r="C94" s="652">
        <v>45279.918171296296</v>
      </c>
      <c r="D94" s="651">
        <f>Tabela2[[#This Row],[Final]]-Tabela2[[#This Row],[Início]]</f>
        <v>0.45090277777489973</v>
      </c>
    </row>
    <row r="95" spans="1:4">
      <c r="A95" t="s">
        <v>12</v>
      </c>
      <c r="B95" s="652">
        <v>45281.583194444444</v>
      </c>
      <c r="C95" s="652"/>
      <c r="D95" s="651">
        <f>Tabela2[[#This Row],[Final]]-Tabela2[[#This Row],[Início]]</f>
        <v>-45281.583194444444</v>
      </c>
    </row>
    <row r="96" spans="1:4">
      <c r="A96" t="s">
        <v>12</v>
      </c>
      <c r="B96" s="652">
        <v>45281.901666666665</v>
      </c>
      <c r="C96" s="652"/>
      <c r="D96" s="651">
        <f>Tabela2[[#This Row],[Final]]-Tabela2[[#This Row],[Início]]</f>
        <v>-45281.901666666665</v>
      </c>
    </row>
    <row r="97" spans="1:4">
      <c r="A97" t="s">
        <v>12</v>
      </c>
      <c r="B97" s="652">
        <v>45299.351412037038</v>
      </c>
      <c r="C97" s="652"/>
      <c r="D97" s="651">
        <f>Tabela2[[#This Row],[Final]]-Tabela2[[#This Row],[Início]]</f>
        <v>-45299.351412037038</v>
      </c>
    </row>
    <row r="98" spans="1:4">
      <c r="A98" t="s">
        <v>12</v>
      </c>
      <c r="B98" s="652">
        <v>45299.367326388892</v>
      </c>
      <c r="C98" s="652"/>
      <c r="D98" s="651">
        <f>Tabela2[[#This Row],[Final]]-Tabela2[[#This Row],[Início]]</f>
        <v>-45299.367326388892</v>
      </c>
    </row>
    <row r="99" spans="1:4">
      <c r="A99" t="s">
        <v>12</v>
      </c>
      <c r="B99" s="652">
        <v>45301.790810185186</v>
      </c>
      <c r="C99" s="652">
        <v>45301.791215277779</v>
      </c>
      <c r="D99" s="651">
        <f>Tabela2[[#This Row],[Final]]-Tabela2[[#This Row],[Início]]</f>
        <v>4.0509259270038456E-4</v>
      </c>
    </row>
    <row r="100" spans="1:4">
      <c r="A100" t="s">
        <v>12</v>
      </c>
      <c r="B100" s="652">
        <v>45303.77547453704</v>
      </c>
      <c r="C100" s="652">
        <v>45303.80369212963</v>
      </c>
      <c r="D100" s="651">
        <f>Tabela2[[#This Row],[Final]]-Tabela2[[#This Row],[Início]]</f>
        <v>2.8217592589498963E-2</v>
      </c>
    </row>
    <row r="101" spans="1:4">
      <c r="A101" t="s">
        <v>12</v>
      </c>
      <c r="B101" s="652">
        <v>45307.833831018521</v>
      </c>
      <c r="C101" s="652">
        <v>45307.877233796295</v>
      </c>
      <c r="D101" s="651">
        <f>Tabela2[[#This Row],[Final]]-Tabela2[[#This Row],[Início]]</f>
        <v>4.3402777773735579E-2</v>
      </c>
    </row>
    <row r="102" spans="1:4">
      <c r="A102" t="s">
        <v>12</v>
      </c>
      <c r="B102" s="652">
        <v>45308.380254629628</v>
      </c>
      <c r="C102" s="652">
        <v>45308.809537037036</v>
      </c>
      <c r="D102" s="651">
        <f>Tabela2[[#This Row],[Final]]-Tabela2[[#This Row],[Início]]</f>
        <v>0.42928240740729962</v>
      </c>
    </row>
    <row r="103" spans="1:4">
      <c r="A103" t="s">
        <v>12</v>
      </c>
      <c r="B103" s="652">
        <v>45310.452222222222</v>
      </c>
      <c r="C103" s="652">
        <v>45310.762627314813</v>
      </c>
      <c r="D103" s="651">
        <f>Tabela2[[#This Row],[Final]]-Tabela2[[#This Row],[Início]]</f>
        <v>0.31040509259037208</v>
      </c>
    </row>
    <row r="104" spans="1:4">
      <c r="A104" t="s">
        <v>12</v>
      </c>
      <c r="B104" s="652">
        <v>45310.792187500003</v>
      </c>
      <c r="C104" s="652">
        <v>45311.472719907404</v>
      </c>
      <c r="D104" s="651">
        <f>Tabela2[[#This Row],[Final]]-Tabela2[[#This Row],[Início]]</f>
        <v>0.68053240740118781</v>
      </c>
    </row>
    <row r="105" spans="1:4">
      <c r="A105" t="s">
        <v>12</v>
      </c>
      <c r="B105" s="652">
        <v>45311.482881944445</v>
      </c>
      <c r="C105" s="652">
        <v>45311.483159722222</v>
      </c>
      <c r="D105" s="651">
        <f>Tabela2[[#This Row],[Final]]-Tabela2[[#This Row],[Início]]</f>
        <v>2.7777777722803876E-4</v>
      </c>
    </row>
    <row r="106" spans="1:4">
      <c r="A106" t="s">
        <v>12</v>
      </c>
      <c r="B106" s="652">
        <v>45313.543773148151</v>
      </c>
      <c r="C106" s="652"/>
      <c r="D106" s="651">
        <f>Tabela2[[#This Row],[Final]]-Tabela2[[#This Row],[Início]]</f>
        <v>-45313.543773148151</v>
      </c>
    </row>
    <row r="107" spans="1:4">
      <c r="A107" t="s">
        <v>12</v>
      </c>
      <c r="B107" s="652">
        <v>45314.480104166665</v>
      </c>
      <c r="C107" s="652">
        <v>45314.531817129631</v>
      </c>
      <c r="D107" s="651">
        <f>Tabela2[[#This Row],[Final]]-Tabela2[[#This Row],[Início]]</f>
        <v>5.1712962966121268E-2</v>
      </c>
    </row>
    <row r="108" spans="1:4">
      <c r="A108" t="s">
        <v>12</v>
      </c>
      <c r="B108" s="652">
        <v>45314.533553240741</v>
      </c>
      <c r="C108" s="652">
        <v>45314.534594907411</v>
      </c>
      <c r="D108" s="651">
        <f>Tabela2[[#This Row],[Final]]-Tabela2[[#This Row],[Início]]</f>
        <v>1.0416666700621136E-3</v>
      </c>
    </row>
    <row r="109" spans="1:4">
      <c r="A109" t="s">
        <v>12</v>
      </c>
      <c r="B109" s="652">
        <v>45315.521550925929</v>
      </c>
      <c r="C109" s="652"/>
      <c r="D109" s="651">
        <f>Tabela2[[#This Row],[Final]]-Tabela2[[#This Row],[Início]]</f>
        <v>-45315.521550925929</v>
      </c>
    </row>
    <row r="110" spans="1:4">
      <c r="A110" t="s">
        <v>12</v>
      </c>
      <c r="B110" s="652">
        <v>45315.52679398148</v>
      </c>
      <c r="C110" s="652"/>
      <c r="D110" s="651">
        <f>Tabela2[[#This Row],[Final]]-Tabela2[[#This Row],[Início]]</f>
        <v>-45315.52679398148</v>
      </c>
    </row>
    <row r="111" spans="1:4">
      <c r="A111" t="s">
        <v>12</v>
      </c>
      <c r="B111" s="652">
        <v>45315.539502314816</v>
      </c>
      <c r="C111" s="652"/>
      <c r="D111" s="651">
        <f>Tabela2[[#This Row],[Final]]-Tabela2[[#This Row],[Início]]</f>
        <v>-45315.539502314816</v>
      </c>
    </row>
    <row r="112" spans="1:4">
      <c r="A112" t="s">
        <v>12</v>
      </c>
      <c r="B112" s="652">
        <v>45316.830960648149</v>
      </c>
      <c r="C112" s="652"/>
      <c r="D112" s="651">
        <f>Tabela2[[#This Row],[Final]]-Tabela2[[#This Row],[Início]]</f>
        <v>-45316.830960648149</v>
      </c>
    </row>
    <row r="113" spans="1:4">
      <c r="A113" t="s">
        <v>12</v>
      </c>
      <c r="B113" s="652">
        <v>45321.393217592595</v>
      </c>
      <c r="C113" s="652">
        <v>45321.871030092596</v>
      </c>
      <c r="D113" s="651">
        <f>Tabela2[[#This Row],[Final]]-Tabela2[[#This Row],[Início]]</f>
        <v>0.47781250000116415</v>
      </c>
    </row>
    <row r="114" spans="1:4">
      <c r="A114" t="s">
        <v>12</v>
      </c>
      <c r="B114" s="652">
        <v>45328.763171296298</v>
      </c>
      <c r="C114" s="652">
        <v>45328.767187500001</v>
      </c>
      <c r="D114" s="651">
        <f>Tabela2[[#This Row],[Final]]-Tabela2[[#This Row],[Início]]</f>
        <v>4.016203703940846E-3</v>
      </c>
    </row>
    <row r="115" spans="1:4">
      <c r="A115" t="s">
        <v>12</v>
      </c>
      <c r="B115" s="652">
        <v>45341.398159722223</v>
      </c>
      <c r="C115" s="652">
        <v>45341.419421296298</v>
      </c>
      <c r="D115" s="651">
        <f>Tabela2[[#This Row],[Final]]-Tabela2[[#This Row],[Início]]</f>
        <v>2.1261574074742384E-2</v>
      </c>
    </row>
    <row r="116" spans="1:4">
      <c r="A116" t="s">
        <v>12</v>
      </c>
      <c r="B116" s="652">
        <v>45341.433668981481</v>
      </c>
      <c r="C116" s="652"/>
      <c r="D116" s="651">
        <f>Tabela2[[#This Row],[Final]]-Tabela2[[#This Row],[Início]]</f>
        <v>-45341.433668981481</v>
      </c>
    </row>
    <row r="117" spans="1:4">
      <c r="A117" t="s">
        <v>12</v>
      </c>
      <c r="B117" s="652">
        <v>45343.374571759261</v>
      </c>
      <c r="C117" s="652"/>
      <c r="D117" s="651">
        <f>Tabela2[[#This Row],[Final]]-Tabela2[[#This Row],[Início]]</f>
        <v>-45343.374571759261</v>
      </c>
    </row>
    <row r="118" spans="1:4">
      <c r="A118" t="s">
        <v>12</v>
      </c>
      <c r="B118" s="652">
        <v>45343.382326388892</v>
      </c>
      <c r="C118" s="652">
        <v>45343.400567129633</v>
      </c>
      <c r="D118" s="651">
        <f>Tabela2[[#This Row],[Final]]-Tabela2[[#This Row],[Início]]</f>
        <v>1.8240740741021E-2</v>
      </c>
    </row>
    <row r="119" spans="1:4">
      <c r="A119" t="s">
        <v>12</v>
      </c>
      <c r="B119" s="652">
        <v>45348.319212962961</v>
      </c>
      <c r="C119" s="652">
        <v>45348.3280787037</v>
      </c>
      <c r="D119" s="651">
        <f>Tabela2[[#This Row],[Final]]-Tabela2[[#This Row],[Início]]</f>
        <v>8.8657407395658083E-3</v>
      </c>
    </row>
    <row r="120" spans="1:4">
      <c r="A120" t="s">
        <v>12</v>
      </c>
      <c r="B120" s="652">
        <v>45348.328784722224</v>
      </c>
      <c r="C120" s="652"/>
      <c r="D120" s="651">
        <f>Tabela2[[#This Row],[Final]]-Tabela2[[#This Row],[Início]]</f>
        <v>-45348.328784722224</v>
      </c>
    </row>
    <row r="121" spans="1:4">
      <c r="A121" t="s">
        <v>12</v>
      </c>
      <c r="B121" s="652">
        <v>45348.434652777774</v>
      </c>
      <c r="C121" s="652">
        <v>45348.437534722223</v>
      </c>
      <c r="D121" s="651">
        <f>Tabela2[[#This Row],[Final]]-Tabela2[[#This Row],[Início]]</f>
        <v>2.8819444487453438E-3</v>
      </c>
    </row>
    <row r="122" spans="1:4">
      <c r="A122" t="s">
        <v>12</v>
      </c>
      <c r="B122" s="652">
        <v>45351.642754629633</v>
      </c>
      <c r="C122" s="652">
        <v>45351.773784722223</v>
      </c>
      <c r="D122" s="651">
        <f>Tabela2[[#This Row],[Final]]-Tabela2[[#This Row],[Início]]</f>
        <v>0.13103009259066312</v>
      </c>
    </row>
    <row r="123" spans="1:4">
      <c r="A123" t="s">
        <v>12</v>
      </c>
      <c r="B123" s="652">
        <v>45353.396111111113</v>
      </c>
      <c r="C123" s="652"/>
      <c r="D123" s="651">
        <f>Tabela2[[#This Row],[Final]]-Tabela2[[#This Row],[Início]]</f>
        <v>-45353.396111111113</v>
      </c>
    </row>
    <row r="124" spans="1:4">
      <c r="A124" t="s">
        <v>12</v>
      </c>
      <c r="B124" s="652">
        <v>45354.168252314812</v>
      </c>
      <c r="C124" s="652"/>
      <c r="D124" s="651">
        <f>Tabela2[[#This Row],[Final]]-Tabela2[[#This Row],[Início]]</f>
        <v>-45354.168252314812</v>
      </c>
    </row>
    <row r="125" spans="1:4">
      <c r="A125" t="s">
        <v>12</v>
      </c>
      <c r="B125" s="652">
        <v>45356.769236111111</v>
      </c>
      <c r="C125" s="652"/>
      <c r="D125" s="651">
        <f>Tabela2[[#This Row],[Final]]-Tabela2[[#This Row],[Início]]</f>
        <v>-45356.769236111111</v>
      </c>
    </row>
    <row r="126" spans="1:4">
      <c r="A126" t="s">
        <v>12</v>
      </c>
      <c r="B126" s="652">
        <v>45364.784143518518</v>
      </c>
      <c r="C126" s="652">
        <v>45365.338229166664</v>
      </c>
      <c r="D126" s="651">
        <f>Tabela2[[#This Row],[Final]]-Tabela2[[#This Row],[Início]]</f>
        <v>0.55408564814570127</v>
      </c>
    </row>
    <row r="127" spans="1:4">
      <c r="A127" t="s">
        <v>12</v>
      </c>
      <c r="B127" s="652">
        <v>45365.766631944447</v>
      </c>
      <c r="C127" s="652"/>
      <c r="D127" s="651">
        <f>Tabela2[[#This Row],[Final]]-Tabela2[[#This Row],[Início]]</f>
        <v>-45365.766631944447</v>
      </c>
    </row>
    <row r="128" spans="1:4">
      <c r="A128" t="s">
        <v>12</v>
      </c>
      <c r="B128" s="652">
        <v>45365.992615740739</v>
      </c>
      <c r="C128" s="652">
        <v>45366.388553240744</v>
      </c>
      <c r="D128" s="651">
        <f>Tabela2[[#This Row],[Final]]-Tabela2[[#This Row],[Início]]</f>
        <v>0.39593750000494765</v>
      </c>
    </row>
    <row r="129" spans="1:4">
      <c r="A129" t="s">
        <v>12</v>
      </c>
      <c r="B129" s="652">
        <v>45372.653495370374</v>
      </c>
      <c r="C129" s="652">
        <v>45372.795520833337</v>
      </c>
      <c r="D129" s="651">
        <f>Tabela2[[#This Row],[Final]]-Tabela2[[#This Row],[Início]]</f>
        <v>0.14202546296291985</v>
      </c>
    </row>
    <row r="130" spans="1:4">
      <c r="A130" t="s">
        <v>12</v>
      </c>
      <c r="B130" s="652">
        <v>45373.396770833337</v>
      </c>
      <c r="C130" s="652"/>
      <c r="D130" s="651">
        <f>Tabela2[[#This Row],[Final]]-Tabela2[[#This Row],[Início]]</f>
        <v>-45373.396770833337</v>
      </c>
    </row>
    <row r="131" spans="1:4">
      <c r="A131" t="s">
        <v>12</v>
      </c>
      <c r="B131" s="652">
        <v>45373.700381944444</v>
      </c>
      <c r="C131" s="652"/>
      <c r="D131" s="651">
        <f>Tabela2[[#This Row],[Final]]-Tabela2[[#This Row],[Início]]</f>
        <v>-45373.700381944444</v>
      </c>
    </row>
    <row r="132" spans="1:4">
      <c r="A132" t="s">
        <v>12</v>
      </c>
      <c r="B132" s="652">
        <v>45375.428773148145</v>
      </c>
      <c r="C132" s="652">
        <v>45375.465925925928</v>
      </c>
      <c r="D132" s="651">
        <f>Tabela2[[#This Row],[Final]]-Tabela2[[#This Row],[Início]]</f>
        <v>3.7152777782466728E-2</v>
      </c>
    </row>
    <row r="133" spans="1:4">
      <c r="A133" t="s">
        <v>12</v>
      </c>
      <c r="B133" s="652">
        <v>45384.3281712963</v>
      </c>
      <c r="C133" s="652"/>
      <c r="D133" s="651">
        <f>Tabela2[[#This Row],[Final]]-Tabela2[[#This Row],[Início]]</f>
        <v>-45384.3281712963</v>
      </c>
    </row>
    <row r="134" spans="1:4">
      <c r="A134" t="s">
        <v>12</v>
      </c>
      <c r="B134" s="652">
        <v>45384.438796296294</v>
      </c>
      <c r="C134" s="652">
        <v>45384.462002314816</v>
      </c>
      <c r="D134" s="651">
        <f>Tabela2[[#This Row],[Final]]-Tabela2[[#This Row],[Início]]</f>
        <v>2.3206018522614613E-2</v>
      </c>
    </row>
    <row r="135" spans="1:4">
      <c r="A135" t="s">
        <v>12</v>
      </c>
      <c r="B135" s="652">
        <v>45384.790706018517</v>
      </c>
      <c r="C135" s="652"/>
      <c r="D135" s="651">
        <f>Tabela2[[#This Row],[Final]]-Tabela2[[#This Row],[Início]]</f>
        <v>-45384.790706018517</v>
      </c>
    </row>
    <row r="136" spans="1:4">
      <c r="A136" t="s">
        <v>12</v>
      </c>
      <c r="B136" s="652">
        <v>45387.425844907404</v>
      </c>
      <c r="C136" s="652"/>
      <c r="D136" s="651">
        <f>Tabela2[[#This Row],[Final]]-Tabela2[[#This Row],[Início]]</f>
        <v>-45387.425844907404</v>
      </c>
    </row>
    <row r="137" spans="1:4">
      <c r="A137" t="s">
        <v>12</v>
      </c>
      <c r="B137" s="652">
        <v>45388.426817129628</v>
      </c>
      <c r="C137" s="652">
        <v>45388.427743055552</v>
      </c>
      <c r="D137" s="651">
        <f>Tabela2[[#This Row],[Final]]-Tabela2[[#This Row],[Início]]</f>
        <v>9.2592592409346253E-4</v>
      </c>
    </row>
    <row r="138" spans="1:4">
      <c r="A138" t="s">
        <v>12</v>
      </c>
      <c r="B138" s="652">
        <v>45388.43414351852</v>
      </c>
      <c r="C138" s="652"/>
      <c r="D138" s="651">
        <f>Tabela2[[#This Row],[Final]]-Tabela2[[#This Row],[Início]]</f>
        <v>-45388.43414351852</v>
      </c>
    </row>
    <row r="139" spans="1:4">
      <c r="A139" t="s">
        <v>12</v>
      </c>
      <c r="B139" s="652">
        <v>45389.437847222223</v>
      </c>
      <c r="C139" s="652">
        <v>45389.453969907408</v>
      </c>
      <c r="D139" s="651">
        <f>Tabela2[[#This Row],[Final]]-Tabela2[[#This Row],[Início]]</f>
        <v>1.6122685185109731E-2</v>
      </c>
    </row>
    <row r="140" spans="1:4">
      <c r="A140" t="s">
        <v>12</v>
      </c>
      <c r="B140" s="652">
        <v>45390.32135416667</v>
      </c>
      <c r="C140" s="652">
        <v>45390.327175925922</v>
      </c>
      <c r="D140" s="651">
        <f>Tabela2[[#This Row],[Final]]-Tabela2[[#This Row],[Início]]</f>
        <v>5.8217592522851191E-3</v>
      </c>
    </row>
    <row r="141" spans="1:4">
      <c r="A141" t="s">
        <v>12</v>
      </c>
      <c r="B141" s="652">
        <v>45390.329768518517</v>
      </c>
      <c r="C141" s="652"/>
      <c r="D141" s="651">
        <f>Tabela2[[#This Row],[Final]]-Tabela2[[#This Row],[Início]]</f>
        <v>-45390.329768518517</v>
      </c>
    </row>
    <row r="142" spans="1:4">
      <c r="A142" t="s">
        <v>12</v>
      </c>
      <c r="B142" s="652">
        <v>45390.361574074072</v>
      </c>
      <c r="C142" s="652"/>
      <c r="D142" s="651">
        <f>Tabela2[[#This Row],[Final]]-Tabela2[[#This Row],[Início]]</f>
        <v>-45390.361574074072</v>
      </c>
    </row>
    <row r="143" spans="1:4">
      <c r="A143" t="s">
        <v>12</v>
      </c>
      <c r="B143" s="652">
        <v>45390.363252314812</v>
      </c>
      <c r="C143" s="652"/>
      <c r="D143" s="651">
        <f>Tabela2[[#This Row],[Final]]-Tabela2[[#This Row],[Início]]</f>
        <v>-45390.363252314812</v>
      </c>
    </row>
    <row r="144" spans="1:4">
      <c r="A144" t="s">
        <v>12</v>
      </c>
      <c r="B144" s="652">
        <v>45390.443368055552</v>
      </c>
      <c r="C144" s="652">
        <v>45390.722685185188</v>
      </c>
      <c r="D144" s="651">
        <f>Tabela2[[#This Row],[Final]]-Tabela2[[#This Row],[Início]]</f>
        <v>0.27931712963618338</v>
      </c>
    </row>
    <row r="145" spans="1:4">
      <c r="A145" t="s">
        <v>12</v>
      </c>
      <c r="B145" s="652">
        <v>45392.462245370371</v>
      </c>
      <c r="C145" s="652">
        <v>45392.462372685186</v>
      </c>
      <c r="D145" s="651">
        <f>Tabela2[[#This Row],[Final]]-Tabela2[[#This Row],[Início]]</f>
        <v>1.273148154723458E-4</v>
      </c>
    </row>
    <row r="146" spans="1:4">
      <c r="A146" t="s">
        <v>12</v>
      </c>
      <c r="B146" s="652">
        <v>45392.462835648148</v>
      </c>
      <c r="C146" s="652">
        <v>45392.463206018518</v>
      </c>
      <c r="D146" s="651">
        <f>Tabela2[[#This Row],[Final]]-Tabela2[[#This Row],[Início]]</f>
        <v>3.7037036963738501E-4</v>
      </c>
    </row>
    <row r="147" spans="1:4">
      <c r="A147" t="s">
        <v>12</v>
      </c>
      <c r="B147" s="652">
        <v>45392.965844907405</v>
      </c>
      <c r="C147" s="652"/>
      <c r="D147" s="651">
        <f>Tabela2[[#This Row],[Final]]-Tabela2[[#This Row],[Início]]</f>
        <v>-45392.965844907405</v>
      </c>
    </row>
    <row r="148" spans="1:4">
      <c r="A148" t="s">
        <v>12</v>
      </c>
      <c r="B148" s="652">
        <v>45394.318541666667</v>
      </c>
      <c r="C148" s="652"/>
      <c r="D148" s="651">
        <f>Tabela2[[#This Row],[Final]]-Tabela2[[#This Row],[Início]]</f>
        <v>-45394.318541666667</v>
      </c>
    </row>
    <row r="149" spans="1:4">
      <c r="A149" t="s">
        <v>12</v>
      </c>
      <c r="B149" s="652">
        <v>45398.415196759262</v>
      </c>
      <c r="C149" s="652">
        <v>45399.836828703701</v>
      </c>
      <c r="D149" s="651">
        <f>Tabela2[[#This Row],[Final]]-Tabela2[[#This Row],[Início]]</f>
        <v>1.421631944438559</v>
      </c>
    </row>
    <row r="150" spans="1:4">
      <c r="A150" t="s">
        <v>12</v>
      </c>
      <c r="B150" s="652">
        <v>45402.371747685182</v>
      </c>
      <c r="C150" s="652"/>
      <c r="D150" s="651">
        <f>Tabela2[[#This Row],[Final]]-Tabela2[[#This Row],[Início]]</f>
        <v>-45402.371747685182</v>
      </c>
    </row>
    <row r="151" spans="1:4">
      <c r="A151" t="s">
        <v>12</v>
      </c>
      <c r="B151" s="652"/>
      <c r="C151" s="652"/>
      <c r="D151" s="651">
        <f>Tabela2[[#This Row],[Final]]-Tabela2[[#This Row],[Início]]</f>
        <v>0</v>
      </c>
    </row>
    <row r="152" spans="1:4">
      <c r="A152" t="s">
        <v>12</v>
      </c>
      <c r="B152" s="652"/>
      <c r="C152" s="652"/>
      <c r="D152" s="651">
        <f>Tabela2[[#This Row],[Final]]-Tabela2[[#This Row],[Início]]</f>
        <v>0</v>
      </c>
    </row>
    <row r="153" spans="1:4">
      <c r="A153" t="s">
        <v>12</v>
      </c>
      <c r="B153" s="652"/>
      <c r="C153" s="652"/>
      <c r="D153" s="651">
        <f>Tabela2[[#This Row],[Final]]-Tabela2[[#This Row],[Início]]</f>
        <v>0</v>
      </c>
    </row>
    <row r="154" spans="1:4">
      <c r="A154" t="s">
        <v>12</v>
      </c>
      <c r="B154" s="652">
        <v>45403.365185185183</v>
      </c>
      <c r="C154" s="652"/>
      <c r="D154" s="651">
        <f>Tabela2[[#This Row],[Final]]-Tabela2[[#This Row],[Início]]</f>
        <v>-45403.365185185183</v>
      </c>
    </row>
    <row r="155" spans="1:4">
      <c r="A155" t="s">
        <v>12</v>
      </c>
      <c r="B155" s="652">
        <v>45403.402037037034</v>
      </c>
      <c r="C155" s="652">
        <v>45403.528460648151</v>
      </c>
      <c r="D155" s="651">
        <f>Tabela2[[#This Row],[Final]]-Tabela2[[#This Row],[Início]]</f>
        <v>0.12642361111647915</v>
      </c>
    </row>
    <row r="156" spans="1:4">
      <c r="A156" t="s">
        <v>12</v>
      </c>
      <c r="B156" s="652">
        <v>45403.532083333332</v>
      </c>
      <c r="C156" s="652">
        <v>45404.406388888892</v>
      </c>
      <c r="D156" s="651">
        <f>Tabela2[[#This Row],[Final]]-Tabela2[[#This Row],[Início]]</f>
        <v>0.87430555556056788</v>
      </c>
    </row>
    <row r="157" spans="1:4">
      <c r="A157" t="s">
        <v>12</v>
      </c>
      <c r="B157" s="652">
        <v>45404.407881944448</v>
      </c>
      <c r="C157" s="652">
        <v>45404.417013888888</v>
      </c>
      <c r="D157" s="651">
        <f>Tabela2[[#This Row],[Final]]-Tabela2[[#This Row],[Início]]</f>
        <v>9.1319444400141947E-3</v>
      </c>
    </row>
    <row r="158" spans="1:4">
      <c r="A158" t="s">
        <v>12</v>
      </c>
      <c r="B158" s="652">
        <v>45404.417546296296</v>
      </c>
      <c r="C158" s="652">
        <v>45404.496076388888</v>
      </c>
      <c r="D158" s="651">
        <f>Tabela2[[#This Row],[Final]]-Tabela2[[#This Row],[Início]]</f>
        <v>7.8530092592700385E-2</v>
      </c>
    </row>
    <row r="159" spans="1:4">
      <c r="A159" t="s">
        <v>12</v>
      </c>
      <c r="B159" s="652">
        <v>45404.646111111113</v>
      </c>
      <c r="C159" s="652"/>
      <c r="D159" s="651">
        <f>Tabela2[[#This Row],[Final]]-Tabela2[[#This Row],[Início]]</f>
        <v>-45404.646111111113</v>
      </c>
    </row>
    <row r="160" spans="1:4">
      <c r="A160" t="s">
        <v>12</v>
      </c>
      <c r="B160" s="652">
        <v>45404.724444444444</v>
      </c>
      <c r="C160" s="652">
        <v>45404.828819444447</v>
      </c>
      <c r="D160" s="651">
        <f>Tabela2[[#This Row],[Final]]-Tabela2[[#This Row],[Início]]</f>
        <v>0.10437500000261934</v>
      </c>
    </row>
    <row r="161" spans="1:4">
      <c r="A161" t="s">
        <v>12</v>
      </c>
      <c r="B161" s="652">
        <v>45406.371006944442</v>
      </c>
      <c r="C161" s="652"/>
      <c r="D161" s="651">
        <f>Tabela2[[#This Row],[Final]]-Tabela2[[#This Row],[Início]]</f>
        <v>-45406.371006944442</v>
      </c>
    </row>
    <row r="162" spans="1:4">
      <c r="A162" t="s">
        <v>12</v>
      </c>
      <c r="B162" s="652">
        <v>45408.334236111114</v>
      </c>
      <c r="C162" s="652"/>
      <c r="D162" s="651">
        <f>Tabela2[[#This Row],[Final]]-Tabela2[[#This Row],[Início]]</f>
        <v>-45408.334236111114</v>
      </c>
    </row>
    <row r="163" spans="1:4">
      <c r="A163" t="s">
        <v>12</v>
      </c>
      <c r="B163" s="652">
        <v>45408.385243055556</v>
      </c>
      <c r="C163" s="652">
        <v>45408.77652777778</v>
      </c>
      <c r="D163" s="651">
        <f>Tabela2[[#This Row],[Final]]-Tabela2[[#This Row],[Início]]</f>
        <v>0.39128472222364508</v>
      </c>
    </row>
    <row r="164" spans="1:4">
      <c r="A164" t="s">
        <v>12</v>
      </c>
      <c r="B164" s="652">
        <v>45409.388009259259</v>
      </c>
      <c r="C164" s="652">
        <v>45409.397118055553</v>
      </c>
      <c r="D164" s="651">
        <f>Tabela2[[#This Row],[Final]]-Tabela2[[#This Row],[Início]]</f>
        <v>9.1087962937308475E-3</v>
      </c>
    </row>
    <row r="165" spans="1:4">
      <c r="A165" t="s">
        <v>12</v>
      </c>
      <c r="B165" s="652">
        <v>45409.400358796294</v>
      </c>
      <c r="C165" s="652"/>
      <c r="D165" s="651">
        <f>Tabela2[[#This Row],[Final]]-Tabela2[[#This Row],[Início]]</f>
        <v>-45409.400358796294</v>
      </c>
    </row>
    <row r="166" spans="1:4">
      <c r="A166" t="s">
        <v>12</v>
      </c>
      <c r="B166" s="652">
        <v>45410.419814814813</v>
      </c>
      <c r="C166" s="652">
        <v>45412.785925925928</v>
      </c>
      <c r="D166" s="651">
        <f>Tabela2[[#This Row],[Final]]-Tabela2[[#This Row],[Início]]</f>
        <v>2.3661111111141508</v>
      </c>
    </row>
    <row r="167" spans="1:4">
      <c r="A167" t="s">
        <v>12</v>
      </c>
      <c r="B167" s="652">
        <v>45414.351354166669</v>
      </c>
      <c r="C167" s="652">
        <v>45414.381782407407</v>
      </c>
      <c r="D167" s="651">
        <f>Tabela2[[#This Row],[Final]]-Tabela2[[#This Row],[Início]]</f>
        <v>3.0428240737819578E-2</v>
      </c>
    </row>
    <row r="168" spans="1:4">
      <c r="A168" t="s">
        <v>12</v>
      </c>
      <c r="B168" s="652">
        <v>45414.382349537038</v>
      </c>
      <c r="C168" s="652"/>
      <c r="D168" s="651">
        <f>Tabela2[[#This Row],[Final]]-Tabela2[[#This Row],[Início]]</f>
        <v>-45414.382349537038</v>
      </c>
    </row>
    <row r="169" spans="1:4">
      <c r="A169" t="s">
        <v>12</v>
      </c>
      <c r="B169" s="652">
        <v>45415.395219907405</v>
      </c>
      <c r="C169" s="652">
        <v>45416.38354166667</v>
      </c>
      <c r="D169" s="651">
        <f>Tabela2[[#This Row],[Final]]-Tabela2[[#This Row],[Início]]</f>
        <v>0.9883217592650908</v>
      </c>
    </row>
    <row r="170" spans="1:4">
      <c r="A170" t="s">
        <v>12</v>
      </c>
      <c r="B170" s="652">
        <v>45418.754004629627</v>
      </c>
      <c r="C170" s="652"/>
      <c r="D170" s="651">
        <f>Tabela2[[#This Row],[Final]]-Tabela2[[#This Row],[Início]]</f>
        <v>-45418.754004629627</v>
      </c>
    </row>
    <row r="171" spans="1:4">
      <c r="A171" t="s">
        <v>12</v>
      </c>
      <c r="B171" s="652">
        <v>45425.338993055557</v>
      </c>
      <c r="C171" s="652"/>
      <c r="D171" s="651">
        <f>Tabela2[[#This Row],[Final]]-Tabela2[[#This Row],[Início]]</f>
        <v>-45425.338993055557</v>
      </c>
    </row>
    <row r="172" spans="1:4">
      <c r="A172" t="s">
        <v>12</v>
      </c>
      <c r="B172" s="652">
        <v>45430.160416666666</v>
      </c>
      <c r="C172" s="652"/>
      <c r="D172" s="651">
        <f>Tabela2[[#This Row],[Final]]-Tabela2[[#This Row],[Início]]</f>
        <v>-45430.160416666666</v>
      </c>
    </row>
    <row r="173" spans="1:4">
      <c r="A173" t="s">
        <v>12</v>
      </c>
      <c r="B173" s="652">
        <v>45439.503333333334</v>
      </c>
      <c r="C173" s="652">
        <v>45439.503692129627</v>
      </c>
      <c r="D173" s="651">
        <f>Tabela2[[#This Row],[Final]]-Tabela2[[#This Row],[Início]]</f>
        <v>3.5879629285773262E-4</v>
      </c>
    </row>
    <row r="174" spans="1:4">
      <c r="A174" t="s">
        <v>12</v>
      </c>
      <c r="B174" s="652">
        <v>45439.50472222222</v>
      </c>
      <c r="C174" s="652">
        <v>45440.427951388891</v>
      </c>
      <c r="D174" s="651">
        <f>Tabela2[[#This Row],[Final]]-Tabela2[[#This Row],[Início]]</f>
        <v>0.92322916667035315</v>
      </c>
    </row>
    <row r="175" spans="1:4">
      <c r="A175" t="s">
        <v>21</v>
      </c>
      <c r="B175" s="652">
        <v>45440.441469907404</v>
      </c>
      <c r="C175" s="652">
        <v>45440.442986111113</v>
      </c>
      <c r="D175" s="651">
        <f>Tabela2[[#This Row],[Final]]-Tabela2[[#This Row],[Início]]</f>
        <v>1.5162037088884972E-3</v>
      </c>
    </row>
    <row r="176" spans="1:4">
      <c r="A176" t="s">
        <v>12</v>
      </c>
      <c r="B176" s="652">
        <v>45440.443912037037</v>
      </c>
      <c r="C176" s="652">
        <v>45440.445277777777</v>
      </c>
      <c r="D176" s="651">
        <f>Tabela2[[#This Row],[Final]]-Tabela2[[#This Row],[Início]]</f>
        <v>1.3657407398568466E-3</v>
      </c>
    </row>
    <row r="177" spans="1:4">
      <c r="A177" t="s">
        <v>21</v>
      </c>
      <c r="B177" s="652">
        <v>45440.446388888886</v>
      </c>
      <c r="C177" s="652">
        <v>45440.447916666664</v>
      </c>
      <c r="D177" s="651">
        <f>Tabela2[[#This Row],[Final]]-Tabela2[[#This Row],[Início]]</f>
        <v>1.527777778392192E-3</v>
      </c>
    </row>
    <row r="178" spans="1:4">
      <c r="A178" t="s">
        <v>12</v>
      </c>
      <c r="B178" s="652">
        <v>45440.448969907404</v>
      </c>
      <c r="C178" s="652">
        <v>45440.451145833336</v>
      </c>
      <c r="D178" s="651">
        <f>Tabela2[[#This Row],[Final]]-Tabela2[[#This Row],[Início]]</f>
        <v>2.1759259325335734E-3</v>
      </c>
    </row>
    <row r="179" spans="1:4">
      <c r="A179" t="s">
        <v>21</v>
      </c>
      <c r="B179" s="652">
        <v>45440.451956018522</v>
      </c>
      <c r="C179" s="652"/>
      <c r="D179" s="651">
        <f>Tabela2[[#This Row],[Final]]-Tabela2[[#This Row],[Início]]</f>
        <v>-45440.451956018522</v>
      </c>
    </row>
    <row r="180" spans="1:4">
      <c r="A180" t="s">
        <v>12</v>
      </c>
      <c r="B180" s="652">
        <v>45440.453541666669</v>
      </c>
      <c r="C180" s="652"/>
      <c r="D180" s="651">
        <f>Tabela2[[#This Row],[Final]]-Tabela2[[#This Row],[Início]]</f>
        <v>-45440.453541666669</v>
      </c>
    </row>
    <row r="181" spans="1:4">
      <c r="A181" t="s">
        <v>12</v>
      </c>
      <c r="B181" s="652">
        <v>45440.460520833331</v>
      </c>
      <c r="C181" s="652">
        <v>45440.476851851854</v>
      </c>
      <c r="D181" s="651">
        <f>Tabela2[[#This Row],[Final]]-Tabela2[[#This Row],[Início]]</f>
        <v>1.6331018523487728E-2</v>
      </c>
    </row>
    <row r="182" spans="1:4">
      <c r="A182" t="s">
        <v>12</v>
      </c>
      <c r="B182" s="652">
        <v>45440.477662037039</v>
      </c>
      <c r="C182" s="652">
        <v>45440.478043981479</v>
      </c>
      <c r="D182" s="651">
        <f>Tabela2[[#This Row],[Final]]-Tabela2[[#This Row],[Início]]</f>
        <v>3.8194443914107978E-4</v>
      </c>
    </row>
    <row r="183" spans="1:4">
      <c r="A183" t="s">
        <v>12</v>
      </c>
      <c r="B183" s="652">
        <v>45440.500937500001</v>
      </c>
      <c r="C183" s="652">
        <v>45440.502500000002</v>
      </c>
      <c r="D183" s="651">
        <f>Tabela2[[#This Row],[Final]]-Tabela2[[#This Row],[Início]]</f>
        <v>1.5625000014551915E-3</v>
      </c>
    </row>
    <row r="184" spans="1:4">
      <c r="A184" t="s">
        <v>21</v>
      </c>
      <c r="B184" s="652">
        <v>45441.390462962961</v>
      </c>
      <c r="C184" s="652"/>
      <c r="D184" s="651">
        <f>Tabela2[[#This Row],[Final]]-Tabela2[[#This Row],[Início]]</f>
        <v>-45441.390462962961</v>
      </c>
    </row>
    <row r="185" spans="1:4">
      <c r="A185" t="s">
        <v>12</v>
      </c>
      <c r="B185" s="652">
        <v>45441.394317129627</v>
      </c>
      <c r="C185" s="652">
        <v>45441.398113425923</v>
      </c>
      <c r="D185" s="651">
        <f>Tabela2[[#This Row],[Final]]-Tabela2[[#This Row],[Início]]</f>
        <v>3.796296296059154E-3</v>
      </c>
    </row>
    <row r="186" spans="1:4">
      <c r="A186" t="s">
        <v>21</v>
      </c>
      <c r="B186" s="652">
        <v>45441.402812499997</v>
      </c>
      <c r="C186" s="652"/>
      <c r="D186" s="651">
        <f>Tabela2[[#This Row],[Final]]-Tabela2[[#This Row],[Início]]</f>
        <v>-45441.402812499997</v>
      </c>
    </row>
    <row r="187" spans="1:4">
      <c r="A187" t="s">
        <v>12</v>
      </c>
      <c r="B187" s="652">
        <v>45441.455000000002</v>
      </c>
      <c r="C187" s="652"/>
      <c r="D187" s="651">
        <f>Tabela2[[#This Row],[Final]]-Tabela2[[#This Row],[Início]]</f>
        <v>-45441.455000000002</v>
      </c>
    </row>
    <row r="188" spans="1:4">
      <c r="A188" t="s">
        <v>12</v>
      </c>
      <c r="B188" s="652">
        <v>45441.522291666668</v>
      </c>
      <c r="C188" s="652">
        <v>45441.671701388892</v>
      </c>
      <c r="D188" s="651">
        <f>Tabela2[[#This Row],[Final]]-Tabela2[[#This Row],[Início]]</f>
        <v>0.14940972222393611</v>
      </c>
    </row>
    <row r="189" spans="1:4">
      <c r="A189" t="s">
        <v>21</v>
      </c>
      <c r="B189" s="652">
        <v>45443.388437499998</v>
      </c>
      <c r="C189" s="652"/>
      <c r="D189" s="651">
        <f>Tabela2[[#This Row],[Final]]-Tabela2[[#This Row],[Início]]</f>
        <v>-45443.388437499998</v>
      </c>
    </row>
    <row r="190" spans="1:4">
      <c r="A190" t="s">
        <v>12</v>
      </c>
      <c r="B190" s="652">
        <v>45446.366006944445</v>
      </c>
      <c r="C190" s="652">
        <v>45446.840937499997</v>
      </c>
      <c r="D190" s="651">
        <f>Tabela2[[#This Row],[Final]]-Tabela2[[#This Row],[Início]]</f>
        <v>0.47493055555241881</v>
      </c>
    </row>
    <row r="191" spans="1:4">
      <c r="A191" t="s">
        <v>12</v>
      </c>
      <c r="B191" s="652">
        <v>45447.34784722222</v>
      </c>
      <c r="C191" s="652">
        <v>45447.453310185185</v>
      </c>
      <c r="D191" s="651">
        <f>Tabela2[[#This Row],[Final]]-Tabela2[[#This Row],[Início]]</f>
        <v>0.10546296296524815</v>
      </c>
    </row>
    <row r="192" spans="1:4">
      <c r="A192" t="s">
        <v>22</v>
      </c>
      <c r="B192" s="652">
        <v>45447.470937500002</v>
      </c>
      <c r="C192" s="652"/>
      <c r="D192" s="651">
        <f>Tabela2[[#This Row],[Final]]-Tabela2[[#This Row],[Início]]</f>
        <v>-45447.470937500002</v>
      </c>
    </row>
    <row r="193" spans="1:4">
      <c r="A193" t="s">
        <v>12</v>
      </c>
      <c r="B193" s="652">
        <v>45447.478425925925</v>
      </c>
      <c r="C193" s="652">
        <v>45447.481099537035</v>
      </c>
      <c r="D193" s="651">
        <f>Tabela2[[#This Row],[Final]]-Tabela2[[#This Row],[Início]]</f>
        <v>2.6736111103673466E-3</v>
      </c>
    </row>
    <row r="194" spans="1:4">
      <c r="A194" t="s">
        <v>22</v>
      </c>
      <c r="B194" s="652">
        <v>45447.482569444444</v>
      </c>
      <c r="C194" s="652"/>
      <c r="D194" s="651">
        <f>Tabela2[[#This Row],[Final]]-Tabela2[[#This Row],[Início]]</f>
        <v>-45447.482569444444</v>
      </c>
    </row>
    <row r="195" spans="1:4">
      <c r="A195" t="s">
        <v>12</v>
      </c>
      <c r="B195" s="652">
        <v>45447.487372685187</v>
      </c>
      <c r="C195" s="652">
        <v>45447.488449074073</v>
      </c>
      <c r="D195" s="651">
        <f>Tabela2[[#This Row],[Final]]-Tabela2[[#This Row],[Início]]</f>
        <v>1.0763888858491555E-3</v>
      </c>
    </row>
    <row r="196" spans="1:4">
      <c r="A196" t="s">
        <v>12</v>
      </c>
      <c r="B196" s="652">
        <v>45447.48940972222</v>
      </c>
      <c r="C196" s="652">
        <v>45447.490613425929</v>
      </c>
      <c r="D196" s="651">
        <f>Tabela2[[#This Row],[Final]]-Tabela2[[#This Row],[Início]]</f>
        <v>1.2037037085974589E-3</v>
      </c>
    </row>
    <row r="197" spans="1:4">
      <c r="A197" t="s">
        <v>22</v>
      </c>
      <c r="B197" s="652">
        <v>45447.496307870373</v>
      </c>
      <c r="C197" s="652"/>
      <c r="D197" s="651">
        <f>Tabela2[[#This Row],[Final]]-Tabela2[[#This Row],[Início]]</f>
        <v>-45447.496307870373</v>
      </c>
    </row>
    <row r="198" spans="1:4">
      <c r="A198" t="s">
        <v>22</v>
      </c>
      <c r="B198" s="652">
        <v>45447.507847222223</v>
      </c>
      <c r="C198" s="652"/>
      <c r="D198" s="651">
        <f>Tabela2[[#This Row],[Final]]-Tabela2[[#This Row],[Início]]</f>
        <v>-45447.507847222223</v>
      </c>
    </row>
    <row r="199" spans="1:4">
      <c r="A199" t="s">
        <v>22</v>
      </c>
      <c r="B199" s="652">
        <v>45447.544166666667</v>
      </c>
      <c r="C199" s="652"/>
      <c r="D199" s="651">
        <f>Tabela2[[#This Row],[Final]]-Tabela2[[#This Row],[Início]]</f>
        <v>-45447.544166666667</v>
      </c>
    </row>
    <row r="200" spans="1:4">
      <c r="A200" t="s">
        <v>22</v>
      </c>
      <c r="B200" s="652">
        <v>45447.610868055555</v>
      </c>
      <c r="C200" s="652"/>
      <c r="D200" s="651">
        <f>Tabela2[[#This Row],[Final]]-Tabela2[[#This Row],[Início]]</f>
        <v>-45447.610868055555</v>
      </c>
    </row>
    <row r="201" spans="1:4">
      <c r="A201" t="s">
        <v>12</v>
      </c>
      <c r="B201" s="652">
        <v>45447.61278935185</v>
      </c>
      <c r="C201" s="652">
        <v>45447.613819444443</v>
      </c>
      <c r="D201" s="651">
        <f>Tabela2[[#This Row],[Final]]-Tabela2[[#This Row],[Início]]</f>
        <v>1.0300925932824612E-3</v>
      </c>
    </row>
    <row r="202" spans="1:4">
      <c r="A202" t="s">
        <v>22</v>
      </c>
      <c r="B202" s="652">
        <v>45447.618252314816</v>
      </c>
      <c r="C202" s="652"/>
      <c r="D202" s="651">
        <f>Tabela2[[#This Row],[Final]]-Tabela2[[#This Row],[Início]]</f>
        <v>-45447.618252314816</v>
      </c>
    </row>
    <row r="203" spans="1:4">
      <c r="A203" t="s">
        <v>12</v>
      </c>
      <c r="B203" s="652">
        <v>45447.627430555556</v>
      </c>
      <c r="C203" s="652">
        <v>45447.819363425922</v>
      </c>
      <c r="D203" s="651">
        <f>Tabela2[[#This Row],[Final]]-Tabela2[[#This Row],[Início]]</f>
        <v>0.19193287036614493</v>
      </c>
    </row>
    <row r="204" spans="1:4">
      <c r="A204" t="s">
        <v>22</v>
      </c>
      <c r="B204" s="652">
        <v>45448.511192129627</v>
      </c>
      <c r="C204" s="652">
        <v>45448.555798611109</v>
      </c>
      <c r="D204" s="651">
        <f>Tabela2[[#This Row],[Final]]-Tabela2[[#This Row],[Início]]</f>
        <v>4.4606481482333038E-2</v>
      </c>
    </row>
    <row r="205" spans="1:4">
      <c r="A205" t="s">
        <v>12</v>
      </c>
      <c r="B205" s="652">
        <v>45448.557291666664</v>
      </c>
      <c r="C205" s="652">
        <v>45448.559675925928</v>
      </c>
      <c r="D205" s="651">
        <f>Tabela2[[#This Row],[Final]]-Tabela2[[#This Row],[Início]]</f>
        <v>2.384259263635613E-3</v>
      </c>
    </row>
    <row r="206" spans="1:4">
      <c r="A206" t="s">
        <v>22</v>
      </c>
      <c r="B206" s="652">
        <v>45448.561226851853</v>
      </c>
      <c r="C206" s="652">
        <v>45448.714247685188</v>
      </c>
      <c r="D206" s="651">
        <f>Tabela2[[#This Row],[Final]]-Tabela2[[#This Row],[Início]]</f>
        <v>0.15302083333517658</v>
      </c>
    </row>
    <row r="207" spans="1:4">
      <c r="A207" t="s">
        <v>22</v>
      </c>
      <c r="B207" s="652">
        <v>45448.716006944444</v>
      </c>
      <c r="C207" s="652">
        <v>45449.064942129633</v>
      </c>
      <c r="D207" s="651">
        <f>Tabela2[[#This Row],[Final]]-Tabela2[[#This Row],[Início]]</f>
        <v>0.34893518518947531</v>
      </c>
    </row>
    <row r="208" spans="1:4">
      <c r="A208" t="s">
        <v>22</v>
      </c>
      <c r="B208" s="652">
        <v>45449.395439814813</v>
      </c>
      <c r="C208" s="652">
        <v>45453.673796296294</v>
      </c>
      <c r="D208" s="651">
        <f>Tabela2[[#This Row],[Final]]-Tabela2[[#This Row],[Início]]</f>
        <v>4.278356481481751</v>
      </c>
    </row>
    <row r="209" spans="1:4">
      <c r="A209" t="s">
        <v>22</v>
      </c>
      <c r="B209" s="652">
        <v>45453.674675925926</v>
      </c>
      <c r="C209" s="652">
        <v>45454.544999999998</v>
      </c>
      <c r="D209" s="651">
        <f>Tabela2[[#This Row],[Final]]-Tabela2[[#This Row],[Início]]</f>
        <v>0.87032407407241408</v>
      </c>
    </row>
    <row r="210" spans="1:4">
      <c r="A210" t="s">
        <v>22</v>
      </c>
      <c r="B210" s="652">
        <v>45454.576273148145</v>
      </c>
      <c r="C210" s="652"/>
      <c r="D210" s="651">
        <f>Tabela2[[#This Row],[Final]]-Tabela2[[#This Row],[Início]]</f>
        <v>-45454.576273148145</v>
      </c>
    </row>
    <row r="211" spans="1:4">
      <c r="A211" t="s">
        <v>22</v>
      </c>
      <c r="B211" s="652">
        <v>45454.590775462966</v>
      </c>
      <c r="C211" s="652"/>
      <c r="D211" s="651">
        <f>Tabela2[[#This Row],[Final]]-Tabela2[[#This Row],[Início]]</f>
        <v>-45454.590775462966</v>
      </c>
    </row>
    <row r="212" spans="1:4">
      <c r="A212" t="s">
        <v>12</v>
      </c>
      <c r="B212" s="652">
        <v>45454.78125</v>
      </c>
      <c r="C212" s="652">
        <v>45454.782384259262</v>
      </c>
      <c r="D212" s="651">
        <f>Tabela2[[#This Row],[Final]]-Tabela2[[#This Row],[Início]]</f>
        <v>1.1342592624714598E-3</v>
      </c>
    </row>
    <row r="213" spans="1:4">
      <c r="A213" t="s">
        <v>12</v>
      </c>
      <c r="B213" s="652">
        <v>45455.760694444441</v>
      </c>
      <c r="C213" s="652">
        <v>45455.785578703704</v>
      </c>
      <c r="D213" s="651">
        <f>Tabela2[[#This Row],[Final]]-Tabela2[[#This Row],[Início]]</f>
        <v>2.4884259262762498E-2</v>
      </c>
    </row>
    <row r="214" spans="1:4">
      <c r="A214" t="s">
        <v>12</v>
      </c>
      <c r="B214" s="652">
        <v>45457.793611111112</v>
      </c>
      <c r="C214" s="652">
        <v>45458.420590277776</v>
      </c>
      <c r="D214" s="651">
        <f>Tabela2[[#This Row],[Final]]-Tabela2[[#This Row],[Início]]</f>
        <v>0.62697916666365927</v>
      </c>
    </row>
    <row r="215" spans="1:4">
      <c r="A215" t="s">
        <v>12</v>
      </c>
      <c r="B215" s="652">
        <v>45458.421539351853</v>
      </c>
      <c r="C215" s="652">
        <v>45458.475127314814</v>
      </c>
      <c r="D215" s="651">
        <f>Tabela2[[#This Row],[Final]]-Tabela2[[#This Row],[Início]]</f>
        <v>5.358796296059154E-2</v>
      </c>
    </row>
    <row r="216" spans="1:4">
      <c r="A216" t="s">
        <v>22</v>
      </c>
      <c r="B216" s="652">
        <v>45460.623738425929</v>
      </c>
      <c r="C216" s="652">
        <v>45460.642245370371</v>
      </c>
      <c r="D216" s="651">
        <f>Tabela2[[#This Row],[Final]]-Tabela2[[#This Row],[Início]]</f>
        <v>1.8506944441469386E-2</v>
      </c>
    </row>
    <row r="217" spans="1:4">
      <c r="A217" t="s">
        <v>22</v>
      </c>
      <c r="B217" s="652">
        <v>45460.649675925924</v>
      </c>
      <c r="C217" s="652">
        <v>45460.745474537034</v>
      </c>
      <c r="D217" s="651">
        <f>Tabela2[[#This Row],[Final]]-Tabela2[[#This Row],[Início]]</f>
        <v>9.579861110978527E-2</v>
      </c>
    </row>
    <row r="218" spans="1:4">
      <c r="A218" t="s">
        <v>12</v>
      </c>
      <c r="B218" s="652">
        <v>45460.746261574073</v>
      </c>
      <c r="C218" s="652"/>
      <c r="D218" s="651">
        <f>Tabela2[[#This Row],[Final]]-Tabela2[[#This Row],[Início]]</f>
        <v>-45460.746261574073</v>
      </c>
    </row>
    <row r="219" spans="1:4">
      <c r="A219" t="s">
        <v>22</v>
      </c>
      <c r="B219" s="652">
        <v>45460.765775462962</v>
      </c>
      <c r="C219" s="652">
        <v>45460.767372685186</v>
      </c>
      <c r="D219" s="651">
        <f>Tabela2[[#This Row],[Final]]-Tabela2[[#This Row],[Início]]</f>
        <v>1.5972222245181911E-3</v>
      </c>
    </row>
    <row r="220" spans="1:4">
      <c r="A220" t="s">
        <v>12</v>
      </c>
      <c r="B220" s="652">
        <v>45460.768333333333</v>
      </c>
      <c r="C220" s="652">
        <v>45462.484270833331</v>
      </c>
      <c r="D220" s="651">
        <f>Tabela2[[#This Row],[Final]]-Tabela2[[#This Row],[Início]]</f>
        <v>1.7159374999973807</v>
      </c>
    </row>
    <row r="221" spans="1:4">
      <c r="A221" t="s">
        <v>12</v>
      </c>
      <c r="B221" s="652">
        <v>45462.485682870371</v>
      </c>
      <c r="C221" s="652">
        <v>45462.571469907409</v>
      </c>
      <c r="D221" s="651">
        <f>Tabela2[[#This Row],[Final]]-Tabela2[[#This Row],[Início]]</f>
        <v>8.5787037038244307E-2</v>
      </c>
    </row>
    <row r="222" spans="1:4">
      <c r="A222" t="s">
        <v>22</v>
      </c>
      <c r="B222" s="652">
        <v>45464.691805555558</v>
      </c>
      <c r="C222" s="652">
        <v>45464.699120370373</v>
      </c>
      <c r="D222" s="651">
        <f>Tabela2[[#This Row],[Final]]-Tabela2[[#This Row],[Início]]</f>
        <v>7.3148148148902692E-3</v>
      </c>
    </row>
    <row r="223" spans="1:4">
      <c r="A223" t="s">
        <v>12</v>
      </c>
      <c r="B223" s="652">
        <v>45464.701006944444</v>
      </c>
      <c r="C223" s="652">
        <v>45464.760694444441</v>
      </c>
      <c r="D223" s="651">
        <f>Tabela2[[#This Row],[Final]]-Tabela2[[#This Row],[Início]]</f>
        <v>5.9687499997380655E-2</v>
      </c>
    </row>
    <row r="224" spans="1:4">
      <c r="A224" t="s">
        <v>12</v>
      </c>
      <c r="B224" s="652">
        <v>45467.677222222221</v>
      </c>
      <c r="C224" s="652">
        <v>45467.680763888886</v>
      </c>
      <c r="D224" s="651">
        <f>Tabela2[[#This Row],[Final]]-Tabela2[[#This Row],[Início]]</f>
        <v>3.5416666651144624E-3</v>
      </c>
    </row>
    <row r="225" spans="1:4">
      <c r="A225" t="s">
        <v>22</v>
      </c>
      <c r="B225" s="652">
        <v>45467.729594907411</v>
      </c>
      <c r="C225" s="652">
        <v>45467.803506944445</v>
      </c>
      <c r="D225" s="651">
        <f>Tabela2[[#This Row],[Final]]-Tabela2[[#This Row],[Início]]</f>
        <v>7.3912037034460809E-2</v>
      </c>
    </row>
    <row r="226" spans="1:4">
      <c r="A226" t="s">
        <v>12</v>
      </c>
      <c r="B226" s="652">
        <v>45468.339120370372</v>
      </c>
      <c r="C226" s="652">
        <v>45468.371990740743</v>
      </c>
      <c r="D226" s="651">
        <f>Tabela2[[#This Row],[Final]]-Tabela2[[#This Row],[Início]]</f>
        <v>3.2870370370801538E-2</v>
      </c>
    </row>
    <row r="227" spans="1:4">
      <c r="A227" t="s">
        <v>12</v>
      </c>
      <c r="B227" s="652">
        <v>45468.402511574073</v>
      </c>
      <c r="C227" s="652">
        <v>45468.794548611113</v>
      </c>
      <c r="D227" s="651">
        <f>Tabela2[[#This Row],[Final]]-Tabela2[[#This Row],[Início]]</f>
        <v>0.3920370370396995</v>
      </c>
    </row>
    <row r="228" spans="1:4">
      <c r="A228" t="s">
        <v>12</v>
      </c>
      <c r="B228" s="652">
        <v>45469.511678240742</v>
      </c>
      <c r="C228" s="652">
        <v>45469.579629629632</v>
      </c>
      <c r="D228" s="651">
        <f>Tabela2[[#This Row],[Final]]-Tabela2[[#This Row],[Início]]</f>
        <v>6.7951388889923692E-2</v>
      </c>
    </row>
    <row r="229" spans="1:4">
      <c r="A229" t="s">
        <v>22</v>
      </c>
      <c r="B229" s="652">
        <v>45469.605497685188</v>
      </c>
      <c r="C229" s="652"/>
      <c r="D229" s="651">
        <f>Tabela2[[#This Row],[Final]]-Tabela2[[#This Row],[Início]]</f>
        <v>-45469.605497685188</v>
      </c>
    </row>
    <row r="230" spans="1:4">
      <c r="A230" t="s">
        <v>12</v>
      </c>
      <c r="B230" s="652">
        <v>45469.73641203704</v>
      </c>
      <c r="C230" s="652">
        <v>45469.737615740742</v>
      </c>
      <c r="D230" s="651">
        <f>Tabela2[[#This Row],[Final]]-Tabela2[[#This Row],[Início]]</f>
        <v>1.2037037013215013E-3</v>
      </c>
    </row>
    <row r="231" spans="1:4">
      <c r="A231" t="s">
        <v>12</v>
      </c>
      <c r="B231" s="652">
        <v>45470.422673611109</v>
      </c>
      <c r="C231" s="652">
        <v>45470.450254629628</v>
      </c>
      <c r="D231" s="651">
        <f>Tabela2[[#This Row],[Final]]-Tabela2[[#This Row],[Início]]</f>
        <v>2.7581018519413192E-2</v>
      </c>
    </row>
    <row r="232" spans="1:4">
      <c r="A232" t="s">
        <v>22</v>
      </c>
      <c r="B232" s="652">
        <v>45470.729988425926</v>
      </c>
      <c r="C232" s="652">
        <v>45470.881701388891</v>
      </c>
      <c r="D232" s="651">
        <f>Tabela2[[#This Row],[Final]]-Tabela2[[#This Row],[Início]]</f>
        <v>0.15171296296466608</v>
      </c>
    </row>
    <row r="233" spans="1:4">
      <c r="A233" t="s">
        <v>3706</v>
      </c>
      <c r="B233" s="652">
        <v>45482.451099537036</v>
      </c>
      <c r="C233" s="652">
        <v>45482.519780092596</v>
      </c>
      <c r="D233" s="651">
        <f>Tabela2[[#This Row],[Final]]-Tabela2[[#This Row],[Início]]</f>
        <v>6.8680555559694767E-2</v>
      </c>
    </row>
    <row r="234" spans="1:4">
      <c r="A234" t="s">
        <v>3706</v>
      </c>
      <c r="B234" s="652">
        <v>45482.520821759259</v>
      </c>
      <c r="C234" s="652">
        <v>45482.523854166669</v>
      </c>
      <c r="D234" s="651">
        <f>Tabela2[[#This Row],[Final]]-Tabela2[[#This Row],[Início]]</f>
        <v>3.0324074105010368E-3</v>
      </c>
    </row>
    <row r="235" spans="1:4">
      <c r="A235" t="s">
        <v>3706</v>
      </c>
      <c r="B235" s="652">
        <v>45482.724374999998</v>
      </c>
      <c r="C235" s="652">
        <v>45482.784270833334</v>
      </c>
      <c r="D235" s="651">
        <f>Tabela2[[#This Row],[Final]]-Tabela2[[#This Row],[Início]]</f>
        <v>5.9895833335758653E-2</v>
      </c>
    </row>
    <row r="236" spans="1:4">
      <c r="A236" t="s">
        <v>3706</v>
      </c>
      <c r="B236" s="652">
        <v>45483.804594907408</v>
      </c>
      <c r="C236" s="652"/>
      <c r="D236" s="651">
        <f>Tabela2[[#This Row],[Final]]-Tabela2[[#This Row],[Início]]</f>
        <v>-45483.804594907408</v>
      </c>
    </row>
    <row r="237" spans="1:4">
      <c r="A237" t="s">
        <v>3706</v>
      </c>
      <c r="B237" s="652">
        <v>45484.014756944445</v>
      </c>
      <c r="C237" s="652"/>
      <c r="D237" s="651">
        <f>Tabela2[[#This Row],[Final]]-Tabela2[[#This Row],[Início]]</f>
        <v>-45484.014756944445</v>
      </c>
    </row>
    <row r="238" spans="1:4">
      <c r="A238" t="s">
        <v>3706</v>
      </c>
      <c r="B238" s="652">
        <v>45484.53570601852</v>
      </c>
      <c r="C238" s="652">
        <v>45484.751840277779</v>
      </c>
      <c r="D238" s="651">
        <f>Tabela2[[#This Row],[Final]]-Tabela2[[#This Row],[Início]]</f>
        <v>0.216134259258979</v>
      </c>
    </row>
    <row r="239" spans="1:4">
      <c r="A239" t="s">
        <v>3706</v>
      </c>
      <c r="B239" s="652">
        <v>45485.462847222225</v>
      </c>
      <c r="C239" s="652">
        <v>45488.359594907408</v>
      </c>
      <c r="D239" s="651">
        <f>Tabela2[[#This Row],[Final]]-Tabela2[[#This Row],[Início]]</f>
        <v>2.8967476851830725</v>
      </c>
    </row>
    <row r="240" spans="1:4">
      <c r="A240" t="s">
        <v>3706</v>
      </c>
      <c r="B240" s="652">
        <v>45488.696446759262</v>
      </c>
      <c r="C240" s="652"/>
      <c r="D240" s="651">
        <f>Tabela2[[#This Row],[Final]]-Tabela2[[#This Row],[Início]]</f>
        <v>-45488.696446759262</v>
      </c>
    </row>
    <row r="241" spans="1:4">
      <c r="A241" t="s">
        <v>3706</v>
      </c>
      <c r="B241" s="652">
        <v>45488.730057870373</v>
      </c>
      <c r="C241" s="652">
        <v>45488.829652777778</v>
      </c>
      <c r="D241" s="651">
        <f>Tabela2[[#This Row],[Final]]-Tabela2[[#This Row],[Início]]</f>
        <v>9.9594907405844424E-2</v>
      </c>
    </row>
    <row r="242" spans="1:4">
      <c r="A242" t="s">
        <v>3706</v>
      </c>
      <c r="B242" s="652">
        <v>45490.40048611111</v>
      </c>
      <c r="C242" s="652"/>
      <c r="D242" s="651">
        <f>Tabela2[[#This Row],[Final]]-Tabela2[[#This Row],[Início]]</f>
        <v>-45490.40048611111</v>
      </c>
    </row>
    <row r="243" spans="1:4">
      <c r="A243" t="s">
        <v>3706</v>
      </c>
      <c r="B243" s="652">
        <v>45491.706585648149</v>
      </c>
      <c r="C243" s="652"/>
      <c r="D243" s="651">
        <f>Tabela2[[#This Row],[Final]]-Tabela2[[#This Row],[Início]]</f>
        <v>-45491.706585648149</v>
      </c>
    </row>
    <row r="244" spans="1:4">
      <c r="A244" t="s">
        <v>3706</v>
      </c>
      <c r="B244" s="652">
        <v>45492.52648148148</v>
      </c>
      <c r="C244" s="652">
        <v>45492.792372685188</v>
      </c>
      <c r="D244" s="651">
        <f>Tabela2[[#This Row],[Final]]-Tabela2[[#This Row],[Início]]</f>
        <v>0.26589120370772434</v>
      </c>
    </row>
    <row r="245" spans="1:4">
      <c r="A245" t="s">
        <v>3706</v>
      </c>
      <c r="B245" s="652">
        <v>45495.448136574072</v>
      </c>
      <c r="C245" s="652">
        <v>45495.792928240742</v>
      </c>
      <c r="D245" s="651">
        <f>Tabela2[[#This Row],[Final]]-Tabela2[[#This Row],[Início]]</f>
        <v>0.34479166667006211</v>
      </c>
    </row>
    <row r="246" spans="1:4">
      <c r="A246" t="s">
        <v>3706</v>
      </c>
      <c r="B246" s="652">
        <v>45497.374062499999</v>
      </c>
      <c r="C246" s="652">
        <v>45497.807187500002</v>
      </c>
      <c r="D246" s="651">
        <f>Tabela2[[#This Row],[Final]]-Tabela2[[#This Row],[Início]]</f>
        <v>0.43312500000320142</v>
      </c>
    </row>
    <row r="247" spans="1:4">
      <c r="A247" t="s">
        <v>3706</v>
      </c>
      <c r="B247" s="652">
        <v>45499.415416666663</v>
      </c>
      <c r="C247" s="652">
        <v>45499.818981481483</v>
      </c>
      <c r="D247" s="651">
        <f>Tabela2[[#This Row],[Final]]-Tabela2[[#This Row],[Início]]</f>
        <v>0.40356481482012896</v>
      </c>
    </row>
    <row r="248" spans="1:4">
      <c r="A248" t="s">
        <v>3706</v>
      </c>
      <c r="B248" s="652">
        <v>45502.403715277775</v>
      </c>
      <c r="C248" s="652">
        <v>45502.794895833336</v>
      </c>
      <c r="D248" s="651">
        <f>Tabela2[[#This Row],[Final]]-Tabela2[[#This Row],[Início]]</f>
        <v>0.39118055556173204</v>
      </c>
    </row>
    <row r="249" spans="1:4">
      <c r="A249" t="s">
        <v>3706</v>
      </c>
      <c r="B249" s="652">
        <v>45503.598553240743</v>
      </c>
      <c r="C249" s="652">
        <v>45503.696793981479</v>
      </c>
      <c r="D249" s="651">
        <f>Tabela2[[#This Row],[Final]]-Tabela2[[#This Row],[Início]]</f>
        <v>9.8240740735491272E-2</v>
      </c>
    </row>
    <row r="250" spans="1:4">
      <c r="A250" t="s">
        <v>3706</v>
      </c>
      <c r="B250" s="652">
        <v>45504.405034722222</v>
      </c>
      <c r="C250" s="652">
        <v>45504.825706018521</v>
      </c>
      <c r="D250" s="651">
        <f>Tabela2[[#This Row],[Final]]-Tabela2[[#This Row],[Início]]</f>
        <v>0.4206712962986785</v>
      </c>
    </row>
    <row r="251" spans="1:4">
      <c r="A251" t="s">
        <v>3706</v>
      </c>
      <c r="B251" s="652">
        <v>45505.355127314811</v>
      </c>
      <c r="C251" s="652">
        <v>45505.980439814812</v>
      </c>
      <c r="D251" s="651">
        <f>Tabela2[[#This Row],[Final]]-Tabela2[[#This Row],[Início]]</f>
        <v>0.62531250000029104</v>
      </c>
    </row>
    <row r="252" spans="1:4">
      <c r="A252" t="s">
        <v>3706</v>
      </c>
      <c r="B252" s="652">
        <v>45509.582337962966</v>
      </c>
      <c r="C252" s="652">
        <v>45511.3596875</v>
      </c>
      <c r="D252" s="651">
        <f>Tabela2[[#This Row],[Final]]-Tabela2[[#This Row],[Início]]</f>
        <v>1.7773495370347518</v>
      </c>
    </row>
    <row r="253" spans="1:4">
      <c r="A253" t="s">
        <v>3706</v>
      </c>
      <c r="B253" s="652">
        <v>45511.743715277778</v>
      </c>
      <c r="C253" s="652">
        <v>45511.810196759259</v>
      </c>
      <c r="D253" s="651">
        <f>Tabela2[[#This Row],[Final]]-Tabela2[[#This Row],[Início]]</f>
        <v>6.6481481480877846E-2</v>
      </c>
    </row>
    <row r="254" spans="1:4">
      <c r="A254" t="s">
        <v>3706</v>
      </c>
      <c r="B254" s="652">
        <v>45512.454745370371</v>
      </c>
      <c r="C254" s="652">
        <v>45512.99554398148</v>
      </c>
      <c r="D254" s="651">
        <f>Tabela2[[#This Row],[Final]]-Tabela2[[#This Row],[Início]]</f>
        <v>0.54079861110949423</v>
      </c>
    </row>
    <row r="255" spans="1:4">
      <c r="A255" t="s">
        <v>3706</v>
      </c>
      <c r="B255" s="652">
        <v>45513.388645833336</v>
      </c>
      <c r="C255" s="652">
        <v>45513.39167824074</v>
      </c>
      <c r="D255" s="651">
        <f>Tabela2[[#This Row],[Final]]-Tabela2[[#This Row],[Início]]</f>
        <v>3.0324074032250792E-3</v>
      </c>
    </row>
    <row r="256" spans="1:4">
      <c r="A256" t="s">
        <v>3706</v>
      </c>
      <c r="B256" s="652">
        <v>45517.409143518518</v>
      </c>
      <c r="C256" s="652">
        <v>45517.882407407407</v>
      </c>
      <c r="D256" s="651">
        <f>Tabela2[[#This Row],[Final]]-Tabela2[[#This Row],[Início]]</f>
        <v>0.47326388888905058</v>
      </c>
    </row>
    <row r="257" spans="1:4">
      <c r="A257" t="s">
        <v>3706</v>
      </c>
      <c r="B257" s="652">
        <v>45518.383993055555</v>
      </c>
      <c r="C257" s="652">
        <v>45518.392025462963</v>
      </c>
      <c r="D257" s="651">
        <f>Tabela2[[#This Row],[Final]]-Tabela2[[#This Row],[Início]]</f>
        <v>8.0324074078816921E-3</v>
      </c>
    </row>
    <row r="258" spans="1:4">
      <c r="A258" t="s">
        <v>3706</v>
      </c>
      <c r="B258" s="652">
        <v>45519.405868055554</v>
      </c>
      <c r="C258" s="652">
        <v>45519.665347222224</v>
      </c>
      <c r="D258" s="651">
        <f>Tabela2[[#This Row],[Final]]-Tabela2[[#This Row],[Início]]</f>
        <v>0.25947916667064419</v>
      </c>
    </row>
    <row r="259" spans="1:4">
      <c r="A259" t="s">
        <v>3706</v>
      </c>
      <c r="B259" s="652">
        <v>45523.404907407406</v>
      </c>
      <c r="C259" s="652"/>
      <c r="D259" s="651">
        <f>Tabela2[[#This Row],[Final]]-Tabela2[[#This Row],[Início]]</f>
        <v>-45523.404907407406</v>
      </c>
    </row>
    <row r="260" spans="1:4">
      <c r="A260" t="s">
        <v>3706</v>
      </c>
      <c r="B260" s="652">
        <v>45523.481041666666</v>
      </c>
      <c r="C260" s="652">
        <v>45523.865613425929</v>
      </c>
      <c r="D260" s="651">
        <f>Tabela2[[#This Row],[Final]]-Tabela2[[#This Row],[Início]]</f>
        <v>0.38457175926305354</v>
      </c>
    </row>
    <row r="261" spans="1:4">
      <c r="A261" t="s">
        <v>3706</v>
      </c>
      <c r="B261" s="652">
        <v>45524.77685185185</v>
      </c>
      <c r="C261" s="652">
        <v>45524.866203703707</v>
      </c>
      <c r="D261" s="651">
        <f>Tabela2[[#This Row],[Final]]-Tabela2[[#This Row],[Início]]</f>
        <v>8.9351851856918074E-2</v>
      </c>
    </row>
    <row r="262" spans="1:4">
      <c r="A262" t="s">
        <v>3706</v>
      </c>
      <c r="B262" s="652">
        <v>45526.406608796293</v>
      </c>
      <c r="C262" s="652">
        <v>45529.371840277781</v>
      </c>
      <c r="D262" s="651">
        <f>Tabela2[[#This Row],[Final]]-Tabela2[[#This Row],[Início]]</f>
        <v>2.9652314814884448</v>
      </c>
    </row>
    <row r="263" spans="1:4">
      <c r="A263" t="s">
        <v>3706</v>
      </c>
      <c r="B263" s="652">
        <v>45530.802245370367</v>
      </c>
      <c r="C263" s="652">
        <v>45530.812083333331</v>
      </c>
      <c r="D263" s="651">
        <f>Tabela2[[#This Row],[Final]]-Tabela2[[#This Row],[Início]]</f>
        <v>9.8379629635019228E-3</v>
      </c>
    </row>
    <row r="264" spans="1:4">
      <c r="A264" t="s">
        <v>3706</v>
      </c>
      <c r="B264" s="652">
        <v>45531.510671296295</v>
      </c>
      <c r="C264" s="652"/>
      <c r="D264" s="651">
        <f>Tabela2[[#This Row],[Final]]-Tabela2[[#This Row],[Início]]</f>
        <v>-45531.510671296295</v>
      </c>
    </row>
    <row r="265" spans="1:4">
      <c r="A265" t="s">
        <v>3706</v>
      </c>
      <c r="B265" s="652">
        <v>45531.533078703702</v>
      </c>
      <c r="C265" s="652">
        <v>45531.540868055556</v>
      </c>
      <c r="D265" s="651">
        <f>Tabela2[[#This Row],[Final]]-Tabela2[[#This Row],[Início]]</f>
        <v>7.7893518537166528E-3</v>
      </c>
    </row>
    <row r="266" spans="1:4">
      <c r="A266" t="s">
        <v>3706</v>
      </c>
      <c r="B266" s="652">
        <v>45532.3984375</v>
      </c>
      <c r="C266" s="652">
        <v>45532.491898148146</v>
      </c>
      <c r="D266" s="651">
        <f>Tabela2[[#This Row],[Final]]-Tabela2[[#This Row],[Início]]</f>
        <v>9.3460648145992309E-2</v>
      </c>
    </row>
    <row r="267" spans="1:4">
      <c r="A267" t="s">
        <v>3706</v>
      </c>
      <c r="B267" s="652">
        <v>45537.618148148147</v>
      </c>
      <c r="C267" s="652">
        <v>45537.790682870371</v>
      </c>
      <c r="D267" s="651">
        <f>Tabela2[[#This Row],[Final]]-Tabela2[[#This Row],[Início]]</f>
        <v>0.17253472222364508</v>
      </c>
    </row>
    <row r="268" spans="1:4">
      <c r="A268" t="s">
        <v>3706</v>
      </c>
      <c r="B268" s="652">
        <v>45540.78125</v>
      </c>
      <c r="C268" s="652">
        <v>45541.450462962966</v>
      </c>
      <c r="D268" s="651">
        <f>Tabela2[[#This Row],[Final]]-Tabela2[[#This Row],[Início]]</f>
        <v>0.66921296296641231</v>
      </c>
    </row>
    <row r="269" spans="1:4">
      <c r="A269" t="s">
        <v>3706</v>
      </c>
      <c r="B269" s="652">
        <v>45542.372083333335</v>
      </c>
      <c r="C269" s="652">
        <v>45542.375115740739</v>
      </c>
      <c r="D269" s="651">
        <f>Tabela2[[#This Row],[Final]]-Tabela2[[#This Row],[Início]]</f>
        <v>3.0324074032250792E-3</v>
      </c>
    </row>
    <row r="270" spans="1:4">
      <c r="A270" t="s">
        <v>3706</v>
      </c>
      <c r="B270" s="652">
        <v>45544.446296296293</v>
      </c>
      <c r="C270" s="652">
        <v>45544.483090277776</v>
      </c>
      <c r="D270" s="651">
        <f>Tabela2[[#This Row],[Final]]-Tabela2[[#This Row],[Início]]</f>
        <v>3.6793981482333038E-2</v>
      </c>
    </row>
    <row r="271" spans="1:4">
      <c r="A271" t="s">
        <v>3706</v>
      </c>
      <c r="B271" s="652">
        <v>45545.417349537034</v>
      </c>
      <c r="C271" s="652">
        <v>45545.460694444446</v>
      </c>
      <c r="D271" s="651">
        <f>Tabela2[[#This Row],[Final]]-Tabela2[[#This Row],[Início]]</f>
        <v>4.334490741166519E-2</v>
      </c>
    </row>
    <row r="272" spans="1:4">
      <c r="A272" t="s">
        <v>3706</v>
      </c>
      <c r="B272" s="652">
        <v>45546.428587962961</v>
      </c>
      <c r="C272" s="652">
        <v>45547.691817129627</v>
      </c>
      <c r="D272" s="651">
        <f>Tabela2[[#This Row],[Final]]-Tabela2[[#This Row],[Início]]</f>
        <v>1.2632291666668607</v>
      </c>
    </row>
    <row r="273" spans="1:4">
      <c r="A273" t="s">
        <v>3706</v>
      </c>
      <c r="B273" s="652">
        <v>45547.700879629629</v>
      </c>
      <c r="C273" s="652">
        <v>45547.7112037037</v>
      </c>
      <c r="D273" s="651">
        <f>Tabela2[[#This Row],[Final]]-Tabela2[[#This Row],[Início]]</f>
        <v>1.0324074071832001E-2</v>
      </c>
    </row>
    <row r="274" spans="1:4">
      <c r="A274" t="s">
        <v>3706</v>
      </c>
      <c r="B274" s="652">
        <v>45548.395115740743</v>
      </c>
      <c r="C274" s="652">
        <v>45548.793020833335</v>
      </c>
      <c r="D274" s="651">
        <f>Tabela2[[#This Row],[Final]]-Tabela2[[#This Row],[Início]]</f>
        <v>0.39790509259182727</v>
      </c>
    </row>
    <row r="275" spans="1:4">
      <c r="A275" t="s">
        <v>3706</v>
      </c>
      <c r="B275" s="652">
        <v>45551.448310185187</v>
      </c>
      <c r="C275" s="652">
        <v>45551.688344907408</v>
      </c>
      <c r="D275" s="651">
        <f>Tabela2[[#This Row],[Final]]-Tabela2[[#This Row],[Início]]</f>
        <v>0.24003472222102573</v>
      </c>
    </row>
    <row r="276" spans="1:4">
      <c r="A276" t="s">
        <v>3706</v>
      </c>
      <c r="B276" s="652">
        <v>45552.410277777781</v>
      </c>
      <c r="C276" s="652"/>
      <c r="D276" s="651">
        <f>Tabela2[[#This Row],[Final]]-Tabela2[[#This Row],[Início]]</f>
        <v>-45552.410277777781</v>
      </c>
    </row>
    <row r="277" spans="1:4">
      <c r="A277" t="s">
        <v>3706</v>
      </c>
      <c r="B277" s="652">
        <v>45552.511261574073</v>
      </c>
      <c r="C277" s="652">
        <v>45552.783738425926</v>
      </c>
      <c r="D277" s="651">
        <f>Tabela2[[#This Row],[Final]]-Tabela2[[#This Row],[Início]]</f>
        <v>0.27247685185284354</v>
      </c>
    </row>
    <row r="278" spans="1:4">
      <c r="A278" t="s">
        <v>3706</v>
      </c>
      <c r="B278" s="652">
        <v>45553.383530092593</v>
      </c>
      <c r="C278" s="652">
        <v>45553.819444444445</v>
      </c>
      <c r="D278" s="651">
        <f>Tabela2[[#This Row],[Final]]-Tabela2[[#This Row],[Início]]</f>
        <v>0.43591435185226146</v>
      </c>
    </row>
    <row r="279" spans="1:4">
      <c r="A279" t="s">
        <v>3706</v>
      </c>
      <c r="B279" s="652">
        <v>45554.408483796295</v>
      </c>
      <c r="C279" s="652">
        <v>45554.78943287037</v>
      </c>
      <c r="D279" s="651">
        <f>Tabela2[[#This Row],[Final]]-Tabela2[[#This Row],[Início]]</f>
        <v>0.38094907407503342</v>
      </c>
    </row>
    <row r="280" spans="1:4">
      <c r="A280" t="s">
        <v>3706</v>
      </c>
      <c r="B280" s="652">
        <v>45555.384745370371</v>
      </c>
      <c r="C280" s="652">
        <v>45555.733090277776</v>
      </c>
      <c r="D280" s="651">
        <f>Tabela2[[#This Row],[Final]]-Tabela2[[#This Row],[Início]]</f>
        <v>0.34834490740468027</v>
      </c>
    </row>
    <row r="281" spans="1:4">
      <c r="A281" t="s">
        <v>3706</v>
      </c>
      <c r="B281" s="652">
        <v>45558.77202546296</v>
      </c>
      <c r="C281" s="652">
        <v>45558.782372685186</v>
      </c>
      <c r="D281" s="651">
        <f>Tabela2[[#This Row],[Final]]-Tabela2[[#This Row],[Início]]</f>
        <v>1.0347222225391306E-2</v>
      </c>
    </row>
    <row r="282" spans="1:4">
      <c r="A282" t="s">
        <v>3706</v>
      </c>
      <c r="B282" s="652">
        <v>45560.402789351851</v>
      </c>
      <c r="C282" s="652">
        <v>45560.799618055556</v>
      </c>
      <c r="D282" s="651">
        <f>Tabela2[[#This Row],[Final]]-Tabela2[[#This Row],[Início]]</f>
        <v>0.39682870370597811</v>
      </c>
    </row>
    <row r="283" spans="1:4">
      <c r="A283" t="s">
        <v>3706</v>
      </c>
      <c r="B283" s="652">
        <v>45562.389687499999</v>
      </c>
      <c r="C283" s="652">
        <v>45562.409155092595</v>
      </c>
      <c r="D283" s="651">
        <f>Tabela2[[#This Row],[Final]]-Tabela2[[#This Row],[Início]]</f>
        <v>1.9467592595901806E-2</v>
      </c>
    </row>
    <row r="284" spans="1:4">
      <c r="A284" t="s">
        <v>3706</v>
      </c>
      <c r="B284" s="652">
        <v>45565.384733796294</v>
      </c>
      <c r="C284" s="652">
        <v>45565.79446759259</v>
      </c>
      <c r="D284" s="651">
        <f>Tabela2[[#This Row],[Final]]-Tabela2[[#This Row],[Início]]</f>
        <v>0.40973379629576812</v>
      </c>
    </row>
    <row r="285" spans="1:4">
      <c r="A285" t="s">
        <v>3706</v>
      </c>
      <c r="B285" s="652">
        <v>45567.400254629632</v>
      </c>
      <c r="C285" s="652">
        <v>45567.843726851854</v>
      </c>
      <c r="D285" s="651">
        <f>Tabela2[[#This Row],[Final]]-Tabela2[[#This Row],[Início]]</f>
        <v>0.44347222222131677</v>
      </c>
    </row>
    <row r="286" spans="1:4">
      <c r="A286" t="s">
        <v>3706</v>
      </c>
      <c r="B286" s="652">
        <v>45568.380023148151</v>
      </c>
      <c r="C286" s="652">
        <v>45569.733831018515</v>
      </c>
      <c r="D286" s="651">
        <f>Tabela2[[#This Row],[Final]]-Tabela2[[#This Row],[Início]]</f>
        <v>1.3538078703641077</v>
      </c>
    </row>
    <row r="287" spans="1:4">
      <c r="A287" t="s">
        <v>3706</v>
      </c>
      <c r="B287" s="652">
        <v>45573.481238425928</v>
      </c>
      <c r="C287" s="652">
        <v>45574.792395833334</v>
      </c>
      <c r="D287" s="651">
        <f>Tabela2[[#This Row],[Final]]-Tabela2[[#This Row],[Início]]</f>
        <v>1.3111574074064265</v>
      </c>
    </row>
    <row r="288" spans="1:4">
      <c r="A288" t="s">
        <v>3706</v>
      </c>
      <c r="B288" s="652">
        <v>45575.426493055558</v>
      </c>
      <c r="C288" s="652">
        <v>45575.550729166665</v>
      </c>
      <c r="D288" s="651">
        <f>Tabela2[[#This Row],[Final]]-Tabela2[[#This Row],[Início]]</f>
        <v>0.12423611110716593</v>
      </c>
    </row>
    <row r="289" spans="1:4">
      <c r="A289" t="s">
        <v>3706</v>
      </c>
      <c r="B289" s="652">
        <v>45576.43949074074</v>
      </c>
      <c r="C289" s="652">
        <v>45576.712175925924</v>
      </c>
      <c r="D289" s="651">
        <f>Tabela2[[#This Row],[Final]]-Tabela2[[#This Row],[Início]]</f>
        <v>0.27268518518394558</v>
      </c>
    </row>
    <row r="290" spans="1:4">
      <c r="A290" t="s">
        <v>3706</v>
      </c>
      <c r="B290" s="652">
        <v>45579.545763888891</v>
      </c>
      <c r="C290" s="652">
        <v>45580.794629629629</v>
      </c>
      <c r="D290" s="651">
        <f>Tabela2[[#This Row],[Final]]-Tabela2[[#This Row],[Início]]</f>
        <v>1.2488657407375285</v>
      </c>
    </row>
    <row r="291" spans="1:4">
      <c r="A291" t="s">
        <v>3706</v>
      </c>
      <c r="B291" s="652">
        <v>45581.394074074073</v>
      </c>
      <c r="C291" s="652"/>
      <c r="D291" s="651">
        <f>Tabela2[[#This Row],[Final]]-Tabela2[[#This Row],[Início]]</f>
        <v>-45581.394074074073</v>
      </c>
    </row>
    <row r="292" spans="1:4">
      <c r="A292" t="s">
        <v>3706</v>
      </c>
      <c r="B292" s="652">
        <v>45582.445324074077</v>
      </c>
      <c r="C292" s="652"/>
      <c r="D292" s="651">
        <f>Tabela2[[#This Row],[Final]]-Tabela2[[#This Row],[Início]]</f>
        <v>-45582.445324074077</v>
      </c>
    </row>
    <row r="293" spans="1:4">
      <c r="A293" t="s">
        <v>3706</v>
      </c>
      <c r="B293" s="652">
        <v>45582.623912037037</v>
      </c>
      <c r="C293" s="652">
        <v>45582.745046296295</v>
      </c>
      <c r="D293" s="651">
        <f>Tabela2[[#This Row],[Final]]-Tabela2[[#This Row],[Início]]</f>
        <v>0.12113425925781485</v>
      </c>
    </row>
    <row r="294" spans="1:4">
      <c r="A294" t="s">
        <v>3706</v>
      </c>
      <c r="B294" s="652">
        <v>45582.784687500003</v>
      </c>
      <c r="C294" s="652">
        <v>45582.79241898148</v>
      </c>
      <c r="D294" s="651">
        <f>Tabela2[[#This Row],[Final]]-Tabela2[[#This Row],[Início]]</f>
        <v>7.7314814770943485E-3</v>
      </c>
    </row>
    <row r="295" spans="1:4">
      <c r="A295" t="s">
        <v>3706</v>
      </c>
      <c r="B295" s="652">
        <v>45583.544027777774</v>
      </c>
      <c r="C295" s="652">
        <v>45583.574548611112</v>
      </c>
      <c r="D295" s="651">
        <f>Tabela2[[#This Row],[Final]]-Tabela2[[#This Row],[Início]]</f>
        <v>3.0520833337504882E-2</v>
      </c>
    </row>
    <row r="296" spans="1:4">
      <c r="A296" t="s">
        <v>3706</v>
      </c>
      <c r="B296" s="652">
        <v>45584.362662037034</v>
      </c>
      <c r="C296" s="652"/>
      <c r="D296" s="651">
        <f>Tabela2[[#This Row],[Final]]-Tabela2[[#This Row],[Início]]</f>
        <v>-45584.362662037034</v>
      </c>
    </row>
    <row r="297" spans="1:4">
      <c r="A297" t="s">
        <v>3706</v>
      </c>
      <c r="B297" s="652">
        <v>45586.59138888889</v>
      </c>
      <c r="C297" s="652">
        <v>45587.72892361111</v>
      </c>
      <c r="D297" s="651">
        <f>Tabela2[[#This Row],[Final]]-Tabela2[[#This Row],[Início]]</f>
        <v>1.1375347222201526</v>
      </c>
    </row>
    <row r="298" spans="1:4">
      <c r="A298" t="s">
        <v>3706</v>
      </c>
      <c r="B298" s="652">
        <v>45588.616331018522</v>
      </c>
      <c r="C298" s="652">
        <v>45588.692465277774</v>
      </c>
      <c r="D298" s="651">
        <f>Tabela2[[#This Row],[Final]]-Tabela2[[#This Row],[Início]]</f>
        <v>7.6134259252285119E-2</v>
      </c>
    </row>
    <row r="299" spans="1:4">
      <c r="A299" t="s">
        <v>3706</v>
      </c>
      <c r="B299" s="652">
        <v>45588.758530092593</v>
      </c>
      <c r="C299" s="652">
        <v>45588.774699074071</v>
      </c>
      <c r="D299" s="651">
        <f>Tabela2[[#This Row],[Final]]-Tabela2[[#This Row],[Início]]</f>
        <v>1.6168981477676425E-2</v>
      </c>
    </row>
    <row r="300" spans="1:4">
      <c r="A300" t="s">
        <v>3706</v>
      </c>
      <c r="B300" s="652">
        <v>45590.615497685183</v>
      </c>
      <c r="C300" s="652"/>
      <c r="D300" s="651">
        <f>Tabela2[[#This Row],[Final]]-Tabela2[[#This Row],[Início]]</f>
        <v>-45590.615497685183</v>
      </c>
    </row>
    <row r="301" spans="1:4">
      <c r="A301" t="s">
        <v>3706</v>
      </c>
      <c r="B301" s="652">
        <v>45594.405185185184</v>
      </c>
      <c r="C301" s="652">
        <v>45595.76458333333</v>
      </c>
      <c r="D301" s="651">
        <f>Tabela2[[#This Row],[Final]]-Tabela2[[#This Row],[Início]]</f>
        <v>1.3593981481462833</v>
      </c>
    </row>
    <row r="302" spans="1:4">
      <c r="A302" t="s">
        <v>3706</v>
      </c>
      <c r="B302" s="652">
        <v>45596.544166666667</v>
      </c>
      <c r="C302" s="652">
        <v>45596.781006944446</v>
      </c>
      <c r="D302" s="651">
        <f>Tabela2[[#This Row],[Final]]-Tabela2[[#This Row],[Início]]</f>
        <v>0.23684027777926531</v>
      </c>
    </row>
    <row r="303" spans="1:4">
      <c r="A303" t="s">
        <v>3706</v>
      </c>
      <c r="B303" s="652">
        <v>45599.329432870371</v>
      </c>
      <c r="C303" s="652">
        <v>45599.347268518519</v>
      </c>
      <c r="D303" s="651">
        <f>Tabela2[[#This Row],[Final]]-Tabela2[[#This Row],[Início]]</f>
        <v>1.7835648148320615E-2</v>
      </c>
    </row>
    <row r="304" spans="1:4">
      <c r="A304" t="s">
        <v>3706</v>
      </c>
      <c r="B304" s="652">
        <v>45600.601215277777</v>
      </c>
      <c r="C304" s="652">
        <v>45600.818113425928</v>
      </c>
      <c r="D304" s="651">
        <f>Tabela2[[#This Row],[Final]]-Tabela2[[#This Row],[Início]]</f>
        <v>0.21689814815181307</v>
      </c>
    </row>
    <row r="305" spans="1:4">
      <c r="A305" t="s">
        <v>3706</v>
      </c>
      <c r="B305" s="652">
        <v>45601.506678240738</v>
      </c>
      <c r="C305" s="652">
        <v>45601.558206018519</v>
      </c>
      <c r="D305" s="651">
        <f>Tabela2[[#This Row],[Final]]-Tabela2[[#This Row],[Início]]</f>
        <v>5.1527777781302575E-2</v>
      </c>
    </row>
    <row r="306" spans="1:4">
      <c r="A306" t="s">
        <v>3706</v>
      </c>
      <c r="B306" s="652">
        <v>45601.573414351849</v>
      </c>
      <c r="C306" s="652">
        <v>45602.341365740744</v>
      </c>
      <c r="D306" s="651">
        <f>Tabela2[[#This Row],[Final]]-Tabela2[[#This Row],[Início]]</f>
        <v>0.76795138889428927</v>
      </c>
    </row>
    <row r="307" spans="1:4">
      <c r="A307" t="s">
        <v>3706</v>
      </c>
      <c r="B307" s="652">
        <v>45602.738321759258</v>
      </c>
      <c r="C307" s="652">
        <v>45603.57298611111</v>
      </c>
      <c r="D307" s="651">
        <f>Tabela2[[#This Row],[Final]]-Tabela2[[#This Row],[Início]]</f>
        <v>0.8346643518525525</v>
      </c>
    </row>
    <row r="308" spans="1:4">
      <c r="A308" t="s">
        <v>3706</v>
      </c>
      <c r="B308" s="652">
        <v>45603.573576388888</v>
      </c>
      <c r="C308" s="652">
        <v>45604.426377314812</v>
      </c>
      <c r="D308" s="651">
        <f>Tabela2[[#This Row],[Final]]-Tabela2[[#This Row],[Início]]</f>
        <v>0.8528009259243845</v>
      </c>
    </row>
    <row r="309" spans="1:4">
      <c r="A309" t="s">
        <v>3706</v>
      </c>
      <c r="B309" s="652">
        <v>45604.435416666667</v>
      </c>
      <c r="C309" s="652">
        <v>45607.421747685185</v>
      </c>
      <c r="D309" s="651">
        <f>Tabela2[[#This Row],[Final]]-Tabela2[[#This Row],[Início]]</f>
        <v>2.9863310185173759</v>
      </c>
    </row>
    <row r="310" spans="1:4">
      <c r="A310" t="s">
        <v>3706</v>
      </c>
      <c r="B310" s="652">
        <v>45607.422164351854</v>
      </c>
      <c r="C310" s="652">
        <v>45607.671631944446</v>
      </c>
      <c r="D310" s="651">
        <f>Tabela2[[#This Row],[Final]]-Tabela2[[#This Row],[Início]]</f>
        <v>0.24946759259182727</v>
      </c>
    </row>
    <row r="311" spans="1:4">
      <c r="A311" t="s">
        <v>3706</v>
      </c>
      <c r="B311" s="652">
        <v>45607.689618055556</v>
      </c>
      <c r="C311" s="652"/>
      <c r="D311" s="651">
        <f>Tabela2[[#This Row],[Final]]-Tabela2[[#This Row],[Início]]</f>
        <v>-45607.689618055556</v>
      </c>
    </row>
    <row r="312" spans="1:4">
      <c r="A312" t="s">
        <v>3706</v>
      </c>
      <c r="B312" s="652">
        <v>45608.44767361111</v>
      </c>
      <c r="C312" s="652">
        <v>45608.467106481483</v>
      </c>
      <c r="D312" s="651">
        <f>Tabela2[[#This Row],[Final]]-Tabela2[[#This Row],[Início]]</f>
        <v>1.9432870372838806E-2</v>
      </c>
    </row>
    <row r="313" spans="1:4">
      <c r="A313" t="s">
        <v>3706</v>
      </c>
      <c r="B313" s="652">
        <v>45608.581087962964</v>
      </c>
      <c r="C313" s="652">
        <v>45608.802708333336</v>
      </c>
      <c r="D313" s="651">
        <f>Tabela2[[#This Row],[Final]]-Tabela2[[#This Row],[Início]]</f>
        <v>0.22162037037196569</v>
      </c>
    </row>
    <row r="314" spans="1:4">
      <c r="A314" t="s">
        <v>3706</v>
      </c>
      <c r="B314" s="652">
        <v>45610.386342592596</v>
      </c>
      <c r="C314" s="652">
        <v>45610.795451388891</v>
      </c>
      <c r="D314" s="651">
        <f>Tabela2[[#This Row],[Final]]-Tabela2[[#This Row],[Início]]</f>
        <v>0.40910879629518604</v>
      </c>
    </row>
    <row r="315" spans="1:4">
      <c r="A315" t="s">
        <v>3706</v>
      </c>
      <c r="B315" s="652">
        <v>45610.797905092593</v>
      </c>
      <c r="C315" s="652">
        <v>45610.873553240737</v>
      </c>
      <c r="D315" s="651">
        <f>Tabela2[[#This Row],[Final]]-Tabela2[[#This Row],[Início]]</f>
        <v>7.5648148143955041E-2</v>
      </c>
    </row>
    <row r="316" spans="1:4">
      <c r="A316" t="s">
        <v>3706</v>
      </c>
      <c r="B316" s="652">
        <v>45611.389560185184</v>
      </c>
      <c r="C316" s="652">
        <v>45611.396412037036</v>
      </c>
      <c r="D316" s="651">
        <f>Tabela2[[#This Row],[Final]]-Tabela2[[#This Row],[Início]]</f>
        <v>6.8518518528435379E-3</v>
      </c>
    </row>
    <row r="317" spans="1:4">
      <c r="A317" t="s">
        <v>3706</v>
      </c>
      <c r="B317" s="652">
        <v>45611.412951388891</v>
      </c>
      <c r="C317" s="652">
        <v>45611.417905092596</v>
      </c>
      <c r="D317" s="651">
        <f>Tabela2[[#This Row],[Final]]-Tabela2[[#This Row],[Início]]</f>
        <v>4.9537037048139609E-3</v>
      </c>
    </row>
    <row r="318" spans="1:4">
      <c r="A318" t="s">
        <v>3706</v>
      </c>
      <c r="B318" s="652">
        <v>45615.595879629633</v>
      </c>
      <c r="C318" s="652">
        <v>45615.608055555553</v>
      </c>
      <c r="D318" s="651">
        <f>Tabela2[[#This Row],[Final]]-Tabela2[[#This Row],[Início]]</f>
        <v>1.2175925920018926E-2</v>
      </c>
    </row>
    <row r="319" spans="1:4">
      <c r="A319" t="s">
        <v>3706</v>
      </c>
      <c r="B319" s="652">
        <v>45618.33353009259</v>
      </c>
      <c r="C319" s="652">
        <v>45618.349120370367</v>
      </c>
      <c r="D319" s="651">
        <f>Tabela2[[#This Row],[Final]]-Tabela2[[#This Row],[Início]]</f>
        <v>1.5590277776937E-2</v>
      </c>
    </row>
    <row r="320" spans="1:4">
      <c r="A320" t="s">
        <v>3706</v>
      </c>
      <c r="B320" s="652">
        <v>45621.395821759259</v>
      </c>
      <c r="C320" s="652">
        <v>45622.29247685185</v>
      </c>
      <c r="D320" s="651">
        <f>Tabela2[[#This Row],[Final]]-Tabela2[[#This Row],[Início]]</f>
        <v>0.89665509259066312</v>
      </c>
    </row>
    <row r="321" spans="1:4">
      <c r="A321" t="s">
        <v>3706</v>
      </c>
      <c r="B321" s="652">
        <v>45622.618726851855</v>
      </c>
      <c r="C321" s="652">
        <v>45622.758090277777</v>
      </c>
      <c r="D321" s="651">
        <f>Tabela2[[#This Row],[Final]]-Tabela2[[#This Row],[Início]]</f>
        <v>0.13936342592205619</v>
      </c>
    </row>
    <row r="322" spans="1:4">
      <c r="A322" t="s">
        <v>3706</v>
      </c>
      <c r="B322" s="652">
        <v>45622.766469907408</v>
      </c>
      <c r="C322" s="652">
        <v>45623.543657407405</v>
      </c>
      <c r="D322" s="651">
        <f>Tabela2[[#This Row],[Final]]-Tabela2[[#This Row],[Início]]</f>
        <v>0.7771874999962165</v>
      </c>
    </row>
    <row r="323" spans="1:4">
      <c r="A323" t="s">
        <v>3706</v>
      </c>
      <c r="B323" s="652">
        <v>45624.399872685186</v>
      </c>
      <c r="C323" s="652">
        <v>45624.403043981481</v>
      </c>
      <c r="D323" s="651">
        <f>Tabela2[[#This Row],[Final]]-Tabela2[[#This Row],[Início]]</f>
        <v>3.1712962954770774E-3</v>
      </c>
    </row>
    <row r="324" spans="1:4">
      <c r="A324" t="s">
        <v>3706</v>
      </c>
      <c r="B324" s="652">
        <v>45624.605439814812</v>
      </c>
      <c r="C324" s="652">
        <v>45624.614178240743</v>
      </c>
      <c r="D324" s="651">
        <f>Tabela2[[#This Row],[Final]]-Tabela2[[#This Row],[Início]]</f>
        <v>8.7384259313694201E-3</v>
      </c>
    </row>
    <row r="325" spans="1:4">
      <c r="A325" t="s">
        <v>3706</v>
      </c>
      <c r="B325" s="652">
        <v>45624.619884259257</v>
      </c>
      <c r="C325" s="652">
        <v>45624.628078703703</v>
      </c>
      <c r="D325" s="651">
        <f>Tabela2[[#This Row],[Final]]-Tabela2[[#This Row],[Início]]</f>
        <v>8.1944444464170374E-3</v>
      </c>
    </row>
    <row r="326" spans="1:4">
      <c r="A326" t="s">
        <v>3706</v>
      </c>
      <c r="B326" s="652">
        <v>45625.762719907405</v>
      </c>
      <c r="C326" s="652">
        <v>45629.459374999999</v>
      </c>
      <c r="D326" s="651">
        <f>Tabela2[[#This Row],[Final]]-Tabela2[[#This Row],[Início]]</f>
        <v>3.6966550925935735</v>
      </c>
    </row>
    <row r="327" spans="1:4">
      <c r="A327" t="s">
        <v>3706</v>
      </c>
      <c r="B327" s="652">
        <v>45629.488761574074</v>
      </c>
      <c r="C327" s="652">
        <v>45630.470092592594</v>
      </c>
      <c r="D327" s="651">
        <f>Tabela2[[#This Row],[Final]]-Tabela2[[#This Row],[Início]]</f>
        <v>0.98133101851999527</v>
      </c>
    </row>
    <row r="328" spans="1:4">
      <c r="A328" t="s">
        <v>3706</v>
      </c>
      <c r="B328" s="652">
        <v>45631.379351851851</v>
      </c>
      <c r="C328" s="652">
        <v>45631.44054398148</v>
      </c>
      <c r="D328" s="651">
        <f>Tabela2[[#This Row],[Final]]-Tabela2[[#This Row],[Início]]</f>
        <v>6.11921296294895E-2</v>
      </c>
    </row>
    <row r="329" spans="1:4">
      <c r="A329" t="s">
        <v>3706</v>
      </c>
      <c r="B329" s="652">
        <v>45631.441192129627</v>
      </c>
      <c r="C329" s="652">
        <v>45631.44122685185</v>
      </c>
      <c r="D329" s="651">
        <f>Tabela2[[#This Row],[Final]]-Tabela2[[#This Row],[Início]]</f>
        <v>3.4722223062999547E-5</v>
      </c>
    </row>
    <row r="330" spans="1:4">
      <c r="A330" t="s">
        <v>3706</v>
      </c>
      <c r="B330" s="652">
        <v>45632.318344907406</v>
      </c>
      <c r="C330" s="652">
        <v>45632.554282407407</v>
      </c>
      <c r="D330" s="651">
        <f>Tabela2[[#This Row],[Final]]-Tabela2[[#This Row],[Início]]</f>
        <v>0.23593750000145519</v>
      </c>
    </row>
    <row r="331" spans="1:4">
      <c r="A331" t="s">
        <v>3706</v>
      </c>
      <c r="B331" s="652">
        <v>45635.403599537036</v>
      </c>
      <c r="C331" s="652">
        <v>45635.427997685183</v>
      </c>
      <c r="D331" s="651">
        <f>Tabela2[[#This Row],[Final]]-Tabela2[[#This Row],[Início]]</f>
        <v>2.4398148147156462E-2</v>
      </c>
    </row>
    <row r="332" spans="1:4">
      <c r="A332" t="s">
        <v>3706</v>
      </c>
      <c r="B332" s="652">
        <v>45635.733020833337</v>
      </c>
      <c r="C332" s="652">
        <v>45636.337418981479</v>
      </c>
      <c r="D332" s="651">
        <f>Tabela2[[#This Row],[Final]]-Tabela2[[#This Row],[Início]]</f>
        <v>0.60439814814162673</v>
      </c>
    </row>
    <row r="333" spans="1:4">
      <c r="A333" t="s">
        <v>3706</v>
      </c>
      <c r="B333" s="652">
        <v>45636.404432870368</v>
      </c>
      <c r="C333" s="652"/>
      <c r="D333" s="651">
        <f>Tabela2[[#This Row],[Final]]-Tabela2[[#This Row],[Início]]</f>
        <v>-45636.404432870368</v>
      </c>
    </row>
    <row r="334" spans="1:4">
      <c r="A334" t="s">
        <v>3706</v>
      </c>
      <c r="B334" s="652">
        <v>45638.364224537036</v>
      </c>
      <c r="C334" s="652"/>
      <c r="D334" s="651">
        <f>Tabela2[[#This Row],[Final]]-Tabela2[[#This Row],[Início]]</f>
        <v>-45638.364224537036</v>
      </c>
    </row>
    <row r="335" spans="1:4">
      <c r="A335" t="s">
        <v>3706</v>
      </c>
      <c r="B335" s="652">
        <v>45638.938506944447</v>
      </c>
      <c r="C335" s="652"/>
      <c r="D335" s="651">
        <f>Tabela2[[#This Row],[Final]]-Tabela2[[#This Row],[Início]]</f>
        <v>-45638.938506944447</v>
      </c>
    </row>
    <row r="336" spans="1:4">
      <c r="A336" t="s">
        <v>3706</v>
      </c>
      <c r="B336" s="652">
        <v>45643.450486111113</v>
      </c>
      <c r="C336" s="652">
        <v>45643.483206018522</v>
      </c>
      <c r="D336" s="651">
        <f>Tabela2[[#This Row],[Final]]-Tabela2[[#This Row],[Início]]</f>
        <v>3.2719907409045845E-2</v>
      </c>
    </row>
    <row r="337" spans="1:4">
      <c r="A337" t="s">
        <v>3706</v>
      </c>
      <c r="B337" s="652">
        <v>45643.747627314813</v>
      </c>
      <c r="C337" s="652">
        <v>45645.412256944444</v>
      </c>
      <c r="D337" s="651">
        <f>Tabela2[[#This Row],[Final]]-Tabela2[[#This Row],[Início]]</f>
        <v>1.6646296296312357</v>
      </c>
    </row>
    <row r="338" spans="1:4">
      <c r="A338" t="s">
        <v>3706</v>
      </c>
      <c r="B338" s="652">
        <v>45649.343368055554</v>
      </c>
      <c r="C338" s="652">
        <v>45650.796956018516</v>
      </c>
      <c r="D338" s="651">
        <f>Tabela2[[#This Row],[Final]]-Tabela2[[#This Row],[Início]]</f>
        <v>1.4535879629620467</v>
      </c>
    </row>
    <row r="339" spans="1:4">
      <c r="A339" t="s">
        <v>3706</v>
      </c>
      <c r="B339" s="652">
        <v>45652.34171296296</v>
      </c>
      <c r="C339" s="652">
        <v>45653.514016203706</v>
      </c>
      <c r="D339" s="651">
        <f>Tabela2[[#This Row],[Final]]-Tabela2[[#This Row],[Início]]</f>
        <v>1.1723032407462597</v>
      </c>
    </row>
    <row r="340" spans="1:4">
      <c r="A340" t="s">
        <v>3706</v>
      </c>
      <c r="B340" s="652">
        <v>45656.395567129628</v>
      </c>
      <c r="C340" s="652">
        <v>45660.455729166664</v>
      </c>
      <c r="D340" s="651">
        <f>Tabela2[[#This Row],[Final]]-Tabela2[[#This Row],[Início]]</f>
        <v>4.060162037036207</v>
      </c>
    </row>
    <row r="341" spans="1:4">
      <c r="A341" t="s">
        <v>3706</v>
      </c>
      <c r="B341" s="652">
        <v>45663.456365740742</v>
      </c>
      <c r="C341" s="652"/>
      <c r="D341" s="651">
        <f>Tabela2[[#This Row],[Final]]-Tabela2[[#This Row],[Início]]</f>
        <v>-45663.456365740742</v>
      </c>
    </row>
    <row r="342" spans="1:4">
      <c r="A342" t="s">
        <v>3706</v>
      </c>
      <c r="B342" s="652">
        <v>45664.322824074072</v>
      </c>
      <c r="C342" s="652">
        <v>45664.328923611109</v>
      </c>
      <c r="D342" s="651">
        <f>Tabela2[[#This Row],[Final]]-Tabela2[[#This Row],[Início]]</f>
        <v>6.0995370367891155E-3</v>
      </c>
    </row>
    <row r="343" spans="1:4">
      <c r="A343" t="s">
        <v>3706</v>
      </c>
      <c r="B343" s="652">
        <v>45666.405787037038</v>
      </c>
      <c r="C343" s="652"/>
      <c r="D343" s="651">
        <f>Tabela2[[#This Row],[Final]]-Tabela2[[#This Row],[Início]]</f>
        <v>-45666.405787037038</v>
      </c>
    </row>
    <row r="344" spans="1:4">
      <c r="A344" t="s">
        <v>3706</v>
      </c>
      <c r="B344" s="652">
        <v>45667.414837962962</v>
      </c>
      <c r="C344" s="652">
        <v>45667.435949074075</v>
      </c>
      <c r="D344" s="651">
        <f>Tabela2[[#This Row],[Final]]-Tabela2[[#This Row],[Início]]</f>
        <v>2.1111111112986691E-2</v>
      </c>
    </row>
    <row r="345" spans="1:4">
      <c r="A345" t="s">
        <v>3706</v>
      </c>
      <c r="B345" s="652">
        <v>45670.386759259258</v>
      </c>
      <c r="C345" s="652"/>
      <c r="D345" s="651">
        <f>Tabela2[[#This Row],[Final]]-Tabela2[[#This Row],[Início]]</f>
        <v>-45670.386759259258</v>
      </c>
    </row>
    <row r="346" spans="1:4">
      <c r="A346" t="s">
        <v>3706</v>
      </c>
      <c r="B346" s="652">
        <v>45672.064513888887</v>
      </c>
      <c r="C346" s="652"/>
      <c r="D346" s="651">
        <f>Tabela2[[#This Row],[Final]]-Tabela2[[#This Row],[Início]]</f>
        <v>-45672.064513888887</v>
      </c>
    </row>
    <row r="347" spans="1:4">
      <c r="A347" t="s">
        <v>3706</v>
      </c>
      <c r="B347" s="652">
        <v>45672.531863425924</v>
      </c>
      <c r="C347" s="652">
        <v>45672.545289351852</v>
      </c>
      <c r="D347" s="651">
        <f>Tabela2[[#This Row],[Final]]-Tabela2[[#This Row],[Início]]</f>
        <v>1.3425925928459037E-2</v>
      </c>
    </row>
    <row r="348" spans="1:4">
      <c r="A348" t="s">
        <v>3706</v>
      </c>
      <c r="B348" s="652">
        <v>45673.379421296297</v>
      </c>
      <c r="C348" s="652">
        <v>45678.682685185187</v>
      </c>
      <c r="D348" s="651">
        <f>Tabela2[[#This Row],[Final]]-Tabela2[[#This Row],[Início]]</f>
        <v>5.3032638888907968</v>
      </c>
    </row>
    <row r="349" spans="1:4">
      <c r="A349" t="s">
        <v>3706</v>
      </c>
      <c r="B349" s="652">
        <v>45679.380868055552</v>
      </c>
      <c r="C349" s="652">
        <v>45680.952326388891</v>
      </c>
      <c r="D349" s="651">
        <f>Tabela2[[#This Row],[Final]]-Tabela2[[#This Row],[Início]]</f>
        <v>1.5714583333392511</v>
      </c>
    </row>
    <row r="350" spans="1:4">
      <c r="A350" t="s">
        <v>3706</v>
      </c>
      <c r="B350" s="652">
        <v>45681.116331018522</v>
      </c>
      <c r="C350" s="652">
        <v>45681.316192129627</v>
      </c>
      <c r="D350" s="651">
        <f>Tabela2[[#This Row],[Final]]-Tabela2[[#This Row],[Início]]</f>
        <v>0.19986111110483762</v>
      </c>
    </row>
    <row r="351" spans="1:4">
      <c r="A351" t="s">
        <v>3706</v>
      </c>
      <c r="B351" s="652">
        <v>45684.610995370371</v>
      </c>
      <c r="C351" s="652">
        <v>45686.421956018516</v>
      </c>
      <c r="D351" s="651">
        <f>Tabela2[[#This Row],[Final]]-Tabela2[[#This Row],[Início]]</f>
        <v>1.8109606481448282</v>
      </c>
    </row>
    <row r="352" spans="1:4">
      <c r="A352" t="s">
        <v>3706</v>
      </c>
      <c r="B352" s="652">
        <v>45687.40824074074</v>
      </c>
      <c r="C352" s="652">
        <v>45687.418449074074</v>
      </c>
      <c r="D352" s="651">
        <f>Tabela2[[#This Row],[Final]]-Tabela2[[#This Row],[Início]]</f>
        <v>1.0208333333139308E-2</v>
      </c>
    </row>
    <row r="353" spans="1:4">
      <c r="A353" t="s">
        <v>3706</v>
      </c>
      <c r="B353" s="652">
        <v>45688.373738425929</v>
      </c>
      <c r="C353" s="652"/>
      <c r="D353" s="651">
        <f>Tabela2[[#This Row],[Final]]-Tabela2[[#This Row],[Início]]</f>
        <v>-45688.373738425929</v>
      </c>
    </row>
    <row r="354" spans="1:4">
      <c r="A354" t="s">
        <v>3706</v>
      </c>
      <c r="B354" s="652">
        <v>45691.393587962964</v>
      </c>
      <c r="C354" s="652">
        <v>45692.774641203701</v>
      </c>
      <c r="D354" s="651">
        <f>Tabela2[[#This Row],[Final]]-Tabela2[[#This Row],[Início]]</f>
        <v>1.3810532407369465</v>
      </c>
    </row>
    <row r="355" spans="1:4">
      <c r="A355" t="s">
        <v>3706</v>
      </c>
      <c r="B355" s="652">
        <v>45693.534872685188</v>
      </c>
      <c r="C355" s="652">
        <v>45697.403437499997</v>
      </c>
      <c r="D355" s="651">
        <f>Tabela2[[#This Row],[Final]]-Tabela2[[#This Row],[Início]]</f>
        <v>3.8685648148093605</v>
      </c>
    </row>
    <row r="356" spans="1:4">
      <c r="A356" t="s">
        <v>3706</v>
      </c>
      <c r="B356" s="652">
        <v>45698.416377314818</v>
      </c>
      <c r="C356" s="652">
        <v>45698.418923611112</v>
      </c>
      <c r="D356" s="651">
        <f>Tabela2[[#This Row],[Final]]-Tabela2[[#This Row],[Início]]</f>
        <v>2.5462962948950008E-3</v>
      </c>
    </row>
    <row r="357" spans="1:4">
      <c r="A357" t="s">
        <v>3706</v>
      </c>
      <c r="B357" s="652">
        <v>45698.567106481481</v>
      </c>
      <c r="C357" s="652">
        <v>45699.713252314818</v>
      </c>
      <c r="D357" s="651">
        <f>Tabela2[[#This Row],[Final]]-Tabela2[[#This Row],[Início]]</f>
        <v>1.1461458333360497</v>
      </c>
    </row>
    <row r="358" spans="1:4">
      <c r="A358" t="s">
        <v>3706</v>
      </c>
      <c r="B358" s="652">
        <v>45700.434930555559</v>
      </c>
      <c r="C358" s="652"/>
      <c r="D358" s="651">
        <f>Tabela2[[#This Row],[Final]]-Tabela2[[#This Row],[Início]]</f>
        <v>-45700.434930555559</v>
      </c>
    </row>
    <row r="359" spans="1:4">
      <c r="A359" t="s">
        <v>3706</v>
      </c>
      <c r="B359" s="652">
        <v>45700.447916666664</v>
      </c>
      <c r="C359" s="652">
        <v>45700.460358796299</v>
      </c>
      <c r="D359" s="651">
        <f>Tabela2[[#This Row],[Final]]-Tabela2[[#This Row],[Início]]</f>
        <v>1.2442129635019228E-2</v>
      </c>
    </row>
    <row r="360" spans="1:4">
      <c r="A360" t="s">
        <v>3706</v>
      </c>
      <c r="B360" s="652">
        <v>45701.419259259259</v>
      </c>
      <c r="C360" s="652">
        <v>45702.383252314816</v>
      </c>
      <c r="D360" s="651">
        <f>Tabela2[[#This Row],[Final]]-Tabela2[[#This Row],[Início]]</f>
        <v>0.96399305555678438</v>
      </c>
    </row>
    <row r="361" spans="1:4">
      <c r="A361" t="s">
        <v>3706</v>
      </c>
      <c r="B361" s="652">
        <v>45705.386365740742</v>
      </c>
      <c r="C361" s="652">
        <v>45706.731909722221</v>
      </c>
      <c r="D361" s="651">
        <f>Tabela2[[#This Row],[Final]]-Tabela2[[#This Row],[Início]]</f>
        <v>1.3455439814788406</v>
      </c>
    </row>
    <row r="362" spans="1:4">
      <c r="A362" t="s">
        <v>3706</v>
      </c>
      <c r="B362" s="652">
        <v>45707.33697916667</v>
      </c>
      <c r="C362" s="652"/>
      <c r="D362" s="651">
        <f>Tabela2[[#This Row],[Final]]-Tabela2[[#This Row],[Início]]</f>
        <v>-45707.33697916667</v>
      </c>
    </row>
    <row r="363" spans="1:4">
      <c r="A363" t="s">
        <v>3706</v>
      </c>
      <c r="B363" s="652">
        <v>45707.619432870371</v>
      </c>
      <c r="C363" s="652">
        <v>45707.786400462966</v>
      </c>
      <c r="D363" s="651">
        <f>Tabela2[[#This Row],[Final]]-Tabela2[[#This Row],[Início]]</f>
        <v>0.16696759259502869</v>
      </c>
    </row>
    <row r="364" spans="1:4">
      <c r="A364" t="s">
        <v>3706</v>
      </c>
      <c r="B364" s="652">
        <v>45708.46702546296</v>
      </c>
      <c r="C364" s="652">
        <v>45708.866435185184</v>
      </c>
      <c r="D364" s="651">
        <f>Tabela2[[#This Row],[Final]]-Tabela2[[#This Row],[Início]]</f>
        <v>0.39940972222393611</v>
      </c>
    </row>
    <row r="365" spans="1:4">
      <c r="A365" t="s">
        <v>3706</v>
      </c>
      <c r="B365" s="652">
        <v>45708.902858796297</v>
      </c>
      <c r="C365" s="652">
        <v>45708.917500000003</v>
      </c>
      <c r="D365" s="651">
        <f>Tabela2[[#This Row],[Final]]-Tabela2[[#This Row],[Início]]</f>
        <v>1.4641203706560191E-2</v>
      </c>
    </row>
    <row r="366" spans="1:4">
      <c r="A366" t="s">
        <v>3706</v>
      </c>
      <c r="B366" s="652">
        <v>45709.417222222219</v>
      </c>
      <c r="C366" s="652">
        <v>45709.886273148149</v>
      </c>
      <c r="D366" s="651">
        <f>Tabela2[[#This Row],[Final]]-Tabela2[[#This Row],[Início]]</f>
        <v>0.46905092593078734</v>
      </c>
    </row>
    <row r="367" spans="1:4">
      <c r="A367" t="s">
        <v>3706</v>
      </c>
      <c r="B367" s="652">
        <v>45712.388888888891</v>
      </c>
      <c r="C367" s="652">
        <v>45712.41</v>
      </c>
      <c r="D367" s="651">
        <f>Tabela2[[#This Row],[Final]]-Tabela2[[#This Row],[Início]]</f>
        <v>2.1111111112986691E-2</v>
      </c>
    </row>
    <row r="368" spans="1:4">
      <c r="A368" t="s">
        <v>3706</v>
      </c>
      <c r="B368" s="652">
        <v>45713.391805555555</v>
      </c>
      <c r="C368" s="652">
        <v>45713.40221064815</v>
      </c>
      <c r="D368" s="651">
        <f>Tabela2[[#This Row],[Final]]-Tabela2[[#This Row],[Início]]</f>
        <v>1.0405092594737653E-2</v>
      </c>
    </row>
    <row r="369" spans="1:4">
      <c r="A369" t="s">
        <v>3706</v>
      </c>
      <c r="B369" s="652">
        <v>45714.383634259262</v>
      </c>
      <c r="C369" s="652">
        <v>45714.541898148149</v>
      </c>
      <c r="D369" s="651">
        <f>Tabela2[[#This Row],[Final]]-Tabela2[[#This Row],[Início]]</f>
        <v>0.15826388888672227</v>
      </c>
    </row>
    <row r="370" spans="1:4">
      <c r="A370" t="s">
        <v>3706</v>
      </c>
      <c r="B370" s="652">
        <v>45715.838148148148</v>
      </c>
      <c r="C370" s="652">
        <v>45715.839490740742</v>
      </c>
      <c r="D370" s="651">
        <f>Tabela2[[#This Row],[Final]]-Tabela2[[#This Row],[Início]]</f>
        <v>1.3425925935734995E-3</v>
      </c>
    </row>
    <row r="371" spans="1:4">
      <c r="A371" t="s">
        <v>3706</v>
      </c>
      <c r="B371" s="652">
        <v>45715.855185185188</v>
      </c>
      <c r="C371" s="652">
        <v>45715.855497685188</v>
      </c>
      <c r="D371" s="651">
        <f>Tabela2[[#This Row],[Final]]-Tabela2[[#This Row],[Início]]</f>
        <v>3.125000002910383E-4</v>
      </c>
    </row>
    <row r="372" spans="1:4">
      <c r="A372" t="s">
        <v>3706</v>
      </c>
      <c r="B372" s="652">
        <v>45715.878958333335</v>
      </c>
      <c r="C372" s="652">
        <v>45719.372245370374</v>
      </c>
      <c r="D372" s="651">
        <f>Tabela2[[#This Row],[Final]]-Tabela2[[#This Row],[Início]]</f>
        <v>3.4932870370394085</v>
      </c>
    </row>
    <row r="373" spans="1:4">
      <c r="A373" t="s">
        <v>3706</v>
      </c>
      <c r="B373" s="652">
        <v>45722.704976851855</v>
      </c>
      <c r="C373" s="652">
        <v>45722.706944444442</v>
      </c>
      <c r="D373" s="651">
        <f>Tabela2[[#This Row],[Final]]-Tabela2[[#This Row],[Início]]</f>
        <v>1.9675925868796185E-3</v>
      </c>
    </row>
    <row r="374" spans="1:4">
      <c r="A374" t="s">
        <v>3706</v>
      </c>
      <c r="B374" s="652">
        <v>45723.666620370372</v>
      </c>
      <c r="C374" s="652">
        <v>45723.669525462959</v>
      </c>
      <c r="D374" s="651">
        <f>Tabela2[[#This Row],[Final]]-Tabela2[[#This Row],[Início]]</f>
        <v>2.9050925877527334E-3</v>
      </c>
    </row>
    <row r="375" spans="1:4">
      <c r="A375" t="s">
        <v>3706</v>
      </c>
      <c r="B375" s="652">
        <v>45726.400601851848</v>
      </c>
      <c r="C375" s="652">
        <v>45726.426701388889</v>
      </c>
      <c r="D375" s="651">
        <f>Tabela2[[#This Row],[Final]]-Tabela2[[#This Row],[Início]]</f>
        <v>2.6099537040863652E-2</v>
      </c>
    </row>
    <row r="376" spans="1:4">
      <c r="A376" t="s">
        <v>3706</v>
      </c>
      <c r="B376" s="652">
        <v>45727.332372685189</v>
      </c>
      <c r="C376" s="652"/>
      <c r="D376" s="651">
        <f>Tabela2[[#This Row],[Final]]-Tabela2[[#This Row],[Início]]</f>
        <v>-45727.332372685189</v>
      </c>
    </row>
    <row r="377" spans="1:4">
      <c r="A377" t="s">
        <v>3706</v>
      </c>
      <c r="B377" s="652">
        <v>45727.341284722221</v>
      </c>
      <c r="C377" s="652"/>
      <c r="D377" s="651">
        <f>Tabela2[[#This Row],[Final]]-Tabela2[[#This Row],[Início]]</f>
        <v>-45727.341284722221</v>
      </c>
    </row>
    <row r="378" spans="1:4">
      <c r="A378" t="s">
        <v>3706</v>
      </c>
      <c r="B378" s="652">
        <v>45728.939351851855</v>
      </c>
      <c r="C378" s="652">
        <v>45733.485069444447</v>
      </c>
      <c r="D378" s="651">
        <f>Tabela2[[#This Row],[Final]]-Tabela2[[#This Row],[Início]]</f>
        <v>4.5457175925912452</v>
      </c>
    </row>
    <row r="379" spans="1:4">
      <c r="A379" t="s">
        <v>3706</v>
      </c>
      <c r="B379" s="652">
        <v>45733.68546296296</v>
      </c>
      <c r="C379" s="652">
        <v>45733.703136574077</v>
      </c>
      <c r="D379" s="651">
        <f>Tabela2[[#This Row],[Final]]-Tabela2[[#This Row],[Início]]</f>
        <v>1.7673611117061228E-2</v>
      </c>
    </row>
    <row r="380" spans="1:4">
      <c r="A380" t="s">
        <v>3706</v>
      </c>
      <c r="B380" s="652">
        <v>45733.868113425924</v>
      </c>
      <c r="C380" s="652">
        <v>45736.521504629629</v>
      </c>
      <c r="D380" s="651">
        <f>Tabela2[[#This Row],[Final]]-Tabela2[[#This Row],[Início]]</f>
        <v>2.653391203704814</v>
      </c>
    </row>
    <row r="381" spans="1:4">
      <c r="A381" t="s">
        <v>3706</v>
      </c>
      <c r="B381" s="652">
        <v>45737.52003472222</v>
      </c>
      <c r="C381" s="652">
        <v>45737.528784722221</v>
      </c>
      <c r="D381" s="651">
        <f>Tabela2[[#This Row],[Final]]-Tabela2[[#This Row],[Início]]</f>
        <v>8.7500000008731149E-3</v>
      </c>
    </row>
    <row r="382" spans="1:4">
      <c r="A382" t="s">
        <v>3706</v>
      </c>
      <c r="B382" s="652">
        <v>45740.387256944443</v>
      </c>
      <c r="C382" s="652">
        <v>45740.661319444444</v>
      </c>
      <c r="D382" s="651">
        <f>Tabela2[[#This Row],[Final]]-Tabela2[[#This Row],[Início]]</f>
        <v>0.27406250000058208</v>
      </c>
    </row>
    <row r="383" spans="1:4">
      <c r="A383" t="s">
        <v>3706</v>
      </c>
      <c r="B383" s="652">
        <v>45741.571840277778</v>
      </c>
      <c r="C383" s="652">
        <v>45742.736793981479</v>
      </c>
      <c r="D383" s="651">
        <f>Tabela2[[#This Row],[Final]]-Tabela2[[#This Row],[Início]]</f>
        <v>1.1649537037010305</v>
      </c>
    </row>
    <row r="384" spans="1:4">
      <c r="A384" t="s">
        <v>3706</v>
      </c>
      <c r="B384" s="652">
        <v>45744.453796296293</v>
      </c>
      <c r="C384" s="652">
        <v>45744.780023148145</v>
      </c>
      <c r="D384" s="651">
        <f>Tabela2[[#This Row],[Final]]-Tabela2[[#This Row],[Início]]</f>
        <v>0.32622685185197042</v>
      </c>
    </row>
    <row r="385" spans="1:4">
      <c r="A385" t="s">
        <v>3706</v>
      </c>
      <c r="B385" s="652">
        <v>45747.394641203704</v>
      </c>
      <c r="C385" s="652"/>
      <c r="D385" s="651">
        <f>Tabela2[[#This Row],[Final]]-Tabela2[[#This Row],[Início]]</f>
        <v>-45747.394641203704</v>
      </c>
    </row>
    <row r="386" spans="1:4">
      <c r="A386" t="s">
        <v>3706</v>
      </c>
      <c r="B386" s="652">
        <v>45748.706261574072</v>
      </c>
      <c r="C386" s="652">
        <v>45754.634571759256</v>
      </c>
      <c r="D386" s="651">
        <f>Tabela2[[#This Row],[Final]]-Tabela2[[#This Row],[Início]]</f>
        <v>5.9283101851833635</v>
      </c>
    </row>
    <row r="387" spans="1:4">
      <c r="A387" t="s">
        <v>3706</v>
      </c>
      <c r="B387" s="652">
        <v>45755.406527777777</v>
      </c>
      <c r="C387" s="652">
        <v>45755.408518518518</v>
      </c>
      <c r="D387" s="651">
        <f>Tabela2[[#This Row],[Final]]-Tabela2[[#This Row],[Início]]</f>
        <v>1.9907407404389232E-3</v>
      </c>
    </row>
    <row r="388" spans="1:4">
      <c r="A388" t="s">
        <v>3706</v>
      </c>
      <c r="B388" s="652">
        <v>45755.581979166665</v>
      </c>
      <c r="C388" s="652">
        <v>45755.587870370371</v>
      </c>
      <c r="D388" s="651">
        <f>Tabela2[[#This Row],[Final]]-Tabela2[[#This Row],[Início]]</f>
        <v>5.8912037056870759E-3</v>
      </c>
    </row>
    <row r="389" spans="1:4">
      <c r="A389" t="s">
        <v>3706</v>
      </c>
      <c r="B389" s="652">
        <v>45755.589375000003</v>
      </c>
      <c r="C389" s="652">
        <v>45755.61650462963</v>
      </c>
      <c r="D389" s="651">
        <f>Tabela2[[#This Row],[Final]]-Tabela2[[#This Row],[Início]]</f>
        <v>2.7129629626870155E-2</v>
      </c>
    </row>
    <row r="390" spans="1:4">
      <c r="A390" t="s">
        <v>3706</v>
      </c>
      <c r="B390" s="652">
        <v>45755.746006944442</v>
      </c>
      <c r="C390" s="652">
        <v>45755.747789351852</v>
      </c>
      <c r="D390" s="651">
        <f>Tabela2[[#This Row],[Final]]-Tabela2[[#This Row],[Início]]</f>
        <v>1.7824074093368836E-3</v>
      </c>
    </row>
    <row r="391" spans="1:4">
      <c r="A391" t="s">
        <v>3706</v>
      </c>
      <c r="B391" s="652">
        <v>45755.762141203704</v>
      </c>
      <c r="C391" s="652">
        <v>45755.763171296298</v>
      </c>
      <c r="D391" s="651">
        <f>Tabela2[[#This Row],[Final]]-Tabela2[[#This Row],[Início]]</f>
        <v>1.0300925932824612E-3</v>
      </c>
    </row>
    <row r="392" spans="1:4">
      <c r="A392" t="s">
        <v>3706</v>
      </c>
      <c r="B392" s="652">
        <v>45756.378275462965</v>
      </c>
      <c r="C392" s="652"/>
      <c r="D392" s="651">
        <f>Tabela2[[#This Row],[Final]]-Tabela2[[#This Row],[Início]]</f>
        <v>-45756.378275462965</v>
      </c>
    </row>
    <row r="393" spans="1:4">
      <c r="A393" t="s">
        <v>3706</v>
      </c>
      <c r="B393" s="652">
        <v>45758.404224537036</v>
      </c>
      <c r="C393" s="652">
        <v>45762.853194444448</v>
      </c>
      <c r="D393" s="651">
        <f>Tabela2[[#This Row],[Final]]-Tabela2[[#This Row],[Início]]</f>
        <v>4.4489699074110831</v>
      </c>
    </row>
    <row r="394" spans="1:4">
      <c r="A394" t="s">
        <v>3706</v>
      </c>
      <c r="B394" s="652">
        <v>45763.814664351848</v>
      </c>
      <c r="C394" s="652"/>
      <c r="D394" s="651">
        <f>Tabela2[[#This Row],[Final]]-Tabela2[[#This Row],[Início]]</f>
        <v>-45763.814664351848</v>
      </c>
    </row>
    <row r="395" spans="1:4">
      <c r="A395" t="s">
        <v>3706</v>
      </c>
      <c r="B395" s="652">
        <v>45763.849652777775</v>
      </c>
      <c r="C395" s="652">
        <v>45763.850266203706</v>
      </c>
      <c r="D395" s="651">
        <f>Tabela2[[#This Row],[Final]]-Tabela2[[#This Row],[Início]]</f>
        <v>6.1342593107838184E-4</v>
      </c>
    </row>
    <row r="396" spans="1:4">
      <c r="A396" t="s">
        <v>3706</v>
      </c>
      <c r="B396" s="652">
        <v>45764.380694444444</v>
      </c>
      <c r="C396" s="652">
        <v>45765.496377314812</v>
      </c>
      <c r="D396" s="651">
        <f>Tabela2[[#This Row],[Final]]-Tabela2[[#This Row],[Início]]</f>
        <v>1.1156828703678912</v>
      </c>
    </row>
    <row r="397" spans="1:4">
      <c r="A397" t="s">
        <v>3706</v>
      </c>
      <c r="B397" s="652">
        <v>45771.376145833332</v>
      </c>
      <c r="C397" s="652">
        <v>45781.4215625</v>
      </c>
      <c r="D397" s="651">
        <f>Tabela2[[#This Row],[Final]]-Tabela2[[#This Row],[Início]]</f>
        <v>10.045416666667734</v>
      </c>
    </row>
    <row r="398" spans="1:4">
      <c r="A398" t="s">
        <v>3706</v>
      </c>
      <c r="B398" s="652">
        <v>45782.720219907409</v>
      </c>
      <c r="C398" s="652">
        <v>45782.726226851853</v>
      </c>
      <c r="D398" s="651">
        <f>Tabela2[[#This Row],[Final]]-Tabela2[[#This Row],[Início]]</f>
        <v>6.0069444443797693E-3</v>
      </c>
    </row>
    <row r="399" spans="1:4">
      <c r="A399" t="s">
        <v>3706</v>
      </c>
      <c r="B399" s="652">
        <v>45783.426412037035</v>
      </c>
      <c r="C399" s="652"/>
      <c r="D399" s="651">
        <f>Tabela2[[#This Row],[Final]]-Tabela2[[#This Row],[Início]]</f>
        <v>-45783.426412037035</v>
      </c>
    </row>
    <row r="400" spans="1:4">
      <c r="A400" t="s">
        <v>3706</v>
      </c>
      <c r="B400" s="652">
        <v>45785.37128472222</v>
      </c>
      <c r="C400" s="652"/>
      <c r="D400" s="651">
        <f>Tabela2[[#This Row],[Final]]-Tabela2[[#This Row],[Início]]</f>
        <v>-45785.37128472222</v>
      </c>
    </row>
    <row r="401" spans="1:4">
      <c r="A401" t="s">
        <v>3706</v>
      </c>
      <c r="B401" s="652">
        <v>45785.93550925926</v>
      </c>
      <c r="C401" s="652">
        <v>45786.457604166666</v>
      </c>
      <c r="D401" s="651">
        <f>Tabela2[[#This Row],[Final]]-Tabela2[[#This Row],[Início]]</f>
        <v>0.5220949074064265</v>
      </c>
    </row>
    <row r="402" spans="1:4">
      <c r="A402" t="s">
        <v>3706</v>
      </c>
      <c r="B402" s="652">
        <v>45786.498101851852</v>
      </c>
      <c r="C402" s="652">
        <v>45790.650636574072</v>
      </c>
      <c r="D402" s="651">
        <f>Tabela2[[#This Row],[Final]]-Tabela2[[#This Row],[Início]]</f>
        <v>4.1525347222195705</v>
      </c>
    </row>
    <row r="403" spans="1:4">
      <c r="A403" t="s">
        <v>3706</v>
      </c>
      <c r="B403" s="652">
        <v>45792.341064814813</v>
      </c>
      <c r="C403" s="652">
        <v>45797.625162037039</v>
      </c>
      <c r="D403" s="651">
        <f>Tabela2[[#This Row],[Final]]-Tabela2[[#This Row],[Início]]</f>
        <v>5.2840972222256823</v>
      </c>
    </row>
    <row r="404" spans="1:4">
      <c r="A404" t="s">
        <v>3706</v>
      </c>
      <c r="B404" s="652">
        <v>45799.378564814811</v>
      </c>
      <c r="C404" s="652">
        <v>45803.343356481484</v>
      </c>
      <c r="D404" s="651">
        <f>Tabela2[[#This Row],[Final]]-Tabela2[[#This Row],[Início]]</f>
        <v>3.9647916666726815</v>
      </c>
    </row>
    <row r="405" spans="1:4">
      <c r="A405" t="s">
        <v>3706</v>
      </c>
      <c r="B405" s="652">
        <v>45803.380752314813</v>
      </c>
      <c r="C405" s="652">
        <v>45803.380833333336</v>
      </c>
      <c r="D405" s="651">
        <f>Tabela2[[#This Row],[Final]]-Tabela2[[#This Row],[Início]]</f>
        <v>8.101852290565148E-5</v>
      </c>
    </row>
    <row r="406" spans="1:4">
      <c r="A406" t="s">
        <v>3706</v>
      </c>
      <c r="B406" s="652">
        <v>45803.381122685183</v>
      </c>
      <c r="C406" s="652"/>
      <c r="D406" s="651">
        <f>Tabela2[[#This Row],[Final]]-Tabela2[[#This Row],[Início]]</f>
        <v>-45803.381122685183</v>
      </c>
    </row>
    <row r="407" spans="1:4">
      <c r="A407" t="s">
        <v>3706</v>
      </c>
      <c r="B407" s="652">
        <v>45807.392025462963</v>
      </c>
      <c r="C407" s="652"/>
      <c r="D407" s="651">
        <f>Tabela2[[#This Row],[Final]]-Tabela2[[#This Row],[Início]]</f>
        <v>-45807.392025462963</v>
      </c>
    </row>
    <row r="408" spans="1:4">
      <c r="A408" t="s">
        <v>3706</v>
      </c>
      <c r="B408" s="652">
        <v>45808.94021990741</v>
      </c>
      <c r="C408" s="652">
        <v>45814.793090277781</v>
      </c>
      <c r="D408" s="651">
        <f>Tabela2[[#This Row],[Final]]-Tabela2[[#This Row],[Início]]</f>
        <v>5.8528703703705105</v>
      </c>
    </row>
    <row r="409" spans="1:4">
      <c r="A409" t="s">
        <v>3706</v>
      </c>
      <c r="B409" s="652">
        <v>45817.394571759258</v>
      </c>
      <c r="C409" s="652">
        <v>45817.396145833336</v>
      </c>
      <c r="D409" s="651">
        <f>Tabela2[[#This Row],[Final]]-Tabela2[[#This Row],[Início]]</f>
        <v>1.5740740782348439E-3</v>
      </c>
    </row>
    <row r="410" spans="1:4">
      <c r="A410" t="s">
        <v>3706</v>
      </c>
      <c r="B410" s="652">
        <v>45817.396435185183</v>
      </c>
      <c r="C410" s="652">
        <v>45819.381504629629</v>
      </c>
      <c r="D410" s="651">
        <f>Tabela2[[#This Row],[Final]]-Tabela2[[#This Row],[Início]]</f>
        <v>1.9850694444467081</v>
      </c>
    </row>
    <row r="411" spans="1:4">
      <c r="A411" t="s">
        <v>3706</v>
      </c>
      <c r="B411" s="652">
        <v>45819.382060185184</v>
      </c>
      <c r="C411" s="652"/>
      <c r="D411" s="651">
        <f>Tabela2[[#This Row],[Final]]-Tabela2[[#This Row],[Início]]</f>
        <v>-45819.382060185184</v>
      </c>
    </row>
    <row r="412" spans="1:4">
      <c r="A412" t="s">
        <v>3706</v>
      </c>
      <c r="B412" s="652">
        <v>45821.380474537036</v>
      </c>
      <c r="C412" s="652"/>
      <c r="D412" s="651">
        <f>Tabela2[[#This Row],[Final]]-Tabela2[[#This Row],[Início]]</f>
        <v>-45821.380474537036</v>
      </c>
    </row>
    <row r="413" spans="1:4">
      <c r="A413" t="s">
        <v>3706</v>
      </c>
      <c r="B413" s="652">
        <v>45823.374803240738</v>
      </c>
      <c r="C413" s="652">
        <v>45833.642928240741</v>
      </c>
      <c r="D413" s="651">
        <f>Tabela2[[#This Row],[Final]]-Tabela2[[#This Row],[Início]]</f>
        <v>10.268125000002328</v>
      </c>
    </row>
    <row r="414" spans="1:4">
      <c r="A414" t="s">
        <v>3706</v>
      </c>
      <c r="B414" s="652">
        <v>45833.709814814814</v>
      </c>
      <c r="C414" s="652">
        <v>45833.711134259262</v>
      </c>
      <c r="D414" s="651">
        <f>Tabela2[[#This Row],[Final]]-Tabela2[[#This Row],[Início]]</f>
        <v>1.3194444472901523E-3</v>
      </c>
    </row>
    <row r="415" spans="1:4">
      <c r="A415" t="s">
        <v>3706</v>
      </c>
      <c r="B415" s="652">
        <v>45833.714282407411</v>
      </c>
      <c r="C415" s="652">
        <v>45837.395266203705</v>
      </c>
      <c r="D415" s="651">
        <f>Tabela2[[#This Row],[Final]]-Tabela2[[#This Row],[Início]]</f>
        <v>3.6809837962937308</v>
      </c>
    </row>
    <row r="416" spans="1:4">
      <c r="A416" t="s">
        <v>3706</v>
      </c>
      <c r="B416" s="652">
        <v>45838.434293981481</v>
      </c>
      <c r="C416" s="652">
        <v>45839.410462962966</v>
      </c>
      <c r="D416" s="651">
        <f>Tabela2[[#This Row],[Final]]-Tabela2[[#This Row],[Início]]</f>
        <v>0.97616898148407927</v>
      </c>
    </row>
    <row r="417" spans="1:4">
      <c r="A417" t="s">
        <v>3706</v>
      </c>
      <c r="B417" s="652">
        <v>45839.412118055552</v>
      </c>
      <c r="C417" s="652">
        <v>45840.636238425926</v>
      </c>
      <c r="D417" s="651">
        <f>Tabela2[[#This Row],[Final]]-Tabela2[[#This Row],[Início]]</f>
        <v>1.224120370374294</v>
      </c>
    </row>
    <row r="418" spans="1:4">
      <c r="A418" t="s">
        <v>3706</v>
      </c>
      <c r="B418" s="652">
        <v>45845.389641203707</v>
      </c>
      <c r="C418" s="652"/>
      <c r="D418" s="651">
        <f>Tabela2[[#This Row],[Final]]-Tabela2[[#This Row],[Início]]</f>
        <v>-45845.389641203707</v>
      </c>
    </row>
    <row r="419" spans="1:4">
      <c r="A419" t="s">
        <v>3706</v>
      </c>
      <c r="B419" s="652">
        <v>45847.075613425928</v>
      </c>
      <c r="C419" s="652"/>
      <c r="D419" s="651">
        <f>Tabela2[[#This Row],[Final]]-Tabela2[[#This Row],[Início]]</f>
        <v>-45847.075613425928</v>
      </c>
    </row>
    <row r="420" spans="1:4">
      <c r="A420" t="s">
        <v>3706</v>
      </c>
      <c r="B420" s="652">
        <v>45852.392696759256</v>
      </c>
      <c r="C420" s="652"/>
      <c r="D420" s="651">
        <f>Tabela2[[#This Row],[Final]]-Tabela2[[#This Row],[Início]]</f>
        <v>-45852.392696759256</v>
      </c>
    </row>
    <row r="421" spans="1:4">
      <c r="A421" t="s">
        <v>3706</v>
      </c>
      <c r="B421" s="652">
        <v>45860.366643518515</v>
      </c>
      <c r="C421" s="652">
        <v>45861.690636574072</v>
      </c>
      <c r="D421" s="651">
        <f>Tabela2[[#This Row],[Final]]-Tabela2[[#This Row],[Início]]</f>
        <v>1.3239930555573665</v>
      </c>
    </row>
    <row r="422" spans="1:4">
      <c r="A422" t="s">
        <v>3706</v>
      </c>
      <c r="B422" s="652">
        <v>45862.397453703707</v>
      </c>
      <c r="C422" s="652"/>
      <c r="D422" s="651">
        <f>Tabela2[[#This Row],[Final]]-Tabela2[[#This Row],[Início]]</f>
        <v>-45862.397453703707</v>
      </c>
    </row>
    <row r="423" spans="1:4">
      <c r="A423" s="924" t="s">
        <v>3706</v>
      </c>
      <c r="B423" s="925">
        <v>45863.098287037035</v>
      </c>
      <c r="C423" s="925"/>
      <c r="D423" s="926">
        <f>Tabela2[[#This Row],[Final]]-Tabela2[[#This Row],[Início]]</f>
        <v>-45863.098287037035</v>
      </c>
    </row>
  </sheetData>
  <mergeCells count="1">
    <mergeCell ref="A1:C1"/>
  </mergeCells>
  <pageMargins left="0.511811024" right="0.511811024" top="0.78740157499999996" bottom="0.78740157499999996" header="0.31496062000000002" footer="0.31496062000000002"/>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08A0E-F75D-4D4D-973E-6DA6D7665367}">
  <sheetPr codeName="Planilha21"/>
  <dimension ref="A2:R49"/>
  <sheetViews>
    <sheetView workbookViewId="0">
      <selection activeCell="E19" sqref="E19"/>
    </sheetView>
  </sheetViews>
  <sheetFormatPr defaultRowHeight="15"/>
  <cols>
    <col min="1" max="1" width="17.42578125" bestFit="1" customWidth="1"/>
    <col min="2" max="2" width="17.7109375" bestFit="1" customWidth="1"/>
    <col min="3" max="3" width="10.7109375" customWidth="1"/>
    <col min="4" max="5" width="20.7109375" bestFit="1" customWidth="1"/>
    <col min="6" max="6" width="19.42578125" bestFit="1" customWidth="1"/>
    <col min="7" max="7" width="14.42578125" bestFit="1" customWidth="1"/>
    <col min="8" max="8" width="13.42578125" bestFit="1" customWidth="1"/>
    <col min="9" max="9" width="2.140625" customWidth="1"/>
    <col min="10" max="10" width="13.28515625" bestFit="1" customWidth="1"/>
    <col min="11" max="11" width="17.7109375" bestFit="1" customWidth="1"/>
    <col min="12" max="12" width="2.140625" customWidth="1"/>
    <col min="13" max="13" width="17.42578125" bestFit="1" customWidth="1"/>
    <col min="14" max="14" width="28.28515625" bestFit="1" customWidth="1"/>
    <col min="15" max="15" width="13.42578125" bestFit="1" customWidth="1"/>
    <col min="16" max="16" width="2.140625" customWidth="1"/>
    <col min="17" max="17" width="17.42578125" bestFit="1" customWidth="1"/>
    <col min="18" max="18" width="13.42578125" bestFit="1" customWidth="1"/>
  </cols>
  <sheetData>
    <row r="2" spans="1:18">
      <c r="A2" s="580" t="s">
        <v>23</v>
      </c>
      <c r="B2" t="s">
        <v>24</v>
      </c>
      <c r="E2" s="580" t="s">
        <v>23</v>
      </c>
      <c r="F2" t="s">
        <v>25</v>
      </c>
      <c r="H2" t="s">
        <v>26</v>
      </c>
      <c r="J2" t="s">
        <v>27</v>
      </c>
      <c r="M2" s="580" t="s">
        <v>23</v>
      </c>
      <c r="N2" t="s">
        <v>28</v>
      </c>
      <c r="Q2" s="580" t="s">
        <v>23</v>
      </c>
      <c r="R2" t="s">
        <v>24</v>
      </c>
    </row>
    <row r="3" spans="1:18">
      <c r="A3" s="87" t="s">
        <v>29</v>
      </c>
      <c r="B3">
        <v>21</v>
      </c>
      <c r="C3" t="e">
        <f>GETPIVOTDATA("Etapa",$A$2,"Etapa","Novo LEAD")+C4</f>
        <v>#REF!</v>
      </c>
      <c r="D3">
        <f>GETPIVOTDATA("Etapa",$A$2,"Etapa","Novo LEAD")</f>
        <v>21</v>
      </c>
      <c r="E3" s="87" t="s">
        <v>30</v>
      </c>
      <c r="H3" s="485">
        <v>30874.513571428572</v>
      </c>
      <c r="J3">
        <v>196.72000000000003</v>
      </c>
      <c r="M3" s="87" t="s">
        <v>31</v>
      </c>
      <c r="Q3" s="87" t="s">
        <v>32</v>
      </c>
      <c r="R3">
        <v>30</v>
      </c>
    </row>
    <row r="4" spans="1:18">
      <c r="A4" s="87" t="s">
        <v>33</v>
      </c>
      <c r="B4">
        <v>22</v>
      </c>
      <c r="C4" t="e">
        <f>GETPIVOTDATA("Etapa",$A$2,"Etapa","Pré-Proposta")+C5</f>
        <v>#REF!</v>
      </c>
      <c r="E4" s="87" t="s">
        <v>34</v>
      </c>
      <c r="F4">
        <v>1</v>
      </c>
      <c r="M4" s="87" t="s">
        <v>35</v>
      </c>
      <c r="N4">
        <v>3</v>
      </c>
      <c r="Q4" s="87" t="s">
        <v>36</v>
      </c>
      <c r="R4">
        <v>11</v>
      </c>
    </row>
    <row r="5" spans="1:18">
      <c r="A5" s="87" t="s">
        <v>37</v>
      </c>
      <c r="B5">
        <v>4</v>
      </c>
      <c r="C5" t="e">
        <f>GETPIVOTDATA("Etapa",$A$2,"Etapa","Visita Téc.")+C6</f>
        <v>#REF!</v>
      </c>
      <c r="E5" s="87" t="s">
        <v>38</v>
      </c>
      <c r="F5">
        <v>1</v>
      </c>
      <c r="H5" t="s">
        <v>39</v>
      </c>
      <c r="J5" t="s">
        <v>40</v>
      </c>
      <c r="M5" s="87" t="s">
        <v>41</v>
      </c>
      <c r="N5">
        <v>8</v>
      </c>
      <c r="Q5" s="87" t="s">
        <v>42</v>
      </c>
      <c r="R5">
        <v>109</v>
      </c>
    </row>
    <row r="6" spans="1:18">
      <c r="A6" s="87" t="s">
        <v>43</v>
      </c>
      <c r="B6">
        <v>3</v>
      </c>
      <c r="C6" t="e">
        <f>GETPIVOTDATA("Etapa",$A$2,"Etapa","Projeto")+C7</f>
        <v>#REF!</v>
      </c>
      <c r="E6" s="87" t="s">
        <v>44</v>
      </c>
      <c r="F6">
        <v>2</v>
      </c>
      <c r="H6" s="485">
        <v>864486.38</v>
      </c>
      <c r="J6" s="357">
        <v>7.0257142857142867</v>
      </c>
      <c r="M6" s="87" t="s">
        <v>45</v>
      </c>
      <c r="N6">
        <v>5</v>
      </c>
      <c r="Q6" s="87" t="s">
        <v>30</v>
      </c>
    </row>
    <row r="7" spans="1:18">
      <c r="A7" s="87" t="s">
        <v>32</v>
      </c>
      <c r="B7">
        <v>30</v>
      </c>
      <c r="C7" t="e">
        <f>GETPIVOTDATA("Etapa",$A$2,"Etapa","Fechamento")</f>
        <v>#REF!</v>
      </c>
      <c r="E7" s="87" t="s">
        <v>46</v>
      </c>
      <c r="F7">
        <v>8</v>
      </c>
      <c r="M7" s="87" t="s">
        <v>47</v>
      </c>
      <c r="N7">
        <v>8</v>
      </c>
      <c r="Q7" s="87" t="s">
        <v>29</v>
      </c>
      <c r="R7">
        <v>21</v>
      </c>
    </row>
    <row r="8" spans="1:18">
      <c r="A8" s="87" t="s">
        <v>42</v>
      </c>
      <c r="B8">
        <v>109</v>
      </c>
      <c r="E8" s="87" t="s">
        <v>48</v>
      </c>
      <c r="F8">
        <v>9</v>
      </c>
      <c r="M8" s="87" t="s">
        <v>49</v>
      </c>
      <c r="N8">
        <v>8</v>
      </c>
      <c r="Q8" s="87" t="s">
        <v>33</v>
      </c>
      <c r="R8">
        <v>22</v>
      </c>
    </row>
    <row r="9" spans="1:18">
      <c r="A9" s="87" t="s">
        <v>36</v>
      </c>
      <c r="B9">
        <v>11</v>
      </c>
      <c r="E9" s="87" t="s">
        <v>50</v>
      </c>
      <c r="F9">
        <v>20</v>
      </c>
      <c r="M9" s="87" t="s">
        <v>51</v>
      </c>
      <c r="N9">
        <v>15</v>
      </c>
      <c r="Q9" s="87" t="s">
        <v>37</v>
      </c>
      <c r="R9">
        <v>4</v>
      </c>
    </row>
    <row r="10" spans="1:18">
      <c r="A10" s="87" t="s">
        <v>30</v>
      </c>
      <c r="E10" s="87" t="s">
        <v>52</v>
      </c>
      <c r="F10">
        <v>29</v>
      </c>
      <c r="M10" s="87" t="s">
        <v>53</v>
      </c>
      <c r="N10">
        <v>10</v>
      </c>
      <c r="Q10" s="87" t="s">
        <v>43</v>
      </c>
      <c r="R10">
        <v>3</v>
      </c>
    </row>
    <row r="11" spans="1:18">
      <c r="A11" s="87" t="s">
        <v>54</v>
      </c>
      <c r="B11">
        <v>2</v>
      </c>
      <c r="E11" s="87" t="s">
        <v>55</v>
      </c>
      <c r="F11">
        <v>36</v>
      </c>
      <c r="M11" s="87" t="s">
        <v>56</v>
      </c>
      <c r="N11">
        <v>30</v>
      </c>
      <c r="Q11" s="87" t="s">
        <v>54</v>
      </c>
      <c r="R11">
        <v>2</v>
      </c>
    </row>
    <row r="12" spans="1:18">
      <c r="A12" s="87" t="s">
        <v>57</v>
      </c>
      <c r="B12">
        <v>3</v>
      </c>
      <c r="E12" s="87" t="s">
        <v>58</v>
      </c>
      <c r="F12">
        <v>50</v>
      </c>
      <c r="M12" s="87" t="s">
        <v>59</v>
      </c>
      <c r="N12">
        <v>17</v>
      </c>
      <c r="Q12" s="87" t="s">
        <v>57</v>
      </c>
      <c r="R12">
        <v>3</v>
      </c>
    </row>
    <row r="13" spans="1:18">
      <c r="A13" s="87" t="s">
        <v>60</v>
      </c>
      <c r="B13">
        <v>205</v>
      </c>
      <c r="E13" s="87" t="s">
        <v>61</v>
      </c>
      <c r="F13">
        <v>53</v>
      </c>
      <c r="M13" s="87" t="s">
        <v>62</v>
      </c>
      <c r="N13">
        <v>16</v>
      </c>
      <c r="Q13" s="87" t="s">
        <v>60</v>
      </c>
      <c r="R13">
        <v>205</v>
      </c>
    </row>
    <row r="14" spans="1:18">
      <c r="E14" s="87" t="s">
        <v>60</v>
      </c>
      <c r="F14">
        <v>209</v>
      </c>
      <c r="M14" s="87" t="s">
        <v>63</v>
      </c>
      <c r="N14">
        <v>13</v>
      </c>
      <c r="Q14" s="580" t="s">
        <v>23</v>
      </c>
      <c r="R14" t="s">
        <v>39</v>
      </c>
    </row>
    <row r="15" spans="1:18">
      <c r="M15" s="87" t="s">
        <v>64</v>
      </c>
      <c r="N15">
        <v>11</v>
      </c>
      <c r="Q15" s="87" t="s">
        <v>31</v>
      </c>
      <c r="R15" s="485"/>
    </row>
    <row r="16" spans="1:18">
      <c r="M16" s="87" t="s">
        <v>60</v>
      </c>
      <c r="N16">
        <v>144</v>
      </c>
      <c r="Q16" s="87" t="s">
        <v>35</v>
      </c>
      <c r="R16" s="485">
        <v>95980</v>
      </c>
    </row>
    <row r="17" spans="1:18">
      <c r="A17" s="581" t="s">
        <v>65</v>
      </c>
      <c r="Q17" s="87" t="s">
        <v>41</v>
      </c>
      <c r="R17" s="485">
        <v>51219.93</v>
      </c>
    </row>
    <row r="18" spans="1:18">
      <c r="A18" s="301" t="s">
        <v>29</v>
      </c>
      <c r="B18">
        <f>_xlfn.XLOOKUP(A18,$A$1:$A$15,$B$1:$B$15,0,0)</f>
        <v>21</v>
      </c>
      <c r="Q18" s="87" t="s">
        <v>45</v>
      </c>
      <c r="R18" s="485">
        <v>22600</v>
      </c>
    </row>
    <row r="19" spans="1:18">
      <c r="A19" s="302" t="s">
        <v>33</v>
      </c>
      <c r="B19">
        <f t="shared" ref="B19:B25" si="0">_xlfn.XLOOKUP(A19,$A$1:$A$15,$B$1:$B$15,0,0)</f>
        <v>22</v>
      </c>
      <c r="Q19" s="87" t="s">
        <v>47</v>
      </c>
      <c r="R19" s="485">
        <v>33117.11</v>
      </c>
    </row>
    <row r="20" spans="1:18">
      <c r="A20" s="302" t="s">
        <v>37</v>
      </c>
      <c r="B20">
        <f t="shared" si="0"/>
        <v>4</v>
      </c>
      <c r="Q20" s="87" t="s">
        <v>49</v>
      </c>
      <c r="R20" s="485">
        <v>75000</v>
      </c>
    </row>
    <row r="21" spans="1:18">
      <c r="A21" s="302" t="s">
        <v>43</v>
      </c>
      <c r="B21">
        <f t="shared" si="0"/>
        <v>3</v>
      </c>
      <c r="Q21" s="87" t="s">
        <v>51</v>
      </c>
      <c r="R21" s="485"/>
    </row>
    <row r="22" spans="1:18">
      <c r="A22" s="302" t="s">
        <v>66</v>
      </c>
      <c r="B22">
        <f t="shared" si="0"/>
        <v>0</v>
      </c>
      <c r="Q22" s="87" t="s">
        <v>53</v>
      </c>
      <c r="R22" s="485">
        <v>78715.360000000001</v>
      </c>
    </row>
    <row r="23" spans="1:18">
      <c r="A23" s="301" t="s">
        <v>32</v>
      </c>
      <c r="B23">
        <f t="shared" si="0"/>
        <v>30</v>
      </c>
      <c r="M23" t="s">
        <v>67</v>
      </c>
      <c r="N23" t="str">
        <f>TEXT(GETPIVOTDATA("Valor",Dash!$H$5)/1000,"R$#.###k")</f>
        <v>R$864k</v>
      </c>
      <c r="Q23" s="87" t="s">
        <v>56</v>
      </c>
      <c r="R23" s="485">
        <v>145900</v>
      </c>
    </row>
    <row r="24" spans="1:18">
      <c r="A24" s="302" t="s">
        <v>42</v>
      </c>
      <c r="B24">
        <f t="shared" si="0"/>
        <v>109</v>
      </c>
      <c r="M24" t="s">
        <v>68</v>
      </c>
      <c r="N24" t="str">
        <f>TEXT(GETPIVOTDATA("Valor",Dash!$H$2)/1000,"R$#.###k")</f>
        <v>R$31k</v>
      </c>
      <c r="Q24" s="87" t="s">
        <v>59</v>
      </c>
      <c r="R24" s="485">
        <v>84884.06</v>
      </c>
    </row>
    <row r="25" spans="1:18">
      <c r="A25" s="303" t="s">
        <v>36</v>
      </c>
      <c r="B25">
        <f t="shared" si="0"/>
        <v>11</v>
      </c>
      <c r="M25" t="s">
        <v>69</v>
      </c>
      <c r="N25" s="17">
        <f>GETPIVOTDATA("Pot.",Dash!$J$5)</f>
        <v>7.0257142857142867</v>
      </c>
      <c r="Q25" s="87" t="s">
        <v>62</v>
      </c>
      <c r="R25" s="485">
        <v>40500</v>
      </c>
    </row>
    <row r="26" spans="1:18">
      <c r="A26" s="302" t="s">
        <v>70</v>
      </c>
      <c r="B26">
        <f>_xlfn.XLOOKUP("Total Geral",$A$1:$A$15,$B$1:$B$15,0,0)</f>
        <v>205</v>
      </c>
      <c r="M26" t="s">
        <v>71</v>
      </c>
      <c r="N26" s="17">
        <f>GETPIVOTDATA("Pot.",Dash!$J$2)</f>
        <v>196.72000000000003</v>
      </c>
      <c r="Q26" s="87" t="s">
        <v>63</v>
      </c>
      <c r="R26" s="485">
        <v>130300</v>
      </c>
    </row>
    <row r="27" spans="1:18">
      <c r="A27" s="303" t="s">
        <v>72</v>
      </c>
      <c r="B27" s="29">
        <f>B23/B26</f>
        <v>0.14634146341463414</v>
      </c>
      <c r="Q27" s="87" t="s">
        <v>64</v>
      </c>
      <c r="R27" s="485">
        <v>106269.92</v>
      </c>
    </row>
    <row r="29" spans="1:18">
      <c r="B29" t="s">
        <v>73</v>
      </c>
    </row>
    <row r="30" spans="1:18">
      <c r="A30" t="s">
        <v>74</v>
      </c>
      <c r="B30" t="s">
        <v>75</v>
      </c>
      <c r="C30" t="s">
        <v>76</v>
      </c>
    </row>
    <row r="31" spans="1:18">
      <c r="A31" t="str">
        <f t="shared" ref="A31:A35" si="1">IF(C31="-","&gt; "&amp;B31&amp;"kWp",B31&amp;" - "&amp;C31&amp;"kWp")</f>
        <v>0 - 4kWp</v>
      </c>
      <c r="B31">
        <v>0</v>
      </c>
      <c r="C31">
        <v>4</v>
      </c>
      <c r="D31">
        <f>IF(C31="-",COUNTIF(PROSPECTOS[Pot.],"&gt;="&amp;Dash!B31),COUNTIFS(PROSPECTOS[Pot.],"&gt;="&amp;Dash!B31,PROSPECTOS[Pot.],"&lt;"&amp;Dash!C31))</f>
        <v>20</v>
      </c>
    </row>
    <row r="32" spans="1:18">
      <c r="A32" t="str">
        <f t="shared" si="1"/>
        <v>4 - 8kWp</v>
      </c>
      <c r="B32">
        <v>4</v>
      </c>
      <c r="C32">
        <v>8</v>
      </c>
      <c r="D32">
        <f>IF(C32="-",COUNTIF(PROSPECTOS[Pot.],"&gt;="&amp;Dash!B32),COUNTIFS(PROSPECTOS[Pot.],"&gt;="&amp;Dash!B32,PROSPECTOS[Pot.],"&lt;"&amp;Dash!C32))</f>
        <v>40</v>
      </c>
    </row>
    <row r="33" spans="1:4">
      <c r="A33" t="str">
        <f t="shared" si="1"/>
        <v>10 - 12kWp</v>
      </c>
      <c r="B33">
        <v>10</v>
      </c>
      <c r="C33">
        <v>12</v>
      </c>
      <c r="D33">
        <f>IF(C33="-",COUNTIF(PROSPECTOS[Pot.],"&gt;="&amp;Dash!B33),COUNTIFS(PROSPECTOS[Pot.],"&gt;="&amp;Dash!B33,PROSPECTOS[Pot.],"&lt;"&amp;Dash!C33))</f>
        <v>7</v>
      </c>
    </row>
    <row r="34" spans="1:4">
      <c r="A34" t="str">
        <f t="shared" si="1"/>
        <v>12 - 20kWp</v>
      </c>
      <c r="B34">
        <v>12</v>
      </c>
      <c r="C34">
        <v>20</v>
      </c>
      <c r="D34">
        <f>IF(C34="-",COUNTIF(PROSPECTOS[Pot.],"&gt;="&amp;Dash!B34),COUNTIFS(PROSPECTOS[Pot.],"&gt;="&amp;Dash!B34,PROSPECTOS[Pot.],"&lt;"&amp;Dash!C34))</f>
        <v>8</v>
      </c>
    </row>
    <row r="35" spans="1:4">
      <c r="A35" t="str">
        <f t="shared" si="1"/>
        <v>20 - 40kWp</v>
      </c>
      <c r="B35">
        <v>20</v>
      </c>
      <c r="C35">
        <v>40</v>
      </c>
      <c r="D35">
        <f>IF(C35="-",COUNTIF(PROSPECTOS[Pot.],"&gt;="&amp;Dash!B35),COUNTIFS(PROSPECTOS[Pot.],"&gt;="&amp;Dash!B35,PROSPECTOS[Pot.],"&lt;"&amp;Dash!C35))</f>
        <v>9</v>
      </c>
    </row>
    <row r="36" spans="1:4">
      <c r="A36" t="str">
        <f>IF(C36="-","&gt; "&amp;B36&amp;"kWp",B36&amp;" - "&amp;C36&amp;"kWp")</f>
        <v>&gt; 40kWp</v>
      </c>
      <c r="B36">
        <v>40</v>
      </c>
      <c r="C36" t="s">
        <v>77</v>
      </c>
      <c r="D36">
        <f>IF(C36="-",COUNTIF(PROSPECTOS[Pot.],"&gt;="&amp;Dash!B36),COUNTIFS(PROSPECTOS[Pot.],"&gt;="&amp;Dash!B36,PROSPECTOS[Pot.],"&lt;"&amp;Dash!C36))</f>
        <v>6</v>
      </c>
    </row>
    <row r="39" spans="1:4">
      <c r="A39" t="s">
        <v>78</v>
      </c>
    </row>
    <row r="41" spans="1:4">
      <c r="A41" t="s">
        <v>74</v>
      </c>
      <c r="B41" t="s">
        <v>75</v>
      </c>
      <c r="C41" t="s">
        <v>76</v>
      </c>
    </row>
    <row r="42" spans="1:4">
      <c r="A42" t="str">
        <f>IF(C42="-","&gt; "&amp;TEXT(B42,"#.000")&amp;"kWh",TEXT(B42,"#.000")&amp;" - "&amp;TEXT(C42,"#.000")&amp;"kWh")</f>
        <v>000 - 300kWh</v>
      </c>
      <c r="B42">
        <v>0</v>
      </c>
      <c r="C42">
        <v>300</v>
      </c>
      <c r="D42">
        <f>IF(C42="-",COUNTIF(PROSPECTOS[Consumo médio],"&gt;="&amp;Dash!B42),COUNTIFS(PROSPECTOS[Consumo médio],"&gt;="&amp;Dash!B42,PROSPECTOS[Consumo médio],"&lt;"&amp;Dash!C42))</f>
        <v>9</v>
      </c>
    </row>
    <row r="43" spans="1:4">
      <c r="A43" t="str">
        <f t="shared" ref="A43:A49" si="2">IF(C43="-","&gt; "&amp;TEXT(B43,"#.000")&amp;"kWh",TEXT(B43,"#.000")&amp;" - "&amp;TEXT(C43,"#.000")&amp;"kWh")</f>
        <v>300 - 600kWh</v>
      </c>
      <c r="B43">
        <v>300</v>
      </c>
      <c r="C43">
        <v>600</v>
      </c>
      <c r="D43">
        <f>IF(C43="-",COUNTIF(PROSPECTOS[Consumo médio],"&gt;="&amp;Dash!B43),COUNTIFS(PROSPECTOS[Consumo médio],"&gt;="&amp;Dash!B43,PROSPECTOS[Consumo médio],"&lt;"&amp;Dash!C43))</f>
        <v>54</v>
      </c>
    </row>
    <row r="44" spans="1:4">
      <c r="A44" t="str">
        <f t="shared" si="2"/>
        <v>600 - 1.000kWh</v>
      </c>
      <c r="B44">
        <v>600</v>
      </c>
      <c r="C44">
        <v>1000</v>
      </c>
      <c r="D44">
        <f>IF(C44="-",COUNTIF(PROSPECTOS[Consumo médio],"&gt;="&amp;Dash!B44),COUNTIFS(PROSPECTOS[Consumo médio],"&gt;="&amp;Dash!B44,PROSPECTOS[Consumo médio],"&lt;"&amp;Dash!C44))</f>
        <v>54</v>
      </c>
    </row>
    <row r="45" spans="1:4">
      <c r="A45" t="str">
        <f t="shared" si="2"/>
        <v>1.000 - 1.500kWh</v>
      </c>
      <c r="B45">
        <v>1000</v>
      </c>
      <c r="C45">
        <v>1500</v>
      </c>
      <c r="D45">
        <f>IF(C45="-",COUNTIF(PROSPECTOS[Consumo médio],"&gt;="&amp;Dash!B45),COUNTIFS(PROSPECTOS[Consumo médio],"&gt;="&amp;Dash!B45,PROSPECTOS[Consumo médio],"&lt;"&amp;Dash!C45))</f>
        <v>21</v>
      </c>
    </row>
    <row r="46" spans="1:4">
      <c r="A46" t="str">
        <f t="shared" si="2"/>
        <v>1.500 - 3.500kWh</v>
      </c>
      <c r="B46">
        <v>1500</v>
      </c>
      <c r="C46">
        <v>3500</v>
      </c>
      <c r="D46">
        <f>IF(C46="-",COUNTIF(PROSPECTOS[Consumo médio],"&gt;="&amp;Dash!B46),COUNTIFS(PROSPECTOS[Consumo médio],"&gt;="&amp;Dash!B46,PROSPECTOS[Consumo médio],"&lt;"&amp;Dash!C46))</f>
        <v>14</v>
      </c>
    </row>
    <row r="47" spans="1:4">
      <c r="A47" t="str">
        <f t="shared" si="2"/>
        <v>3.500 - 7.000kWh</v>
      </c>
      <c r="B47">
        <v>3500</v>
      </c>
      <c r="C47">
        <v>7000</v>
      </c>
      <c r="D47">
        <f>IF(C47="-",COUNTIF(PROSPECTOS[Consumo médio],"&gt;="&amp;Dash!B47),COUNTIFS(PROSPECTOS[Consumo médio],"&gt;="&amp;Dash!B47,PROSPECTOS[Consumo médio],"&lt;"&amp;Dash!C47))</f>
        <v>9</v>
      </c>
    </row>
    <row r="48" spans="1:4">
      <c r="A48" t="str">
        <f t="shared" si="2"/>
        <v>7.000 - 12.000kWh</v>
      </c>
      <c r="B48">
        <v>7000</v>
      </c>
      <c r="C48">
        <v>12000</v>
      </c>
      <c r="D48">
        <f>IF(C48="-",COUNTIF(PROSPECTOS[Consumo médio],"&gt;="&amp;Dash!B48),COUNTIFS(PROSPECTOS[Consumo médio],"&gt;="&amp;Dash!B48,PROSPECTOS[Consumo médio],"&lt;"&amp;Dash!C48))</f>
        <v>6</v>
      </c>
    </row>
    <row r="49" spans="1:4">
      <c r="A49" t="str">
        <f t="shared" si="2"/>
        <v>&gt; 12.000kWh</v>
      </c>
      <c r="B49">
        <v>12000</v>
      </c>
      <c r="C49" t="s">
        <v>77</v>
      </c>
      <c r="D49">
        <f>IF(C49="-",COUNTIF(PROSPECTOS[Consumo médio],"&gt;="&amp;Dash!B49),COUNTIFS(PROSPECTOS[Consumo médio],"&gt;="&amp;Dash!B49,PROSPECTOS[Consumo médio],"&lt;"&amp;Dash!C49))</f>
        <v>15</v>
      </c>
    </row>
  </sheetData>
  <sheetProtection formatRows="0"/>
  <pageMargins left="0.511811024" right="0.511811024" top="0.78740157499999996" bottom="0.78740157499999996" header="0.31496062000000002" footer="0.31496062000000002"/>
  <pageSetup paperSize="9" orientation="portrait"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5F8E1-BBBB-4006-A6CA-2C6559A33808}">
  <sheetPr codeName="Planilha22"/>
  <dimension ref="A1:X37"/>
  <sheetViews>
    <sheetView workbookViewId="0"/>
  </sheetViews>
  <sheetFormatPr defaultRowHeight="15"/>
  <cols>
    <col min="1" max="1" width="13.42578125" bestFit="1" customWidth="1"/>
    <col min="18" max="31" width="8.5703125" customWidth="1"/>
  </cols>
  <sheetData>
    <row r="1" spans="1:24">
      <c r="A1" s="582"/>
      <c r="B1" s="582"/>
      <c r="C1" s="582"/>
      <c r="D1" s="582"/>
      <c r="E1" s="582"/>
      <c r="F1" s="582"/>
      <c r="G1" s="582"/>
      <c r="H1" s="582"/>
      <c r="I1" s="582"/>
      <c r="J1" s="582"/>
      <c r="K1" s="582"/>
      <c r="L1" s="582"/>
      <c r="M1" s="582"/>
      <c r="N1" s="582"/>
      <c r="O1" s="582"/>
      <c r="P1" s="582"/>
      <c r="Q1" s="582"/>
      <c r="R1" s="582"/>
      <c r="S1" s="582"/>
      <c r="T1" s="582"/>
      <c r="U1" s="582"/>
      <c r="V1" s="582"/>
      <c r="W1" s="582"/>
      <c r="X1" s="582"/>
    </row>
    <row r="2" spans="1:24">
      <c r="A2" s="582"/>
      <c r="B2" s="582"/>
      <c r="C2" s="582"/>
      <c r="D2" s="582"/>
      <c r="E2" s="582"/>
      <c r="F2" s="582"/>
      <c r="G2" s="582"/>
      <c r="H2" s="582"/>
      <c r="I2" s="582"/>
      <c r="J2" s="582"/>
      <c r="K2" s="582"/>
      <c r="L2" s="582"/>
      <c r="M2" s="582"/>
      <c r="N2" s="582"/>
      <c r="O2" s="582"/>
      <c r="P2" s="582"/>
      <c r="Q2" s="582"/>
      <c r="R2" s="582"/>
      <c r="S2" s="582"/>
      <c r="T2" s="582"/>
      <c r="U2" s="582"/>
      <c r="V2" s="582"/>
      <c r="W2" s="582"/>
      <c r="X2" s="582"/>
    </row>
    <row r="3" spans="1:24">
      <c r="A3" s="582"/>
      <c r="B3" s="582"/>
      <c r="C3" s="582"/>
      <c r="D3" s="582"/>
      <c r="E3" s="582"/>
      <c r="F3" s="582"/>
      <c r="G3" s="582"/>
      <c r="H3" s="582"/>
      <c r="I3" s="582"/>
      <c r="J3" s="582"/>
      <c r="K3" s="582"/>
      <c r="L3" s="582"/>
      <c r="M3" s="582"/>
      <c r="N3" s="582"/>
      <c r="O3" s="582"/>
      <c r="P3" s="582"/>
      <c r="Q3" s="582"/>
      <c r="R3" s="582"/>
      <c r="S3" s="582"/>
      <c r="T3" s="582"/>
      <c r="U3" s="582"/>
      <c r="V3" s="582"/>
      <c r="W3" s="582"/>
      <c r="X3" s="582"/>
    </row>
    <row r="4" spans="1:24">
      <c r="A4" s="582"/>
      <c r="B4" s="582"/>
      <c r="C4" s="582"/>
      <c r="D4" s="582"/>
      <c r="E4" s="582"/>
      <c r="F4" s="582"/>
      <c r="G4" s="582"/>
      <c r="H4" s="582"/>
      <c r="I4" s="582"/>
      <c r="J4" s="582"/>
      <c r="K4" s="582"/>
      <c r="L4" s="582"/>
      <c r="M4" s="582"/>
      <c r="N4" s="582"/>
      <c r="O4" s="582"/>
      <c r="P4" s="582"/>
      <c r="Q4" s="582"/>
      <c r="R4" s="582"/>
      <c r="S4" s="582"/>
      <c r="T4" s="582"/>
      <c r="U4" s="582"/>
      <c r="V4" s="582"/>
      <c r="W4" s="582"/>
      <c r="X4" s="582"/>
    </row>
    <row r="5" spans="1:24">
      <c r="A5" s="582"/>
      <c r="B5" s="582"/>
      <c r="C5" s="582"/>
      <c r="D5" s="582"/>
      <c r="E5" s="582"/>
      <c r="F5" s="582"/>
      <c r="G5" s="582"/>
      <c r="H5" s="582"/>
      <c r="I5" s="582"/>
      <c r="J5" s="582"/>
      <c r="K5" s="582"/>
      <c r="L5" s="582"/>
      <c r="M5" s="582"/>
      <c r="N5" s="582"/>
      <c r="O5" s="582"/>
      <c r="P5" s="582"/>
      <c r="Q5" s="582"/>
      <c r="R5" s="582"/>
      <c r="S5" s="582"/>
      <c r="T5" s="582"/>
      <c r="U5" s="582"/>
      <c r="V5" s="582"/>
      <c r="W5" s="582"/>
      <c r="X5" s="582"/>
    </row>
    <row r="6" spans="1:24">
      <c r="A6" s="582"/>
      <c r="B6" s="582"/>
      <c r="C6" s="582"/>
      <c r="D6" s="582"/>
      <c r="E6" s="582"/>
      <c r="F6" s="582"/>
      <c r="G6" s="582"/>
      <c r="H6" s="582"/>
      <c r="I6" s="582"/>
      <c r="J6" s="582"/>
      <c r="K6" s="582"/>
      <c r="L6" s="582"/>
      <c r="M6" s="582"/>
      <c r="N6" s="582"/>
      <c r="O6" s="582"/>
      <c r="P6" s="582"/>
      <c r="Q6" s="582"/>
      <c r="R6" s="582"/>
      <c r="S6" s="582"/>
      <c r="T6" s="582"/>
      <c r="U6" s="582"/>
      <c r="V6" s="582"/>
      <c r="W6" s="582"/>
      <c r="X6" s="582"/>
    </row>
    <row r="7" spans="1:24">
      <c r="A7" s="582"/>
      <c r="B7" s="582"/>
      <c r="C7" s="582"/>
      <c r="D7" s="582"/>
      <c r="E7" s="582"/>
      <c r="F7" s="582"/>
      <c r="G7" s="582"/>
      <c r="H7" s="582"/>
      <c r="I7" s="582"/>
      <c r="J7" s="582"/>
      <c r="K7" s="582"/>
      <c r="L7" s="582"/>
      <c r="M7" s="582"/>
      <c r="N7" s="582"/>
      <c r="O7" s="582"/>
      <c r="P7" s="582"/>
      <c r="Q7" s="582"/>
      <c r="R7" s="582"/>
      <c r="S7" s="582"/>
      <c r="T7" s="582"/>
      <c r="U7" s="582"/>
      <c r="V7" s="582"/>
      <c r="W7" s="582"/>
      <c r="X7" s="582"/>
    </row>
    <row r="8" spans="1:24">
      <c r="A8" s="582"/>
      <c r="B8" s="582"/>
      <c r="C8" s="582"/>
      <c r="D8" s="582"/>
      <c r="E8" s="582"/>
      <c r="F8" s="582"/>
      <c r="G8" s="582"/>
      <c r="H8" s="582"/>
      <c r="I8" s="582"/>
      <c r="J8" s="582"/>
      <c r="K8" s="582"/>
      <c r="L8" s="582"/>
      <c r="M8" s="582"/>
      <c r="N8" s="582"/>
      <c r="O8" s="582"/>
      <c r="P8" s="582"/>
      <c r="Q8" s="582"/>
      <c r="R8" s="582"/>
      <c r="S8" s="582"/>
      <c r="T8" s="582"/>
      <c r="U8" s="582"/>
      <c r="V8" s="582"/>
      <c r="W8" s="582"/>
      <c r="X8" s="582"/>
    </row>
    <row r="9" spans="1:24">
      <c r="A9" s="582"/>
      <c r="B9" s="582"/>
      <c r="C9" s="582"/>
      <c r="D9" s="582"/>
      <c r="E9" s="582"/>
      <c r="F9" s="582"/>
      <c r="G9" s="582"/>
      <c r="H9" s="582"/>
      <c r="I9" s="582"/>
      <c r="J9" s="582"/>
      <c r="K9" s="582"/>
      <c r="L9" s="582"/>
      <c r="M9" s="582"/>
      <c r="N9" s="582"/>
      <c r="O9" s="582"/>
      <c r="P9" s="582"/>
      <c r="Q9" s="582"/>
      <c r="R9" s="582"/>
      <c r="S9" s="582"/>
      <c r="T9" s="582"/>
      <c r="U9" s="582"/>
      <c r="V9" s="582"/>
      <c r="W9" s="582"/>
      <c r="X9" s="582"/>
    </row>
    <row r="10" spans="1:24">
      <c r="A10" s="582"/>
      <c r="B10" s="582"/>
      <c r="C10" s="582"/>
      <c r="D10" s="582"/>
      <c r="E10" s="582"/>
      <c r="F10" s="582"/>
      <c r="G10" s="582"/>
      <c r="H10" s="582"/>
      <c r="I10" s="582"/>
      <c r="J10" s="582"/>
      <c r="K10" s="582"/>
      <c r="L10" s="582"/>
      <c r="M10" s="582"/>
      <c r="N10" s="582"/>
      <c r="O10" s="582"/>
      <c r="P10" s="582"/>
      <c r="Q10" s="582"/>
      <c r="R10" s="582"/>
      <c r="S10" s="582"/>
      <c r="T10" s="582"/>
      <c r="U10" s="582"/>
      <c r="V10" s="582"/>
      <c r="W10" s="582"/>
      <c r="X10" s="582"/>
    </row>
    <row r="11" spans="1:24">
      <c r="A11" s="582"/>
      <c r="B11" s="582"/>
      <c r="C11" s="582"/>
      <c r="D11" s="582"/>
      <c r="E11" s="582"/>
      <c r="F11" s="582"/>
      <c r="G11" s="582"/>
      <c r="H11" s="582"/>
      <c r="I11" s="582"/>
      <c r="J11" s="582"/>
      <c r="K11" s="582"/>
      <c r="L11" s="582"/>
      <c r="M11" s="582"/>
      <c r="N11" s="582"/>
      <c r="O11" s="582"/>
      <c r="P11" s="582"/>
      <c r="Q11" s="582"/>
      <c r="R11" s="582"/>
      <c r="S11" s="582"/>
      <c r="T11" s="582"/>
      <c r="U11" s="582"/>
      <c r="V11" s="582"/>
      <c r="W11" s="582"/>
      <c r="X11" s="582"/>
    </row>
    <row r="12" spans="1:24">
      <c r="A12" s="582"/>
      <c r="B12" s="582"/>
      <c r="C12" s="582"/>
      <c r="D12" s="582"/>
      <c r="E12" s="582"/>
      <c r="F12" s="582"/>
      <c r="G12" s="582"/>
      <c r="H12" s="582"/>
      <c r="I12" s="582"/>
      <c r="J12" s="582"/>
      <c r="K12" s="582"/>
      <c r="L12" s="582"/>
      <c r="M12" s="582"/>
      <c r="N12" s="582"/>
      <c r="O12" s="582"/>
      <c r="P12" s="582"/>
      <c r="Q12" s="582"/>
      <c r="R12" s="582"/>
      <c r="S12" s="582"/>
      <c r="T12" s="582"/>
      <c r="U12" s="582"/>
      <c r="V12" s="582"/>
      <c r="W12" s="582"/>
      <c r="X12" s="582"/>
    </row>
    <row r="13" spans="1:24">
      <c r="A13" s="582"/>
      <c r="B13" s="582"/>
      <c r="C13" s="582"/>
      <c r="D13" s="582"/>
      <c r="E13" s="582"/>
      <c r="F13" s="582"/>
      <c r="G13" s="582"/>
      <c r="H13" s="582"/>
      <c r="I13" s="582"/>
      <c r="J13" s="582"/>
      <c r="K13" s="582"/>
      <c r="L13" s="582"/>
      <c r="M13" s="582"/>
      <c r="N13" s="582"/>
      <c r="O13" s="582"/>
      <c r="P13" s="582"/>
      <c r="Q13" s="582"/>
      <c r="R13" s="582"/>
      <c r="S13" s="582"/>
      <c r="T13" s="582"/>
      <c r="U13" s="582"/>
      <c r="V13" s="582"/>
      <c r="W13" s="582"/>
      <c r="X13" s="582"/>
    </row>
    <row r="14" spans="1:24">
      <c r="A14" s="582"/>
      <c r="B14" s="582"/>
      <c r="C14" s="582"/>
      <c r="D14" s="582"/>
      <c r="E14" s="582"/>
      <c r="F14" s="582"/>
      <c r="G14" s="582"/>
      <c r="H14" s="582"/>
      <c r="I14" s="582"/>
      <c r="J14" s="582"/>
      <c r="K14" s="582"/>
      <c r="L14" s="582"/>
      <c r="M14" s="582"/>
      <c r="N14" s="582"/>
      <c r="O14" s="582"/>
      <c r="P14" s="582"/>
      <c r="Q14" s="582"/>
      <c r="R14" s="582"/>
      <c r="S14" s="582"/>
      <c r="T14" s="582"/>
      <c r="U14" s="582"/>
      <c r="V14" s="582"/>
      <c r="W14" s="582"/>
      <c r="X14" s="582"/>
    </row>
    <row r="15" spans="1:24">
      <c r="A15" s="583"/>
      <c r="B15" s="582"/>
      <c r="C15" s="582"/>
      <c r="D15" s="582"/>
      <c r="E15" s="582"/>
      <c r="F15" s="582"/>
      <c r="G15" s="582"/>
      <c r="H15" s="582"/>
      <c r="I15" s="582"/>
      <c r="J15" s="582"/>
      <c r="K15" s="582"/>
      <c r="L15" s="582"/>
      <c r="M15" s="582"/>
      <c r="N15" s="582"/>
      <c r="O15" s="582"/>
      <c r="P15" s="582"/>
      <c r="Q15" s="582"/>
      <c r="R15" s="582"/>
      <c r="S15" s="582"/>
      <c r="T15" s="582"/>
      <c r="U15" s="582"/>
      <c r="V15" s="582"/>
      <c r="W15" s="582"/>
      <c r="X15" s="582"/>
    </row>
    <row r="16" spans="1:24">
      <c r="A16" s="582"/>
      <c r="B16" s="582"/>
      <c r="C16" s="582"/>
      <c r="D16" s="582"/>
      <c r="E16" s="582"/>
      <c r="F16" s="582"/>
      <c r="G16" s="582"/>
      <c r="H16" s="582"/>
      <c r="I16" s="582"/>
      <c r="J16" s="582"/>
      <c r="K16" s="582"/>
      <c r="L16" s="582"/>
      <c r="M16" s="582"/>
      <c r="N16" s="582"/>
      <c r="O16" s="582"/>
      <c r="P16" s="582"/>
      <c r="Q16" s="582"/>
      <c r="R16" s="582"/>
      <c r="S16" s="582"/>
      <c r="T16" s="582"/>
      <c r="U16" s="582"/>
      <c r="V16" s="582"/>
      <c r="W16" s="582"/>
      <c r="X16" s="582"/>
    </row>
    <row r="17" spans="1:24">
      <c r="A17" s="582"/>
      <c r="B17" s="582"/>
      <c r="C17" s="582"/>
      <c r="D17" s="582"/>
      <c r="E17" s="582"/>
      <c r="F17" s="582"/>
      <c r="G17" s="582"/>
      <c r="H17" s="582"/>
      <c r="I17" s="582"/>
      <c r="J17" s="582"/>
      <c r="K17" s="582"/>
      <c r="L17" s="582"/>
      <c r="M17" s="582"/>
      <c r="N17" s="582"/>
      <c r="O17" s="582"/>
      <c r="P17" s="582"/>
      <c r="Q17" s="582"/>
      <c r="R17" s="582"/>
      <c r="S17" s="582"/>
      <c r="T17" s="582"/>
      <c r="U17" s="582"/>
      <c r="V17" s="582"/>
      <c r="W17" s="582"/>
      <c r="X17" s="582"/>
    </row>
    <row r="18" spans="1:24">
      <c r="A18" s="583"/>
      <c r="B18" s="582"/>
      <c r="C18" s="582"/>
      <c r="D18" s="582"/>
      <c r="E18" s="582"/>
      <c r="F18" s="582"/>
      <c r="G18" s="582"/>
      <c r="H18" s="582"/>
      <c r="I18" s="582"/>
      <c r="J18" s="582"/>
      <c r="K18" s="582"/>
      <c r="L18" s="582"/>
      <c r="M18" s="582"/>
      <c r="N18" s="582"/>
      <c r="O18" s="582"/>
      <c r="P18" s="582"/>
      <c r="Q18" s="582"/>
      <c r="R18" s="582"/>
      <c r="S18" s="582"/>
      <c r="T18" s="582"/>
      <c r="U18" s="582"/>
      <c r="V18" s="582"/>
      <c r="W18" s="582"/>
      <c r="X18" s="582"/>
    </row>
    <row r="19" spans="1:24">
      <c r="A19" s="582"/>
      <c r="B19" s="582"/>
      <c r="C19" s="582"/>
      <c r="D19" s="582"/>
      <c r="E19" s="582"/>
      <c r="F19" s="582"/>
      <c r="G19" s="582"/>
      <c r="H19" s="582"/>
      <c r="I19" s="582"/>
      <c r="J19" s="582"/>
      <c r="K19" s="582"/>
      <c r="L19" s="582"/>
      <c r="M19" s="582"/>
      <c r="N19" s="582"/>
      <c r="O19" s="582"/>
      <c r="P19" s="582"/>
      <c r="Q19" s="582"/>
      <c r="R19" s="582"/>
      <c r="S19" s="582"/>
      <c r="T19" s="582"/>
      <c r="U19" s="582"/>
      <c r="V19" s="582"/>
      <c r="W19" s="582"/>
      <c r="X19" s="582"/>
    </row>
    <row r="20" spans="1:24">
      <c r="A20" s="582"/>
      <c r="B20" s="582"/>
      <c r="C20" s="582"/>
      <c r="D20" s="582"/>
      <c r="E20" s="582"/>
      <c r="F20" s="582"/>
      <c r="G20" s="582"/>
      <c r="H20" s="582"/>
      <c r="I20" s="582"/>
      <c r="J20" s="582"/>
      <c r="K20" s="582"/>
      <c r="L20" s="582"/>
      <c r="M20" s="582"/>
      <c r="N20" s="582"/>
      <c r="O20" s="582"/>
      <c r="P20" s="582"/>
      <c r="Q20" s="582"/>
      <c r="R20" s="582"/>
      <c r="S20" s="582"/>
      <c r="T20" s="582"/>
      <c r="U20" s="582"/>
      <c r="V20" s="582"/>
      <c r="W20" s="582"/>
      <c r="X20" s="582"/>
    </row>
    <row r="21" spans="1:24">
      <c r="A21" s="582"/>
      <c r="B21" s="582"/>
      <c r="C21" s="582"/>
      <c r="D21" s="582"/>
      <c r="E21" s="582"/>
      <c r="F21" s="582"/>
      <c r="G21" s="582"/>
      <c r="H21" s="582"/>
      <c r="I21" s="582"/>
      <c r="J21" s="582"/>
      <c r="K21" s="582"/>
      <c r="L21" s="582"/>
      <c r="M21" s="582"/>
      <c r="N21" s="582"/>
      <c r="O21" s="582"/>
      <c r="P21" s="582"/>
      <c r="Q21" s="582"/>
      <c r="R21" s="582"/>
      <c r="S21" s="582"/>
      <c r="T21" s="582"/>
      <c r="U21" s="582"/>
      <c r="V21" s="582"/>
      <c r="W21" s="582"/>
      <c r="X21" s="582"/>
    </row>
    <row r="22" spans="1:24">
      <c r="A22" s="584"/>
      <c r="B22" s="582"/>
      <c r="C22" s="582"/>
      <c r="D22" s="582"/>
      <c r="E22" s="582"/>
      <c r="F22" s="582"/>
      <c r="G22" s="582"/>
      <c r="H22" s="582"/>
      <c r="I22" s="582"/>
      <c r="J22" s="582"/>
      <c r="K22" s="582"/>
      <c r="L22" s="582"/>
      <c r="M22" s="582"/>
      <c r="N22" s="582"/>
      <c r="O22" s="582"/>
      <c r="P22" s="582"/>
      <c r="Q22" s="582"/>
      <c r="R22" s="582"/>
      <c r="S22" s="582"/>
      <c r="T22" s="582"/>
      <c r="U22" s="582"/>
      <c r="V22" s="582"/>
      <c r="W22" s="582"/>
      <c r="X22" s="582"/>
    </row>
    <row r="23" spans="1:24">
      <c r="A23" s="582"/>
      <c r="B23" s="582"/>
      <c r="C23" s="582"/>
      <c r="D23" s="582"/>
      <c r="E23" s="582"/>
      <c r="F23" s="582"/>
      <c r="G23" s="582"/>
      <c r="H23" s="582"/>
      <c r="I23" s="582"/>
      <c r="J23" s="582"/>
      <c r="K23" s="582"/>
      <c r="L23" s="582"/>
      <c r="M23" s="582"/>
      <c r="N23" s="582"/>
      <c r="O23" s="582"/>
      <c r="P23" s="582"/>
      <c r="Q23" s="582"/>
      <c r="R23" s="582"/>
      <c r="S23" s="582"/>
      <c r="T23" s="582"/>
      <c r="U23" s="582"/>
      <c r="V23" s="582"/>
      <c r="W23" s="582"/>
      <c r="X23" s="582"/>
    </row>
    <row r="24" spans="1:24">
      <c r="A24" s="582"/>
      <c r="B24" s="582"/>
      <c r="C24" s="582"/>
      <c r="D24" s="582"/>
      <c r="E24" s="582"/>
      <c r="F24" s="582"/>
      <c r="G24" s="582"/>
      <c r="H24" s="582"/>
      <c r="I24" s="582"/>
      <c r="J24" s="582"/>
      <c r="K24" s="582"/>
      <c r="L24" s="582"/>
      <c r="M24" s="582"/>
      <c r="N24" s="582"/>
      <c r="O24" s="582"/>
      <c r="P24" s="582"/>
      <c r="Q24" s="582"/>
      <c r="R24" s="582"/>
      <c r="S24" s="582"/>
      <c r="T24" s="582"/>
      <c r="U24" s="582"/>
      <c r="V24" s="582"/>
      <c r="W24" s="582"/>
      <c r="X24" s="582"/>
    </row>
    <row r="25" spans="1:24">
      <c r="A25" s="582"/>
      <c r="B25" s="582"/>
      <c r="C25" s="582"/>
      <c r="D25" s="582"/>
      <c r="E25" s="582"/>
      <c r="F25" s="582"/>
      <c r="G25" s="582"/>
      <c r="H25" s="582"/>
      <c r="I25" s="582"/>
      <c r="J25" s="582"/>
      <c r="K25" s="582"/>
      <c r="L25" s="582"/>
      <c r="M25" s="582"/>
      <c r="N25" s="582"/>
      <c r="O25" s="582"/>
      <c r="P25" s="582"/>
      <c r="Q25" s="582"/>
      <c r="R25" s="582"/>
      <c r="S25" s="582"/>
      <c r="T25" s="582"/>
      <c r="U25" s="582"/>
      <c r="V25" s="582"/>
      <c r="W25" s="582"/>
      <c r="X25" s="582"/>
    </row>
    <row r="26" spans="1:24">
      <c r="A26" s="582"/>
      <c r="B26" s="582"/>
      <c r="C26" s="582"/>
      <c r="D26" s="582"/>
      <c r="E26" s="582"/>
      <c r="F26" s="582"/>
      <c r="G26" s="582"/>
      <c r="H26" s="582"/>
      <c r="I26" s="582"/>
      <c r="J26" s="582"/>
      <c r="K26" s="582"/>
      <c r="L26" s="582"/>
      <c r="M26" s="582"/>
      <c r="N26" s="582"/>
      <c r="O26" s="582"/>
      <c r="P26" s="582"/>
      <c r="Q26" s="582"/>
      <c r="R26" s="582"/>
      <c r="S26" s="582"/>
      <c r="T26" s="582"/>
      <c r="U26" s="582"/>
      <c r="V26" s="582"/>
      <c r="W26" s="582"/>
      <c r="X26" s="582"/>
    </row>
    <row r="27" spans="1:24">
      <c r="A27" s="582"/>
      <c r="B27" s="582"/>
      <c r="C27" s="582"/>
      <c r="D27" s="582"/>
      <c r="E27" s="582"/>
      <c r="F27" s="582"/>
      <c r="G27" s="582"/>
      <c r="H27" s="582"/>
      <c r="I27" s="582"/>
      <c r="J27" s="582"/>
      <c r="K27" s="582"/>
      <c r="L27" s="582"/>
      <c r="M27" s="582"/>
      <c r="N27" s="582"/>
      <c r="O27" s="582"/>
      <c r="P27" s="582"/>
      <c r="Q27" s="582"/>
      <c r="R27" s="582"/>
      <c r="S27" s="582"/>
      <c r="T27" s="582"/>
      <c r="U27" s="582"/>
      <c r="V27" s="582"/>
      <c r="W27" s="582"/>
      <c r="X27" s="582"/>
    </row>
    <row r="28" spans="1:24">
      <c r="A28" s="582"/>
      <c r="B28" s="582"/>
      <c r="C28" s="582"/>
      <c r="D28" s="582"/>
      <c r="E28" s="582"/>
      <c r="F28" s="582"/>
      <c r="G28" s="582"/>
      <c r="H28" s="582"/>
      <c r="I28" s="582"/>
      <c r="J28" s="582"/>
      <c r="K28" s="582"/>
      <c r="L28" s="582"/>
      <c r="M28" s="582"/>
      <c r="N28" s="582"/>
      <c r="O28" s="582"/>
      <c r="P28" s="582"/>
      <c r="Q28" s="582"/>
      <c r="R28" s="582"/>
      <c r="S28" s="582"/>
      <c r="T28" s="582"/>
      <c r="U28" s="582"/>
      <c r="V28" s="582"/>
      <c r="W28" s="582"/>
      <c r="X28" s="582"/>
    </row>
    <row r="29" spans="1:24">
      <c r="A29" s="582"/>
      <c r="B29" s="582"/>
      <c r="C29" s="582"/>
      <c r="D29" s="582"/>
      <c r="E29" s="582"/>
      <c r="F29" s="582"/>
      <c r="G29" s="582"/>
      <c r="H29" s="582"/>
      <c r="I29" s="582"/>
      <c r="J29" s="582"/>
      <c r="K29" s="582"/>
      <c r="L29" s="582"/>
      <c r="M29" s="582"/>
      <c r="N29" s="582"/>
      <c r="O29" s="582"/>
      <c r="P29" s="582"/>
      <c r="Q29" s="582"/>
      <c r="R29" s="582"/>
      <c r="S29" s="582"/>
      <c r="T29" s="582"/>
      <c r="U29" s="582"/>
      <c r="V29" s="582"/>
      <c r="W29" s="582"/>
      <c r="X29" s="582"/>
    </row>
    <row r="30" spans="1:24">
      <c r="A30" s="582"/>
      <c r="B30" s="582"/>
      <c r="C30" s="582"/>
      <c r="D30" s="582"/>
      <c r="E30" s="582"/>
      <c r="F30" s="582"/>
      <c r="G30" s="582"/>
      <c r="H30" s="582"/>
      <c r="I30" s="582"/>
      <c r="J30" s="582"/>
      <c r="K30" s="582"/>
      <c r="L30" s="582"/>
      <c r="M30" s="582"/>
      <c r="N30" s="582"/>
      <c r="O30" s="582"/>
      <c r="P30" s="582"/>
      <c r="Q30" s="582"/>
      <c r="R30" s="582"/>
      <c r="S30" s="582"/>
      <c r="T30" s="582"/>
      <c r="U30" s="582"/>
      <c r="V30" s="582"/>
      <c r="W30" s="582"/>
      <c r="X30" s="582"/>
    </row>
    <row r="31" spans="1:24">
      <c r="A31" s="582"/>
      <c r="B31" s="582"/>
      <c r="C31" s="582"/>
      <c r="D31" s="582"/>
      <c r="E31" s="582"/>
      <c r="F31" s="582"/>
      <c r="G31" s="582"/>
      <c r="H31" s="582"/>
      <c r="I31" s="582"/>
      <c r="J31" s="582"/>
      <c r="K31" s="582"/>
      <c r="L31" s="582"/>
      <c r="M31" s="582"/>
      <c r="N31" s="582"/>
      <c r="O31" s="582"/>
      <c r="P31" s="582"/>
      <c r="Q31" s="582"/>
      <c r="R31" s="582"/>
      <c r="S31" s="582"/>
      <c r="T31" s="582"/>
      <c r="U31" s="582"/>
      <c r="V31" s="582"/>
      <c r="W31" s="582"/>
      <c r="X31" s="582"/>
    </row>
    <row r="32" spans="1:24">
      <c r="A32" s="582"/>
      <c r="B32" s="582"/>
      <c r="C32" s="582"/>
      <c r="D32" s="582"/>
      <c r="E32" s="582"/>
      <c r="F32" s="582"/>
      <c r="G32" s="582"/>
      <c r="H32" s="582"/>
      <c r="I32" s="582"/>
      <c r="J32" s="582"/>
      <c r="K32" s="582"/>
      <c r="L32" s="582"/>
      <c r="M32" s="582"/>
      <c r="N32" s="582"/>
      <c r="O32" s="582"/>
      <c r="P32" s="582"/>
      <c r="Q32" s="582"/>
      <c r="R32" s="582"/>
      <c r="S32" s="582"/>
      <c r="T32" s="582"/>
      <c r="U32" s="582"/>
      <c r="V32" s="582"/>
      <c r="W32" s="582"/>
      <c r="X32" s="582"/>
    </row>
    <row r="33" spans="1:24">
      <c r="A33" s="582"/>
      <c r="B33" s="582"/>
      <c r="C33" s="582"/>
      <c r="D33" s="582"/>
      <c r="E33" s="582"/>
      <c r="F33" s="582"/>
      <c r="G33" s="582"/>
      <c r="H33" s="582"/>
      <c r="I33" s="582"/>
      <c r="J33" s="582"/>
      <c r="K33" s="582"/>
      <c r="L33" s="582"/>
      <c r="M33" s="582"/>
      <c r="N33" s="582"/>
      <c r="O33" s="582"/>
      <c r="P33" s="582"/>
      <c r="Q33" s="582"/>
      <c r="R33" s="582"/>
      <c r="S33" s="582"/>
      <c r="T33" s="582"/>
      <c r="U33" s="582"/>
      <c r="V33" s="582"/>
      <c r="W33" s="582"/>
      <c r="X33" s="582"/>
    </row>
    <row r="34" spans="1:24">
      <c r="A34" s="582"/>
      <c r="B34" s="582"/>
      <c r="C34" s="582"/>
      <c r="D34" s="582"/>
      <c r="E34" s="582"/>
      <c r="F34" s="582"/>
      <c r="G34" s="582"/>
      <c r="H34" s="582"/>
      <c r="I34" s="582"/>
      <c r="J34" s="582"/>
      <c r="K34" s="582"/>
      <c r="L34" s="582"/>
      <c r="M34" s="582"/>
      <c r="N34" s="582"/>
      <c r="O34" s="582"/>
      <c r="P34" s="582"/>
      <c r="Q34" s="582"/>
      <c r="R34" s="582"/>
      <c r="S34" s="582"/>
      <c r="T34" s="582"/>
      <c r="U34" s="582"/>
      <c r="V34" s="582"/>
      <c r="W34" s="582"/>
      <c r="X34" s="582"/>
    </row>
    <row r="35" spans="1:24">
      <c r="A35" s="582"/>
      <c r="B35" s="582"/>
      <c r="C35" s="582"/>
      <c r="D35" s="582"/>
      <c r="E35" s="582"/>
      <c r="F35" s="582"/>
      <c r="G35" s="582"/>
      <c r="H35" s="582"/>
      <c r="I35" s="582"/>
      <c r="J35" s="582"/>
      <c r="K35" s="582"/>
      <c r="L35" s="582"/>
      <c r="M35" s="582"/>
      <c r="N35" s="582"/>
      <c r="O35" s="582"/>
      <c r="P35" s="582"/>
      <c r="Q35" s="582"/>
      <c r="R35" s="582"/>
      <c r="S35" s="582"/>
      <c r="T35" s="582"/>
      <c r="U35" s="582"/>
      <c r="V35" s="582"/>
      <c r="W35" s="582"/>
      <c r="X35" s="582"/>
    </row>
    <row r="36" spans="1:24">
      <c r="A36" s="582"/>
      <c r="B36" s="582"/>
      <c r="C36" s="582"/>
      <c r="D36" s="582"/>
      <c r="E36" s="582"/>
      <c r="F36" s="582"/>
      <c r="G36" s="582"/>
      <c r="H36" s="582"/>
      <c r="I36" s="582"/>
      <c r="J36" s="582"/>
      <c r="K36" s="582"/>
      <c r="L36" s="582"/>
      <c r="M36" s="582"/>
      <c r="N36" s="582"/>
      <c r="O36" s="582"/>
      <c r="P36" s="582"/>
      <c r="Q36" s="582"/>
      <c r="R36" s="582"/>
      <c r="S36" s="582"/>
      <c r="T36" s="582"/>
      <c r="U36" s="582"/>
      <c r="V36" s="582"/>
      <c r="W36" s="582"/>
      <c r="X36" s="582"/>
    </row>
    <row r="37" spans="1:24">
      <c r="A37" s="582"/>
      <c r="B37" s="582"/>
      <c r="C37" s="582"/>
      <c r="D37" s="582"/>
      <c r="E37" s="582"/>
      <c r="F37" s="582"/>
      <c r="G37" s="582"/>
      <c r="H37" s="582"/>
      <c r="I37" s="582"/>
      <c r="J37" s="582"/>
      <c r="K37" s="582"/>
      <c r="L37" s="582"/>
      <c r="M37" s="582"/>
      <c r="N37" s="582"/>
      <c r="O37" s="582"/>
      <c r="P37" s="582"/>
      <c r="Q37" s="582"/>
      <c r="R37" s="582"/>
      <c r="S37" s="582"/>
      <c r="T37" s="582"/>
      <c r="U37" s="582"/>
      <c r="V37" s="582"/>
      <c r="W37" s="582"/>
      <c r="X37" s="582"/>
    </row>
  </sheetData>
  <sheetProtection formatRows="0"/>
  <pageMargins left="0.511811024" right="0.511811024" top="0.78740157499999996" bottom="0.78740157499999996" header="0.31496062000000002" footer="0.31496062000000002"/>
  <drawing r:id="rId1"/>
  <extLst>
    <ext xmlns:x15="http://schemas.microsoft.com/office/spreadsheetml/2010/11/main" uri="{7E03D99C-DC04-49d9-9315-930204A7B6E9}">
      <x15:timelineRefs>
        <x15:timelineRef r:id="rId2"/>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FB30C-76B2-4EED-80E9-1F8B6EF0F482}">
  <sheetPr codeName="Planilha10"/>
  <dimension ref="A1:AQ569"/>
  <sheetViews>
    <sheetView showGridLines="0" topLeftCell="L534" workbookViewId="0">
      <selection activeCell="M566" sqref="M566"/>
    </sheetView>
  </sheetViews>
  <sheetFormatPr defaultRowHeight="15"/>
  <cols>
    <col min="1" max="1" width="60.7109375" bestFit="1" customWidth="1"/>
    <col min="2" max="2" width="6.140625" bestFit="1" customWidth="1"/>
    <col min="3" max="3" width="53.7109375" bestFit="1" customWidth="1"/>
    <col min="4" max="4" width="20.5703125" bestFit="1" customWidth="1"/>
    <col min="5" max="5" width="18.5703125" bestFit="1" customWidth="1"/>
    <col min="6" max="6" width="21.42578125" bestFit="1" customWidth="1"/>
    <col min="7" max="7" width="14.7109375" bestFit="1" customWidth="1"/>
    <col min="8" max="8" width="42.140625" bestFit="1" customWidth="1"/>
    <col min="9" max="9" width="15.140625" bestFit="1" customWidth="1"/>
    <col min="10" max="10" width="13.85546875" bestFit="1" customWidth="1"/>
    <col min="11" max="11" width="61.28515625" bestFit="1" customWidth="1"/>
    <col min="12" max="12" width="11.42578125" bestFit="1" customWidth="1"/>
    <col min="13" max="15" width="53.5703125" bestFit="1" customWidth="1"/>
    <col min="16" max="16" width="16.7109375" bestFit="1" customWidth="1"/>
    <col min="17" max="17" width="19.5703125" bestFit="1" customWidth="1"/>
    <col min="18" max="18" width="15.85546875" bestFit="1" customWidth="1"/>
    <col min="19" max="19" width="17.85546875" bestFit="1" customWidth="1"/>
    <col min="20" max="20" width="6.140625" bestFit="1" customWidth="1"/>
    <col min="21" max="21" width="6.42578125" bestFit="1" customWidth="1"/>
    <col min="22" max="22" width="6.85546875" bestFit="1" customWidth="1"/>
    <col min="23" max="23" width="6.42578125" bestFit="1" customWidth="1"/>
    <col min="24" max="24" width="6.7109375" bestFit="1" customWidth="1"/>
    <col min="25" max="25" width="6.28515625" bestFit="1" customWidth="1"/>
    <col min="26" max="26" width="6" bestFit="1" customWidth="1"/>
    <col min="27" max="28" width="7" bestFit="1" customWidth="1"/>
    <col min="29" max="29" width="6.5703125" bestFit="1" customWidth="1"/>
    <col min="30" max="30" width="6.85546875" bestFit="1" customWidth="1"/>
    <col min="31" max="31" width="6.5703125" bestFit="1" customWidth="1"/>
    <col min="32" max="32" width="21" bestFit="1" customWidth="1"/>
    <col min="33" max="33" width="20" bestFit="1" customWidth="1"/>
    <col min="34" max="34" width="18.85546875" bestFit="1" customWidth="1"/>
    <col min="35" max="35" width="7" bestFit="1" customWidth="1"/>
    <col min="36" max="36" width="9" bestFit="1" customWidth="1"/>
    <col min="37" max="37" width="12.85546875" bestFit="1" customWidth="1"/>
    <col min="38" max="38" width="15.5703125" bestFit="1" customWidth="1"/>
    <col min="39" max="39" width="14" bestFit="1" customWidth="1"/>
    <col min="40" max="40" width="11.28515625" bestFit="1" customWidth="1"/>
    <col min="41" max="41" width="15.7109375" bestFit="1" customWidth="1"/>
    <col min="42" max="42" width="30" bestFit="1" customWidth="1"/>
    <col min="43" max="43" width="81.140625" bestFit="1" customWidth="1"/>
    <col min="44" max="44" width="81.140625" customWidth="1"/>
    <col min="45" max="46" width="80.85546875" customWidth="1"/>
  </cols>
  <sheetData>
    <row r="1" spans="1:43">
      <c r="A1" t="s">
        <v>273</v>
      </c>
      <c r="B1" t="s">
        <v>274</v>
      </c>
      <c r="C1" t="s">
        <v>88</v>
      </c>
      <c r="D1" t="s">
        <v>275</v>
      </c>
      <c r="E1" t="s">
        <v>276</v>
      </c>
      <c r="F1" t="s">
        <v>277</v>
      </c>
      <c r="G1" t="s">
        <v>278</v>
      </c>
      <c r="H1" t="s">
        <v>1555</v>
      </c>
      <c r="I1" t="s">
        <v>2477</v>
      </c>
      <c r="J1" t="s">
        <v>1553</v>
      </c>
      <c r="K1" t="s">
        <v>279</v>
      </c>
      <c r="L1" t="s">
        <v>280</v>
      </c>
      <c r="M1" t="s">
        <v>281</v>
      </c>
      <c r="N1" t="s">
        <v>282</v>
      </c>
      <c r="O1" t="s">
        <v>283</v>
      </c>
      <c r="P1" t="s">
        <v>284</v>
      </c>
      <c r="Q1" t="s">
        <v>285</v>
      </c>
      <c r="R1" t="s">
        <v>286</v>
      </c>
      <c r="S1" t="s">
        <v>149</v>
      </c>
      <c r="T1" t="s">
        <v>96</v>
      </c>
      <c r="U1" t="s">
        <v>98</v>
      </c>
      <c r="V1" t="s">
        <v>99</v>
      </c>
      <c r="W1" t="s">
        <v>103</v>
      </c>
      <c r="X1" t="s">
        <v>106</v>
      </c>
      <c r="Y1" t="s">
        <v>114</v>
      </c>
      <c r="Z1" t="s">
        <v>119</v>
      </c>
      <c r="AA1" t="s">
        <v>122</v>
      </c>
      <c r="AB1" t="s">
        <v>123</v>
      </c>
      <c r="AC1" t="s">
        <v>124</v>
      </c>
      <c r="AD1" t="s">
        <v>125</v>
      </c>
      <c r="AE1" t="s">
        <v>126</v>
      </c>
      <c r="AF1" t="s">
        <v>287</v>
      </c>
      <c r="AG1" t="s">
        <v>288</v>
      </c>
      <c r="AH1" t="s">
        <v>289</v>
      </c>
      <c r="AI1" t="s">
        <v>290</v>
      </c>
      <c r="AJ1" t="s">
        <v>291</v>
      </c>
      <c r="AK1" t="s">
        <v>292</v>
      </c>
      <c r="AL1" t="s">
        <v>293</v>
      </c>
      <c r="AM1" t="s">
        <v>294</v>
      </c>
      <c r="AN1" t="s">
        <v>295</v>
      </c>
      <c r="AO1" t="s">
        <v>296</v>
      </c>
      <c r="AP1" t="s">
        <v>297</v>
      </c>
      <c r="AQ1" t="s">
        <v>298</v>
      </c>
    </row>
    <row r="2" spans="1:43">
      <c r="A2" s="927" t="s">
        <v>299</v>
      </c>
      <c r="B2" s="927" t="s">
        <v>300</v>
      </c>
      <c r="C2" s="927" t="s">
        <v>301</v>
      </c>
      <c r="D2" s="927" t="s">
        <v>42</v>
      </c>
      <c r="E2" s="717">
        <v>43993</v>
      </c>
      <c r="F2" s="927" t="s">
        <v>55</v>
      </c>
      <c r="G2" s="927"/>
      <c r="I2" s="927"/>
      <c r="J2" s="131"/>
      <c r="K2" s="927" t="s">
        <v>302</v>
      </c>
      <c r="L2" t="s">
        <v>3713</v>
      </c>
      <c r="M2" s="927" t="s">
        <v>303</v>
      </c>
      <c r="N2" s="927" t="s">
        <v>302</v>
      </c>
      <c r="O2" s="927" t="s">
        <v>304</v>
      </c>
      <c r="P2" s="927"/>
      <c r="Q2" s="927"/>
      <c r="R2" s="927"/>
      <c r="AF2" s="927" t="s">
        <v>305</v>
      </c>
      <c r="AG2" s="927"/>
      <c r="AH2" s="717">
        <v>44065</v>
      </c>
      <c r="AK2" s="927"/>
      <c r="AO2" s="927" t="s">
        <v>307</v>
      </c>
      <c r="AP2" s="927" t="s">
        <v>308</v>
      </c>
      <c r="AQ2" s="927" t="s">
        <v>309</v>
      </c>
    </row>
    <row r="3" spans="1:43">
      <c r="A3" s="927" t="s">
        <v>310</v>
      </c>
      <c r="B3" s="927" t="s">
        <v>311</v>
      </c>
      <c r="C3" s="927" t="s">
        <v>312</v>
      </c>
      <c r="D3" s="927" t="s">
        <v>32</v>
      </c>
      <c r="E3" s="717">
        <v>43983</v>
      </c>
      <c r="F3" s="927" t="s">
        <v>55</v>
      </c>
      <c r="G3" s="927" t="s">
        <v>313</v>
      </c>
      <c r="I3" s="927"/>
      <c r="J3" s="131"/>
      <c r="K3" s="927" t="s">
        <v>306</v>
      </c>
      <c r="M3" s="927" t="s">
        <v>306</v>
      </c>
      <c r="N3" s="927" t="s">
        <v>306</v>
      </c>
      <c r="O3" s="927" t="s">
        <v>306</v>
      </c>
      <c r="P3" s="927"/>
      <c r="Q3" s="927"/>
      <c r="R3" s="927"/>
      <c r="AF3" s="927"/>
      <c r="AG3" s="927"/>
      <c r="AH3" s="717">
        <v>44033</v>
      </c>
      <c r="AI3">
        <v>2.64</v>
      </c>
      <c r="AJ3">
        <v>15721.13</v>
      </c>
      <c r="AK3" s="927" t="s">
        <v>314</v>
      </c>
      <c r="AL3">
        <v>8</v>
      </c>
      <c r="AM3">
        <v>330</v>
      </c>
      <c r="AO3" s="927"/>
      <c r="AP3" s="927"/>
      <c r="AQ3" s="927"/>
    </row>
    <row r="4" spans="1:43">
      <c r="A4" s="927" t="s">
        <v>315</v>
      </c>
      <c r="B4" s="927" t="s">
        <v>316</v>
      </c>
      <c r="C4" s="927" t="s">
        <v>317</v>
      </c>
      <c r="D4" s="927" t="s">
        <v>32</v>
      </c>
      <c r="E4" s="717">
        <v>44044</v>
      </c>
      <c r="F4" s="927" t="s">
        <v>55</v>
      </c>
      <c r="G4" s="927" t="s">
        <v>318</v>
      </c>
      <c r="I4" s="927"/>
      <c r="J4" s="131"/>
      <c r="K4" s="927" t="s">
        <v>319</v>
      </c>
      <c r="L4" t="s">
        <v>3714</v>
      </c>
      <c r="M4" s="927" t="s">
        <v>386</v>
      </c>
      <c r="N4" s="927" t="s">
        <v>3715</v>
      </c>
      <c r="O4" s="927" t="s">
        <v>386</v>
      </c>
      <c r="P4" s="927" t="s">
        <v>322</v>
      </c>
      <c r="Q4" s="927" t="s">
        <v>323</v>
      </c>
      <c r="R4" s="927" t="s">
        <v>324</v>
      </c>
      <c r="AF4" s="927"/>
      <c r="AG4" s="927"/>
      <c r="AH4" s="717">
        <v>44096</v>
      </c>
      <c r="AI4">
        <v>1.62</v>
      </c>
      <c r="AJ4">
        <v>9584.06</v>
      </c>
      <c r="AK4" s="927" t="s">
        <v>325</v>
      </c>
      <c r="AL4">
        <v>4</v>
      </c>
      <c r="AM4">
        <v>405</v>
      </c>
      <c r="AO4" s="927"/>
      <c r="AP4" s="927"/>
      <c r="AQ4" s="927"/>
    </row>
    <row r="5" spans="1:43">
      <c r="A5" s="927" t="s">
        <v>326</v>
      </c>
      <c r="B5" s="927" t="s">
        <v>327</v>
      </c>
      <c r="C5" s="927" t="s">
        <v>328</v>
      </c>
      <c r="D5" s="927" t="s">
        <v>32</v>
      </c>
      <c r="E5" s="717">
        <v>44166</v>
      </c>
      <c r="F5" s="927" t="s">
        <v>55</v>
      </c>
      <c r="G5" s="927" t="s">
        <v>329</v>
      </c>
      <c r="I5" s="927"/>
      <c r="J5" s="131"/>
      <c r="K5" s="927" t="s">
        <v>330</v>
      </c>
      <c r="L5" t="s">
        <v>3716</v>
      </c>
      <c r="M5" s="927" t="s">
        <v>330</v>
      </c>
      <c r="N5" s="927" t="s">
        <v>330</v>
      </c>
      <c r="O5" s="927" t="s">
        <v>330</v>
      </c>
      <c r="P5" s="927" t="s">
        <v>322</v>
      </c>
      <c r="Q5" s="927" t="s">
        <v>323</v>
      </c>
      <c r="R5" s="927" t="s">
        <v>324</v>
      </c>
      <c r="S5">
        <v>501</v>
      </c>
      <c r="T5">
        <v>682</v>
      </c>
      <c r="U5">
        <v>682</v>
      </c>
      <c r="V5">
        <v>565</v>
      </c>
      <c r="W5">
        <v>537</v>
      </c>
      <c r="X5">
        <v>392</v>
      </c>
      <c r="Y5">
        <v>424</v>
      </c>
      <c r="Z5">
        <v>376</v>
      </c>
      <c r="AA5">
        <v>409</v>
      </c>
      <c r="AB5">
        <v>471</v>
      </c>
      <c r="AC5">
        <v>416</v>
      </c>
      <c r="AD5">
        <v>547</v>
      </c>
      <c r="AE5">
        <v>509</v>
      </c>
      <c r="AF5" s="927" t="s">
        <v>305</v>
      </c>
      <c r="AG5" s="927"/>
      <c r="AH5" s="717">
        <v>44980</v>
      </c>
      <c r="AI5">
        <v>6.03</v>
      </c>
      <c r="AJ5">
        <v>19000</v>
      </c>
      <c r="AK5" s="927" t="s">
        <v>325</v>
      </c>
      <c r="AL5" t="s">
        <v>331</v>
      </c>
      <c r="AM5" t="s">
        <v>332</v>
      </c>
      <c r="AO5" s="927"/>
      <c r="AP5" s="927"/>
      <c r="AQ5" s="927"/>
    </row>
    <row r="6" spans="1:43">
      <c r="A6" s="927" t="s">
        <v>333</v>
      </c>
      <c r="B6" s="927" t="s">
        <v>334</v>
      </c>
      <c r="C6" s="927" t="s">
        <v>335</v>
      </c>
      <c r="D6" s="927" t="s">
        <v>42</v>
      </c>
      <c r="E6" s="717">
        <v>44141</v>
      </c>
      <c r="F6" s="927" t="s">
        <v>50</v>
      </c>
      <c r="G6" s="927" t="s">
        <v>336</v>
      </c>
      <c r="I6" s="927"/>
      <c r="J6" s="131"/>
      <c r="K6" s="927" t="s">
        <v>306</v>
      </c>
      <c r="M6" s="927" t="s">
        <v>306</v>
      </c>
      <c r="N6" s="927" t="s">
        <v>306</v>
      </c>
      <c r="O6" s="927" t="s">
        <v>306</v>
      </c>
      <c r="P6" s="927" t="s">
        <v>322</v>
      </c>
      <c r="Q6" s="927" t="s">
        <v>323</v>
      </c>
      <c r="R6" s="927" t="s">
        <v>324</v>
      </c>
      <c r="S6">
        <v>638</v>
      </c>
      <c r="T6">
        <v>971</v>
      </c>
      <c r="U6">
        <v>868</v>
      </c>
      <c r="V6">
        <v>570</v>
      </c>
      <c r="W6">
        <v>635</v>
      </c>
      <c r="X6">
        <v>543</v>
      </c>
      <c r="Y6">
        <v>518</v>
      </c>
      <c r="Z6">
        <v>515</v>
      </c>
      <c r="AA6">
        <v>501</v>
      </c>
      <c r="AB6">
        <v>619</v>
      </c>
      <c r="AC6">
        <v>873</v>
      </c>
      <c r="AD6">
        <v>463</v>
      </c>
      <c r="AE6">
        <v>582</v>
      </c>
      <c r="AF6" s="927" t="s">
        <v>305</v>
      </c>
      <c r="AG6" s="927"/>
      <c r="AH6" s="717">
        <v>45184</v>
      </c>
      <c r="AK6" s="927"/>
      <c r="AO6" s="927" t="s">
        <v>337</v>
      </c>
      <c r="AP6" s="927" t="s">
        <v>44</v>
      </c>
      <c r="AQ6" s="927" t="s">
        <v>338</v>
      </c>
    </row>
    <row r="7" spans="1:43">
      <c r="A7" s="927" t="s">
        <v>339</v>
      </c>
      <c r="B7" s="927" t="s">
        <v>340</v>
      </c>
      <c r="C7" s="927" t="s">
        <v>341</v>
      </c>
      <c r="D7" s="927" t="s">
        <v>42</v>
      </c>
      <c r="E7" s="717">
        <v>44142</v>
      </c>
      <c r="F7" s="927" t="s">
        <v>50</v>
      </c>
      <c r="G7" s="927" t="s">
        <v>342</v>
      </c>
      <c r="I7" s="927"/>
      <c r="J7" s="131"/>
      <c r="K7" s="927" t="s">
        <v>343</v>
      </c>
      <c r="L7" t="s">
        <v>3717</v>
      </c>
      <c r="M7" s="927" t="s">
        <v>344</v>
      </c>
      <c r="N7" s="927" t="s">
        <v>343</v>
      </c>
      <c r="O7" s="927" t="s">
        <v>344</v>
      </c>
      <c r="P7" s="927" t="s">
        <v>322</v>
      </c>
      <c r="Q7" s="927" t="s">
        <v>323</v>
      </c>
      <c r="R7" s="927" t="s">
        <v>324</v>
      </c>
      <c r="S7">
        <v>500</v>
      </c>
      <c r="T7">
        <v>681</v>
      </c>
      <c r="U7">
        <v>681</v>
      </c>
      <c r="V7">
        <v>564</v>
      </c>
      <c r="W7">
        <v>536</v>
      </c>
      <c r="X7">
        <v>391</v>
      </c>
      <c r="Y7">
        <v>423</v>
      </c>
      <c r="Z7">
        <v>375</v>
      </c>
      <c r="AA7">
        <v>408</v>
      </c>
      <c r="AB7">
        <v>470</v>
      </c>
      <c r="AC7">
        <v>415</v>
      </c>
      <c r="AD7">
        <v>546</v>
      </c>
      <c r="AE7">
        <v>508</v>
      </c>
      <c r="AF7" s="927" t="s">
        <v>305</v>
      </c>
      <c r="AG7" s="927"/>
      <c r="AH7" s="717">
        <v>45184</v>
      </c>
      <c r="AK7" s="927"/>
      <c r="AO7" s="927" t="s">
        <v>337</v>
      </c>
      <c r="AP7" s="927" t="s">
        <v>345</v>
      </c>
      <c r="AQ7" s="927" t="s">
        <v>346</v>
      </c>
    </row>
    <row r="8" spans="1:43">
      <c r="A8" s="927" t="s">
        <v>347</v>
      </c>
      <c r="B8" s="927" t="s">
        <v>348</v>
      </c>
      <c r="C8" s="927" t="s">
        <v>349</v>
      </c>
      <c r="D8" s="927" t="s">
        <v>32</v>
      </c>
      <c r="E8" s="717">
        <v>44144</v>
      </c>
      <c r="F8" s="927" t="s">
        <v>55</v>
      </c>
      <c r="G8" s="927" t="s">
        <v>350</v>
      </c>
      <c r="I8" s="927"/>
      <c r="J8" s="131"/>
      <c r="K8" s="927" t="s">
        <v>306</v>
      </c>
      <c r="M8" s="927" t="s">
        <v>306</v>
      </c>
      <c r="N8" s="927" t="s">
        <v>306</v>
      </c>
      <c r="O8" s="927" t="s">
        <v>306</v>
      </c>
      <c r="P8" s="927" t="s">
        <v>322</v>
      </c>
      <c r="Q8" s="927" t="s">
        <v>323</v>
      </c>
      <c r="R8" s="927"/>
      <c r="S8">
        <v>300</v>
      </c>
      <c r="T8">
        <v>409</v>
      </c>
      <c r="U8">
        <v>409</v>
      </c>
      <c r="V8">
        <v>338</v>
      </c>
      <c r="W8">
        <v>322</v>
      </c>
      <c r="X8">
        <v>235</v>
      </c>
      <c r="Y8">
        <v>254</v>
      </c>
      <c r="Z8">
        <v>225</v>
      </c>
      <c r="AA8">
        <v>245</v>
      </c>
      <c r="AB8">
        <v>282</v>
      </c>
      <c r="AC8">
        <v>249</v>
      </c>
      <c r="AD8">
        <v>328</v>
      </c>
      <c r="AE8">
        <v>305</v>
      </c>
      <c r="AF8" s="927" t="s">
        <v>305</v>
      </c>
      <c r="AG8" s="927"/>
      <c r="AH8" s="717">
        <v>44179</v>
      </c>
      <c r="AI8">
        <v>2.68</v>
      </c>
      <c r="AJ8">
        <v>14289.97</v>
      </c>
      <c r="AK8" s="927" t="s">
        <v>351</v>
      </c>
      <c r="AL8">
        <v>8</v>
      </c>
      <c r="AM8">
        <v>335</v>
      </c>
      <c r="AO8" s="927"/>
      <c r="AP8" s="927"/>
      <c r="AQ8" s="927" t="s">
        <v>352</v>
      </c>
    </row>
    <row r="9" spans="1:43">
      <c r="A9" s="927" t="s">
        <v>353</v>
      </c>
      <c r="B9" s="927" t="s">
        <v>354</v>
      </c>
      <c r="C9" s="927" t="s">
        <v>355</v>
      </c>
      <c r="D9" s="927" t="s">
        <v>32</v>
      </c>
      <c r="E9" s="717">
        <v>44149</v>
      </c>
      <c r="F9" s="927" t="s">
        <v>55</v>
      </c>
      <c r="G9" s="927" t="s">
        <v>356</v>
      </c>
      <c r="I9" s="927"/>
      <c r="J9" s="131"/>
      <c r="K9" s="927" t="s">
        <v>306</v>
      </c>
      <c r="M9" s="927" t="s">
        <v>306</v>
      </c>
      <c r="N9" s="927" t="s">
        <v>306</v>
      </c>
      <c r="O9" s="927" t="s">
        <v>306</v>
      </c>
      <c r="P9" s="927" t="s">
        <v>322</v>
      </c>
      <c r="Q9" s="927" t="s">
        <v>323</v>
      </c>
      <c r="R9" s="927" t="s">
        <v>324</v>
      </c>
      <c r="S9">
        <v>350</v>
      </c>
      <c r="T9">
        <v>477</v>
      </c>
      <c r="U9">
        <v>477</v>
      </c>
      <c r="V9">
        <v>395</v>
      </c>
      <c r="W9">
        <v>375</v>
      </c>
      <c r="X9">
        <v>274</v>
      </c>
      <c r="Y9">
        <v>296</v>
      </c>
      <c r="Z9">
        <v>263</v>
      </c>
      <c r="AA9">
        <v>286</v>
      </c>
      <c r="AB9">
        <v>329</v>
      </c>
      <c r="AC9">
        <v>291</v>
      </c>
      <c r="AD9">
        <v>382</v>
      </c>
      <c r="AE9">
        <v>356</v>
      </c>
      <c r="AF9" s="927" t="s">
        <v>305</v>
      </c>
      <c r="AG9" s="927"/>
      <c r="AH9" s="717">
        <v>44178</v>
      </c>
      <c r="AI9">
        <v>1.76</v>
      </c>
      <c r="AJ9">
        <v>10879.95</v>
      </c>
      <c r="AK9" s="927" t="s">
        <v>325</v>
      </c>
      <c r="AL9">
        <v>4</v>
      </c>
      <c r="AM9">
        <v>440</v>
      </c>
      <c r="AO9" s="927"/>
      <c r="AP9" s="927"/>
      <c r="AQ9" s="927" t="s">
        <v>5728</v>
      </c>
    </row>
    <row r="10" spans="1:43">
      <c r="A10" s="927" t="s">
        <v>357</v>
      </c>
      <c r="B10" s="927" t="s">
        <v>358</v>
      </c>
      <c r="C10" s="927" t="s">
        <v>359</v>
      </c>
      <c r="D10" s="927" t="s">
        <v>32</v>
      </c>
      <c r="E10" s="717">
        <v>44176</v>
      </c>
      <c r="F10" s="927" t="s">
        <v>55</v>
      </c>
      <c r="G10" s="927" t="s">
        <v>360</v>
      </c>
      <c r="I10" s="927"/>
      <c r="J10" s="131"/>
      <c r="K10" s="927" t="s">
        <v>361</v>
      </c>
      <c r="L10" t="s">
        <v>3718</v>
      </c>
      <c r="M10" s="927" t="s">
        <v>361</v>
      </c>
      <c r="N10" s="927" t="s">
        <v>361</v>
      </c>
      <c r="O10" s="927" t="s">
        <v>361</v>
      </c>
      <c r="P10" s="927" t="s">
        <v>322</v>
      </c>
      <c r="Q10" s="927" t="s">
        <v>323</v>
      </c>
      <c r="R10" s="927" t="s">
        <v>324</v>
      </c>
      <c r="S10">
        <v>255</v>
      </c>
      <c r="T10">
        <v>196</v>
      </c>
      <c r="U10">
        <v>281</v>
      </c>
      <c r="V10">
        <v>316</v>
      </c>
      <c r="W10">
        <v>278</v>
      </c>
      <c r="X10">
        <v>241</v>
      </c>
      <c r="Y10">
        <v>217</v>
      </c>
      <c r="Z10">
        <v>213</v>
      </c>
      <c r="AA10">
        <v>222</v>
      </c>
      <c r="AB10">
        <v>226</v>
      </c>
      <c r="AC10">
        <v>270</v>
      </c>
      <c r="AD10">
        <v>267</v>
      </c>
      <c r="AE10">
        <v>338</v>
      </c>
      <c r="AF10" s="927" t="s">
        <v>305</v>
      </c>
      <c r="AG10" s="927"/>
      <c r="AH10" s="717">
        <v>44225</v>
      </c>
      <c r="AI10">
        <v>3.16</v>
      </c>
      <c r="AJ10">
        <v>17150</v>
      </c>
      <c r="AK10" s="927" t="s">
        <v>325</v>
      </c>
      <c r="AL10">
        <v>8</v>
      </c>
      <c r="AM10">
        <v>395</v>
      </c>
      <c r="AO10" s="927"/>
      <c r="AP10" s="927"/>
      <c r="AQ10" s="927" t="s">
        <v>362</v>
      </c>
    </row>
    <row r="11" spans="1:43">
      <c r="A11" s="927" t="s">
        <v>363</v>
      </c>
      <c r="B11" s="927" t="s">
        <v>364</v>
      </c>
      <c r="C11" s="927" t="s">
        <v>365</v>
      </c>
      <c r="D11" s="927" t="s">
        <v>42</v>
      </c>
      <c r="E11" s="717">
        <v>44179</v>
      </c>
      <c r="F11" s="927" t="s">
        <v>50</v>
      </c>
      <c r="G11" s="927" t="s">
        <v>366</v>
      </c>
      <c r="I11" s="927"/>
      <c r="J11" s="131"/>
      <c r="K11" s="927" t="s">
        <v>367</v>
      </c>
      <c r="L11" t="s">
        <v>3719</v>
      </c>
      <c r="M11" s="927" t="s">
        <v>367</v>
      </c>
      <c r="N11" s="927" t="s">
        <v>367</v>
      </c>
      <c r="O11" s="927" t="s">
        <v>367</v>
      </c>
      <c r="P11" s="927" t="s">
        <v>322</v>
      </c>
      <c r="Q11" s="927" t="s">
        <v>323</v>
      </c>
      <c r="R11" s="927" t="s">
        <v>324</v>
      </c>
      <c r="S11">
        <v>800</v>
      </c>
      <c r="T11">
        <v>1142</v>
      </c>
      <c r="U11">
        <v>1112</v>
      </c>
      <c r="V11">
        <v>920</v>
      </c>
      <c r="W11">
        <v>860</v>
      </c>
      <c r="X11">
        <v>671</v>
      </c>
      <c r="Y11">
        <v>643</v>
      </c>
      <c r="Z11">
        <v>584</v>
      </c>
      <c r="AA11">
        <v>640</v>
      </c>
      <c r="AB11">
        <v>731</v>
      </c>
      <c r="AC11">
        <v>711</v>
      </c>
      <c r="AD11">
        <v>783</v>
      </c>
      <c r="AE11">
        <v>804</v>
      </c>
      <c r="AF11" s="927" t="s">
        <v>305</v>
      </c>
      <c r="AG11" s="927"/>
      <c r="AH11" s="717">
        <v>44249</v>
      </c>
      <c r="AK11" s="927"/>
      <c r="AO11" s="927" t="s">
        <v>307</v>
      </c>
      <c r="AP11" s="927" t="s">
        <v>308</v>
      </c>
      <c r="AQ11" s="927" t="s">
        <v>368</v>
      </c>
    </row>
    <row r="12" spans="1:43">
      <c r="A12" s="927" t="s">
        <v>369</v>
      </c>
      <c r="B12" s="927" t="s">
        <v>370</v>
      </c>
      <c r="C12" s="927" t="s">
        <v>371</v>
      </c>
      <c r="D12" s="927" t="s">
        <v>42</v>
      </c>
      <c r="E12" s="717">
        <v>44182</v>
      </c>
      <c r="F12" s="927" t="s">
        <v>55</v>
      </c>
      <c r="G12" s="927" t="s">
        <v>372</v>
      </c>
      <c r="I12" s="927"/>
      <c r="J12" s="131"/>
      <c r="K12" s="927" t="s">
        <v>373</v>
      </c>
      <c r="L12" t="s">
        <v>3720</v>
      </c>
      <c r="M12" s="927" t="s">
        <v>3619</v>
      </c>
      <c r="N12" s="927" t="s">
        <v>373</v>
      </c>
      <c r="O12" s="927" t="s">
        <v>3619</v>
      </c>
      <c r="P12" s="927" t="s">
        <v>322</v>
      </c>
      <c r="Q12" s="927" t="s">
        <v>323</v>
      </c>
      <c r="R12" s="927" t="s">
        <v>324</v>
      </c>
      <c r="S12">
        <v>760</v>
      </c>
      <c r="T12">
        <v>682</v>
      </c>
      <c r="U12">
        <v>883</v>
      </c>
      <c r="V12">
        <v>825</v>
      </c>
      <c r="W12">
        <v>826</v>
      </c>
      <c r="X12">
        <v>768</v>
      </c>
      <c r="Y12">
        <v>575</v>
      </c>
      <c r="Z12">
        <v>658</v>
      </c>
      <c r="AA12">
        <v>708</v>
      </c>
      <c r="AB12">
        <v>662</v>
      </c>
      <c r="AC12">
        <v>943</v>
      </c>
      <c r="AD12">
        <v>820</v>
      </c>
      <c r="AE12">
        <v>772</v>
      </c>
      <c r="AF12" s="927" t="s">
        <v>305</v>
      </c>
      <c r="AG12" s="927"/>
      <c r="AH12" s="717">
        <v>44249</v>
      </c>
      <c r="AK12" s="927"/>
      <c r="AO12" s="927" t="s">
        <v>307</v>
      </c>
      <c r="AP12" s="927" t="s">
        <v>345</v>
      </c>
      <c r="AQ12" s="927" t="s">
        <v>374</v>
      </c>
    </row>
    <row r="13" spans="1:43">
      <c r="A13" s="927" t="s">
        <v>375</v>
      </c>
      <c r="B13" s="927" t="s">
        <v>376</v>
      </c>
      <c r="C13" s="927" t="s">
        <v>377</v>
      </c>
      <c r="D13" s="927" t="s">
        <v>32</v>
      </c>
      <c r="E13" s="717">
        <v>44201</v>
      </c>
      <c r="F13" s="927" t="s">
        <v>55</v>
      </c>
      <c r="G13" s="927" t="s">
        <v>378</v>
      </c>
      <c r="I13" s="927"/>
      <c r="J13" s="131"/>
      <c r="K13" s="927" t="s">
        <v>306</v>
      </c>
      <c r="M13" s="927" t="s">
        <v>306</v>
      </c>
      <c r="N13" s="927" t="s">
        <v>306</v>
      </c>
      <c r="O13" s="927" t="s">
        <v>306</v>
      </c>
      <c r="P13" s="927" t="s">
        <v>379</v>
      </c>
      <c r="Q13" s="927"/>
      <c r="R13" s="927"/>
      <c r="AF13" s="927"/>
      <c r="AG13" s="927"/>
      <c r="AH13" s="717">
        <v>44239</v>
      </c>
      <c r="AI13">
        <v>7.48</v>
      </c>
      <c r="AJ13">
        <v>32219.93</v>
      </c>
      <c r="AK13" s="927" t="s">
        <v>325</v>
      </c>
      <c r="AL13">
        <v>17</v>
      </c>
      <c r="AM13">
        <v>440</v>
      </c>
      <c r="AO13" s="927"/>
      <c r="AP13" s="927"/>
      <c r="AQ13" s="927" t="s">
        <v>380</v>
      </c>
    </row>
    <row r="14" spans="1:43">
      <c r="A14" s="927" t="s">
        <v>381</v>
      </c>
      <c r="B14" s="927" t="s">
        <v>382</v>
      </c>
      <c r="C14" s="927" t="s">
        <v>383</v>
      </c>
      <c r="D14" s="927" t="s">
        <v>42</v>
      </c>
      <c r="E14" s="717">
        <v>44207</v>
      </c>
      <c r="F14" s="927" t="s">
        <v>44</v>
      </c>
      <c r="G14" s="927" t="s">
        <v>384</v>
      </c>
      <c r="I14" s="927"/>
      <c r="J14" s="131"/>
      <c r="K14" s="927" t="s">
        <v>385</v>
      </c>
      <c r="L14" t="s">
        <v>3721</v>
      </c>
      <c r="M14" s="927" t="s">
        <v>386</v>
      </c>
      <c r="N14" s="927" t="s">
        <v>385</v>
      </c>
      <c r="O14" s="927" t="s">
        <v>386</v>
      </c>
      <c r="P14" s="927" t="s">
        <v>322</v>
      </c>
      <c r="Q14" s="927" t="s">
        <v>323</v>
      </c>
      <c r="R14" s="927" t="s">
        <v>324</v>
      </c>
      <c r="S14">
        <v>400</v>
      </c>
      <c r="T14">
        <v>545</v>
      </c>
      <c r="U14">
        <v>545</v>
      </c>
      <c r="V14">
        <v>451</v>
      </c>
      <c r="W14">
        <v>429</v>
      </c>
      <c r="X14">
        <v>313</v>
      </c>
      <c r="Y14">
        <v>339</v>
      </c>
      <c r="Z14">
        <v>300</v>
      </c>
      <c r="AA14">
        <v>327</v>
      </c>
      <c r="AB14">
        <v>376</v>
      </c>
      <c r="AC14">
        <v>332</v>
      </c>
      <c r="AD14">
        <v>437</v>
      </c>
      <c r="AE14">
        <v>407</v>
      </c>
      <c r="AF14" s="927" t="s">
        <v>305</v>
      </c>
      <c r="AG14" s="927"/>
      <c r="AH14" s="717">
        <v>44249</v>
      </c>
      <c r="AK14" s="927"/>
      <c r="AO14" s="927" t="s">
        <v>307</v>
      </c>
      <c r="AP14" s="927" t="s">
        <v>387</v>
      </c>
      <c r="AQ14" s="927" t="s">
        <v>388</v>
      </c>
    </row>
    <row r="15" spans="1:43">
      <c r="A15" s="927" t="s">
        <v>389</v>
      </c>
      <c r="B15" s="927" t="s">
        <v>390</v>
      </c>
      <c r="C15" s="927" t="s">
        <v>391</v>
      </c>
      <c r="D15" s="927" t="s">
        <v>42</v>
      </c>
      <c r="E15" s="717">
        <v>44211</v>
      </c>
      <c r="F15" s="927" t="s">
        <v>52</v>
      </c>
      <c r="G15" s="927" t="s">
        <v>392</v>
      </c>
      <c r="I15" s="927"/>
      <c r="J15" s="131"/>
      <c r="K15" s="927" t="s">
        <v>393</v>
      </c>
      <c r="L15" t="s">
        <v>3722</v>
      </c>
      <c r="M15" s="927" t="s">
        <v>3620</v>
      </c>
      <c r="N15" s="927" t="s">
        <v>393</v>
      </c>
      <c r="O15" s="927" t="s">
        <v>394</v>
      </c>
      <c r="P15" s="927" t="s">
        <v>379</v>
      </c>
      <c r="Q15" s="927"/>
      <c r="R15" s="927"/>
      <c r="S15">
        <v>1300</v>
      </c>
      <c r="T15">
        <v>1770</v>
      </c>
      <c r="U15">
        <v>1770</v>
      </c>
      <c r="V15">
        <v>1467</v>
      </c>
      <c r="W15">
        <v>1394</v>
      </c>
      <c r="X15">
        <v>1018</v>
      </c>
      <c r="Y15">
        <v>1101</v>
      </c>
      <c r="Z15">
        <v>976</v>
      </c>
      <c r="AA15">
        <v>1062</v>
      </c>
      <c r="AB15">
        <v>1223</v>
      </c>
      <c r="AC15">
        <v>1080</v>
      </c>
      <c r="AD15">
        <v>1420</v>
      </c>
      <c r="AE15">
        <v>1321</v>
      </c>
      <c r="AF15" s="927" t="s">
        <v>305</v>
      </c>
      <c r="AG15" s="927"/>
      <c r="AH15" s="717">
        <v>44249</v>
      </c>
      <c r="AK15" s="927"/>
      <c r="AO15" s="927" t="s">
        <v>307</v>
      </c>
      <c r="AP15" s="927" t="s">
        <v>395</v>
      </c>
      <c r="AQ15" s="927" t="s">
        <v>396</v>
      </c>
    </row>
    <row r="16" spans="1:43">
      <c r="A16" s="927" t="s">
        <v>397</v>
      </c>
      <c r="B16" s="927" t="s">
        <v>398</v>
      </c>
      <c r="C16" s="927" t="s">
        <v>399</v>
      </c>
      <c r="D16" s="927" t="s">
        <v>32</v>
      </c>
      <c r="E16" s="717">
        <v>44210</v>
      </c>
      <c r="F16" s="927" t="s">
        <v>61</v>
      </c>
      <c r="G16" s="927" t="s">
        <v>400</v>
      </c>
      <c r="I16" s="927"/>
      <c r="J16" s="131"/>
      <c r="K16" s="927" t="s">
        <v>401</v>
      </c>
      <c r="L16" t="s">
        <v>3723</v>
      </c>
      <c r="M16" s="927" t="s">
        <v>401</v>
      </c>
      <c r="N16" s="927" t="s">
        <v>401</v>
      </c>
      <c r="O16" s="927" t="s">
        <v>401</v>
      </c>
      <c r="P16" s="927" t="s">
        <v>322</v>
      </c>
      <c r="Q16" s="927" t="s">
        <v>323</v>
      </c>
      <c r="R16" s="927" t="s">
        <v>324</v>
      </c>
      <c r="S16">
        <v>815</v>
      </c>
      <c r="T16">
        <v>833</v>
      </c>
      <c r="U16">
        <v>736</v>
      </c>
      <c r="V16">
        <v>701</v>
      </c>
      <c r="W16">
        <v>899</v>
      </c>
      <c r="X16">
        <v>887</v>
      </c>
      <c r="Y16">
        <v>573</v>
      </c>
      <c r="Z16">
        <v>682</v>
      </c>
      <c r="AA16">
        <v>675</v>
      </c>
      <c r="AB16">
        <v>667</v>
      </c>
      <c r="AC16">
        <v>1401</v>
      </c>
      <c r="AD16">
        <v>769</v>
      </c>
      <c r="AE16">
        <v>953</v>
      </c>
      <c r="AF16" s="927" t="s">
        <v>305</v>
      </c>
      <c r="AG16" s="927"/>
      <c r="AH16" s="717">
        <v>44328</v>
      </c>
      <c r="AI16">
        <v>6.6</v>
      </c>
      <c r="AJ16">
        <v>29000</v>
      </c>
      <c r="AK16" s="927" t="s">
        <v>351</v>
      </c>
      <c r="AL16">
        <v>15</v>
      </c>
      <c r="AM16">
        <v>440</v>
      </c>
      <c r="AO16" s="927"/>
      <c r="AP16" s="927" t="s">
        <v>395</v>
      </c>
      <c r="AQ16" s="927" t="s">
        <v>402</v>
      </c>
    </row>
    <row r="17" spans="1:43">
      <c r="A17" s="927" t="s">
        <v>403</v>
      </c>
      <c r="B17" s="927" t="s">
        <v>404</v>
      </c>
      <c r="C17" s="927" t="s">
        <v>405</v>
      </c>
      <c r="D17" s="927" t="s">
        <v>42</v>
      </c>
      <c r="E17" s="717">
        <v>44223</v>
      </c>
      <c r="F17" s="927" t="s">
        <v>52</v>
      </c>
      <c r="G17" s="927" t="s">
        <v>406</v>
      </c>
      <c r="I17" s="927"/>
      <c r="J17" s="131"/>
      <c r="K17" s="927" t="s">
        <v>407</v>
      </c>
      <c r="L17" t="s">
        <v>3724</v>
      </c>
      <c r="M17" s="927" t="s">
        <v>407</v>
      </c>
      <c r="N17" s="927" t="s">
        <v>407</v>
      </c>
      <c r="O17" s="927" t="s">
        <v>407</v>
      </c>
      <c r="P17" s="927" t="s">
        <v>322</v>
      </c>
      <c r="Q17" s="927" t="s">
        <v>323</v>
      </c>
      <c r="R17" s="927" t="s">
        <v>324</v>
      </c>
      <c r="S17">
        <v>1264</v>
      </c>
      <c r="T17">
        <v>1593</v>
      </c>
      <c r="U17">
        <v>1309</v>
      </c>
      <c r="V17">
        <v>1815</v>
      </c>
      <c r="W17">
        <v>1410</v>
      </c>
      <c r="X17">
        <v>1133</v>
      </c>
      <c r="Y17">
        <v>1090</v>
      </c>
      <c r="Z17">
        <v>907</v>
      </c>
      <c r="AA17">
        <v>908</v>
      </c>
      <c r="AB17">
        <v>1381</v>
      </c>
      <c r="AC17">
        <v>1112</v>
      </c>
      <c r="AD17">
        <v>1100</v>
      </c>
      <c r="AE17">
        <v>1405</v>
      </c>
      <c r="AF17" s="927" t="s">
        <v>305</v>
      </c>
      <c r="AG17" s="927"/>
      <c r="AH17" s="717">
        <v>45184</v>
      </c>
      <c r="AK17" s="927"/>
      <c r="AO17" s="927" t="s">
        <v>337</v>
      </c>
      <c r="AP17" s="927" t="s">
        <v>395</v>
      </c>
      <c r="AQ17" s="927" t="s">
        <v>408</v>
      </c>
    </row>
    <row r="18" spans="1:43">
      <c r="A18" s="927" t="s">
        <v>409</v>
      </c>
      <c r="B18" s="927" t="s">
        <v>410</v>
      </c>
      <c r="C18" s="927" t="s">
        <v>411</v>
      </c>
      <c r="D18" s="927" t="s">
        <v>42</v>
      </c>
      <c r="E18" s="717">
        <v>44229</v>
      </c>
      <c r="F18" s="927" t="s">
        <v>46</v>
      </c>
      <c r="G18" s="927" t="s">
        <v>412</v>
      </c>
      <c r="I18" s="927"/>
      <c r="J18" s="131"/>
      <c r="K18" s="927" t="s">
        <v>413</v>
      </c>
      <c r="L18" t="s">
        <v>3725</v>
      </c>
      <c r="M18" s="927" t="s">
        <v>413</v>
      </c>
      <c r="N18" s="927" t="s">
        <v>413</v>
      </c>
      <c r="O18" s="927" t="s">
        <v>413</v>
      </c>
      <c r="P18" s="927" t="s">
        <v>322</v>
      </c>
      <c r="Q18" s="927" t="s">
        <v>323</v>
      </c>
      <c r="R18" s="927" t="s">
        <v>324</v>
      </c>
      <c r="S18">
        <v>594</v>
      </c>
      <c r="T18">
        <v>721</v>
      </c>
      <c r="U18">
        <v>490</v>
      </c>
      <c r="V18">
        <v>541</v>
      </c>
      <c r="W18">
        <v>559</v>
      </c>
      <c r="X18">
        <v>502</v>
      </c>
      <c r="Y18">
        <v>456</v>
      </c>
      <c r="Z18">
        <v>423</v>
      </c>
      <c r="AA18">
        <v>594</v>
      </c>
      <c r="AB18">
        <v>653</v>
      </c>
      <c r="AC18">
        <v>712</v>
      </c>
      <c r="AD18">
        <v>626</v>
      </c>
      <c r="AE18">
        <v>845</v>
      </c>
      <c r="AF18" s="927" t="s">
        <v>305</v>
      </c>
      <c r="AG18" s="927"/>
      <c r="AH18" s="717">
        <v>45189</v>
      </c>
      <c r="AK18" s="927"/>
      <c r="AO18" s="927" t="s">
        <v>337</v>
      </c>
      <c r="AP18" s="927" t="s">
        <v>395</v>
      </c>
      <c r="AQ18" s="927" t="s">
        <v>414</v>
      </c>
    </row>
    <row r="19" spans="1:43">
      <c r="A19" s="927" t="s">
        <v>415</v>
      </c>
      <c r="B19" s="927" t="s">
        <v>416</v>
      </c>
      <c r="C19" s="927" t="s">
        <v>417</v>
      </c>
      <c r="D19" s="927" t="s">
        <v>32</v>
      </c>
      <c r="E19" s="717">
        <v>44235</v>
      </c>
      <c r="F19" s="927" t="s">
        <v>50</v>
      </c>
      <c r="G19" s="927" t="s">
        <v>418</v>
      </c>
      <c r="I19" s="927"/>
      <c r="J19" s="131"/>
      <c r="K19" s="927" t="s">
        <v>306</v>
      </c>
      <c r="M19" s="927" t="s">
        <v>306</v>
      </c>
      <c r="N19" s="927" t="s">
        <v>306</v>
      </c>
      <c r="O19" s="927" t="s">
        <v>306</v>
      </c>
      <c r="P19" s="927" t="s">
        <v>379</v>
      </c>
      <c r="Q19" s="927"/>
      <c r="R19" s="927"/>
      <c r="S19">
        <v>600</v>
      </c>
      <c r="T19">
        <v>817</v>
      </c>
      <c r="U19">
        <v>817</v>
      </c>
      <c r="V19">
        <v>677</v>
      </c>
      <c r="W19">
        <v>643</v>
      </c>
      <c r="X19">
        <v>470</v>
      </c>
      <c r="Y19">
        <v>508</v>
      </c>
      <c r="Z19">
        <v>450</v>
      </c>
      <c r="AA19">
        <v>490</v>
      </c>
      <c r="AB19">
        <v>564</v>
      </c>
      <c r="AC19">
        <v>498</v>
      </c>
      <c r="AD19">
        <v>655</v>
      </c>
      <c r="AE19">
        <v>610</v>
      </c>
      <c r="AF19" s="927" t="s">
        <v>305</v>
      </c>
      <c r="AG19" s="927"/>
      <c r="AH19" s="717">
        <v>44439</v>
      </c>
      <c r="AI19">
        <v>6.4</v>
      </c>
      <c r="AJ19">
        <v>36200</v>
      </c>
      <c r="AK19" s="927" t="s">
        <v>314</v>
      </c>
      <c r="AL19">
        <v>16</v>
      </c>
      <c r="AM19">
        <v>400</v>
      </c>
      <c r="AO19" s="927"/>
      <c r="AP19" s="927"/>
      <c r="AQ19" s="927" t="s">
        <v>419</v>
      </c>
    </row>
    <row r="20" spans="1:43">
      <c r="A20" s="927" t="s">
        <v>420</v>
      </c>
      <c r="B20" s="927" t="s">
        <v>421</v>
      </c>
      <c r="C20" s="927" t="s">
        <v>422</v>
      </c>
      <c r="D20" s="927" t="s">
        <v>42</v>
      </c>
      <c r="E20" s="717">
        <v>44255</v>
      </c>
      <c r="F20" s="927" t="s">
        <v>55</v>
      </c>
      <c r="G20" s="927" t="s">
        <v>423</v>
      </c>
      <c r="I20" s="927"/>
      <c r="J20" s="131"/>
      <c r="K20" s="927" t="s">
        <v>306</v>
      </c>
      <c r="M20" s="927" t="s">
        <v>306</v>
      </c>
      <c r="N20" s="927" t="s">
        <v>306</v>
      </c>
      <c r="O20" s="927" t="s">
        <v>306</v>
      </c>
      <c r="P20" s="927" t="s">
        <v>322</v>
      </c>
      <c r="Q20" s="927"/>
      <c r="R20" s="927"/>
      <c r="S20">
        <v>900</v>
      </c>
      <c r="T20">
        <v>1226</v>
      </c>
      <c r="U20">
        <v>1226</v>
      </c>
      <c r="V20">
        <v>1015</v>
      </c>
      <c r="W20">
        <v>965</v>
      </c>
      <c r="X20">
        <v>704</v>
      </c>
      <c r="Y20">
        <v>762</v>
      </c>
      <c r="Z20">
        <v>676</v>
      </c>
      <c r="AA20">
        <v>735</v>
      </c>
      <c r="AB20">
        <v>846</v>
      </c>
      <c r="AC20">
        <v>748</v>
      </c>
      <c r="AD20">
        <v>983</v>
      </c>
      <c r="AE20">
        <v>915</v>
      </c>
      <c r="AF20" s="927" t="s">
        <v>305</v>
      </c>
      <c r="AG20" s="927"/>
      <c r="AH20" s="717">
        <v>44369</v>
      </c>
      <c r="AK20" s="927"/>
      <c r="AO20" s="927" t="s">
        <v>337</v>
      </c>
      <c r="AP20" s="927" t="s">
        <v>395</v>
      </c>
      <c r="AQ20" s="927"/>
    </row>
    <row r="21" spans="1:43">
      <c r="A21" s="927" t="s">
        <v>424</v>
      </c>
      <c r="B21" s="927" t="s">
        <v>425</v>
      </c>
      <c r="C21" s="927" t="s">
        <v>426</v>
      </c>
      <c r="D21" s="927" t="s">
        <v>33</v>
      </c>
      <c r="E21" s="717">
        <v>44256</v>
      </c>
      <c r="F21" s="927" t="s">
        <v>61</v>
      </c>
      <c r="G21" s="927" t="s">
        <v>427</v>
      </c>
      <c r="I21" s="927"/>
      <c r="J21" s="131"/>
      <c r="K21" s="927" t="s">
        <v>428</v>
      </c>
      <c r="L21" t="s">
        <v>3726</v>
      </c>
      <c r="M21" s="927" t="s">
        <v>3621</v>
      </c>
      <c r="N21" s="927" t="s">
        <v>428</v>
      </c>
      <c r="O21" s="927" t="s">
        <v>3621</v>
      </c>
      <c r="P21" s="927" t="s">
        <v>322</v>
      </c>
      <c r="Q21" s="927" t="s">
        <v>323</v>
      </c>
      <c r="R21" s="927" t="s">
        <v>324</v>
      </c>
      <c r="S21">
        <v>782</v>
      </c>
      <c r="T21">
        <v>768</v>
      </c>
      <c r="U21">
        <v>892</v>
      </c>
      <c r="V21">
        <v>777</v>
      </c>
      <c r="W21">
        <v>867</v>
      </c>
      <c r="X21">
        <v>705</v>
      </c>
      <c r="Y21">
        <v>701</v>
      </c>
      <c r="Z21">
        <v>733</v>
      </c>
      <c r="AA21">
        <v>609</v>
      </c>
      <c r="AB21">
        <v>678</v>
      </c>
      <c r="AC21">
        <v>790</v>
      </c>
      <c r="AD21">
        <v>672</v>
      </c>
      <c r="AE21">
        <v>1196</v>
      </c>
      <c r="AF21" s="927" t="s">
        <v>305</v>
      </c>
      <c r="AG21" s="927"/>
      <c r="AH21" s="717">
        <v>44369</v>
      </c>
      <c r="AK21" s="927"/>
      <c r="AO21" s="927"/>
      <c r="AP21" s="927" t="s">
        <v>395</v>
      </c>
      <c r="AQ21" s="927" t="s">
        <v>429</v>
      </c>
    </row>
    <row r="22" spans="1:43">
      <c r="A22" s="927" t="s">
        <v>430</v>
      </c>
      <c r="B22" s="927" t="s">
        <v>431</v>
      </c>
      <c r="C22" s="927" t="s">
        <v>432</v>
      </c>
      <c r="D22" s="927" t="s">
        <v>42</v>
      </c>
      <c r="E22" s="717">
        <v>44257</v>
      </c>
      <c r="F22" s="927" t="s">
        <v>61</v>
      </c>
      <c r="G22" s="927" t="s">
        <v>400</v>
      </c>
      <c r="I22" s="927"/>
      <c r="J22" s="131"/>
      <c r="K22" s="927" t="s">
        <v>306</v>
      </c>
      <c r="M22" s="927" t="s">
        <v>306</v>
      </c>
      <c r="N22" s="927" t="s">
        <v>306</v>
      </c>
      <c r="O22" s="927" t="s">
        <v>306</v>
      </c>
      <c r="P22" s="927"/>
      <c r="Q22" s="927"/>
      <c r="R22" s="927"/>
      <c r="AF22" s="927"/>
      <c r="AG22" s="927"/>
      <c r="AH22" s="717">
        <v>44369</v>
      </c>
      <c r="AK22" s="927"/>
      <c r="AO22" s="927" t="s">
        <v>307</v>
      </c>
      <c r="AP22" s="927" t="s">
        <v>395</v>
      </c>
      <c r="AQ22" s="927"/>
    </row>
    <row r="23" spans="1:43">
      <c r="A23" s="927" t="s">
        <v>433</v>
      </c>
      <c r="B23" s="927" t="s">
        <v>434</v>
      </c>
      <c r="C23" s="927" t="s">
        <v>435</v>
      </c>
      <c r="D23" s="927" t="s">
        <v>42</v>
      </c>
      <c r="E23" s="717">
        <v>44253</v>
      </c>
      <c r="F23" s="927" t="s">
        <v>61</v>
      </c>
      <c r="G23" s="927" t="s">
        <v>436</v>
      </c>
      <c r="I23" s="927"/>
      <c r="J23" s="131"/>
      <c r="K23" s="927" t="s">
        <v>437</v>
      </c>
      <c r="L23" t="s">
        <v>3727</v>
      </c>
      <c r="M23" s="927" t="s">
        <v>437</v>
      </c>
      <c r="N23" s="927" t="s">
        <v>437</v>
      </c>
      <c r="O23" s="927" t="s">
        <v>437</v>
      </c>
      <c r="P23" s="927" t="s">
        <v>322</v>
      </c>
      <c r="Q23" s="927" t="s">
        <v>323</v>
      </c>
      <c r="R23" s="927" t="s">
        <v>438</v>
      </c>
      <c r="S23">
        <v>586</v>
      </c>
      <c r="T23">
        <v>660</v>
      </c>
      <c r="U23">
        <v>818</v>
      </c>
      <c r="V23">
        <v>672</v>
      </c>
      <c r="W23">
        <v>574</v>
      </c>
      <c r="X23">
        <v>558</v>
      </c>
      <c r="Y23">
        <v>359</v>
      </c>
      <c r="Z23">
        <v>459</v>
      </c>
      <c r="AA23">
        <v>506</v>
      </c>
      <c r="AB23">
        <v>447</v>
      </c>
      <c r="AC23">
        <v>669</v>
      </c>
      <c r="AD23">
        <v>585</v>
      </c>
      <c r="AE23">
        <v>729</v>
      </c>
      <c r="AF23" s="927" t="s">
        <v>305</v>
      </c>
      <c r="AG23" s="927"/>
      <c r="AH23" s="717">
        <v>44369</v>
      </c>
      <c r="AK23" s="927"/>
      <c r="AO23" s="927" t="s">
        <v>337</v>
      </c>
      <c r="AP23" s="927" t="s">
        <v>395</v>
      </c>
      <c r="AQ23" s="927" t="s">
        <v>439</v>
      </c>
    </row>
    <row r="24" spans="1:43">
      <c r="A24" s="927" t="s">
        <v>440</v>
      </c>
      <c r="B24" s="927" t="s">
        <v>441</v>
      </c>
      <c r="C24" s="927" t="s">
        <v>442</v>
      </c>
      <c r="D24" s="927" t="s">
        <v>42</v>
      </c>
      <c r="E24" s="717">
        <v>44258</v>
      </c>
      <c r="F24" s="927" t="s">
        <v>61</v>
      </c>
      <c r="G24" s="927" t="s">
        <v>443</v>
      </c>
      <c r="I24" s="927"/>
      <c r="J24" s="131"/>
      <c r="K24" s="927" t="s">
        <v>385</v>
      </c>
      <c r="L24" t="s">
        <v>3721</v>
      </c>
      <c r="M24" s="927" t="s">
        <v>386</v>
      </c>
      <c r="N24" s="927" t="s">
        <v>385</v>
      </c>
      <c r="O24" s="927" t="s">
        <v>386</v>
      </c>
      <c r="P24" s="927" t="s">
        <v>322</v>
      </c>
      <c r="Q24" s="927" t="s">
        <v>323</v>
      </c>
      <c r="R24" s="927" t="s">
        <v>324</v>
      </c>
      <c r="S24">
        <v>500</v>
      </c>
      <c r="T24">
        <v>681</v>
      </c>
      <c r="U24">
        <v>681</v>
      </c>
      <c r="V24">
        <v>564</v>
      </c>
      <c r="W24">
        <v>536</v>
      </c>
      <c r="X24">
        <v>391</v>
      </c>
      <c r="Y24">
        <v>423</v>
      </c>
      <c r="Z24">
        <v>375</v>
      </c>
      <c r="AA24">
        <v>408</v>
      </c>
      <c r="AB24">
        <v>470</v>
      </c>
      <c r="AC24">
        <v>415</v>
      </c>
      <c r="AD24">
        <v>546</v>
      </c>
      <c r="AE24">
        <v>508</v>
      </c>
      <c r="AF24" s="927"/>
      <c r="AG24" s="927"/>
      <c r="AH24" s="717">
        <v>44369</v>
      </c>
      <c r="AK24" s="927"/>
      <c r="AO24" s="927" t="s">
        <v>307</v>
      </c>
      <c r="AP24" s="927" t="s">
        <v>308</v>
      </c>
      <c r="AQ24" s="927"/>
    </row>
    <row r="25" spans="1:43">
      <c r="A25" s="927" t="s">
        <v>444</v>
      </c>
      <c r="B25" s="927" t="s">
        <v>445</v>
      </c>
      <c r="C25" s="927" t="s">
        <v>446</v>
      </c>
      <c r="D25" s="927" t="s">
        <v>32</v>
      </c>
      <c r="E25" s="717">
        <v>44258</v>
      </c>
      <c r="F25" s="927" t="s">
        <v>55</v>
      </c>
      <c r="G25" s="927" t="s">
        <v>447</v>
      </c>
      <c r="I25" s="927"/>
      <c r="J25" s="131"/>
      <c r="K25" s="927" t="s">
        <v>306</v>
      </c>
      <c r="M25" s="927" t="s">
        <v>306</v>
      </c>
      <c r="N25" s="927" t="s">
        <v>306</v>
      </c>
      <c r="O25" s="927" t="s">
        <v>306</v>
      </c>
      <c r="P25" s="927" t="s">
        <v>379</v>
      </c>
      <c r="Q25" s="927"/>
      <c r="R25" s="927"/>
      <c r="S25">
        <v>690</v>
      </c>
      <c r="T25">
        <v>1096</v>
      </c>
      <c r="U25">
        <v>1050</v>
      </c>
      <c r="V25">
        <v>1014</v>
      </c>
      <c r="W25">
        <v>800</v>
      </c>
      <c r="X25">
        <v>721</v>
      </c>
      <c r="Y25">
        <v>438</v>
      </c>
      <c r="Z25">
        <v>398</v>
      </c>
      <c r="AA25">
        <v>515</v>
      </c>
      <c r="AB25">
        <v>523</v>
      </c>
      <c r="AC25">
        <v>463</v>
      </c>
      <c r="AD25">
        <v>538</v>
      </c>
      <c r="AE25">
        <v>723</v>
      </c>
      <c r="AF25" s="927" t="s">
        <v>305</v>
      </c>
      <c r="AG25" s="927"/>
      <c r="AH25" s="717">
        <v>44439</v>
      </c>
      <c r="AI25">
        <v>7.04</v>
      </c>
      <c r="AJ25">
        <v>32500</v>
      </c>
      <c r="AK25" s="927" t="s">
        <v>314</v>
      </c>
      <c r="AL25">
        <v>16</v>
      </c>
      <c r="AM25">
        <v>440</v>
      </c>
      <c r="AO25" s="927"/>
      <c r="AP25" s="927"/>
      <c r="AQ25" s="927" t="s">
        <v>448</v>
      </c>
    </row>
    <row r="26" spans="1:43">
      <c r="A26" s="927" t="s">
        <v>3599</v>
      </c>
      <c r="B26" s="927" t="s">
        <v>449</v>
      </c>
      <c r="C26" s="927" t="s">
        <v>3600</v>
      </c>
      <c r="D26" s="927" t="s">
        <v>1115</v>
      </c>
      <c r="E26" s="717">
        <v>45440</v>
      </c>
      <c r="F26" s="927" t="s">
        <v>52</v>
      </c>
      <c r="G26" s="927" t="s">
        <v>450</v>
      </c>
      <c r="I26" s="927"/>
      <c r="J26" s="131"/>
      <c r="K26" s="927" t="s">
        <v>451</v>
      </c>
      <c r="L26" t="s">
        <v>3728</v>
      </c>
      <c r="M26" s="927" t="s">
        <v>3622</v>
      </c>
      <c r="N26" s="927" t="s">
        <v>451</v>
      </c>
      <c r="O26" s="927" t="s">
        <v>3622</v>
      </c>
      <c r="P26" s="927" t="s">
        <v>322</v>
      </c>
      <c r="Q26" s="927"/>
      <c r="R26" s="927"/>
      <c r="S26">
        <v>1000</v>
      </c>
      <c r="T26">
        <v>1362</v>
      </c>
      <c r="U26">
        <v>1362</v>
      </c>
      <c r="V26">
        <v>1128</v>
      </c>
      <c r="W26">
        <v>1072</v>
      </c>
      <c r="X26">
        <v>783</v>
      </c>
      <c r="Y26">
        <v>847</v>
      </c>
      <c r="Z26">
        <v>751</v>
      </c>
      <c r="AA26">
        <v>817</v>
      </c>
      <c r="AB26">
        <v>940</v>
      </c>
      <c r="AC26">
        <v>831</v>
      </c>
      <c r="AD26">
        <v>1092</v>
      </c>
      <c r="AE26">
        <v>1016</v>
      </c>
      <c r="AF26" s="927"/>
      <c r="AG26" s="927"/>
      <c r="AH26" s="717">
        <v>44369</v>
      </c>
      <c r="AK26" s="927"/>
      <c r="AO26" s="927" t="s">
        <v>337</v>
      </c>
      <c r="AP26" s="927" t="s">
        <v>395</v>
      </c>
      <c r="AQ26" s="927" t="s">
        <v>452</v>
      </c>
    </row>
    <row r="27" spans="1:43">
      <c r="A27" s="927" t="s">
        <v>453</v>
      </c>
      <c r="B27" s="927" t="s">
        <v>454</v>
      </c>
      <c r="C27" s="927" t="s">
        <v>455</v>
      </c>
      <c r="D27" s="927" t="s">
        <v>42</v>
      </c>
      <c r="E27" s="717">
        <v>44272</v>
      </c>
      <c r="F27" s="927" t="s">
        <v>52</v>
      </c>
      <c r="G27" s="927" t="s">
        <v>456</v>
      </c>
      <c r="I27" s="927"/>
      <c r="J27" s="131"/>
      <c r="K27" s="927" t="s">
        <v>306</v>
      </c>
      <c r="M27" s="927" t="s">
        <v>306</v>
      </c>
      <c r="N27" s="927" t="s">
        <v>306</v>
      </c>
      <c r="O27" s="927" t="s">
        <v>306</v>
      </c>
      <c r="P27" s="927" t="s">
        <v>322</v>
      </c>
      <c r="Q27" s="927"/>
      <c r="R27" s="927"/>
      <c r="S27">
        <v>500</v>
      </c>
      <c r="T27">
        <v>681</v>
      </c>
      <c r="U27">
        <v>681</v>
      </c>
      <c r="V27">
        <v>564</v>
      </c>
      <c r="W27">
        <v>536</v>
      </c>
      <c r="X27">
        <v>391</v>
      </c>
      <c r="Y27">
        <v>423</v>
      </c>
      <c r="Z27">
        <v>375</v>
      </c>
      <c r="AA27">
        <v>408</v>
      </c>
      <c r="AB27">
        <v>470</v>
      </c>
      <c r="AC27">
        <v>415</v>
      </c>
      <c r="AD27">
        <v>546</v>
      </c>
      <c r="AE27">
        <v>508</v>
      </c>
      <c r="AF27" s="927"/>
      <c r="AG27" s="927"/>
      <c r="AH27" s="717">
        <v>45189</v>
      </c>
      <c r="AK27" s="927"/>
      <c r="AO27" s="927" t="s">
        <v>337</v>
      </c>
      <c r="AP27" s="927" t="s">
        <v>395</v>
      </c>
      <c r="AQ27" s="927" t="s">
        <v>457</v>
      </c>
    </row>
    <row r="28" spans="1:43">
      <c r="A28" s="927" t="s">
        <v>458</v>
      </c>
      <c r="B28" s="927" t="s">
        <v>459</v>
      </c>
      <c r="C28" s="927" t="s">
        <v>460</v>
      </c>
      <c r="D28" s="927" t="s">
        <v>32</v>
      </c>
      <c r="E28" s="717">
        <v>44273</v>
      </c>
      <c r="F28" s="927" t="s">
        <v>50</v>
      </c>
      <c r="G28" s="927" t="s">
        <v>461</v>
      </c>
      <c r="I28" s="927"/>
      <c r="J28" s="131"/>
      <c r="K28" s="927" t="s">
        <v>306</v>
      </c>
      <c r="M28" s="927" t="s">
        <v>306</v>
      </c>
      <c r="N28" s="927" t="s">
        <v>306</v>
      </c>
      <c r="O28" s="927" t="s">
        <v>306</v>
      </c>
      <c r="P28" s="927" t="s">
        <v>322</v>
      </c>
      <c r="Q28" s="927"/>
      <c r="R28" s="927"/>
      <c r="S28">
        <v>268</v>
      </c>
      <c r="T28">
        <v>370</v>
      </c>
      <c r="U28">
        <v>330</v>
      </c>
      <c r="V28">
        <v>300</v>
      </c>
      <c r="W28">
        <v>290</v>
      </c>
      <c r="X28">
        <v>210</v>
      </c>
      <c r="Y28">
        <v>200</v>
      </c>
      <c r="Z28">
        <v>180</v>
      </c>
      <c r="AA28">
        <v>170</v>
      </c>
      <c r="AB28">
        <v>260</v>
      </c>
      <c r="AC28">
        <v>300</v>
      </c>
      <c r="AD28">
        <v>230</v>
      </c>
      <c r="AE28">
        <v>370</v>
      </c>
      <c r="AF28" s="927" t="s">
        <v>305</v>
      </c>
      <c r="AG28" s="927"/>
      <c r="AH28" s="717">
        <v>44316</v>
      </c>
      <c r="AI28">
        <v>2.88</v>
      </c>
      <c r="AJ28">
        <v>16117.11</v>
      </c>
      <c r="AK28" s="927" t="s">
        <v>462</v>
      </c>
      <c r="AL28">
        <v>8</v>
      </c>
      <c r="AM28">
        <v>360</v>
      </c>
      <c r="AO28" s="927"/>
      <c r="AP28" s="927"/>
      <c r="AQ28" s="927" t="s">
        <v>463</v>
      </c>
    </row>
    <row r="29" spans="1:43">
      <c r="A29" s="927" t="s">
        <v>464</v>
      </c>
      <c r="B29" s="927" t="s">
        <v>465</v>
      </c>
      <c r="C29" s="927" t="s">
        <v>466</v>
      </c>
      <c r="D29" s="927" t="s">
        <v>42</v>
      </c>
      <c r="E29" s="717">
        <v>44273</v>
      </c>
      <c r="F29" s="927" t="s">
        <v>52</v>
      </c>
      <c r="G29" s="927" t="s">
        <v>467</v>
      </c>
      <c r="I29" s="927"/>
      <c r="J29" s="131"/>
      <c r="K29" s="927" t="s">
        <v>306</v>
      </c>
      <c r="M29" s="927" t="s">
        <v>306</v>
      </c>
      <c r="N29" s="927" t="s">
        <v>306</v>
      </c>
      <c r="O29" s="927" t="s">
        <v>306</v>
      </c>
      <c r="P29" s="927" t="s">
        <v>322</v>
      </c>
      <c r="Q29" s="927"/>
      <c r="R29" s="927"/>
      <c r="S29">
        <v>800</v>
      </c>
      <c r="T29">
        <v>1089</v>
      </c>
      <c r="U29">
        <v>1089</v>
      </c>
      <c r="V29">
        <v>902</v>
      </c>
      <c r="W29">
        <v>858</v>
      </c>
      <c r="X29">
        <v>626</v>
      </c>
      <c r="Y29">
        <v>677</v>
      </c>
      <c r="Z29">
        <v>601</v>
      </c>
      <c r="AA29">
        <v>653</v>
      </c>
      <c r="AB29">
        <v>752</v>
      </c>
      <c r="AC29">
        <v>664</v>
      </c>
      <c r="AD29">
        <v>874</v>
      </c>
      <c r="AE29">
        <v>813</v>
      </c>
      <c r="AF29" s="927"/>
      <c r="AG29" s="927"/>
      <c r="AH29" s="717">
        <v>44369</v>
      </c>
      <c r="AK29" s="927"/>
      <c r="AO29" s="927" t="s">
        <v>307</v>
      </c>
      <c r="AP29" s="927" t="s">
        <v>345</v>
      </c>
      <c r="AQ29" s="927" t="s">
        <v>468</v>
      </c>
    </row>
    <row r="30" spans="1:43">
      <c r="A30" s="927" t="s">
        <v>469</v>
      </c>
      <c r="B30" s="927" t="s">
        <v>470</v>
      </c>
      <c r="C30" s="927" t="s">
        <v>471</v>
      </c>
      <c r="D30" s="927" t="s">
        <v>42</v>
      </c>
      <c r="E30" s="717">
        <v>44279</v>
      </c>
      <c r="F30" s="927" t="s">
        <v>52</v>
      </c>
      <c r="G30" s="927" t="s">
        <v>467</v>
      </c>
      <c r="I30" s="927"/>
      <c r="J30" s="131"/>
      <c r="K30" s="927" t="s">
        <v>306</v>
      </c>
      <c r="M30" s="927" t="s">
        <v>306</v>
      </c>
      <c r="N30" s="927" t="s">
        <v>306</v>
      </c>
      <c r="O30" s="927" t="s">
        <v>306</v>
      </c>
      <c r="P30" s="927" t="s">
        <v>322</v>
      </c>
      <c r="Q30" s="927"/>
      <c r="R30" s="927"/>
      <c r="S30">
        <v>1800</v>
      </c>
      <c r="T30">
        <v>2451</v>
      </c>
      <c r="U30">
        <v>2451</v>
      </c>
      <c r="V30">
        <v>2031</v>
      </c>
      <c r="W30">
        <v>1930</v>
      </c>
      <c r="X30">
        <v>1409</v>
      </c>
      <c r="Y30">
        <v>1524</v>
      </c>
      <c r="Z30">
        <v>1351</v>
      </c>
      <c r="AA30">
        <v>1470</v>
      </c>
      <c r="AB30">
        <v>1693</v>
      </c>
      <c r="AC30">
        <v>1495</v>
      </c>
      <c r="AD30">
        <v>1966</v>
      </c>
      <c r="AE30">
        <v>1829</v>
      </c>
      <c r="AF30" s="927"/>
      <c r="AG30" s="927"/>
      <c r="AH30" s="717">
        <v>44369</v>
      </c>
      <c r="AK30" s="927"/>
      <c r="AO30" s="927" t="s">
        <v>307</v>
      </c>
      <c r="AP30" s="927" t="s">
        <v>395</v>
      </c>
      <c r="AQ30" s="927" t="s">
        <v>472</v>
      </c>
    </row>
    <row r="31" spans="1:43">
      <c r="A31" s="927" t="s">
        <v>473</v>
      </c>
      <c r="B31" s="927" t="s">
        <v>474</v>
      </c>
      <c r="C31" s="927" t="s">
        <v>475</v>
      </c>
      <c r="D31" s="927" t="s">
        <v>42</v>
      </c>
      <c r="E31" s="717">
        <v>44287</v>
      </c>
      <c r="F31" s="927" t="s">
        <v>61</v>
      </c>
      <c r="G31" s="927" t="s">
        <v>476</v>
      </c>
      <c r="I31" s="927"/>
      <c r="J31" s="131"/>
      <c r="K31" s="927" t="s">
        <v>477</v>
      </c>
      <c r="L31" t="s">
        <v>3729</v>
      </c>
      <c r="M31" s="927" t="s">
        <v>3623</v>
      </c>
      <c r="N31" s="927" t="s">
        <v>3730</v>
      </c>
      <c r="O31" s="927" t="s">
        <v>3623</v>
      </c>
      <c r="P31" s="927" t="s">
        <v>379</v>
      </c>
      <c r="Q31" s="927"/>
      <c r="R31" s="927"/>
      <c r="AF31" s="927"/>
      <c r="AG31" s="927"/>
      <c r="AH31" s="717">
        <v>44369</v>
      </c>
      <c r="AK31" s="927"/>
      <c r="AO31" s="927" t="s">
        <v>307</v>
      </c>
      <c r="AP31" s="927" t="s">
        <v>395</v>
      </c>
      <c r="AQ31" s="927" t="s">
        <v>478</v>
      </c>
    </row>
    <row r="32" spans="1:43">
      <c r="A32" s="927" t="s">
        <v>479</v>
      </c>
      <c r="B32" s="927" t="s">
        <v>480</v>
      </c>
      <c r="C32" s="927" t="s">
        <v>481</v>
      </c>
      <c r="D32" s="927" t="s">
        <v>42</v>
      </c>
      <c r="E32" s="717">
        <v>44293</v>
      </c>
      <c r="F32" s="927" t="s">
        <v>52</v>
      </c>
      <c r="G32" s="927" t="s">
        <v>482</v>
      </c>
      <c r="I32" s="927"/>
      <c r="J32" s="131"/>
      <c r="K32" s="927" t="s">
        <v>306</v>
      </c>
      <c r="M32" s="927" t="s">
        <v>306</v>
      </c>
      <c r="N32" s="927" t="s">
        <v>306</v>
      </c>
      <c r="O32" s="927" t="s">
        <v>306</v>
      </c>
      <c r="P32" s="927" t="s">
        <v>322</v>
      </c>
      <c r="Q32" s="927"/>
      <c r="R32" s="927"/>
      <c r="AF32" s="927"/>
      <c r="AG32" s="927"/>
      <c r="AH32" s="717">
        <v>44369</v>
      </c>
      <c r="AK32" s="927"/>
      <c r="AO32" s="927" t="s">
        <v>307</v>
      </c>
      <c r="AP32" s="927" t="s">
        <v>387</v>
      </c>
      <c r="AQ32" s="927" t="s">
        <v>483</v>
      </c>
    </row>
    <row r="33" spans="1:43">
      <c r="A33" s="927" t="s">
        <v>484</v>
      </c>
      <c r="B33" s="927" t="s">
        <v>485</v>
      </c>
      <c r="C33" s="927" t="s">
        <v>486</v>
      </c>
      <c r="D33" s="927" t="s">
        <v>42</v>
      </c>
      <c r="E33" s="717">
        <v>44301</v>
      </c>
      <c r="F33" s="927" t="s">
        <v>50</v>
      </c>
      <c r="G33" s="927" t="s">
        <v>487</v>
      </c>
      <c r="I33" s="927"/>
      <c r="J33" s="131"/>
      <c r="K33" s="927" t="s">
        <v>306</v>
      </c>
      <c r="M33" s="927" t="s">
        <v>306</v>
      </c>
      <c r="N33" s="927" t="s">
        <v>306</v>
      </c>
      <c r="O33" s="927" t="s">
        <v>306</v>
      </c>
      <c r="P33" s="927" t="s">
        <v>322</v>
      </c>
      <c r="Q33" s="927"/>
      <c r="R33" s="927"/>
      <c r="S33">
        <v>700</v>
      </c>
      <c r="T33">
        <v>953</v>
      </c>
      <c r="U33">
        <v>953</v>
      </c>
      <c r="V33">
        <v>790</v>
      </c>
      <c r="W33">
        <v>751</v>
      </c>
      <c r="X33">
        <v>548</v>
      </c>
      <c r="Y33">
        <v>593</v>
      </c>
      <c r="Z33">
        <v>526</v>
      </c>
      <c r="AA33">
        <v>572</v>
      </c>
      <c r="AB33">
        <v>658</v>
      </c>
      <c r="AC33">
        <v>581</v>
      </c>
      <c r="AD33">
        <v>765</v>
      </c>
      <c r="AE33">
        <v>711</v>
      </c>
      <c r="AF33" s="927"/>
      <c r="AG33" s="927"/>
      <c r="AH33" s="717">
        <v>44321</v>
      </c>
      <c r="AK33" s="927"/>
      <c r="AO33" s="927" t="s">
        <v>337</v>
      </c>
      <c r="AP33" s="927" t="s">
        <v>395</v>
      </c>
      <c r="AQ33" s="927" t="s">
        <v>488</v>
      </c>
    </row>
    <row r="34" spans="1:43">
      <c r="A34" s="927" t="s">
        <v>489</v>
      </c>
      <c r="B34" s="927" t="s">
        <v>490</v>
      </c>
      <c r="C34" s="927" t="s">
        <v>491</v>
      </c>
      <c r="D34" s="927" t="s">
        <v>32</v>
      </c>
      <c r="E34" s="717">
        <v>44300</v>
      </c>
      <c r="F34" s="927" t="s">
        <v>61</v>
      </c>
      <c r="G34" s="927" t="s">
        <v>492</v>
      </c>
      <c r="I34" s="927"/>
      <c r="J34" s="131"/>
      <c r="K34" s="927" t="s">
        <v>493</v>
      </c>
      <c r="L34" t="s">
        <v>3731</v>
      </c>
      <c r="M34" s="927" t="s">
        <v>3624</v>
      </c>
      <c r="N34" s="927" t="s">
        <v>493</v>
      </c>
      <c r="O34" s="927" t="s">
        <v>493</v>
      </c>
      <c r="P34" s="927" t="s">
        <v>322</v>
      </c>
      <c r="Q34" s="927" t="s">
        <v>323</v>
      </c>
      <c r="R34" s="927" t="s">
        <v>324</v>
      </c>
      <c r="S34">
        <v>757</v>
      </c>
      <c r="T34">
        <v>256</v>
      </c>
      <c r="U34">
        <v>595</v>
      </c>
      <c r="V34">
        <v>573</v>
      </c>
      <c r="W34">
        <v>590</v>
      </c>
      <c r="X34">
        <v>434</v>
      </c>
      <c r="Y34">
        <v>409</v>
      </c>
      <c r="Z34">
        <v>464</v>
      </c>
      <c r="AA34">
        <v>826</v>
      </c>
      <c r="AB34">
        <v>773</v>
      </c>
      <c r="AC34">
        <v>1863</v>
      </c>
      <c r="AD34">
        <v>1607</v>
      </c>
      <c r="AE34">
        <v>688</v>
      </c>
      <c r="AF34" s="927" t="s">
        <v>494</v>
      </c>
      <c r="AG34" s="927"/>
      <c r="AH34" s="717">
        <v>44382</v>
      </c>
      <c r="AI34">
        <v>15.12</v>
      </c>
      <c r="AJ34">
        <v>62994.23</v>
      </c>
      <c r="AK34" s="927" t="s">
        <v>325</v>
      </c>
      <c r="AL34">
        <v>28</v>
      </c>
      <c r="AM34">
        <v>540</v>
      </c>
      <c r="AO34" s="927"/>
      <c r="AP34" s="927"/>
      <c r="AQ34" s="927" t="s">
        <v>495</v>
      </c>
    </row>
    <row r="35" spans="1:43">
      <c r="A35" s="927" t="s">
        <v>496</v>
      </c>
      <c r="B35" s="927" t="s">
        <v>497</v>
      </c>
      <c r="C35" s="927" t="s">
        <v>498</v>
      </c>
      <c r="D35" s="927" t="s">
        <v>42</v>
      </c>
      <c r="E35" s="717">
        <v>44369</v>
      </c>
      <c r="F35" s="927" t="s">
        <v>52</v>
      </c>
      <c r="G35" s="927" t="s">
        <v>499</v>
      </c>
      <c r="I35" s="927"/>
      <c r="J35" s="131"/>
      <c r="K35" s="927" t="s">
        <v>306</v>
      </c>
      <c r="M35" s="927" t="s">
        <v>306</v>
      </c>
      <c r="N35" s="927" t="s">
        <v>306</v>
      </c>
      <c r="O35" s="927" t="s">
        <v>306</v>
      </c>
      <c r="P35" s="927"/>
      <c r="Q35" s="927"/>
      <c r="R35" s="927"/>
      <c r="AF35" s="927"/>
      <c r="AG35" s="927"/>
      <c r="AH35" s="717">
        <v>44426</v>
      </c>
      <c r="AK35" s="927"/>
      <c r="AO35" s="927" t="s">
        <v>307</v>
      </c>
      <c r="AP35" s="927" t="s">
        <v>395</v>
      </c>
      <c r="AQ35" s="927" t="s">
        <v>500</v>
      </c>
    </row>
    <row r="36" spans="1:43">
      <c r="A36" s="927" t="s">
        <v>501</v>
      </c>
      <c r="B36" s="927" t="s">
        <v>502</v>
      </c>
      <c r="C36" s="927" t="s">
        <v>503</v>
      </c>
      <c r="D36" s="927" t="s">
        <v>42</v>
      </c>
      <c r="E36" s="717">
        <v>44328</v>
      </c>
      <c r="F36" s="927" t="s">
        <v>52</v>
      </c>
      <c r="G36" s="927" t="s">
        <v>499</v>
      </c>
      <c r="I36" s="927"/>
      <c r="J36" s="131"/>
      <c r="K36" s="927" t="s">
        <v>504</v>
      </c>
      <c r="L36" t="s">
        <v>3732</v>
      </c>
      <c r="M36" s="927" t="s">
        <v>504</v>
      </c>
      <c r="N36" s="927" t="s">
        <v>504</v>
      </c>
      <c r="O36" s="927" t="s">
        <v>504</v>
      </c>
      <c r="P36" s="927" t="s">
        <v>379</v>
      </c>
      <c r="Q36" s="927" t="s">
        <v>323</v>
      </c>
      <c r="R36" s="927" t="s">
        <v>324</v>
      </c>
      <c r="S36">
        <v>1200</v>
      </c>
      <c r="T36">
        <v>1712</v>
      </c>
      <c r="U36">
        <v>1667</v>
      </c>
      <c r="V36">
        <v>1379</v>
      </c>
      <c r="W36">
        <v>1290</v>
      </c>
      <c r="X36">
        <v>1007</v>
      </c>
      <c r="Y36">
        <v>965</v>
      </c>
      <c r="Z36">
        <v>875</v>
      </c>
      <c r="AA36">
        <v>959</v>
      </c>
      <c r="AB36">
        <v>1096</v>
      </c>
      <c r="AC36">
        <v>1067</v>
      </c>
      <c r="AD36">
        <v>1175</v>
      </c>
      <c r="AE36">
        <v>1206</v>
      </c>
      <c r="AF36" s="927"/>
      <c r="AG36" s="927"/>
      <c r="AH36" s="717">
        <v>44509</v>
      </c>
      <c r="AK36" s="927"/>
      <c r="AO36" s="927" t="s">
        <v>307</v>
      </c>
      <c r="AP36" s="927" t="s">
        <v>395</v>
      </c>
      <c r="AQ36" s="927" t="s">
        <v>500</v>
      </c>
    </row>
    <row r="37" spans="1:43">
      <c r="A37" s="927" t="s">
        <v>505</v>
      </c>
      <c r="B37" s="927" t="s">
        <v>506</v>
      </c>
      <c r="C37" s="927" t="s">
        <v>507</v>
      </c>
      <c r="D37" s="927" t="s">
        <v>42</v>
      </c>
      <c r="E37" s="717">
        <v>44371</v>
      </c>
      <c r="F37" s="927" t="s">
        <v>52</v>
      </c>
      <c r="G37" s="927" t="s">
        <v>508</v>
      </c>
      <c r="I37" s="927"/>
      <c r="J37" s="131"/>
      <c r="K37" s="927" t="s">
        <v>306</v>
      </c>
      <c r="M37" s="927" t="s">
        <v>306</v>
      </c>
      <c r="N37" s="927" t="s">
        <v>306</v>
      </c>
      <c r="O37" s="927" t="s">
        <v>306</v>
      </c>
      <c r="P37" s="927"/>
      <c r="Q37" s="927"/>
      <c r="R37" s="927"/>
      <c r="AF37" s="927"/>
      <c r="AG37" s="927"/>
      <c r="AH37" s="717">
        <v>44553</v>
      </c>
      <c r="AK37" s="927"/>
      <c r="AO37" s="927" t="s">
        <v>307</v>
      </c>
      <c r="AP37" s="927" t="s">
        <v>395</v>
      </c>
      <c r="AQ37" s="927" t="s">
        <v>500</v>
      </c>
    </row>
    <row r="38" spans="1:43">
      <c r="A38" s="927" t="s">
        <v>509</v>
      </c>
      <c r="B38" s="927" t="s">
        <v>510</v>
      </c>
      <c r="C38" s="927" t="s">
        <v>511</v>
      </c>
      <c r="D38" s="927" t="s">
        <v>42</v>
      </c>
      <c r="E38" s="717">
        <v>44378</v>
      </c>
      <c r="F38" s="927" t="s">
        <v>61</v>
      </c>
      <c r="G38" s="927" t="s">
        <v>512</v>
      </c>
      <c r="I38" s="927"/>
      <c r="J38" s="131"/>
      <c r="K38" s="927" t="s">
        <v>513</v>
      </c>
      <c r="L38" t="s">
        <v>3733</v>
      </c>
      <c r="M38" s="927" t="s">
        <v>3625</v>
      </c>
      <c r="N38" s="927" t="s">
        <v>513</v>
      </c>
      <c r="O38" s="927" t="s">
        <v>3625</v>
      </c>
      <c r="P38" s="927" t="s">
        <v>322</v>
      </c>
      <c r="Q38" s="927"/>
      <c r="R38" s="927"/>
      <c r="S38">
        <v>428</v>
      </c>
      <c r="T38">
        <v>532</v>
      </c>
      <c r="U38">
        <v>465</v>
      </c>
      <c r="V38">
        <v>537</v>
      </c>
      <c r="W38">
        <v>498</v>
      </c>
      <c r="X38">
        <v>311</v>
      </c>
      <c r="Y38">
        <v>424</v>
      </c>
      <c r="Z38">
        <v>344</v>
      </c>
      <c r="AA38">
        <v>377</v>
      </c>
      <c r="AB38">
        <v>399</v>
      </c>
      <c r="AC38">
        <v>437</v>
      </c>
      <c r="AD38">
        <v>366</v>
      </c>
      <c r="AE38">
        <v>449</v>
      </c>
      <c r="AF38" s="927"/>
      <c r="AG38" s="927"/>
      <c r="AH38" s="717">
        <v>44426</v>
      </c>
      <c r="AK38" s="927"/>
      <c r="AO38" s="927" t="s">
        <v>307</v>
      </c>
      <c r="AP38" s="927" t="s">
        <v>395</v>
      </c>
      <c r="AQ38" s="927" t="s">
        <v>515</v>
      </c>
    </row>
    <row r="39" spans="1:43">
      <c r="A39" s="927" t="s">
        <v>516</v>
      </c>
      <c r="B39" s="927" t="s">
        <v>517</v>
      </c>
      <c r="C39" s="927" t="s">
        <v>518</v>
      </c>
      <c r="D39" s="927" t="s">
        <v>42</v>
      </c>
      <c r="E39" s="717">
        <v>44382</v>
      </c>
      <c r="F39" s="927" t="s">
        <v>55</v>
      </c>
      <c r="G39" s="927" t="s">
        <v>519</v>
      </c>
      <c r="I39" s="927"/>
      <c r="J39" s="131"/>
      <c r="K39" s="927" t="s">
        <v>306</v>
      </c>
      <c r="M39" s="927" t="s">
        <v>306</v>
      </c>
      <c r="N39" s="927" t="s">
        <v>306</v>
      </c>
      <c r="O39" s="927" t="s">
        <v>306</v>
      </c>
      <c r="P39" s="927" t="s">
        <v>322</v>
      </c>
      <c r="Q39" s="927"/>
      <c r="R39" s="927"/>
      <c r="S39">
        <v>4400</v>
      </c>
      <c r="T39">
        <v>5992</v>
      </c>
      <c r="U39">
        <v>5992</v>
      </c>
      <c r="V39">
        <v>4964</v>
      </c>
      <c r="W39">
        <v>4718</v>
      </c>
      <c r="X39">
        <v>3444</v>
      </c>
      <c r="Y39">
        <v>3725</v>
      </c>
      <c r="Z39">
        <v>3303</v>
      </c>
      <c r="AA39">
        <v>3593</v>
      </c>
      <c r="AB39">
        <v>4138</v>
      </c>
      <c r="AC39">
        <v>3655</v>
      </c>
      <c r="AD39">
        <v>4806</v>
      </c>
      <c r="AE39">
        <v>4472</v>
      </c>
      <c r="AF39" s="927"/>
      <c r="AG39" s="927"/>
      <c r="AH39" s="717">
        <v>44406</v>
      </c>
      <c r="AK39" s="927"/>
      <c r="AO39" s="927" t="s">
        <v>337</v>
      </c>
      <c r="AP39" s="927" t="s">
        <v>345</v>
      </c>
      <c r="AQ39" s="927" t="s">
        <v>520</v>
      </c>
    </row>
    <row r="40" spans="1:43">
      <c r="A40" s="927" t="s">
        <v>521</v>
      </c>
      <c r="B40" s="927" t="s">
        <v>522</v>
      </c>
      <c r="C40" s="927" t="s">
        <v>523</v>
      </c>
      <c r="D40" s="927" t="s">
        <v>42</v>
      </c>
      <c r="E40" s="717">
        <v>44383</v>
      </c>
      <c r="F40" s="927" t="s">
        <v>61</v>
      </c>
      <c r="G40" s="927" t="s">
        <v>524</v>
      </c>
      <c r="I40" s="927"/>
      <c r="J40" s="131"/>
      <c r="K40" s="927" t="s">
        <v>525</v>
      </c>
      <c r="L40" t="s">
        <v>3734</v>
      </c>
      <c r="M40" s="927" t="s">
        <v>526</v>
      </c>
      <c r="N40" s="927" t="s">
        <v>525</v>
      </c>
      <c r="O40" s="927" t="s">
        <v>526</v>
      </c>
      <c r="P40" s="927" t="s">
        <v>322</v>
      </c>
      <c r="Q40" s="927" t="s">
        <v>323</v>
      </c>
      <c r="R40" s="927"/>
      <c r="S40">
        <v>754</v>
      </c>
      <c r="T40">
        <v>776</v>
      </c>
      <c r="U40">
        <v>872</v>
      </c>
      <c r="V40">
        <v>812</v>
      </c>
      <c r="W40">
        <v>903</v>
      </c>
      <c r="X40">
        <v>814</v>
      </c>
      <c r="Y40">
        <v>768</v>
      </c>
      <c r="Z40">
        <v>677</v>
      </c>
      <c r="AA40">
        <v>724</v>
      </c>
      <c r="AB40">
        <v>626</v>
      </c>
      <c r="AC40">
        <v>751</v>
      </c>
      <c r="AD40">
        <v>641</v>
      </c>
      <c r="AE40">
        <v>680</v>
      </c>
      <c r="AF40" s="927"/>
      <c r="AG40" s="927"/>
      <c r="AH40" s="717">
        <v>44489</v>
      </c>
      <c r="AK40" s="927"/>
      <c r="AO40" s="927" t="s">
        <v>307</v>
      </c>
      <c r="AP40" s="927" t="s">
        <v>44</v>
      </c>
      <c r="AQ40" s="927" t="s">
        <v>527</v>
      </c>
    </row>
    <row r="41" spans="1:43">
      <c r="A41" s="927" t="s">
        <v>528</v>
      </c>
      <c r="B41" s="927" t="s">
        <v>529</v>
      </c>
      <c r="C41" s="927" t="s">
        <v>530</v>
      </c>
      <c r="D41" s="927" t="s">
        <v>32</v>
      </c>
      <c r="E41" s="717">
        <v>44403</v>
      </c>
      <c r="F41" s="927" t="s">
        <v>61</v>
      </c>
      <c r="G41" s="927" t="s">
        <v>531</v>
      </c>
      <c r="I41" s="927"/>
      <c r="J41" s="131"/>
      <c r="K41" s="927" t="s">
        <v>532</v>
      </c>
      <c r="L41" t="s">
        <v>3735</v>
      </c>
      <c r="M41" s="927" t="s">
        <v>533</v>
      </c>
      <c r="N41" s="927" t="s">
        <v>532</v>
      </c>
      <c r="O41" s="927" t="s">
        <v>533</v>
      </c>
      <c r="P41" s="927" t="s">
        <v>322</v>
      </c>
      <c r="Q41" s="927" t="s">
        <v>323</v>
      </c>
      <c r="R41" s="927"/>
      <c r="AF41" s="927"/>
      <c r="AG41" s="927"/>
      <c r="AH41" s="717">
        <v>44426</v>
      </c>
      <c r="AI41">
        <v>7.2</v>
      </c>
      <c r="AJ41">
        <v>32500</v>
      </c>
      <c r="AK41" s="927" t="s">
        <v>325</v>
      </c>
      <c r="AL41">
        <v>16</v>
      </c>
      <c r="AM41">
        <v>450</v>
      </c>
      <c r="AO41" s="927"/>
      <c r="AP41" s="927"/>
      <c r="AQ41" s="927" t="s">
        <v>534</v>
      </c>
    </row>
    <row r="42" spans="1:43">
      <c r="A42" s="927" t="s">
        <v>535</v>
      </c>
      <c r="B42" s="927" t="s">
        <v>536</v>
      </c>
      <c r="C42" s="927" t="s">
        <v>537</v>
      </c>
      <c r="D42" s="927" t="s">
        <v>42</v>
      </c>
      <c r="E42" s="717">
        <v>44424</v>
      </c>
      <c r="F42" s="927" t="s">
        <v>52</v>
      </c>
      <c r="G42" s="927" t="s">
        <v>508</v>
      </c>
      <c r="I42" s="927"/>
      <c r="J42" s="131"/>
      <c r="K42" s="927" t="s">
        <v>538</v>
      </c>
      <c r="L42" t="s">
        <v>3736</v>
      </c>
      <c r="M42" s="927" t="s">
        <v>3626</v>
      </c>
      <c r="N42" s="927" t="s">
        <v>3737</v>
      </c>
      <c r="O42" s="927" t="s">
        <v>3626</v>
      </c>
      <c r="P42" s="927" t="s">
        <v>322</v>
      </c>
      <c r="Q42" s="927"/>
      <c r="R42" s="927" t="s">
        <v>324</v>
      </c>
      <c r="S42">
        <v>1393</v>
      </c>
      <c r="T42">
        <v>1147</v>
      </c>
      <c r="U42">
        <v>1424</v>
      </c>
      <c r="V42">
        <v>1499</v>
      </c>
      <c r="W42">
        <v>1381</v>
      </c>
      <c r="X42">
        <v>1460</v>
      </c>
      <c r="Y42">
        <v>1397</v>
      </c>
      <c r="Z42">
        <v>1032</v>
      </c>
      <c r="AA42">
        <v>1402</v>
      </c>
      <c r="AB42">
        <v>1446</v>
      </c>
      <c r="AC42">
        <v>1482</v>
      </c>
      <c r="AD42">
        <v>1513</v>
      </c>
      <c r="AE42">
        <v>1530</v>
      </c>
      <c r="AF42" s="927"/>
      <c r="AG42" s="927"/>
      <c r="AH42" s="717">
        <v>44509</v>
      </c>
      <c r="AK42" s="927"/>
      <c r="AO42" s="927" t="s">
        <v>307</v>
      </c>
      <c r="AP42" s="927" t="s">
        <v>395</v>
      </c>
      <c r="AQ42" s="927" t="s">
        <v>539</v>
      </c>
    </row>
    <row r="43" spans="1:43">
      <c r="A43" s="927" t="s">
        <v>540</v>
      </c>
      <c r="B43" s="927" t="s">
        <v>541</v>
      </c>
      <c r="C43" s="927" t="s">
        <v>542</v>
      </c>
      <c r="D43" s="927" t="s">
        <v>42</v>
      </c>
      <c r="E43" s="717">
        <v>44437</v>
      </c>
      <c r="F43" s="927" t="s">
        <v>61</v>
      </c>
      <c r="G43" s="927" t="s">
        <v>512</v>
      </c>
      <c r="I43" s="927"/>
      <c r="J43" s="131"/>
      <c r="K43" s="927" t="s">
        <v>306</v>
      </c>
      <c r="M43" s="927" t="s">
        <v>306</v>
      </c>
      <c r="N43" s="927" t="s">
        <v>306</v>
      </c>
      <c r="O43" s="927" t="s">
        <v>306</v>
      </c>
      <c r="P43" s="927" t="s">
        <v>379</v>
      </c>
      <c r="Q43" s="927"/>
      <c r="R43" s="927"/>
      <c r="S43">
        <v>1000</v>
      </c>
      <c r="T43">
        <v>1362</v>
      </c>
      <c r="U43">
        <v>1362</v>
      </c>
      <c r="V43">
        <v>1128</v>
      </c>
      <c r="W43">
        <v>1072</v>
      </c>
      <c r="X43">
        <v>783</v>
      </c>
      <c r="Y43">
        <v>847</v>
      </c>
      <c r="Z43">
        <v>751</v>
      </c>
      <c r="AA43">
        <v>817</v>
      </c>
      <c r="AB43">
        <v>940</v>
      </c>
      <c r="AC43">
        <v>831</v>
      </c>
      <c r="AD43">
        <v>1092</v>
      </c>
      <c r="AE43">
        <v>1016</v>
      </c>
      <c r="AF43" s="927"/>
      <c r="AG43" s="927"/>
      <c r="AH43" s="717">
        <v>44466</v>
      </c>
      <c r="AK43" s="927"/>
      <c r="AO43" s="927" t="s">
        <v>307</v>
      </c>
      <c r="AP43" s="927" t="s">
        <v>395</v>
      </c>
      <c r="AQ43" s="927" t="s">
        <v>544</v>
      </c>
    </row>
    <row r="44" spans="1:43">
      <c r="A44" s="927" t="s">
        <v>545</v>
      </c>
      <c r="B44" s="927" t="s">
        <v>546</v>
      </c>
      <c r="C44" s="927" t="s">
        <v>547</v>
      </c>
      <c r="D44" s="927" t="s">
        <v>42</v>
      </c>
      <c r="E44" s="717">
        <v>44449</v>
      </c>
      <c r="F44" s="927" t="s">
        <v>52</v>
      </c>
      <c r="G44" s="927" t="s">
        <v>508</v>
      </c>
      <c r="I44" s="927"/>
      <c r="J44" s="131"/>
      <c r="K44" s="927" t="s">
        <v>548</v>
      </c>
      <c r="L44" t="s">
        <v>3738</v>
      </c>
      <c r="M44" s="927" t="s">
        <v>548</v>
      </c>
      <c r="N44" s="927" t="s">
        <v>548</v>
      </c>
      <c r="O44" s="927" t="s">
        <v>548</v>
      </c>
      <c r="P44" s="927" t="s">
        <v>322</v>
      </c>
      <c r="Q44" s="927"/>
      <c r="R44" s="927" t="s">
        <v>324</v>
      </c>
      <c r="S44">
        <v>430</v>
      </c>
      <c r="T44">
        <v>994</v>
      </c>
      <c r="U44">
        <v>763</v>
      </c>
      <c r="V44">
        <v>616</v>
      </c>
      <c r="W44">
        <v>155</v>
      </c>
      <c r="X44">
        <v>127</v>
      </c>
      <c r="Y44">
        <v>248</v>
      </c>
      <c r="Z44">
        <v>100</v>
      </c>
      <c r="AA44">
        <v>498</v>
      </c>
      <c r="AB44">
        <v>328</v>
      </c>
      <c r="AC44">
        <v>467</v>
      </c>
      <c r="AD44">
        <v>439</v>
      </c>
      <c r="AE44">
        <v>426</v>
      </c>
      <c r="AF44" s="927"/>
      <c r="AG44" s="927"/>
      <c r="AH44" s="717">
        <v>45005</v>
      </c>
      <c r="AK44" s="927"/>
      <c r="AO44" s="927" t="s">
        <v>307</v>
      </c>
      <c r="AP44" s="927" t="s">
        <v>395</v>
      </c>
      <c r="AQ44" s="927" t="s">
        <v>549</v>
      </c>
    </row>
    <row r="45" spans="1:43">
      <c r="A45" s="927" t="s">
        <v>550</v>
      </c>
      <c r="B45" s="927" t="s">
        <v>551</v>
      </c>
      <c r="C45" s="927" t="s">
        <v>552</v>
      </c>
      <c r="D45" s="927" t="s">
        <v>32</v>
      </c>
      <c r="E45" s="717">
        <v>44454</v>
      </c>
      <c r="F45" s="927" t="s">
        <v>55</v>
      </c>
      <c r="G45" s="927" t="s">
        <v>553</v>
      </c>
      <c r="I45" s="927"/>
      <c r="J45" s="131"/>
      <c r="K45" s="927" t="s">
        <v>554</v>
      </c>
      <c r="L45" t="s">
        <v>3716</v>
      </c>
      <c r="M45" s="927" t="s">
        <v>554</v>
      </c>
      <c r="N45" s="927" t="s">
        <v>554</v>
      </c>
      <c r="O45" s="927" t="s">
        <v>554</v>
      </c>
      <c r="P45" s="927" t="s">
        <v>322</v>
      </c>
      <c r="Q45" s="927" t="s">
        <v>323</v>
      </c>
      <c r="R45" s="927" t="s">
        <v>555</v>
      </c>
      <c r="S45">
        <v>629</v>
      </c>
      <c r="T45">
        <v>722</v>
      </c>
      <c r="U45">
        <v>807</v>
      </c>
      <c r="V45">
        <v>727</v>
      </c>
      <c r="W45">
        <v>717</v>
      </c>
      <c r="X45">
        <v>584</v>
      </c>
      <c r="Y45">
        <v>592</v>
      </c>
      <c r="Z45">
        <v>461</v>
      </c>
      <c r="AA45">
        <v>435</v>
      </c>
      <c r="AB45">
        <v>548</v>
      </c>
      <c r="AC45">
        <v>638</v>
      </c>
      <c r="AD45">
        <v>646</v>
      </c>
      <c r="AE45">
        <v>668</v>
      </c>
      <c r="AF45" s="927"/>
      <c r="AG45" s="927"/>
      <c r="AH45" s="717">
        <v>44993</v>
      </c>
      <c r="AI45">
        <v>5.32</v>
      </c>
      <c r="AJ45">
        <v>22600</v>
      </c>
      <c r="AK45" s="927" t="s">
        <v>325</v>
      </c>
      <c r="AL45">
        <v>8</v>
      </c>
      <c r="AM45">
        <v>665</v>
      </c>
      <c r="AO45" s="927"/>
      <c r="AP45" s="927"/>
      <c r="AQ45" s="927" t="s">
        <v>556</v>
      </c>
    </row>
    <row r="46" spans="1:43">
      <c r="A46" s="927" t="s">
        <v>4804</v>
      </c>
      <c r="B46" s="927" t="s">
        <v>557</v>
      </c>
      <c r="C46" s="927" t="s">
        <v>4805</v>
      </c>
      <c r="D46" s="927" t="s">
        <v>4301</v>
      </c>
      <c r="E46" s="717">
        <v>45663</v>
      </c>
      <c r="F46" s="927" t="s">
        <v>50</v>
      </c>
      <c r="G46" s="927" t="s">
        <v>558</v>
      </c>
      <c r="I46" s="927"/>
      <c r="J46" s="131"/>
      <c r="K46" s="927" t="s">
        <v>559</v>
      </c>
      <c r="L46" t="s">
        <v>4806</v>
      </c>
      <c r="M46" s="927" t="s">
        <v>320</v>
      </c>
      <c r="N46" s="927" t="s">
        <v>1346</v>
      </c>
      <c r="O46" s="927" t="s">
        <v>560</v>
      </c>
      <c r="P46" s="927" t="s">
        <v>322</v>
      </c>
      <c r="Q46" s="927"/>
      <c r="R46" s="927" t="s">
        <v>324</v>
      </c>
      <c r="S46">
        <v>2128</v>
      </c>
      <c r="T46">
        <v>1168</v>
      </c>
      <c r="U46">
        <v>2856</v>
      </c>
      <c r="V46">
        <v>5211</v>
      </c>
      <c r="W46">
        <v>4001</v>
      </c>
      <c r="X46">
        <v>2972</v>
      </c>
      <c r="Y46">
        <v>1813</v>
      </c>
      <c r="Z46">
        <v>1286</v>
      </c>
      <c r="AA46">
        <v>1000</v>
      </c>
      <c r="AB46">
        <v>1300</v>
      </c>
      <c r="AC46">
        <v>1300</v>
      </c>
      <c r="AD46">
        <v>1237</v>
      </c>
      <c r="AE46">
        <v>1386</v>
      </c>
      <c r="AF46" s="927"/>
      <c r="AG46" s="927"/>
      <c r="AH46" s="717">
        <v>44508</v>
      </c>
      <c r="AI46">
        <v>31.92</v>
      </c>
      <c r="AJ46">
        <v>110000</v>
      </c>
      <c r="AK46" s="927" t="s">
        <v>561</v>
      </c>
      <c r="AL46">
        <v>48</v>
      </c>
      <c r="AM46">
        <v>665</v>
      </c>
      <c r="AO46" s="927"/>
      <c r="AP46" s="927"/>
      <c r="AQ46" s="927" t="s">
        <v>562</v>
      </c>
    </row>
    <row r="47" spans="1:43">
      <c r="A47" s="927" t="s">
        <v>563</v>
      </c>
      <c r="B47" s="927" t="s">
        <v>564</v>
      </c>
      <c r="C47" s="927" t="s">
        <v>565</v>
      </c>
      <c r="D47" s="927" t="s">
        <v>42</v>
      </c>
      <c r="E47" s="717">
        <v>44463</v>
      </c>
      <c r="F47" s="927" t="s">
        <v>46</v>
      </c>
      <c r="G47" s="927" t="s">
        <v>566</v>
      </c>
      <c r="I47" s="927"/>
      <c r="J47" s="131"/>
      <c r="K47" s="927" t="s">
        <v>567</v>
      </c>
      <c r="L47" t="s">
        <v>3739</v>
      </c>
      <c r="M47" s="927" t="s">
        <v>568</v>
      </c>
      <c r="N47" s="927" t="s">
        <v>567</v>
      </c>
      <c r="O47" s="927" t="s">
        <v>568</v>
      </c>
      <c r="P47" s="927" t="s">
        <v>322</v>
      </c>
      <c r="Q47" s="927"/>
      <c r="R47" s="927"/>
      <c r="S47">
        <v>15547</v>
      </c>
      <c r="T47">
        <v>15648</v>
      </c>
      <c r="U47">
        <v>16064</v>
      </c>
      <c r="V47">
        <v>18136</v>
      </c>
      <c r="W47">
        <v>16884</v>
      </c>
      <c r="X47">
        <v>15444</v>
      </c>
      <c r="Y47">
        <v>14563</v>
      </c>
      <c r="Z47">
        <v>12464</v>
      </c>
      <c r="AA47">
        <v>14844</v>
      </c>
      <c r="AB47">
        <v>16474</v>
      </c>
      <c r="AC47">
        <v>15576</v>
      </c>
      <c r="AD47">
        <v>15504</v>
      </c>
      <c r="AE47">
        <v>14964</v>
      </c>
      <c r="AF47" s="927" t="s">
        <v>305</v>
      </c>
      <c r="AG47" s="927"/>
      <c r="AH47" s="717">
        <v>44768</v>
      </c>
      <c r="AK47" s="927"/>
      <c r="AO47" s="927" t="s">
        <v>307</v>
      </c>
      <c r="AP47" s="927" t="s">
        <v>395</v>
      </c>
      <c r="AQ47" s="927" t="s">
        <v>569</v>
      </c>
    </row>
    <row r="48" spans="1:43">
      <c r="A48" s="927" t="s">
        <v>570</v>
      </c>
      <c r="B48" s="927" t="s">
        <v>571</v>
      </c>
      <c r="C48" s="927" t="s">
        <v>572</v>
      </c>
      <c r="D48" s="927" t="s">
        <v>42</v>
      </c>
      <c r="E48" s="717">
        <v>44463</v>
      </c>
      <c r="F48" s="927" t="s">
        <v>46</v>
      </c>
      <c r="G48" s="927" t="s">
        <v>573</v>
      </c>
      <c r="I48" s="927"/>
      <c r="J48" s="131"/>
      <c r="K48" s="927" t="s">
        <v>574</v>
      </c>
      <c r="L48" t="s">
        <v>3740</v>
      </c>
      <c r="M48" s="927" t="s">
        <v>574</v>
      </c>
      <c r="N48" s="927" t="s">
        <v>574</v>
      </c>
      <c r="O48" s="927" t="s">
        <v>574</v>
      </c>
      <c r="P48" s="927" t="s">
        <v>322</v>
      </c>
      <c r="Q48" s="927" t="s">
        <v>323</v>
      </c>
      <c r="R48" s="927" t="s">
        <v>324</v>
      </c>
      <c r="S48">
        <v>260</v>
      </c>
      <c r="T48">
        <v>338</v>
      </c>
      <c r="U48">
        <v>362</v>
      </c>
      <c r="V48">
        <v>350</v>
      </c>
      <c r="W48">
        <v>254</v>
      </c>
      <c r="X48">
        <v>241</v>
      </c>
      <c r="Y48">
        <v>216</v>
      </c>
      <c r="Z48">
        <v>214</v>
      </c>
      <c r="AA48">
        <v>195</v>
      </c>
      <c r="AB48">
        <v>215</v>
      </c>
      <c r="AC48">
        <v>199</v>
      </c>
      <c r="AD48">
        <v>224</v>
      </c>
      <c r="AE48">
        <v>317</v>
      </c>
      <c r="AF48" s="927"/>
      <c r="AG48" s="927"/>
      <c r="AH48" s="717">
        <v>44489</v>
      </c>
      <c r="AK48" s="927"/>
      <c r="AO48" s="927" t="s">
        <v>307</v>
      </c>
      <c r="AP48" s="927" t="s">
        <v>575</v>
      </c>
      <c r="AQ48" s="927" t="s">
        <v>576</v>
      </c>
    </row>
    <row r="49" spans="1:43">
      <c r="A49" s="927" t="s">
        <v>577</v>
      </c>
      <c r="B49" s="927" t="s">
        <v>578</v>
      </c>
      <c r="C49" s="927" t="s">
        <v>579</v>
      </c>
      <c r="D49" s="927" t="s">
        <v>42</v>
      </c>
      <c r="E49" s="717">
        <v>44469</v>
      </c>
      <c r="F49" s="927" t="s">
        <v>55</v>
      </c>
      <c r="G49" s="927" t="s">
        <v>580</v>
      </c>
      <c r="I49" s="927"/>
      <c r="J49" s="131"/>
      <c r="K49" s="927" t="s">
        <v>581</v>
      </c>
      <c r="L49" t="s">
        <v>3741</v>
      </c>
      <c r="M49" s="927" t="s">
        <v>581</v>
      </c>
      <c r="N49" s="927" t="s">
        <v>581</v>
      </c>
      <c r="O49" s="927" t="s">
        <v>581</v>
      </c>
      <c r="P49" s="927" t="s">
        <v>322</v>
      </c>
      <c r="Q49" s="927" t="s">
        <v>323</v>
      </c>
      <c r="R49" s="927" t="s">
        <v>324</v>
      </c>
      <c r="S49">
        <v>589</v>
      </c>
      <c r="T49">
        <v>474</v>
      </c>
      <c r="U49">
        <v>586</v>
      </c>
      <c r="V49">
        <v>616</v>
      </c>
      <c r="W49">
        <v>705</v>
      </c>
      <c r="X49">
        <v>620</v>
      </c>
      <c r="Y49">
        <v>590</v>
      </c>
      <c r="Z49">
        <v>529</v>
      </c>
      <c r="AA49">
        <v>654</v>
      </c>
      <c r="AB49">
        <v>818</v>
      </c>
      <c r="AC49">
        <v>461</v>
      </c>
      <c r="AD49">
        <v>425</v>
      </c>
      <c r="AE49">
        <v>587</v>
      </c>
      <c r="AF49" s="927" t="s">
        <v>305</v>
      </c>
      <c r="AG49" s="927"/>
      <c r="AH49" s="717">
        <v>44529</v>
      </c>
      <c r="AK49" s="927"/>
      <c r="AO49" s="927" t="s">
        <v>307</v>
      </c>
      <c r="AP49" s="927" t="s">
        <v>308</v>
      </c>
      <c r="AQ49" s="927" t="s">
        <v>582</v>
      </c>
    </row>
    <row r="50" spans="1:43">
      <c r="A50" s="927" t="s">
        <v>583</v>
      </c>
      <c r="B50" s="927" t="s">
        <v>584</v>
      </c>
      <c r="C50" s="927" t="s">
        <v>585</v>
      </c>
      <c r="D50" s="927" t="s">
        <v>42</v>
      </c>
      <c r="E50" s="717">
        <v>44471</v>
      </c>
      <c r="F50" s="927" t="s">
        <v>46</v>
      </c>
      <c r="G50" s="927" t="s">
        <v>586</v>
      </c>
      <c r="I50" s="927"/>
      <c r="J50" s="131"/>
      <c r="K50" s="927" t="s">
        <v>587</v>
      </c>
      <c r="L50" t="s">
        <v>3742</v>
      </c>
      <c r="M50" s="927" t="s">
        <v>588</v>
      </c>
      <c r="N50" s="927" t="s">
        <v>587</v>
      </c>
      <c r="O50" s="927" t="s">
        <v>588</v>
      </c>
      <c r="P50" s="927" t="s">
        <v>322</v>
      </c>
      <c r="Q50" s="927"/>
      <c r="R50" s="927"/>
      <c r="S50">
        <v>4000</v>
      </c>
      <c r="T50">
        <v>5708</v>
      </c>
      <c r="U50">
        <v>5558</v>
      </c>
      <c r="V50">
        <v>4598</v>
      </c>
      <c r="W50">
        <v>4299</v>
      </c>
      <c r="X50">
        <v>3357</v>
      </c>
      <c r="Y50">
        <v>3217</v>
      </c>
      <c r="Z50">
        <v>2918</v>
      </c>
      <c r="AA50">
        <v>3198</v>
      </c>
      <c r="AB50">
        <v>3653</v>
      </c>
      <c r="AC50">
        <v>3557</v>
      </c>
      <c r="AD50">
        <v>3916</v>
      </c>
      <c r="AE50">
        <v>4021</v>
      </c>
      <c r="AF50" s="927"/>
      <c r="AG50" s="927"/>
      <c r="AH50" s="717">
        <v>44489</v>
      </c>
      <c r="AK50" s="927"/>
      <c r="AO50" s="927" t="s">
        <v>337</v>
      </c>
      <c r="AP50" s="927" t="s">
        <v>395</v>
      </c>
      <c r="AQ50" s="927" t="s">
        <v>590</v>
      </c>
    </row>
    <row r="51" spans="1:43">
      <c r="A51" s="927" t="s">
        <v>591</v>
      </c>
      <c r="B51" s="927" t="s">
        <v>592</v>
      </c>
      <c r="C51" s="927" t="s">
        <v>593</v>
      </c>
      <c r="D51" s="927" t="s">
        <v>42</v>
      </c>
      <c r="E51" s="717">
        <v>44473</v>
      </c>
      <c r="F51" s="927" t="s">
        <v>46</v>
      </c>
      <c r="G51" s="927" t="s">
        <v>594</v>
      </c>
      <c r="I51" s="927"/>
      <c r="J51" s="131"/>
      <c r="K51" s="927" t="s">
        <v>595</v>
      </c>
      <c r="L51" t="s">
        <v>3743</v>
      </c>
      <c r="M51" s="927" t="s">
        <v>595</v>
      </c>
      <c r="N51" s="927" t="s">
        <v>595</v>
      </c>
      <c r="O51" s="927" t="s">
        <v>595</v>
      </c>
      <c r="P51" s="927" t="s">
        <v>322</v>
      </c>
      <c r="Q51" s="927"/>
      <c r="R51" s="927"/>
      <c r="S51">
        <v>600</v>
      </c>
      <c r="T51">
        <v>856</v>
      </c>
      <c r="U51">
        <v>834</v>
      </c>
      <c r="V51">
        <v>690</v>
      </c>
      <c r="W51">
        <v>645</v>
      </c>
      <c r="X51">
        <v>503</v>
      </c>
      <c r="Y51">
        <v>483</v>
      </c>
      <c r="Z51">
        <v>438</v>
      </c>
      <c r="AA51">
        <v>480</v>
      </c>
      <c r="AB51">
        <v>548</v>
      </c>
      <c r="AC51">
        <v>533</v>
      </c>
      <c r="AD51">
        <v>587</v>
      </c>
      <c r="AE51">
        <v>603</v>
      </c>
      <c r="AF51" s="927"/>
      <c r="AG51" s="927"/>
      <c r="AH51" s="717">
        <v>44494</v>
      </c>
      <c r="AK51" s="927"/>
      <c r="AO51" s="927" t="s">
        <v>337</v>
      </c>
      <c r="AP51" s="927" t="s">
        <v>395</v>
      </c>
      <c r="AQ51" s="927" t="s">
        <v>596</v>
      </c>
    </row>
    <row r="52" spans="1:43">
      <c r="A52" s="927" t="s">
        <v>597</v>
      </c>
      <c r="B52" s="927" t="s">
        <v>598</v>
      </c>
      <c r="C52" s="927" t="s">
        <v>599</v>
      </c>
      <c r="D52" s="927" t="s">
        <v>42</v>
      </c>
      <c r="E52" s="717">
        <v>44471</v>
      </c>
      <c r="F52" s="927" t="s">
        <v>52</v>
      </c>
      <c r="G52" s="927" t="s">
        <v>512</v>
      </c>
      <c r="I52" s="927"/>
      <c r="J52" s="131"/>
      <c r="K52" s="927" t="s">
        <v>600</v>
      </c>
      <c r="L52" t="s">
        <v>3744</v>
      </c>
      <c r="M52" s="927" t="s">
        <v>601</v>
      </c>
      <c r="N52" s="927" t="s">
        <v>600</v>
      </c>
      <c r="O52" s="927" t="s">
        <v>601</v>
      </c>
      <c r="P52" s="927" t="s">
        <v>322</v>
      </c>
      <c r="Q52" s="927"/>
      <c r="R52" s="927"/>
      <c r="AF52" s="927"/>
      <c r="AG52" s="927"/>
      <c r="AH52" s="717">
        <v>44662</v>
      </c>
      <c r="AK52" s="927"/>
      <c r="AO52" s="927" t="s">
        <v>307</v>
      </c>
      <c r="AP52" s="927" t="s">
        <v>395</v>
      </c>
      <c r="AQ52" s="927"/>
    </row>
    <row r="53" spans="1:43">
      <c r="A53" s="927" t="s">
        <v>602</v>
      </c>
      <c r="B53" s="927" t="s">
        <v>603</v>
      </c>
      <c r="C53" s="927" t="s">
        <v>604</v>
      </c>
      <c r="D53" s="927" t="s">
        <v>42</v>
      </c>
      <c r="E53" s="717">
        <v>44473</v>
      </c>
      <c r="F53" s="927" t="s">
        <v>61</v>
      </c>
      <c r="G53" s="927" t="s">
        <v>605</v>
      </c>
      <c r="I53" s="927"/>
      <c r="J53" s="131"/>
      <c r="K53" s="927" t="s">
        <v>606</v>
      </c>
      <c r="L53" t="s">
        <v>3745</v>
      </c>
      <c r="M53" s="927" t="s">
        <v>3627</v>
      </c>
      <c r="N53" s="927" t="s">
        <v>606</v>
      </c>
      <c r="O53" s="927" t="s">
        <v>607</v>
      </c>
      <c r="P53" s="927" t="s">
        <v>379</v>
      </c>
      <c r="Q53" s="927"/>
      <c r="R53" s="927"/>
      <c r="S53">
        <v>800</v>
      </c>
      <c r="T53">
        <v>1142</v>
      </c>
      <c r="U53">
        <v>1112</v>
      </c>
      <c r="V53">
        <v>920</v>
      </c>
      <c r="W53">
        <v>860</v>
      </c>
      <c r="X53">
        <v>671</v>
      </c>
      <c r="Y53">
        <v>643</v>
      </c>
      <c r="Z53">
        <v>584</v>
      </c>
      <c r="AA53">
        <v>640</v>
      </c>
      <c r="AB53">
        <v>731</v>
      </c>
      <c r="AC53">
        <v>711</v>
      </c>
      <c r="AD53">
        <v>783</v>
      </c>
      <c r="AE53">
        <v>804</v>
      </c>
      <c r="AF53" s="927"/>
      <c r="AG53" s="927"/>
      <c r="AH53" s="717">
        <v>44509</v>
      </c>
      <c r="AK53" s="927"/>
      <c r="AO53" s="927" t="s">
        <v>337</v>
      </c>
      <c r="AP53" s="927" t="s">
        <v>395</v>
      </c>
      <c r="AQ53" s="927" t="s">
        <v>608</v>
      </c>
    </row>
    <row r="54" spans="1:43">
      <c r="A54" s="927" t="s">
        <v>609</v>
      </c>
      <c r="B54" s="927" t="s">
        <v>610</v>
      </c>
      <c r="C54" s="927" t="s">
        <v>611</v>
      </c>
      <c r="D54" s="927" t="s">
        <v>42</v>
      </c>
      <c r="E54" s="717">
        <v>44470</v>
      </c>
      <c r="F54" s="927" t="s">
        <v>52</v>
      </c>
      <c r="G54" s="927" t="s">
        <v>512</v>
      </c>
      <c r="I54" s="927"/>
      <c r="J54" s="131"/>
      <c r="K54" s="927" t="s">
        <v>612</v>
      </c>
      <c r="L54" t="s">
        <v>3746</v>
      </c>
      <c r="M54" s="927" t="s">
        <v>612</v>
      </c>
      <c r="N54" s="927" t="s">
        <v>612</v>
      </c>
      <c r="O54" s="927" t="s">
        <v>612</v>
      </c>
      <c r="P54" s="927" t="s">
        <v>322</v>
      </c>
      <c r="Q54" s="927" t="s">
        <v>323</v>
      </c>
      <c r="R54" s="927" t="s">
        <v>555</v>
      </c>
      <c r="S54">
        <v>530</v>
      </c>
      <c r="T54">
        <v>720</v>
      </c>
      <c r="U54">
        <v>610</v>
      </c>
      <c r="V54">
        <v>564</v>
      </c>
      <c r="W54">
        <v>473</v>
      </c>
      <c r="X54">
        <v>436</v>
      </c>
      <c r="Y54">
        <v>522</v>
      </c>
      <c r="Z54">
        <v>452</v>
      </c>
      <c r="AA54">
        <v>431</v>
      </c>
      <c r="AB54">
        <v>511</v>
      </c>
      <c r="AC54">
        <v>502</v>
      </c>
      <c r="AD54">
        <v>450</v>
      </c>
      <c r="AE54">
        <v>691</v>
      </c>
      <c r="AF54" s="927" t="s">
        <v>305</v>
      </c>
      <c r="AG54" s="927"/>
      <c r="AH54" s="717">
        <v>44494</v>
      </c>
      <c r="AK54" s="927"/>
      <c r="AO54" s="927" t="s">
        <v>307</v>
      </c>
      <c r="AP54" s="927" t="s">
        <v>395</v>
      </c>
      <c r="AQ54" s="927" t="s">
        <v>544</v>
      </c>
    </row>
    <row r="55" spans="1:43">
      <c r="A55" s="927" t="s">
        <v>613</v>
      </c>
      <c r="B55" s="927" t="s">
        <v>614</v>
      </c>
      <c r="C55" s="927" t="s">
        <v>615</v>
      </c>
      <c r="D55" s="927" t="s">
        <v>42</v>
      </c>
      <c r="E55" s="717">
        <v>44475</v>
      </c>
      <c r="F55" s="927" t="s">
        <v>46</v>
      </c>
      <c r="G55" s="927" t="s">
        <v>616</v>
      </c>
      <c r="I55" s="927"/>
      <c r="J55" s="131"/>
      <c r="K55" s="927" t="s">
        <v>617</v>
      </c>
      <c r="L55" t="s">
        <v>617</v>
      </c>
      <c r="M55" s="927" t="s">
        <v>617</v>
      </c>
      <c r="N55" s="927" t="s">
        <v>617</v>
      </c>
      <c r="O55" s="927" t="s">
        <v>617</v>
      </c>
      <c r="P55" s="927" t="s">
        <v>379</v>
      </c>
      <c r="Q55" s="927"/>
      <c r="R55" s="927"/>
      <c r="S55">
        <v>700</v>
      </c>
      <c r="T55">
        <v>999</v>
      </c>
      <c r="U55">
        <v>973</v>
      </c>
      <c r="V55">
        <v>805</v>
      </c>
      <c r="W55">
        <v>752</v>
      </c>
      <c r="X55">
        <v>587</v>
      </c>
      <c r="Y55">
        <v>563</v>
      </c>
      <c r="Z55">
        <v>511</v>
      </c>
      <c r="AA55">
        <v>560</v>
      </c>
      <c r="AB55">
        <v>639</v>
      </c>
      <c r="AC55">
        <v>622</v>
      </c>
      <c r="AD55">
        <v>685</v>
      </c>
      <c r="AE55">
        <v>704</v>
      </c>
      <c r="AF55" s="927"/>
      <c r="AG55" s="927"/>
      <c r="AH55" s="717">
        <v>44509</v>
      </c>
      <c r="AK55" s="927"/>
      <c r="AO55" s="927" t="s">
        <v>307</v>
      </c>
      <c r="AP55" s="927" t="s">
        <v>395</v>
      </c>
      <c r="AQ55" s="927" t="s">
        <v>618</v>
      </c>
    </row>
    <row r="56" spans="1:43">
      <c r="A56" s="927" t="s">
        <v>619</v>
      </c>
      <c r="B56" s="927" t="s">
        <v>620</v>
      </c>
      <c r="C56" s="927" t="s">
        <v>621</v>
      </c>
      <c r="D56" s="927" t="s">
        <v>42</v>
      </c>
      <c r="E56" s="717">
        <v>44475</v>
      </c>
      <c r="F56" s="927" t="s">
        <v>46</v>
      </c>
      <c r="G56" s="927" t="s">
        <v>622</v>
      </c>
      <c r="I56" s="927"/>
      <c r="J56" s="131"/>
      <c r="K56" s="927" t="s">
        <v>623</v>
      </c>
      <c r="L56" t="s">
        <v>3747</v>
      </c>
      <c r="M56" s="927" t="s">
        <v>623</v>
      </c>
      <c r="N56" s="927" t="s">
        <v>623</v>
      </c>
      <c r="O56" s="927" t="s">
        <v>623</v>
      </c>
      <c r="P56" s="927" t="s">
        <v>379</v>
      </c>
      <c r="Q56" s="927" t="s">
        <v>323</v>
      </c>
      <c r="R56" s="927" t="s">
        <v>555</v>
      </c>
      <c r="S56">
        <v>600</v>
      </c>
      <c r="T56">
        <v>856</v>
      </c>
      <c r="U56">
        <v>834</v>
      </c>
      <c r="V56">
        <v>690</v>
      </c>
      <c r="W56">
        <v>645</v>
      </c>
      <c r="X56">
        <v>503</v>
      </c>
      <c r="Y56">
        <v>483</v>
      </c>
      <c r="Z56">
        <v>438</v>
      </c>
      <c r="AA56">
        <v>480</v>
      </c>
      <c r="AB56">
        <v>548</v>
      </c>
      <c r="AC56">
        <v>533</v>
      </c>
      <c r="AD56">
        <v>587</v>
      </c>
      <c r="AE56">
        <v>603</v>
      </c>
      <c r="AF56" s="927"/>
      <c r="AG56" s="927"/>
      <c r="AH56" s="717">
        <v>44509</v>
      </c>
      <c r="AK56" s="927"/>
      <c r="AO56" s="927" t="s">
        <v>337</v>
      </c>
      <c r="AP56" s="927" t="s">
        <v>345</v>
      </c>
      <c r="AQ56" s="927" t="s">
        <v>624</v>
      </c>
    </row>
    <row r="57" spans="1:43">
      <c r="A57" s="927" t="s">
        <v>625</v>
      </c>
      <c r="B57" s="927" t="s">
        <v>626</v>
      </c>
      <c r="C57" s="927" t="s">
        <v>627</v>
      </c>
      <c r="D57" s="927" t="s">
        <v>42</v>
      </c>
      <c r="E57" s="717">
        <v>44462</v>
      </c>
      <c r="F57" s="927" t="s">
        <v>50</v>
      </c>
      <c r="G57" s="927" t="s">
        <v>628</v>
      </c>
      <c r="I57" s="927"/>
      <c r="J57" s="131"/>
      <c r="K57" s="927" t="s">
        <v>629</v>
      </c>
      <c r="L57" t="s">
        <v>3748</v>
      </c>
      <c r="M57" s="927" t="s">
        <v>629</v>
      </c>
      <c r="N57" s="927" t="s">
        <v>629</v>
      </c>
      <c r="O57" s="927" t="s">
        <v>629</v>
      </c>
      <c r="P57" s="927" t="s">
        <v>322</v>
      </c>
      <c r="Q57" s="927"/>
      <c r="R57" s="927" t="s">
        <v>324</v>
      </c>
      <c r="S57">
        <v>4893</v>
      </c>
      <c r="T57">
        <v>2864</v>
      </c>
      <c r="U57">
        <v>3567</v>
      </c>
      <c r="V57">
        <v>3344</v>
      </c>
      <c r="W57">
        <v>3521</v>
      </c>
      <c r="X57">
        <v>5189</v>
      </c>
      <c r="Y57">
        <v>3163</v>
      </c>
      <c r="Z57">
        <v>7153</v>
      </c>
      <c r="AA57">
        <v>9930</v>
      </c>
      <c r="AB57">
        <v>6575</v>
      </c>
      <c r="AC57">
        <v>5054</v>
      </c>
      <c r="AD57">
        <v>3925</v>
      </c>
      <c r="AE57">
        <v>4429</v>
      </c>
      <c r="AF57" s="927" t="s">
        <v>305</v>
      </c>
      <c r="AG57" s="927"/>
      <c r="AH57" s="717">
        <v>44509</v>
      </c>
      <c r="AK57" s="927"/>
      <c r="AO57" s="927" t="s">
        <v>307</v>
      </c>
      <c r="AP57" s="927" t="s">
        <v>395</v>
      </c>
      <c r="AQ57" s="927" t="s">
        <v>630</v>
      </c>
    </row>
    <row r="58" spans="1:43">
      <c r="A58" s="927" t="s">
        <v>631</v>
      </c>
      <c r="B58" s="927" t="s">
        <v>632</v>
      </c>
      <c r="C58" s="927" t="s">
        <v>633</v>
      </c>
      <c r="D58" s="927" t="s">
        <v>42</v>
      </c>
      <c r="E58" s="717">
        <v>44490</v>
      </c>
      <c r="F58" s="927" t="s">
        <v>61</v>
      </c>
      <c r="G58" s="927" t="s">
        <v>634</v>
      </c>
      <c r="I58" s="927"/>
      <c r="J58" s="131"/>
      <c r="K58" s="927" t="s">
        <v>635</v>
      </c>
      <c r="L58" t="s">
        <v>3749</v>
      </c>
      <c r="M58" s="927" t="s">
        <v>635</v>
      </c>
      <c r="N58" s="927" t="s">
        <v>635</v>
      </c>
      <c r="O58" s="927" t="s">
        <v>635</v>
      </c>
      <c r="P58" s="927" t="s">
        <v>322</v>
      </c>
      <c r="Q58" s="927" t="s">
        <v>323</v>
      </c>
      <c r="R58" s="927" t="s">
        <v>324</v>
      </c>
      <c r="S58">
        <v>901</v>
      </c>
      <c r="T58">
        <v>1184</v>
      </c>
      <c r="U58">
        <v>1041</v>
      </c>
      <c r="V58">
        <v>1199</v>
      </c>
      <c r="W58">
        <v>1276</v>
      </c>
      <c r="X58">
        <v>792</v>
      </c>
      <c r="Y58">
        <v>758</v>
      </c>
      <c r="Z58">
        <v>434</v>
      </c>
      <c r="AA58">
        <v>475</v>
      </c>
      <c r="AB58">
        <v>684</v>
      </c>
      <c r="AC58">
        <v>881</v>
      </c>
      <c r="AD58">
        <v>950</v>
      </c>
      <c r="AE58">
        <v>1141</v>
      </c>
      <c r="AF58" s="927" t="s">
        <v>305</v>
      </c>
      <c r="AG58" s="927"/>
      <c r="AH58" s="717">
        <v>44750</v>
      </c>
      <c r="AK58" s="927"/>
      <c r="AO58" s="927" t="s">
        <v>307</v>
      </c>
      <c r="AP58" s="927" t="s">
        <v>44</v>
      </c>
      <c r="AQ58" s="927" t="s">
        <v>636</v>
      </c>
    </row>
    <row r="59" spans="1:43">
      <c r="A59" s="927" t="s">
        <v>637</v>
      </c>
      <c r="B59" s="927" t="s">
        <v>638</v>
      </c>
      <c r="C59" s="927" t="s">
        <v>639</v>
      </c>
      <c r="D59" s="927" t="s">
        <v>42</v>
      </c>
      <c r="E59" s="717">
        <v>44504</v>
      </c>
      <c r="F59" s="927" t="s">
        <v>52</v>
      </c>
      <c r="G59" s="927"/>
      <c r="I59" s="927"/>
      <c r="J59" s="131"/>
      <c r="K59" s="927" t="s">
        <v>640</v>
      </c>
      <c r="L59" t="s">
        <v>3750</v>
      </c>
      <c r="M59" s="927" t="s">
        <v>640</v>
      </c>
      <c r="N59" s="927" t="s">
        <v>640</v>
      </c>
      <c r="O59" s="927" t="s">
        <v>640</v>
      </c>
      <c r="P59" s="927" t="s">
        <v>322</v>
      </c>
      <c r="Q59" s="927" t="s">
        <v>323</v>
      </c>
      <c r="R59" s="927" t="s">
        <v>324</v>
      </c>
      <c r="S59">
        <v>561</v>
      </c>
      <c r="T59">
        <v>650</v>
      </c>
      <c r="U59">
        <v>770</v>
      </c>
      <c r="V59">
        <v>620</v>
      </c>
      <c r="W59">
        <v>700</v>
      </c>
      <c r="X59">
        <v>520</v>
      </c>
      <c r="Y59">
        <v>470</v>
      </c>
      <c r="Z59">
        <v>470</v>
      </c>
      <c r="AA59">
        <v>420</v>
      </c>
      <c r="AB59">
        <v>500</v>
      </c>
      <c r="AC59">
        <v>430</v>
      </c>
      <c r="AD59">
        <v>510</v>
      </c>
      <c r="AE59">
        <v>670</v>
      </c>
      <c r="AF59" s="927"/>
      <c r="AG59" s="927"/>
      <c r="AH59" s="717">
        <v>44538</v>
      </c>
      <c r="AK59" s="927"/>
      <c r="AO59" s="927" t="s">
        <v>307</v>
      </c>
      <c r="AP59" s="927" t="s">
        <v>395</v>
      </c>
      <c r="AQ59" s="927" t="s">
        <v>641</v>
      </c>
    </row>
    <row r="60" spans="1:43">
      <c r="A60" s="927" t="s">
        <v>642</v>
      </c>
      <c r="B60" s="927" t="s">
        <v>643</v>
      </c>
      <c r="C60" s="927" t="s">
        <v>644</v>
      </c>
      <c r="D60" s="927" t="s">
        <v>42</v>
      </c>
      <c r="E60" s="717">
        <v>44505</v>
      </c>
      <c r="F60" s="927" t="s">
        <v>52</v>
      </c>
      <c r="G60" s="927" t="s">
        <v>645</v>
      </c>
      <c r="I60" s="927"/>
      <c r="J60" s="131"/>
      <c r="K60" s="927" t="s">
        <v>646</v>
      </c>
      <c r="L60" t="s">
        <v>3751</v>
      </c>
      <c r="M60" s="927" t="s">
        <v>646</v>
      </c>
      <c r="N60" s="927" t="s">
        <v>646</v>
      </c>
      <c r="O60" s="927" t="s">
        <v>646</v>
      </c>
      <c r="P60" s="927" t="s">
        <v>322</v>
      </c>
      <c r="Q60" s="927"/>
      <c r="R60" s="927" t="s">
        <v>324</v>
      </c>
      <c r="S60">
        <v>11727</v>
      </c>
      <c r="T60">
        <v>5440</v>
      </c>
      <c r="U60">
        <v>11360</v>
      </c>
      <c r="V60">
        <v>20480</v>
      </c>
      <c r="W60">
        <v>13920</v>
      </c>
      <c r="X60">
        <v>14160</v>
      </c>
      <c r="Y60">
        <v>11200</v>
      </c>
      <c r="Z60">
        <v>9280</v>
      </c>
      <c r="AA60">
        <v>7600</v>
      </c>
      <c r="AB60">
        <v>18320</v>
      </c>
      <c r="AC60">
        <v>10000</v>
      </c>
      <c r="AD60">
        <v>10000</v>
      </c>
      <c r="AE60">
        <v>8960</v>
      </c>
      <c r="AF60" s="927"/>
      <c r="AG60" s="927"/>
      <c r="AH60" s="717">
        <v>44676</v>
      </c>
      <c r="AK60" s="927"/>
      <c r="AO60" s="927" t="s">
        <v>307</v>
      </c>
      <c r="AP60" s="927" t="s">
        <v>395</v>
      </c>
      <c r="AQ60" s="927" t="s">
        <v>647</v>
      </c>
    </row>
    <row r="61" spans="1:43">
      <c r="A61" s="927" t="s">
        <v>648</v>
      </c>
      <c r="B61" s="927" t="s">
        <v>649</v>
      </c>
      <c r="C61" s="927" t="s">
        <v>650</v>
      </c>
      <c r="D61" s="927" t="s">
        <v>42</v>
      </c>
      <c r="E61" s="717">
        <v>44508</v>
      </c>
      <c r="F61" s="927" t="s">
        <v>55</v>
      </c>
      <c r="G61" s="927" t="s">
        <v>378</v>
      </c>
      <c r="I61" s="927"/>
      <c r="J61" s="131"/>
      <c r="K61" s="927" t="s">
        <v>651</v>
      </c>
      <c r="L61" t="s">
        <v>3752</v>
      </c>
      <c r="M61" s="927" t="s">
        <v>651</v>
      </c>
      <c r="N61" s="927" t="s">
        <v>651</v>
      </c>
      <c r="O61" s="927" t="s">
        <v>651</v>
      </c>
      <c r="P61" s="927" t="s">
        <v>322</v>
      </c>
      <c r="Q61" s="927"/>
      <c r="R61" s="927"/>
      <c r="S61">
        <v>466</v>
      </c>
      <c r="T61">
        <v>500</v>
      </c>
      <c r="U61">
        <v>570</v>
      </c>
      <c r="V61">
        <v>530</v>
      </c>
      <c r="W61">
        <v>490</v>
      </c>
      <c r="X61">
        <v>480</v>
      </c>
      <c r="Y61">
        <v>410</v>
      </c>
      <c r="Z61">
        <v>390</v>
      </c>
      <c r="AA61">
        <v>420</v>
      </c>
      <c r="AB61">
        <v>470</v>
      </c>
      <c r="AC61">
        <v>360</v>
      </c>
      <c r="AD61">
        <v>480</v>
      </c>
      <c r="AE61">
        <v>490</v>
      </c>
      <c r="AF61" s="927"/>
      <c r="AG61" s="927"/>
      <c r="AH61" s="717">
        <v>44768</v>
      </c>
      <c r="AK61" s="927"/>
      <c r="AO61" s="927" t="s">
        <v>337</v>
      </c>
      <c r="AP61" s="927" t="s">
        <v>387</v>
      </c>
      <c r="AQ61" s="927" t="s">
        <v>652</v>
      </c>
    </row>
    <row r="62" spans="1:43">
      <c r="A62" s="927" t="s">
        <v>653</v>
      </c>
      <c r="B62" s="927" t="s">
        <v>654</v>
      </c>
      <c r="C62" s="927" t="s">
        <v>655</v>
      </c>
      <c r="D62" s="927" t="s">
        <v>42</v>
      </c>
      <c r="E62" s="717">
        <v>44510</v>
      </c>
      <c r="F62" s="927" t="s">
        <v>55</v>
      </c>
      <c r="G62" s="927" t="s">
        <v>656</v>
      </c>
      <c r="I62" s="927"/>
      <c r="J62" s="131"/>
      <c r="K62" s="927" t="s">
        <v>657</v>
      </c>
      <c r="L62" t="s">
        <v>3753</v>
      </c>
      <c r="M62" s="927" t="s">
        <v>657</v>
      </c>
      <c r="N62" s="927" t="s">
        <v>657</v>
      </c>
      <c r="O62" s="927" t="s">
        <v>657</v>
      </c>
      <c r="P62" s="927" t="s">
        <v>322</v>
      </c>
      <c r="Q62" s="927" t="s">
        <v>323</v>
      </c>
      <c r="R62" s="927" t="s">
        <v>324</v>
      </c>
      <c r="S62">
        <v>394</v>
      </c>
      <c r="T62">
        <v>457</v>
      </c>
      <c r="U62">
        <v>466</v>
      </c>
      <c r="V62">
        <v>468</v>
      </c>
      <c r="W62">
        <v>468</v>
      </c>
      <c r="X62">
        <v>377</v>
      </c>
      <c r="Y62">
        <v>319</v>
      </c>
      <c r="Z62">
        <v>305</v>
      </c>
      <c r="AA62">
        <v>388</v>
      </c>
      <c r="AB62">
        <v>390</v>
      </c>
      <c r="AC62">
        <v>402</v>
      </c>
      <c r="AD62">
        <v>316</v>
      </c>
      <c r="AE62">
        <v>377</v>
      </c>
      <c r="AF62" s="927"/>
      <c r="AG62" s="927"/>
      <c r="AH62" s="717">
        <v>44538</v>
      </c>
      <c r="AK62" s="927"/>
      <c r="AO62" s="927" t="s">
        <v>337</v>
      </c>
      <c r="AP62" s="927" t="s">
        <v>387</v>
      </c>
      <c r="AQ62" s="927" t="s">
        <v>658</v>
      </c>
    </row>
    <row r="63" spans="1:43">
      <c r="A63" s="927" t="s">
        <v>659</v>
      </c>
      <c r="B63" s="927" t="s">
        <v>660</v>
      </c>
      <c r="C63" s="927" t="s">
        <v>661</v>
      </c>
      <c r="D63" s="927" t="s">
        <v>32</v>
      </c>
      <c r="E63" s="717">
        <v>44519</v>
      </c>
      <c r="F63" s="927" t="s">
        <v>61</v>
      </c>
      <c r="G63" s="927" t="s">
        <v>662</v>
      </c>
      <c r="I63" s="927"/>
      <c r="J63" s="131"/>
      <c r="K63" s="927" t="s">
        <v>663</v>
      </c>
      <c r="L63" t="s">
        <v>3754</v>
      </c>
      <c r="M63" s="927" t="s">
        <v>663</v>
      </c>
      <c r="N63" s="927" t="s">
        <v>663</v>
      </c>
      <c r="O63" s="927" t="s">
        <v>663</v>
      </c>
      <c r="P63" s="927" t="s">
        <v>322</v>
      </c>
      <c r="Q63" s="927"/>
      <c r="R63" s="927"/>
      <c r="S63">
        <v>500</v>
      </c>
      <c r="T63">
        <v>713</v>
      </c>
      <c r="U63">
        <v>695</v>
      </c>
      <c r="V63">
        <v>575</v>
      </c>
      <c r="W63">
        <v>537</v>
      </c>
      <c r="X63">
        <v>420</v>
      </c>
      <c r="Y63">
        <v>402</v>
      </c>
      <c r="Z63">
        <v>365</v>
      </c>
      <c r="AA63">
        <v>400</v>
      </c>
      <c r="AB63">
        <v>457</v>
      </c>
      <c r="AC63">
        <v>445</v>
      </c>
      <c r="AD63">
        <v>490</v>
      </c>
      <c r="AE63">
        <v>503</v>
      </c>
      <c r="AF63" s="927"/>
      <c r="AG63" s="927"/>
      <c r="AH63" s="717">
        <v>44553</v>
      </c>
      <c r="AI63">
        <v>8.8000000000000007</v>
      </c>
      <c r="AJ63">
        <v>43800</v>
      </c>
      <c r="AK63" s="927" t="s">
        <v>325</v>
      </c>
      <c r="AL63">
        <v>16</v>
      </c>
      <c r="AM63">
        <v>550</v>
      </c>
      <c r="AO63" s="927"/>
      <c r="AP63" s="927"/>
      <c r="AQ63" s="927" t="s">
        <v>664</v>
      </c>
    </row>
    <row r="64" spans="1:43">
      <c r="A64" s="927" t="s">
        <v>665</v>
      </c>
      <c r="B64" s="927" t="s">
        <v>666</v>
      </c>
      <c r="C64" s="927" t="s">
        <v>667</v>
      </c>
      <c r="D64" s="927" t="s">
        <v>36</v>
      </c>
      <c r="E64" s="717">
        <v>44539</v>
      </c>
      <c r="F64" s="927" t="s">
        <v>55</v>
      </c>
      <c r="G64" s="927"/>
      <c r="I64" s="927"/>
      <c r="J64" s="131"/>
      <c r="K64" s="927" t="s">
        <v>668</v>
      </c>
      <c r="L64" t="s">
        <v>3755</v>
      </c>
      <c r="M64" s="927" t="s">
        <v>3628</v>
      </c>
      <c r="N64" s="927" t="s">
        <v>668</v>
      </c>
      <c r="O64" s="927" t="s">
        <v>3628</v>
      </c>
      <c r="P64" s="927" t="s">
        <v>379</v>
      </c>
      <c r="Q64" s="927" t="s">
        <v>323</v>
      </c>
      <c r="R64" s="927" t="s">
        <v>324</v>
      </c>
      <c r="S64">
        <v>244</v>
      </c>
      <c r="T64">
        <v>334</v>
      </c>
      <c r="U64">
        <v>132</v>
      </c>
      <c r="V64">
        <v>394</v>
      </c>
      <c r="W64">
        <v>261</v>
      </c>
      <c r="X64">
        <v>139</v>
      </c>
      <c r="Y64">
        <v>147</v>
      </c>
      <c r="Z64">
        <v>119</v>
      </c>
      <c r="AA64">
        <v>158</v>
      </c>
      <c r="AB64">
        <v>255</v>
      </c>
      <c r="AC64">
        <v>457</v>
      </c>
      <c r="AD64">
        <v>400</v>
      </c>
      <c r="AE64">
        <v>129</v>
      </c>
      <c r="AF64" s="927"/>
      <c r="AG64" s="927"/>
      <c r="AH64" s="717"/>
      <c r="AK64" s="927"/>
      <c r="AO64" s="927"/>
      <c r="AP64" s="927"/>
      <c r="AQ64" s="927" t="s">
        <v>670</v>
      </c>
    </row>
    <row r="65" spans="1:43">
      <c r="A65" s="927" t="s">
        <v>671</v>
      </c>
      <c r="B65" s="927" t="s">
        <v>672</v>
      </c>
      <c r="C65" s="927" t="s">
        <v>673</v>
      </c>
      <c r="D65" s="927" t="s">
        <v>42</v>
      </c>
      <c r="E65" s="717">
        <v>44544</v>
      </c>
      <c r="F65" s="927" t="s">
        <v>61</v>
      </c>
      <c r="G65" s="927" t="s">
        <v>674</v>
      </c>
      <c r="I65" s="927"/>
      <c r="J65" s="131"/>
      <c r="K65" s="927" t="s">
        <v>675</v>
      </c>
      <c r="L65" t="s">
        <v>3756</v>
      </c>
      <c r="M65" s="927" t="s">
        <v>675</v>
      </c>
      <c r="N65" s="927" t="s">
        <v>675</v>
      </c>
      <c r="O65" s="927" t="s">
        <v>675</v>
      </c>
      <c r="P65" s="927" t="s">
        <v>322</v>
      </c>
      <c r="Q65" s="927" t="s">
        <v>323</v>
      </c>
      <c r="R65" s="927" t="s">
        <v>324</v>
      </c>
      <c r="S65">
        <v>736</v>
      </c>
      <c r="T65">
        <v>729</v>
      </c>
      <c r="U65">
        <v>631</v>
      </c>
      <c r="V65">
        <v>742</v>
      </c>
      <c r="W65">
        <v>1024</v>
      </c>
      <c r="X65">
        <v>599</v>
      </c>
      <c r="Y65">
        <v>576</v>
      </c>
      <c r="Z65">
        <v>630</v>
      </c>
      <c r="AA65">
        <v>614</v>
      </c>
      <c r="AB65">
        <v>739</v>
      </c>
      <c r="AC65">
        <v>826</v>
      </c>
      <c r="AD65">
        <v>729</v>
      </c>
      <c r="AE65">
        <v>995</v>
      </c>
      <c r="AF65" s="927"/>
      <c r="AG65" s="927"/>
      <c r="AH65" s="717">
        <v>44676</v>
      </c>
      <c r="AK65" s="927"/>
      <c r="AO65" s="927" t="s">
        <v>337</v>
      </c>
      <c r="AP65" s="927" t="s">
        <v>395</v>
      </c>
      <c r="AQ65" s="927" t="s">
        <v>676</v>
      </c>
    </row>
    <row r="66" spans="1:43">
      <c r="A66" s="927" t="s">
        <v>677</v>
      </c>
      <c r="B66" s="927" t="s">
        <v>678</v>
      </c>
      <c r="C66" s="927" t="s">
        <v>679</v>
      </c>
      <c r="D66" s="927" t="s">
        <v>42</v>
      </c>
      <c r="E66" s="717">
        <v>44546</v>
      </c>
      <c r="F66" s="927" t="s">
        <v>61</v>
      </c>
      <c r="G66" s="927" t="s">
        <v>680</v>
      </c>
      <c r="I66" s="927"/>
      <c r="J66" s="131"/>
      <c r="K66" s="927" t="s">
        <v>681</v>
      </c>
      <c r="L66" t="s">
        <v>3757</v>
      </c>
      <c r="M66" s="927" t="s">
        <v>3629</v>
      </c>
      <c r="N66" s="927" t="s">
        <v>681</v>
      </c>
      <c r="O66" s="927" t="s">
        <v>3629</v>
      </c>
      <c r="P66" s="927" t="s">
        <v>322</v>
      </c>
      <c r="Q66" s="927" t="s">
        <v>323</v>
      </c>
      <c r="R66" s="927" t="s">
        <v>324</v>
      </c>
      <c r="S66">
        <v>482</v>
      </c>
      <c r="T66">
        <v>554</v>
      </c>
      <c r="U66">
        <v>588</v>
      </c>
      <c r="V66">
        <v>517</v>
      </c>
      <c r="W66">
        <v>442</v>
      </c>
      <c r="X66">
        <v>437</v>
      </c>
      <c r="Y66">
        <v>484</v>
      </c>
      <c r="Z66">
        <v>417</v>
      </c>
      <c r="AA66">
        <v>379</v>
      </c>
      <c r="AB66">
        <v>461</v>
      </c>
      <c r="AC66">
        <v>498</v>
      </c>
      <c r="AD66">
        <v>415</v>
      </c>
      <c r="AE66">
        <v>586</v>
      </c>
      <c r="AF66" s="927"/>
      <c r="AG66" s="927"/>
      <c r="AH66" s="717">
        <v>44768</v>
      </c>
      <c r="AK66" s="927"/>
      <c r="AO66" s="927" t="s">
        <v>337</v>
      </c>
      <c r="AP66" s="927" t="s">
        <v>395</v>
      </c>
      <c r="AQ66" s="927" t="s">
        <v>682</v>
      </c>
    </row>
    <row r="67" spans="1:43">
      <c r="A67" s="927" t="s">
        <v>683</v>
      </c>
      <c r="B67" s="927" t="s">
        <v>684</v>
      </c>
      <c r="C67" s="927" t="s">
        <v>685</v>
      </c>
      <c r="D67" s="927" t="s">
        <v>32</v>
      </c>
      <c r="E67" s="717">
        <v>44579</v>
      </c>
      <c r="F67" s="927" t="s">
        <v>55</v>
      </c>
      <c r="G67" s="927" t="s">
        <v>686</v>
      </c>
      <c r="I67" s="927"/>
      <c r="J67" s="131"/>
      <c r="K67" s="927" t="s">
        <v>687</v>
      </c>
      <c r="L67" t="s">
        <v>3758</v>
      </c>
      <c r="M67" s="927" t="s">
        <v>687</v>
      </c>
      <c r="N67" s="927" t="s">
        <v>687</v>
      </c>
      <c r="O67" s="927" t="s">
        <v>687</v>
      </c>
      <c r="P67" s="927" t="s">
        <v>322</v>
      </c>
      <c r="Q67" s="927" t="s">
        <v>323</v>
      </c>
      <c r="R67" s="927" t="s">
        <v>324</v>
      </c>
      <c r="S67">
        <v>386</v>
      </c>
      <c r="T67">
        <v>500</v>
      </c>
      <c r="U67">
        <v>497</v>
      </c>
      <c r="V67">
        <v>553</v>
      </c>
      <c r="W67">
        <v>492</v>
      </c>
      <c r="X67">
        <v>271</v>
      </c>
      <c r="Y67">
        <v>318</v>
      </c>
      <c r="Z67">
        <v>244</v>
      </c>
      <c r="AA67">
        <v>256</v>
      </c>
      <c r="AB67">
        <v>346</v>
      </c>
      <c r="AC67">
        <v>326</v>
      </c>
      <c r="AD67">
        <v>350</v>
      </c>
      <c r="AE67">
        <v>481</v>
      </c>
      <c r="AF67" s="927" t="s">
        <v>305</v>
      </c>
      <c r="AG67" s="927"/>
      <c r="AH67" s="717">
        <v>44806</v>
      </c>
      <c r="AI67">
        <v>2.4</v>
      </c>
      <c r="AJ67">
        <v>12000</v>
      </c>
      <c r="AK67" s="927" t="s">
        <v>688</v>
      </c>
      <c r="AL67">
        <v>4</v>
      </c>
      <c r="AM67">
        <v>600</v>
      </c>
      <c r="AO67" s="927"/>
      <c r="AP67" s="927"/>
      <c r="AQ67" s="927" t="s">
        <v>689</v>
      </c>
    </row>
    <row r="68" spans="1:43">
      <c r="A68" s="927" t="s">
        <v>690</v>
      </c>
      <c r="B68" s="927" t="s">
        <v>691</v>
      </c>
      <c r="C68" s="927" t="s">
        <v>692</v>
      </c>
      <c r="D68" s="927" t="s">
        <v>42</v>
      </c>
      <c r="E68" s="717">
        <v>44595</v>
      </c>
      <c r="F68" s="927" t="s">
        <v>52</v>
      </c>
      <c r="G68" s="927" t="s">
        <v>693</v>
      </c>
      <c r="I68" s="927"/>
      <c r="J68" s="131"/>
      <c r="K68" s="927" t="s">
        <v>694</v>
      </c>
      <c r="L68" t="s">
        <v>3759</v>
      </c>
      <c r="M68" s="927" t="s">
        <v>694</v>
      </c>
      <c r="N68" s="927" t="s">
        <v>694</v>
      </c>
      <c r="O68" s="927" t="s">
        <v>694</v>
      </c>
      <c r="P68" s="927" t="s">
        <v>322</v>
      </c>
      <c r="Q68" s="927"/>
      <c r="R68" s="927" t="s">
        <v>324</v>
      </c>
      <c r="AF68" s="927"/>
      <c r="AG68" s="927"/>
      <c r="AH68" s="717">
        <v>44740</v>
      </c>
      <c r="AK68" s="927"/>
      <c r="AO68" s="927" t="s">
        <v>307</v>
      </c>
      <c r="AP68" s="927" t="s">
        <v>395</v>
      </c>
      <c r="AQ68" s="927" t="s">
        <v>695</v>
      </c>
    </row>
    <row r="69" spans="1:43">
      <c r="A69" s="927" t="s">
        <v>696</v>
      </c>
      <c r="B69" s="927" t="s">
        <v>697</v>
      </c>
      <c r="C69" s="927" t="s">
        <v>698</v>
      </c>
      <c r="D69" s="927" t="s">
        <v>42</v>
      </c>
      <c r="E69" s="717">
        <v>44595</v>
      </c>
      <c r="F69" s="927" t="s">
        <v>52</v>
      </c>
      <c r="G69" s="927"/>
      <c r="I69" s="927"/>
      <c r="J69" s="131"/>
      <c r="K69" s="927" t="s">
        <v>699</v>
      </c>
      <c r="L69" t="s">
        <v>3760</v>
      </c>
      <c r="M69" s="927" t="s">
        <v>699</v>
      </c>
      <c r="N69" s="927" t="s">
        <v>699</v>
      </c>
      <c r="O69" s="927" t="s">
        <v>699</v>
      </c>
      <c r="P69" s="927" t="s">
        <v>322</v>
      </c>
      <c r="Q69" s="927" t="s">
        <v>323</v>
      </c>
      <c r="R69" s="927" t="s">
        <v>324</v>
      </c>
      <c r="S69">
        <v>965</v>
      </c>
      <c r="T69">
        <v>1424</v>
      </c>
      <c r="U69">
        <v>1422</v>
      </c>
      <c r="V69">
        <v>1304</v>
      </c>
      <c r="W69">
        <v>1197</v>
      </c>
      <c r="X69">
        <v>907</v>
      </c>
      <c r="Y69">
        <v>710</v>
      </c>
      <c r="Z69">
        <v>943</v>
      </c>
      <c r="AA69">
        <v>100</v>
      </c>
      <c r="AB69">
        <v>1351</v>
      </c>
      <c r="AC69">
        <v>715</v>
      </c>
      <c r="AD69">
        <v>622</v>
      </c>
      <c r="AE69">
        <v>884</v>
      </c>
      <c r="AF69" s="927" t="s">
        <v>305</v>
      </c>
      <c r="AG69" s="927"/>
      <c r="AH69" s="717">
        <v>44740</v>
      </c>
      <c r="AK69" s="927"/>
      <c r="AO69" s="927" t="s">
        <v>307</v>
      </c>
      <c r="AP69" s="927" t="s">
        <v>395</v>
      </c>
      <c r="AQ69" s="927" t="s">
        <v>700</v>
      </c>
    </row>
    <row r="70" spans="1:43">
      <c r="A70" s="927" t="s">
        <v>701</v>
      </c>
      <c r="B70" s="927" t="s">
        <v>702</v>
      </c>
      <c r="C70" s="927" t="s">
        <v>703</v>
      </c>
      <c r="D70" s="927" t="s">
        <v>42</v>
      </c>
      <c r="E70" s="717">
        <v>44595</v>
      </c>
      <c r="F70" s="927" t="s">
        <v>61</v>
      </c>
      <c r="G70" s="927" t="s">
        <v>704</v>
      </c>
      <c r="I70" s="927"/>
      <c r="J70" s="131"/>
      <c r="K70" s="927" t="s">
        <v>705</v>
      </c>
      <c r="L70" t="s">
        <v>3761</v>
      </c>
      <c r="M70" s="927" t="s">
        <v>705</v>
      </c>
      <c r="N70" s="927" t="s">
        <v>705</v>
      </c>
      <c r="O70" s="927" t="s">
        <v>705</v>
      </c>
      <c r="P70" s="927" t="s">
        <v>322</v>
      </c>
      <c r="Q70" s="927" t="s">
        <v>706</v>
      </c>
      <c r="R70" s="927" t="s">
        <v>324</v>
      </c>
      <c r="S70">
        <v>1488</v>
      </c>
      <c r="T70">
        <v>1675</v>
      </c>
      <c r="U70">
        <v>1745</v>
      </c>
      <c r="V70">
        <v>1795</v>
      </c>
      <c r="W70">
        <v>1507</v>
      </c>
      <c r="X70">
        <v>1261</v>
      </c>
      <c r="Y70">
        <v>1295</v>
      </c>
      <c r="Z70">
        <v>1208</v>
      </c>
      <c r="AA70">
        <v>1199</v>
      </c>
      <c r="AB70">
        <v>1478</v>
      </c>
      <c r="AC70">
        <v>1462</v>
      </c>
      <c r="AD70">
        <v>1417</v>
      </c>
      <c r="AE70">
        <v>1817</v>
      </c>
      <c r="AF70" s="927"/>
      <c r="AG70" s="927"/>
      <c r="AH70" s="717">
        <v>44740</v>
      </c>
      <c r="AK70" s="927"/>
      <c r="AO70" s="927" t="s">
        <v>337</v>
      </c>
      <c r="AP70" s="927" t="s">
        <v>395</v>
      </c>
      <c r="AQ70" s="927" t="s">
        <v>707</v>
      </c>
    </row>
    <row r="71" spans="1:43">
      <c r="A71" s="927" t="s">
        <v>708</v>
      </c>
      <c r="B71" s="927" t="s">
        <v>709</v>
      </c>
      <c r="C71" s="927" t="s">
        <v>710</v>
      </c>
      <c r="D71" s="927" t="s">
        <v>42</v>
      </c>
      <c r="E71" s="717">
        <v>44634</v>
      </c>
      <c r="F71" s="927" t="s">
        <v>61</v>
      </c>
      <c r="G71" s="927" t="s">
        <v>711</v>
      </c>
      <c r="I71" s="927"/>
      <c r="J71" s="131"/>
      <c r="K71" s="927" t="s">
        <v>712</v>
      </c>
      <c r="L71" t="s">
        <v>3762</v>
      </c>
      <c r="M71" s="927" t="s">
        <v>712</v>
      </c>
      <c r="N71" s="927" t="s">
        <v>712</v>
      </c>
      <c r="O71" s="927" t="s">
        <v>712</v>
      </c>
      <c r="P71" s="927" t="s">
        <v>322</v>
      </c>
      <c r="Q71" s="927" t="s">
        <v>323</v>
      </c>
      <c r="R71" s="927" t="s">
        <v>438</v>
      </c>
      <c r="S71">
        <v>225</v>
      </c>
      <c r="T71">
        <v>237</v>
      </c>
      <c r="U71">
        <v>333</v>
      </c>
      <c r="V71">
        <v>289</v>
      </c>
      <c r="W71">
        <v>307</v>
      </c>
      <c r="X71">
        <v>236</v>
      </c>
      <c r="Y71">
        <v>187</v>
      </c>
      <c r="Z71">
        <v>146</v>
      </c>
      <c r="AA71">
        <v>151</v>
      </c>
      <c r="AB71">
        <v>185</v>
      </c>
      <c r="AC71">
        <v>177</v>
      </c>
      <c r="AD71">
        <v>189</v>
      </c>
      <c r="AE71">
        <v>260</v>
      </c>
      <c r="AF71" s="927" t="s">
        <v>305</v>
      </c>
      <c r="AG71" s="927"/>
      <c r="AH71" s="717">
        <v>44768</v>
      </c>
      <c r="AK71" s="927"/>
      <c r="AO71" s="927" t="s">
        <v>337</v>
      </c>
      <c r="AP71" s="927" t="s">
        <v>387</v>
      </c>
      <c r="AQ71" s="927" t="s">
        <v>5729</v>
      </c>
    </row>
    <row r="72" spans="1:43">
      <c r="A72" s="927" t="s">
        <v>713</v>
      </c>
      <c r="B72" s="927" t="s">
        <v>714</v>
      </c>
      <c r="C72" s="927" t="s">
        <v>715</v>
      </c>
      <c r="D72" s="927" t="s">
        <v>42</v>
      </c>
      <c r="E72" s="717">
        <v>44634</v>
      </c>
      <c r="F72" s="927" t="s">
        <v>61</v>
      </c>
      <c r="G72" s="927" t="s">
        <v>716</v>
      </c>
      <c r="I72" s="927"/>
      <c r="J72" s="131"/>
      <c r="K72" s="927" t="s">
        <v>717</v>
      </c>
      <c r="L72" t="s">
        <v>3763</v>
      </c>
      <c r="M72" s="927" t="s">
        <v>717</v>
      </c>
      <c r="N72" s="927" t="s">
        <v>717</v>
      </c>
      <c r="O72" s="927" t="s">
        <v>717</v>
      </c>
      <c r="P72" s="927" t="s">
        <v>322</v>
      </c>
      <c r="Q72" s="927" t="s">
        <v>323</v>
      </c>
      <c r="R72" s="927" t="s">
        <v>324</v>
      </c>
      <c r="S72">
        <v>2527</v>
      </c>
      <c r="T72">
        <v>878</v>
      </c>
      <c r="U72">
        <v>3809</v>
      </c>
      <c r="V72">
        <v>5318</v>
      </c>
      <c r="W72">
        <v>2676</v>
      </c>
      <c r="X72">
        <v>2505</v>
      </c>
      <c r="Y72">
        <v>1669</v>
      </c>
      <c r="Z72">
        <v>1001</v>
      </c>
      <c r="AA72">
        <v>2155</v>
      </c>
      <c r="AB72">
        <v>2684</v>
      </c>
      <c r="AC72">
        <v>2317</v>
      </c>
      <c r="AD72">
        <v>3041</v>
      </c>
      <c r="AE72">
        <v>2275</v>
      </c>
      <c r="AF72" s="927"/>
      <c r="AG72" s="927"/>
      <c r="AH72" s="717">
        <v>44865</v>
      </c>
      <c r="AK72" s="927"/>
      <c r="AO72" s="927" t="s">
        <v>337</v>
      </c>
      <c r="AP72" s="927" t="s">
        <v>395</v>
      </c>
      <c r="AQ72" s="927" t="s">
        <v>718</v>
      </c>
    </row>
    <row r="73" spans="1:43">
      <c r="A73" s="927" t="s">
        <v>719</v>
      </c>
      <c r="B73" s="927" t="s">
        <v>720</v>
      </c>
      <c r="C73" s="927" t="s">
        <v>721</v>
      </c>
      <c r="D73" s="927" t="s">
        <v>42</v>
      </c>
      <c r="E73" s="717">
        <v>44636</v>
      </c>
      <c r="F73" s="927" t="s">
        <v>50</v>
      </c>
      <c r="G73" s="927" t="s">
        <v>722</v>
      </c>
      <c r="I73" s="927"/>
      <c r="J73" s="131"/>
      <c r="K73" s="927" t="s">
        <v>723</v>
      </c>
      <c r="L73" t="s">
        <v>3764</v>
      </c>
      <c r="M73" s="927" t="s">
        <v>723</v>
      </c>
      <c r="N73" s="927" t="s">
        <v>723</v>
      </c>
      <c r="O73" s="927" t="s">
        <v>723</v>
      </c>
      <c r="P73" s="927" t="s">
        <v>322</v>
      </c>
      <c r="Q73" s="927" t="s">
        <v>323</v>
      </c>
      <c r="R73" s="927" t="s">
        <v>324</v>
      </c>
      <c r="S73">
        <v>933</v>
      </c>
      <c r="T73">
        <v>1095</v>
      </c>
      <c r="U73">
        <v>1328</v>
      </c>
      <c r="V73">
        <v>1530</v>
      </c>
      <c r="W73">
        <v>1031</v>
      </c>
      <c r="X73">
        <v>722</v>
      </c>
      <c r="Y73">
        <v>743</v>
      </c>
      <c r="Z73">
        <v>740</v>
      </c>
      <c r="AA73">
        <v>638</v>
      </c>
      <c r="AB73">
        <v>804</v>
      </c>
      <c r="AC73">
        <v>747</v>
      </c>
      <c r="AD73">
        <v>727</v>
      </c>
      <c r="AE73">
        <v>1094</v>
      </c>
      <c r="AF73" s="927"/>
      <c r="AG73" s="927"/>
      <c r="AH73" s="717">
        <v>44664</v>
      </c>
      <c r="AK73" s="927"/>
      <c r="AO73" s="927" t="s">
        <v>337</v>
      </c>
      <c r="AP73" s="927" t="s">
        <v>395</v>
      </c>
      <c r="AQ73" s="927" t="s">
        <v>724</v>
      </c>
    </row>
    <row r="74" spans="1:43">
      <c r="A74" s="927" t="s">
        <v>725</v>
      </c>
      <c r="B74" s="927" t="s">
        <v>726</v>
      </c>
      <c r="C74" s="927" t="s">
        <v>727</v>
      </c>
      <c r="D74" s="927" t="s">
        <v>42</v>
      </c>
      <c r="E74" s="717">
        <v>44642</v>
      </c>
      <c r="F74" s="927" t="s">
        <v>61</v>
      </c>
      <c r="G74" s="927" t="s">
        <v>728</v>
      </c>
      <c r="I74" s="927"/>
      <c r="J74" s="131"/>
      <c r="K74" s="927" t="s">
        <v>306</v>
      </c>
      <c r="M74" s="927" t="s">
        <v>306</v>
      </c>
      <c r="N74" s="927" t="s">
        <v>306</v>
      </c>
      <c r="O74" s="927" t="s">
        <v>306</v>
      </c>
      <c r="P74" s="927" t="s">
        <v>322</v>
      </c>
      <c r="Q74" s="927" t="s">
        <v>323</v>
      </c>
      <c r="R74" s="927" t="s">
        <v>324</v>
      </c>
      <c r="S74">
        <v>449</v>
      </c>
      <c r="T74">
        <v>533</v>
      </c>
      <c r="U74">
        <v>608</v>
      </c>
      <c r="V74">
        <v>671</v>
      </c>
      <c r="W74">
        <v>649</v>
      </c>
      <c r="X74">
        <v>431</v>
      </c>
      <c r="Y74">
        <v>303</v>
      </c>
      <c r="Z74">
        <v>295</v>
      </c>
      <c r="AA74">
        <v>312</v>
      </c>
      <c r="AB74">
        <v>392</v>
      </c>
      <c r="AC74">
        <v>399</v>
      </c>
      <c r="AD74">
        <v>394</v>
      </c>
      <c r="AE74">
        <v>403</v>
      </c>
      <c r="AF74" s="927" t="s">
        <v>305</v>
      </c>
      <c r="AG74" s="927"/>
      <c r="AH74" s="717">
        <v>44768</v>
      </c>
      <c r="AK74" s="927"/>
      <c r="AO74" s="927" t="s">
        <v>307</v>
      </c>
      <c r="AP74" s="927" t="s">
        <v>308</v>
      </c>
      <c r="AQ74" s="927" t="s">
        <v>729</v>
      </c>
    </row>
    <row r="75" spans="1:43">
      <c r="A75" s="927" t="s">
        <v>730</v>
      </c>
      <c r="B75" s="927" t="s">
        <v>731</v>
      </c>
      <c r="C75" s="927" t="s">
        <v>732</v>
      </c>
      <c r="D75" s="927" t="s">
        <v>42</v>
      </c>
      <c r="E75" s="717">
        <v>44643</v>
      </c>
      <c r="F75" s="927" t="s">
        <v>52</v>
      </c>
      <c r="G75" s="927" t="s">
        <v>733</v>
      </c>
      <c r="I75" s="927"/>
      <c r="J75" s="131"/>
      <c r="K75" s="927" t="s">
        <v>734</v>
      </c>
      <c r="L75" t="s">
        <v>3765</v>
      </c>
      <c r="M75" s="927" t="s">
        <v>734</v>
      </c>
      <c r="N75" s="927" t="s">
        <v>734</v>
      </c>
      <c r="O75" s="927" t="s">
        <v>734</v>
      </c>
      <c r="P75" s="927" t="s">
        <v>322</v>
      </c>
      <c r="Q75" s="927" t="s">
        <v>323</v>
      </c>
      <c r="R75" s="927" t="s">
        <v>324</v>
      </c>
      <c r="S75">
        <v>566</v>
      </c>
      <c r="T75">
        <v>620</v>
      </c>
      <c r="U75">
        <v>790</v>
      </c>
      <c r="V75">
        <v>620</v>
      </c>
      <c r="W75">
        <v>680</v>
      </c>
      <c r="X75">
        <v>500</v>
      </c>
      <c r="Y75">
        <v>510</v>
      </c>
      <c r="Z75">
        <v>430</v>
      </c>
      <c r="AA75">
        <v>520</v>
      </c>
      <c r="AB75">
        <v>520</v>
      </c>
      <c r="AC75">
        <v>520</v>
      </c>
      <c r="AD75">
        <v>560</v>
      </c>
      <c r="AE75">
        <v>520</v>
      </c>
      <c r="AF75" s="927" t="s">
        <v>305</v>
      </c>
      <c r="AG75" s="927"/>
      <c r="AH75" s="717">
        <v>44713</v>
      </c>
      <c r="AK75" s="927"/>
      <c r="AO75" s="927" t="s">
        <v>337</v>
      </c>
      <c r="AP75" s="927" t="s">
        <v>395</v>
      </c>
      <c r="AQ75" s="927" t="s">
        <v>735</v>
      </c>
    </row>
    <row r="76" spans="1:43">
      <c r="A76" s="927" t="s">
        <v>736</v>
      </c>
      <c r="B76" s="927" t="s">
        <v>737</v>
      </c>
      <c r="C76" s="927" t="s">
        <v>738</v>
      </c>
      <c r="D76" s="927" t="s">
        <v>42</v>
      </c>
      <c r="E76" s="717">
        <v>44648</v>
      </c>
      <c r="F76" s="927" t="s">
        <v>61</v>
      </c>
      <c r="G76" s="927" t="s">
        <v>739</v>
      </c>
      <c r="I76" s="927"/>
      <c r="J76" s="131"/>
      <c r="K76" s="927" t="s">
        <v>306</v>
      </c>
      <c r="M76" s="927" t="s">
        <v>306</v>
      </c>
      <c r="N76" s="927" t="s">
        <v>306</v>
      </c>
      <c r="O76" s="927" t="s">
        <v>306</v>
      </c>
      <c r="P76" s="927" t="s">
        <v>322</v>
      </c>
      <c r="Q76" s="927"/>
      <c r="R76" s="927"/>
      <c r="S76">
        <v>1000</v>
      </c>
      <c r="T76">
        <v>1427</v>
      </c>
      <c r="U76">
        <v>1390</v>
      </c>
      <c r="V76">
        <v>1150</v>
      </c>
      <c r="W76">
        <v>1075</v>
      </c>
      <c r="X76">
        <v>839</v>
      </c>
      <c r="Y76">
        <v>804</v>
      </c>
      <c r="Z76">
        <v>730</v>
      </c>
      <c r="AA76">
        <v>799</v>
      </c>
      <c r="AB76">
        <v>913</v>
      </c>
      <c r="AC76">
        <v>889</v>
      </c>
      <c r="AD76">
        <v>979</v>
      </c>
      <c r="AE76">
        <v>1005</v>
      </c>
      <c r="AF76" s="927" t="s">
        <v>305</v>
      </c>
      <c r="AG76" s="927"/>
      <c r="AH76" s="717">
        <v>44865</v>
      </c>
      <c r="AK76" s="927"/>
      <c r="AO76" s="927" t="s">
        <v>337</v>
      </c>
      <c r="AP76" s="927" t="s">
        <v>395</v>
      </c>
      <c r="AQ76" s="927" t="s">
        <v>740</v>
      </c>
    </row>
    <row r="77" spans="1:43">
      <c r="A77" s="927" t="s">
        <v>741</v>
      </c>
      <c r="B77" s="927" t="s">
        <v>742</v>
      </c>
      <c r="C77" s="927" t="s">
        <v>743</v>
      </c>
      <c r="D77" s="927" t="s">
        <v>42</v>
      </c>
      <c r="E77" s="717">
        <v>44649</v>
      </c>
      <c r="F77" s="927" t="s">
        <v>61</v>
      </c>
      <c r="G77" s="927"/>
      <c r="I77" s="927"/>
      <c r="J77" s="131"/>
      <c r="K77" s="927" t="s">
        <v>306</v>
      </c>
      <c r="M77" s="927" t="s">
        <v>306</v>
      </c>
      <c r="N77" s="927" t="s">
        <v>306</v>
      </c>
      <c r="O77" s="927" t="s">
        <v>306</v>
      </c>
      <c r="P77" s="927" t="s">
        <v>322</v>
      </c>
      <c r="Q77" s="927"/>
      <c r="R77" s="927"/>
      <c r="S77">
        <v>550</v>
      </c>
      <c r="T77">
        <v>785</v>
      </c>
      <c r="U77">
        <v>764</v>
      </c>
      <c r="V77">
        <v>632</v>
      </c>
      <c r="W77">
        <v>591</v>
      </c>
      <c r="X77">
        <v>462</v>
      </c>
      <c r="Y77">
        <v>442</v>
      </c>
      <c r="Z77">
        <v>401</v>
      </c>
      <c r="AA77">
        <v>440</v>
      </c>
      <c r="AB77">
        <v>502</v>
      </c>
      <c r="AC77">
        <v>489</v>
      </c>
      <c r="AD77">
        <v>539</v>
      </c>
      <c r="AE77">
        <v>553</v>
      </c>
      <c r="AF77" s="927" t="s">
        <v>305</v>
      </c>
      <c r="AG77" s="927"/>
      <c r="AH77" s="717">
        <v>44900</v>
      </c>
      <c r="AK77" s="927"/>
      <c r="AO77" s="927" t="s">
        <v>307</v>
      </c>
      <c r="AP77" s="927" t="s">
        <v>387</v>
      </c>
      <c r="AQ77" s="927" t="s">
        <v>744</v>
      </c>
    </row>
    <row r="78" spans="1:43">
      <c r="A78" s="927" t="s">
        <v>745</v>
      </c>
      <c r="B78" s="927" t="s">
        <v>746</v>
      </c>
      <c r="C78" s="927" t="s">
        <v>747</v>
      </c>
      <c r="D78" s="927" t="s">
        <v>32</v>
      </c>
      <c r="E78" s="717">
        <v>44649</v>
      </c>
      <c r="F78" s="927" t="s">
        <v>50</v>
      </c>
      <c r="G78" s="927" t="s">
        <v>748</v>
      </c>
      <c r="I78" s="927"/>
      <c r="J78" s="131"/>
      <c r="K78" s="927" t="s">
        <v>306</v>
      </c>
      <c r="M78" s="927" t="s">
        <v>306</v>
      </c>
      <c r="N78" s="927" t="s">
        <v>306</v>
      </c>
      <c r="O78" s="927" t="s">
        <v>306</v>
      </c>
      <c r="P78" s="927" t="s">
        <v>379</v>
      </c>
      <c r="Q78" s="927"/>
      <c r="R78" s="927"/>
      <c r="S78">
        <v>450</v>
      </c>
      <c r="T78">
        <v>642</v>
      </c>
      <c r="U78">
        <v>625</v>
      </c>
      <c r="V78">
        <v>517</v>
      </c>
      <c r="W78">
        <v>484</v>
      </c>
      <c r="X78">
        <v>378</v>
      </c>
      <c r="Y78">
        <v>362</v>
      </c>
      <c r="Z78">
        <v>328</v>
      </c>
      <c r="AA78">
        <v>360</v>
      </c>
      <c r="AB78">
        <v>411</v>
      </c>
      <c r="AC78">
        <v>400</v>
      </c>
      <c r="AD78">
        <v>441</v>
      </c>
      <c r="AE78">
        <v>452</v>
      </c>
      <c r="AF78" s="927" t="s">
        <v>305</v>
      </c>
      <c r="AG78" s="927"/>
      <c r="AH78" s="717">
        <v>44658</v>
      </c>
      <c r="AI78">
        <v>3.3</v>
      </c>
      <c r="AJ78">
        <v>17000</v>
      </c>
      <c r="AK78" s="927" t="s">
        <v>325</v>
      </c>
      <c r="AL78">
        <v>6</v>
      </c>
      <c r="AM78">
        <v>550</v>
      </c>
      <c r="AO78" s="927"/>
      <c r="AP78" s="927"/>
      <c r="AQ78" s="927" t="s">
        <v>749</v>
      </c>
    </row>
    <row r="79" spans="1:43">
      <c r="A79" s="927" t="s">
        <v>750</v>
      </c>
      <c r="B79" s="927" t="s">
        <v>751</v>
      </c>
      <c r="C79" s="927" t="s">
        <v>752</v>
      </c>
      <c r="D79" s="927" t="s">
        <v>42</v>
      </c>
      <c r="E79" s="717">
        <v>44651</v>
      </c>
      <c r="F79" s="927" t="s">
        <v>55</v>
      </c>
      <c r="G79" s="927" t="s">
        <v>753</v>
      </c>
      <c r="I79" s="927"/>
      <c r="J79" s="131"/>
      <c r="K79" s="927" t="s">
        <v>754</v>
      </c>
      <c r="L79" t="s">
        <v>3766</v>
      </c>
      <c r="M79" s="927" t="s">
        <v>754</v>
      </c>
      <c r="N79" s="927" t="s">
        <v>754</v>
      </c>
      <c r="O79" s="927" t="s">
        <v>754</v>
      </c>
      <c r="P79" s="927" t="s">
        <v>322</v>
      </c>
      <c r="Q79" s="927" t="s">
        <v>323</v>
      </c>
      <c r="R79" s="927" t="s">
        <v>324</v>
      </c>
      <c r="S79">
        <v>639</v>
      </c>
      <c r="T79">
        <v>623</v>
      </c>
      <c r="U79">
        <v>869</v>
      </c>
      <c r="V79">
        <v>859</v>
      </c>
      <c r="W79">
        <v>594</v>
      </c>
      <c r="X79">
        <v>426</v>
      </c>
      <c r="Y79">
        <v>499</v>
      </c>
      <c r="Z79">
        <v>571</v>
      </c>
      <c r="AA79">
        <v>602</v>
      </c>
      <c r="AB79">
        <v>610</v>
      </c>
      <c r="AC79">
        <v>664</v>
      </c>
      <c r="AD79">
        <v>642</v>
      </c>
      <c r="AE79">
        <v>712</v>
      </c>
      <c r="AF79" s="927" t="s">
        <v>305</v>
      </c>
      <c r="AG79" s="927"/>
      <c r="AH79" s="717">
        <v>44656</v>
      </c>
      <c r="AK79" s="927"/>
      <c r="AO79" s="927" t="s">
        <v>307</v>
      </c>
      <c r="AP79" s="927" t="s">
        <v>308</v>
      </c>
      <c r="AQ79" s="927" t="s">
        <v>755</v>
      </c>
    </row>
    <row r="80" spans="1:43">
      <c r="A80" s="927" t="s">
        <v>756</v>
      </c>
      <c r="B80" s="927" t="s">
        <v>757</v>
      </c>
      <c r="C80" s="927" t="s">
        <v>758</v>
      </c>
      <c r="D80" s="927" t="s">
        <v>42</v>
      </c>
      <c r="E80" s="717">
        <v>44656</v>
      </c>
      <c r="F80" s="927" t="s">
        <v>55</v>
      </c>
      <c r="G80" s="927" t="s">
        <v>722</v>
      </c>
      <c r="I80" s="927"/>
      <c r="J80" s="131"/>
      <c r="K80" s="927" t="s">
        <v>759</v>
      </c>
      <c r="L80" t="s">
        <v>3767</v>
      </c>
      <c r="M80" s="927" t="s">
        <v>759</v>
      </c>
      <c r="N80" s="927" t="s">
        <v>759</v>
      </c>
      <c r="O80" s="927" t="s">
        <v>759</v>
      </c>
      <c r="P80" s="927" t="s">
        <v>322</v>
      </c>
      <c r="Q80" s="927" t="s">
        <v>706</v>
      </c>
      <c r="R80" s="927" t="s">
        <v>324</v>
      </c>
      <c r="S80">
        <v>1561</v>
      </c>
      <c r="T80">
        <v>1580</v>
      </c>
      <c r="U80">
        <v>1580</v>
      </c>
      <c r="V80">
        <v>1445</v>
      </c>
      <c r="W80">
        <v>1208</v>
      </c>
      <c r="X80">
        <v>1650</v>
      </c>
      <c r="Y80">
        <v>1852</v>
      </c>
      <c r="Z80">
        <v>1200</v>
      </c>
      <c r="AA80">
        <v>1307</v>
      </c>
      <c r="AB80">
        <v>1606</v>
      </c>
      <c r="AC80">
        <v>2520</v>
      </c>
      <c r="AD80">
        <v>1320</v>
      </c>
      <c r="AE80">
        <v>1460</v>
      </c>
      <c r="AF80" s="927" t="s">
        <v>305</v>
      </c>
      <c r="AG80" s="927"/>
      <c r="AH80" s="717">
        <v>44664</v>
      </c>
      <c r="AK80" s="927"/>
      <c r="AO80" s="927" t="s">
        <v>337</v>
      </c>
      <c r="AP80" s="927" t="s">
        <v>395</v>
      </c>
      <c r="AQ80" s="927" t="s">
        <v>760</v>
      </c>
    </row>
    <row r="81" spans="1:43">
      <c r="A81" s="927" t="s">
        <v>761</v>
      </c>
      <c r="B81" s="927" t="s">
        <v>762</v>
      </c>
      <c r="C81" s="927" t="s">
        <v>763</v>
      </c>
      <c r="D81" s="927" t="s">
        <v>42</v>
      </c>
      <c r="E81" s="717">
        <v>44657</v>
      </c>
      <c r="F81" s="927" t="s">
        <v>61</v>
      </c>
      <c r="G81" s="927" t="s">
        <v>764</v>
      </c>
      <c r="I81" s="927"/>
      <c r="J81" s="131"/>
      <c r="K81" s="927" t="s">
        <v>765</v>
      </c>
      <c r="L81" t="s">
        <v>3768</v>
      </c>
      <c r="M81" s="927" t="s">
        <v>3630</v>
      </c>
      <c r="N81" s="927" t="s">
        <v>765</v>
      </c>
      <c r="O81" s="927" t="s">
        <v>3630</v>
      </c>
      <c r="P81" s="927" t="s">
        <v>379</v>
      </c>
      <c r="Q81" s="927" t="s">
        <v>323</v>
      </c>
      <c r="R81" s="927" t="s">
        <v>324</v>
      </c>
      <c r="S81">
        <v>2639</v>
      </c>
      <c r="T81">
        <v>2410</v>
      </c>
      <c r="U81">
        <v>2275</v>
      </c>
      <c r="V81">
        <v>2866</v>
      </c>
      <c r="W81">
        <v>3037</v>
      </c>
      <c r="X81">
        <v>2785</v>
      </c>
      <c r="Y81">
        <v>2769</v>
      </c>
      <c r="Z81">
        <v>2646</v>
      </c>
      <c r="AA81">
        <v>2603</v>
      </c>
      <c r="AB81">
        <v>2851</v>
      </c>
      <c r="AC81">
        <v>2467</v>
      </c>
      <c r="AD81">
        <v>2563</v>
      </c>
      <c r="AE81">
        <v>2398</v>
      </c>
      <c r="AF81" s="927" t="s">
        <v>305</v>
      </c>
      <c r="AG81" s="927"/>
      <c r="AH81" s="717">
        <v>44691</v>
      </c>
      <c r="AK81" s="927"/>
      <c r="AO81" s="927" t="s">
        <v>307</v>
      </c>
      <c r="AP81" s="927" t="s">
        <v>395</v>
      </c>
      <c r="AQ81" s="927" t="s">
        <v>766</v>
      </c>
    </row>
    <row r="82" spans="1:43">
      <c r="A82" s="927" t="s">
        <v>767</v>
      </c>
      <c r="B82" s="927" t="s">
        <v>768</v>
      </c>
      <c r="C82" s="927" t="s">
        <v>769</v>
      </c>
      <c r="D82" s="927" t="s">
        <v>42</v>
      </c>
      <c r="E82" s="717">
        <v>44662</v>
      </c>
      <c r="F82" s="927" t="s">
        <v>46</v>
      </c>
      <c r="G82" s="927" t="s">
        <v>770</v>
      </c>
      <c r="I82" s="927"/>
      <c r="J82" s="131"/>
      <c r="K82" s="927" t="s">
        <v>771</v>
      </c>
      <c r="L82" t="s">
        <v>3769</v>
      </c>
      <c r="M82" s="927" t="s">
        <v>771</v>
      </c>
      <c r="N82" s="927" t="s">
        <v>771</v>
      </c>
      <c r="O82" s="927" t="s">
        <v>771</v>
      </c>
      <c r="P82" s="927" t="s">
        <v>322</v>
      </c>
      <c r="Q82" s="927"/>
      <c r="R82" s="927"/>
      <c r="S82">
        <v>900</v>
      </c>
      <c r="T82">
        <v>1284</v>
      </c>
      <c r="U82">
        <v>1251</v>
      </c>
      <c r="V82">
        <v>1035</v>
      </c>
      <c r="W82">
        <v>967</v>
      </c>
      <c r="X82">
        <v>755</v>
      </c>
      <c r="Y82">
        <v>724</v>
      </c>
      <c r="Z82">
        <v>657</v>
      </c>
      <c r="AA82">
        <v>719</v>
      </c>
      <c r="AB82">
        <v>822</v>
      </c>
      <c r="AC82">
        <v>800</v>
      </c>
      <c r="AD82">
        <v>881</v>
      </c>
      <c r="AE82">
        <v>905</v>
      </c>
      <c r="AF82" s="927" t="s">
        <v>305</v>
      </c>
      <c r="AG82" s="927"/>
      <c r="AH82" s="717">
        <v>44691</v>
      </c>
      <c r="AK82" s="927"/>
      <c r="AO82" s="927" t="s">
        <v>307</v>
      </c>
      <c r="AP82" s="927" t="s">
        <v>308</v>
      </c>
      <c r="AQ82" s="927" t="s">
        <v>772</v>
      </c>
    </row>
    <row r="83" spans="1:43">
      <c r="A83" s="927" t="s">
        <v>773</v>
      </c>
      <c r="B83" s="927" t="s">
        <v>774</v>
      </c>
      <c r="C83" s="927" t="s">
        <v>775</v>
      </c>
      <c r="D83" s="927" t="s">
        <v>42</v>
      </c>
      <c r="E83" s="717">
        <v>44662</v>
      </c>
      <c r="F83" s="927" t="s">
        <v>52</v>
      </c>
      <c r="G83" s="927" t="s">
        <v>776</v>
      </c>
      <c r="I83" s="927"/>
      <c r="J83" s="131"/>
      <c r="K83" s="927" t="s">
        <v>777</v>
      </c>
      <c r="L83" t="s">
        <v>3770</v>
      </c>
      <c r="M83" s="927" t="s">
        <v>777</v>
      </c>
      <c r="N83" s="927" t="s">
        <v>777</v>
      </c>
      <c r="O83" s="927" t="s">
        <v>777</v>
      </c>
      <c r="P83" s="927" t="s">
        <v>322</v>
      </c>
      <c r="Q83" s="927" t="s">
        <v>323</v>
      </c>
      <c r="R83" s="927" t="s">
        <v>324</v>
      </c>
      <c r="S83">
        <v>704</v>
      </c>
      <c r="T83">
        <v>660</v>
      </c>
      <c r="U83">
        <v>1035</v>
      </c>
      <c r="V83">
        <v>1007</v>
      </c>
      <c r="W83">
        <v>1137</v>
      </c>
      <c r="X83">
        <v>635</v>
      </c>
      <c r="Y83">
        <v>574</v>
      </c>
      <c r="Z83">
        <v>417</v>
      </c>
      <c r="AA83">
        <v>480</v>
      </c>
      <c r="AB83">
        <v>661</v>
      </c>
      <c r="AC83">
        <v>580</v>
      </c>
      <c r="AD83">
        <v>570</v>
      </c>
      <c r="AE83">
        <v>692</v>
      </c>
      <c r="AF83" s="927" t="s">
        <v>305</v>
      </c>
      <c r="AG83" s="927"/>
      <c r="AH83" s="717">
        <v>44691</v>
      </c>
      <c r="AK83" s="927"/>
      <c r="AO83" s="927" t="s">
        <v>307</v>
      </c>
      <c r="AP83" s="927" t="s">
        <v>395</v>
      </c>
      <c r="AQ83" s="927" t="s">
        <v>778</v>
      </c>
    </row>
    <row r="84" spans="1:43">
      <c r="A84" s="927" t="s">
        <v>779</v>
      </c>
      <c r="B84" s="927" t="s">
        <v>780</v>
      </c>
      <c r="C84" s="927" t="s">
        <v>781</v>
      </c>
      <c r="D84" s="927" t="s">
        <v>42</v>
      </c>
      <c r="E84" s="717">
        <v>44671</v>
      </c>
      <c r="F84" s="927" t="s">
        <v>61</v>
      </c>
      <c r="G84" s="927" t="s">
        <v>782</v>
      </c>
      <c r="I84" s="927"/>
      <c r="J84" s="131"/>
      <c r="K84" s="927" t="s">
        <v>783</v>
      </c>
      <c r="L84" t="s">
        <v>3771</v>
      </c>
      <c r="M84" s="927" t="s">
        <v>783</v>
      </c>
      <c r="N84" s="927" t="s">
        <v>783</v>
      </c>
      <c r="O84" s="927" t="s">
        <v>783</v>
      </c>
      <c r="P84" s="927" t="s">
        <v>379</v>
      </c>
      <c r="Q84" s="927" t="s">
        <v>323</v>
      </c>
      <c r="R84" s="927" t="s">
        <v>324</v>
      </c>
      <c r="S84">
        <v>317</v>
      </c>
      <c r="T84">
        <v>316</v>
      </c>
      <c r="U84">
        <v>387</v>
      </c>
      <c r="V84">
        <v>483</v>
      </c>
      <c r="W84">
        <v>378</v>
      </c>
      <c r="X84">
        <v>302</v>
      </c>
      <c r="Y84">
        <v>270</v>
      </c>
      <c r="Z84">
        <v>290</v>
      </c>
      <c r="AA84">
        <v>252</v>
      </c>
      <c r="AB84">
        <v>275</v>
      </c>
      <c r="AC84">
        <v>312</v>
      </c>
      <c r="AD84">
        <v>251</v>
      </c>
      <c r="AE84">
        <v>285</v>
      </c>
      <c r="AF84" s="927" t="s">
        <v>305</v>
      </c>
      <c r="AG84" s="927"/>
      <c r="AH84" s="717">
        <v>44900</v>
      </c>
      <c r="AK84" s="927"/>
      <c r="AO84" s="927" t="s">
        <v>337</v>
      </c>
      <c r="AP84" s="927" t="s">
        <v>395</v>
      </c>
      <c r="AQ84" s="927" t="s">
        <v>784</v>
      </c>
    </row>
    <row r="85" spans="1:43">
      <c r="A85" s="927" t="s">
        <v>785</v>
      </c>
      <c r="B85" s="927" t="s">
        <v>786</v>
      </c>
      <c r="C85" s="927" t="s">
        <v>787</v>
      </c>
      <c r="D85" s="927" t="s">
        <v>42</v>
      </c>
      <c r="E85" s="717">
        <v>44693</v>
      </c>
      <c r="F85" s="927" t="s">
        <v>61</v>
      </c>
      <c r="G85" s="927" t="s">
        <v>788</v>
      </c>
      <c r="I85" s="927"/>
      <c r="J85" s="131"/>
      <c r="K85" s="927" t="s">
        <v>789</v>
      </c>
      <c r="L85" t="s">
        <v>3772</v>
      </c>
      <c r="M85" s="927" t="s">
        <v>789</v>
      </c>
      <c r="N85" s="927" t="s">
        <v>789</v>
      </c>
      <c r="O85" s="927" t="s">
        <v>789</v>
      </c>
      <c r="P85" s="927" t="s">
        <v>379</v>
      </c>
      <c r="Q85" s="927" t="s">
        <v>323</v>
      </c>
      <c r="R85" s="927" t="s">
        <v>324</v>
      </c>
      <c r="S85">
        <v>555</v>
      </c>
      <c r="T85">
        <v>778</v>
      </c>
      <c r="U85">
        <v>696</v>
      </c>
      <c r="V85">
        <v>795</v>
      </c>
      <c r="W85">
        <v>676</v>
      </c>
      <c r="X85">
        <v>574</v>
      </c>
      <c r="Y85">
        <v>445</v>
      </c>
      <c r="Z85">
        <v>431</v>
      </c>
      <c r="AA85">
        <v>402</v>
      </c>
      <c r="AB85">
        <v>425</v>
      </c>
      <c r="AC85">
        <v>475</v>
      </c>
      <c r="AD85">
        <v>454</v>
      </c>
      <c r="AE85">
        <v>507</v>
      </c>
      <c r="AF85" s="927" t="s">
        <v>305</v>
      </c>
      <c r="AG85" s="927"/>
      <c r="AH85" s="717">
        <v>44768</v>
      </c>
      <c r="AK85" s="927"/>
      <c r="AO85" s="927" t="s">
        <v>307</v>
      </c>
      <c r="AP85" s="927" t="s">
        <v>308</v>
      </c>
      <c r="AQ85" s="927" t="s">
        <v>790</v>
      </c>
    </row>
    <row r="86" spans="1:43">
      <c r="A86" s="927" t="s">
        <v>791</v>
      </c>
      <c r="B86" s="927" t="s">
        <v>792</v>
      </c>
      <c r="C86" s="927" t="s">
        <v>793</v>
      </c>
      <c r="D86" s="927" t="s">
        <v>42</v>
      </c>
      <c r="E86" s="717">
        <v>44705</v>
      </c>
      <c r="F86" s="927" t="s">
        <v>61</v>
      </c>
      <c r="G86" s="927" t="s">
        <v>794</v>
      </c>
      <c r="I86" s="927"/>
      <c r="J86" s="131"/>
      <c r="K86" s="927" t="s">
        <v>795</v>
      </c>
      <c r="L86" t="s">
        <v>3773</v>
      </c>
      <c r="M86" s="927" t="s">
        <v>795</v>
      </c>
      <c r="N86" s="927" t="s">
        <v>795</v>
      </c>
      <c r="O86" s="927" t="s">
        <v>795</v>
      </c>
      <c r="P86" s="927" t="s">
        <v>379</v>
      </c>
      <c r="Q86" s="927" t="s">
        <v>323</v>
      </c>
      <c r="R86" s="927" t="s">
        <v>324</v>
      </c>
      <c r="S86">
        <v>941</v>
      </c>
      <c r="T86">
        <v>1070</v>
      </c>
      <c r="U86">
        <v>1240</v>
      </c>
      <c r="V86">
        <v>1250</v>
      </c>
      <c r="W86">
        <v>1340</v>
      </c>
      <c r="X86">
        <v>1070</v>
      </c>
      <c r="Y86">
        <v>810</v>
      </c>
      <c r="Z86">
        <v>770</v>
      </c>
      <c r="AA86">
        <v>660</v>
      </c>
      <c r="AB86">
        <v>700</v>
      </c>
      <c r="AC86">
        <v>850</v>
      </c>
      <c r="AD86">
        <v>710</v>
      </c>
      <c r="AE86">
        <v>820</v>
      </c>
      <c r="AF86" s="927" t="s">
        <v>305</v>
      </c>
      <c r="AG86" s="927"/>
      <c r="AH86" s="717">
        <v>44715</v>
      </c>
      <c r="AK86" s="927"/>
      <c r="AO86" s="927" t="s">
        <v>337</v>
      </c>
      <c r="AP86" s="927" t="s">
        <v>395</v>
      </c>
      <c r="AQ86" s="927" t="s">
        <v>796</v>
      </c>
    </row>
    <row r="87" spans="1:43">
      <c r="A87" s="927" t="s">
        <v>797</v>
      </c>
      <c r="B87" s="927" t="s">
        <v>798</v>
      </c>
      <c r="C87" s="927" t="s">
        <v>799</v>
      </c>
      <c r="D87" s="927" t="s">
        <v>42</v>
      </c>
      <c r="E87" s="717">
        <v>44718</v>
      </c>
      <c r="F87" s="927" t="s">
        <v>44</v>
      </c>
      <c r="G87" s="927" t="s">
        <v>800</v>
      </c>
      <c r="I87" s="927"/>
      <c r="J87" s="131"/>
      <c r="K87" s="927" t="s">
        <v>801</v>
      </c>
      <c r="L87" t="s">
        <v>3774</v>
      </c>
      <c r="M87" s="927" t="s">
        <v>801</v>
      </c>
      <c r="N87" s="927" t="s">
        <v>801</v>
      </c>
      <c r="O87" s="927" t="s">
        <v>801</v>
      </c>
      <c r="P87" s="927" t="s">
        <v>322</v>
      </c>
      <c r="Q87" s="927" t="s">
        <v>323</v>
      </c>
      <c r="R87" s="927" t="s">
        <v>324</v>
      </c>
      <c r="S87">
        <v>671</v>
      </c>
      <c r="T87">
        <v>807</v>
      </c>
      <c r="U87">
        <v>922</v>
      </c>
      <c r="V87">
        <v>1162</v>
      </c>
      <c r="W87">
        <v>641</v>
      </c>
      <c r="X87">
        <v>834</v>
      </c>
      <c r="Y87">
        <v>444</v>
      </c>
      <c r="Z87">
        <v>467</v>
      </c>
      <c r="AA87">
        <v>438</v>
      </c>
      <c r="AB87">
        <v>590</v>
      </c>
      <c r="AC87">
        <v>517</v>
      </c>
      <c r="AD87">
        <v>542</v>
      </c>
      <c r="AE87">
        <v>683</v>
      </c>
      <c r="AF87" s="927" t="s">
        <v>305</v>
      </c>
      <c r="AG87" s="927"/>
      <c r="AH87" s="717">
        <v>44865</v>
      </c>
      <c r="AK87" s="927"/>
      <c r="AO87" s="927" t="s">
        <v>337</v>
      </c>
      <c r="AP87" s="927" t="s">
        <v>395</v>
      </c>
      <c r="AQ87" s="927" t="s">
        <v>802</v>
      </c>
    </row>
    <row r="88" spans="1:43">
      <c r="A88" s="927" t="s">
        <v>3675</v>
      </c>
      <c r="B88" s="927" t="s">
        <v>803</v>
      </c>
      <c r="C88" s="927" t="s">
        <v>3676</v>
      </c>
      <c r="D88" s="927" t="s">
        <v>1418</v>
      </c>
      <c r="E88" s="717">
        <v>45455</v>
      </c>
      <c r="F88" s="927" t="s">
        <v>61</v>
      </c>
      <c r="G88" s="927" t="s">
        <v>804</v>
      </c>
      <c r="I88" s="927"/>
      <c r="J88" s="131"/>
      <c r="K88" s="927" t="s">
        <v>3616</v>
      </c>
      <c r="L88" t="s">
        <v>3841</v>
      </c>
      <c r="M88" s="927" t="s">
        <v>320</v>
      </c>
      <c r="N88" s="927" t="s">
        <v>1346</v>
      </c>
      <c r="O88" s="927" t="s">
        <v>3631</v>
      </c>
      <c r="P88" s="927" t="s">
        <v>322</v>
      </c>
      <c r="Q88" s="927" t="s">
        <v>323</v>
      </c>
      <c r="R88" s="927" t="s">
        <v>324</v>
      </c>
      <c r="S88">
        <v>683</v>
      </c>
      <c r="T88">
        <v>848</v>
      </c>
      <c r="U88">
        <v>785</v>
      </c>
      <c r="V88">
        <v>1374</v>
      </c>
      <c r="W88">
        <v>899</v>
      </c>
      <c r="X88">
        <v>454</v>
      </c>
      <c r="Y88">
        <v>493</v>
      </c>
      <c r="Z88">
        <v>318</v>
      </c>
      <c r="AA88">
        <v>411</v>
      </c>
      <c r="AB88">
        <v>433</v>
      </c>
      <c r="AC88">
        <v>590</v>
      </c>
      <c r="AD88">
        <v>658</v>
      </c>
      <c r="AE88">
        <v>938</v>
      </c>
      <c r="AF88" s="927" t="s">
        <v>1189</v>
      </c>
      <c r="AG88" s="927"/>
      <c r="AH88" s="717"/>
      <c r="AI88">
        <v>6.84</v>
      </c>
      <c r="AJ88">
        <v>23900</v>
      </c>
      <c r="AK88" s="927"/>
      <c r="AL88">
        <v>12</v>
      </c>
      <c r="AM88">
        <v>570</v>
      </c>
      <c r="AO88" s="927"/>
      <c r="AP88" s="927"/>
      <c r="AQ88" s="927" t="s">
        <v>3677</v>
      </c>
    </row>
    <row r="89" spans="1:43">
      <c r="A89" s="927" t="s">
        <v>805</v>
      </c>
      <c r="B89" s="927" t="s">
        <v>806</v>
      </c>
      <c r="C89" s="927" t="s">
        <v>807</v>
      </c>
      <c r="D89" s="927" t="s">
        <v>42</v>
      </c>
      <c r="E89" s="717">
        <v>44760</v>
      </c>
      <c r="F89" s="927" t="s">
        <v>50</v>
      </c>
      <c r="G89" s="927" t="s">
        <v>808</v>
      </c>
      <c r="I89" s="927"/>
      <c r="J89" s="131"/>
      <c r="K89" s="927" t="s">
        <v>809</v>
      </c>
      <c r="L89" t="s">
        <v>3775</v>
      </c>
      <c r="M89" s="927" t="s">
        <v>809</v>
      </c>
      <c r="N89" s="927" t="s">
        <v>809</v>
      </c>
      <c r="O89" s="927" t="s">
        <v>809</v>
      </c>
      <c r="P89" s="927" t="s">
        <v>322</v>
      </c>
      <c r="Q89" s="927" t="s">
        <v>323</v>
      </c>
      <c r="R89" s="927" t="s">
        <v>438</v>
      </c>
      <c r="S89">
        <v>393</v>
      </c>
      <c r="T89">
        <v>468</v>
      </c>
      <c r="U89">
        <v>564</v>
      </c>
      <c r="V89">
        <v>558</v>
      </c>
      <c r="W89">
        <v>501</v>
      </c>
      <c r="X89">
        <v>361</v>
      </c>
      <c r="Y89">
        <v>300</v>
      </c>
      <c r="Z89">
        <v>245</v>
      </c>
      <c r="AA89">
        <v>313</v>
      </c>
      <c r="AB89">
        <v>314</v>
      </c>
      <c r="AC89">
        <v>324</v>
      </c>
      <c r="AD89">
        <v>321</v>
      </c>
      <c r="AE89">
        <v>444</v>
      </c>
      <c r="AF89" s="927" t="s">
        <v>305</v>
      </c>
      <c r="AG89" s="927"/>
      <c r="AH89" s="717">
        <v>44893</v>
      </c>
      <c r="AK89" s="927"/>
      <c r="AO89" s="927" t="s">
        <v>307</v>
      </c>
      <c r="AP89" s="927" t="s">
        <v>308</v>
      </c>
      <c r="AQ89" s="927" t="s">
        <v>810</v>
      </c>
    </row>
    <row r="90" spans="1:43">
      <c r="A90" s="927" t="s">
        <v>811</v>
      </c>
      <c r="B90" s="927" t="s">
        <v>812</v>
      </c>
      <c r="C90" s="927" t="s">
        <v>813</v>
      </c>
      <c r="D90" s="927" t="s">
        <v>32</v>
      </c>
      <c r="E90" s="717">
        <v>44767</v>
      </c>
      <c r="F90" s="927" t="s">
        <v>61</v>
      </c>
      <c r="G90" s="927" t="s">
        <v>814</v>
      </c>
      <c r="I90" s="927"/>
      <c r="J90" s="131"/>
      <c r="K90" s="927" t="s">
        <v>815</v>
      </c>
      <c r="L90" t="s">
        <v>3776</v>
      </c>
      <c r="M90" s="927" t="s">
        <v>816</v>
      </c>
      <c r="N90" s="927" t="s">
        <v>815</v>
      </c>
      <c r="O90" s="927" t="s">
        <v>816</v>
      </c>
      <c r="P90" s="927" t="s">
        <v>322</v>
      </c>
      <c r="Q90" s="927"/>
      <c r="R90" s="927"/>
      <c r="S90">
        <v>1060</v>
      </c>
      <c r="T90">
        <v>1042</v>
      </c>
      <c r="U90">
        <v>602</v>
      </c>
      <c r="V90">
        <v>1590</v>
      </c>
      <c r="W90">
        <v>1836</v>
      </c>
      <c r="X90">
        <v>1030</v>
      </c>
      <c r="Y90">
        <v>1238</v>
      </c>
      <c r="Z90">
        <v>885</v>
      </c>
      <c r="AA90">
        <v>633</v>
      </c>
      <c r="AB90">
        <v>1174</v>
      </c>
      <c r="AC90">
        <v>889</v>
      </c>
      <c r="AD90">
        <v>1060</v>
      </c>
      <c r="AE90">
        <v>736</v>
      </c>
      <c r="AF90" s="927" t="s">
        <v>305</v>
      </c>
      <c r="AG90" s="927"/>
      <c r="AH90" s="717">
        <v>44837</v>
      </c>
      <c r="AI90">
        <v>9.6</v>
      </c>
      <c r="AJ90">
        <v>40500</v>
      </c>
      <c r="AK90" s="927" t="s">
        <v>351</v>
      </c>
      <c r="AL90">
        <v>16</v>
      </c>
      <c r="AM90">
        <v>600</v>
      </c>
      <c r="AO90" s="927"/>
      <c r="AP90" s="927"/>
      <c r="AQ90" s="927" t="s">
        <v>817</v>
      </c>
    </row>
    <row r="91" spans="1:43">
      <c r="A91" s="927" t="s">
        <v>818</v>
      </c>
      <c r="B91" s="927" t="s">
        <v>819</v>
      </c>
      <c r="C91" s="927" t="s">
        <v>820</v>
      </c>
      <c r="D91" s="927" t="s">
        <v>36</v>
      </c>
      <c r="E91" s="717">
        <v>44780</v>
      </c>
      <c r="F91" s="927" t="s">
        <v>52</v>
      </c>
      <c r="G91" s="927" t="s">
        <v>821</v>
      </c>
      <c r="I91" s="927"/>
      <c r="J91" s="131"/>
      <c r="K91" s="927" t="s">
        <v>822</v>
      </c>
      <c r="L91" t="s">
        <v>3777</v>
      </c>
      <c r="M91" s="927" t="s">
        <v>3629</v>
      </c>
      <c r="N91" s="927" t="s">
        <v>822</v>
      </c>
      <c r="O91" s="927" t="s">
        <v>3629</v>
      </c>
      <c r="P91" s="927" t="s">
        <v>322</v>
      </c>
      <c r="Q91" s="927" t="s">
        <v>323</v>
      </c>
      <c r="R91" s="927" t="s">
        <v>324</v>
      </c>
      <c r="S91">
        <v>1029</v>
      </c>
      <c r="T91">
        <v>1107</v>
      </c>
      <c r="U91">
        <v>1023</v>
      </c>
      <c r="V91">
        <v>1243</v>
      </c>
      <c r="W91">
        <v>932</v>
      </c>
      <c r="X91">
        <v>947</v>
      </c>
      <c r="Y91">
        <v>902</v>
      </c>
      <c r="Z91">
        <v>713</v>
      </c>
      <c r="AA91">
        <v>1202</v>
      </c>
      <c r="AB91">
        <v>1202</v>
      </c>
      <c r="AC91">
        <v>1202</v>
      </c>
      <c r="AD91">
        <v>1014</v>
      </c>
      <c r="AE91">
        <v>856</v>
      </c>
      <c r="AF91" s="927" t="s">
        <v>305</v>
      </c>
      <c r="AG91" s="927"/>
      <c r="AH91" s="717"/>
      <c r="AK91" s="927"/>
      <c r="AO91" s="927"/>
      <c r="AP91" s="927"/>
      <c r="AQ91" s="927" t="s">
        <v>823</v>
      </c>
    </row>
    <row r="92" spans="1:43">
      <c r="A92" s="927" t="s">
        <v>824</v>
      </c>
      <c r="B92" s="927" t="s">
        <v>825</v>
      </c>
      <c r="C92" s="927" t="s">
        <v>826</v>
      </c>
      <c r="D92" s="927" t="s">
        <v>32</v>
      </c>
      <c r="E92" s="717">
        <v>44776</v>
      </c>
      <c r="F92" s="927" t="s">
        <v>61</v>
      </c>
      <c r="G92" s="927" t="s">
        <v>827</v>
      </c>
      <c r="I92" s="927"/>
      <c r="J92" s="131"/>
      <c r="K92" s="927" t="s">
        <v>828</v>
      </c>
      <c r="L92" t="s">
        <v>3778</v>
      </c>
      <c r="M92" s="927" t="s">
        <v>828</v>
      </c>
      <c r="N92" s="927" t="s">
        <v>828</v>
      </c>
      <c r="O92" s="927" t="s">
        <v>828</v>
      </c>
      <c r="P92" s="927" t="s">
        <v>322</v>
      </c>
      <c r="Q92" s="927" t="s">
        <v>323</v>
      </c>
      <c r="R92" s="927" t="s">
        <v>324</v>
      </c>
      <c r="S92">
        <v>983</v>
      </c>
      <c r="T92">
        <v>996</v>
      </c>
      <c r="U92">
        <v>1064</v>
      </c>
      <c r="V92">
        <v>937</v>
      </c>
      <c r="W92">
        <v>1161</v>
      </c>
      <c r="X92">
        <v>938</v>
      </c>
      <c r="Y92">
        <v>870</v>
      </c>
      <c r="Z92">
        <v>989</v>
      </c>
      <c r="AA92">
        <v>1016</v>
      </c>
      <c r="AB92">
        <v>1016</v>
      </c>
      <c r="AC92">
        <v>670</v>
      </c>
      <c r="AD92">
        <v>908</v>
      </c>
      <c r="AE92">
        <v>1236</v>
      </c>
      <c r="AF92" s="927" t="s">
        <v>305</v>
      </c>
      <c r="AG92" s="927"/>
      <c r="AH92" s="717">
        <v>44790</v>
      </c>
      <c r="AI92">
        <v>11</v>
      </c>
      <c r="AJ92">
        <v>44700</v>
      </c>
      <c r="AK92" s="927" t="s">
        <v>325</v>
      </c>
      <c r="AL92">
        <v>20</v>
      </c>
      <c r="AM92">
        <v>550</v>
      </c>
      <c r="AO92" s="927"/>
      <c r="AP92" s="927"/>
      <c r="AQ92" s="927" t="s">
        <v>829</v>
      </c>
    </row>
    <row r="93" spans="1:43">
      <c r="A93" s="927" t="s">
        <v>830</v>
      </c>
      <c r="B93" s="927" t="s">
        <v>831</v>
      </c>
      <c r="C93" s="927" t="s">
        <v>832</v>
      </c>
      <c r="D93" s="927" t="s">
        <v>42</v>
      </c>
      <c r="E93" s="717">
        <v>44781</v>
      </c>
      <c r="F93" s="927" t="s">
        <v>55</v>
      </c>
      <c r="G93" s="927" t="s">
        <v>833</v>
      </c>
      <c r="I93" s="927"/>
      <c r="J93" s="131"/>
      <c r="K93" s="927" t="s">
        <v>306</v>
      </c>
      <c r="M93" s="927" t="s">
        <v>306</v>
      </c>
      <c r="N93" s="927" t="s">
        <v>306</v>
      </c>
      <c r="O93" s="927" t="s">
        <v>306</v>
      </c>
      <c r="P93" s="927" t="s">
        <v>322</v>
      </c>
      <c r="Q93" s="927"/>
      <c r="R93" s="927"/>
      <c r="S93">
        <v>1000</v>
      </c>
      <c r="T93">
        <v>1427</v>
      </c>
      <c r="U93">
        <v>1390</v>
      </c>
      <c r="V93">
        <v>1150</v>
      </c>
      <c r="W93">
        <v>1075</v>
      </c>
      <c r="X93">
        <v>839</v>
      </c>
      <c r="Y93">
        <v>804</v>
      </c>
      <c r="Z93">
        <v>730</v>
      </c>
      <c r="AA93">
        <v>799</v>
      </c>
      <c r="AB93">
        <v>913</v>
      </c>
      <c r="AC93">
        <v>889</v>
      </c>
      <c r="AD93">
        <v>979</v>
      </c>
      <c r="AE93">
        <v>1005</v>
      </c>
      <c r="AF93" s="927" t="s">
        <v>305</v>
      </c>
      <c r="AG93" s="927"/>
      <c r="AH93" s="717">
        <v>44789</v>
      </c>
      <c r="AK93" s="927"/>
      <c r="AO93" s="927" t="s">
        <v>307</v>
      </c>
      <c r="AP93" s="927" t="s">
        <v>387</v>
      </c>
      <c r="AQ93" s="927" t="s">
        <v>834</v>
      </c>
    </row>
    <row r="94" spans="1:43">
      <c r="A94" s="927" t="s">
        <v>835</v>
      </c>
      <c r="B94" s="927" t="s">
        <v>836</v>
      </c>
      <c r="C94" s="927" t="s">
        <v>837</v>
      </c>
      <c r="D94" s="927" t="s">
        <v>32</v>
      </c>
      <c r="E94" s="717">
        <v>44789</v>
      </c>
      <c r="F94" s="927" t="s">
        <v>55</v>
      </c>
      <c r="G94" s="927" t="s">
        <v>838</v>
      </c>
      <c r="I94" s="927"/>
      <c r="J94" s="131"/>
      <c r="K94" s="927" t="s">
        <v>839</v>
      </c>
      <c r="L94" t="s">
        <v>3779</v>
      </c>
      <c r="M94" s="927" t="s">
        <v>839</v>
      </c>
      <c r="N94" s="927" t="s">
        <v>839</v>
      </c>
      <c r="O94" s="927" t="s">
        <v>839</v>
      </c>
      <c r="P94" s="927" t="s">
        <v>322</v>
      </c>
      <c r="Q94" s="927" t="s">
        <v>323</v>
      </c>
      <c r="R94" s="927" t="s">
        <v>324</v>
      </c>
      <c r="S94">
        <v>387</v>
      </c>
      <c r="T94">
        <v>385</v>
      </c>
      <c r="U94">
        <v>408</v>
      </c>
      <c r="V94">
        <v>611</v>
      </c>
      <c r="W94">
        <v>388</v>
      </c>
      <c r="X94">
        <v>314</v>
      </c>
      <c r="Y94">
        <v>310</v>
      </c>
      <c r="Z94">
        <v>345</v>
      </c>
      <c r="AA94">
        <v>361</v>
      </c>
      <c r="AB94">
        <v>400</v>
      </c>
      <c r="AC94">
        <v>376</v>
      </c>
      <c r="AD94">
        <v>340</v>
      </c>
      <c r="AE94">
        <v>402</v>
      </c>
      <c r="AF94" s="927" t="s">
        <v>305</v>
      </c>
      <c r="AG94" s="927"/>
      <c r="AH94" s="717">
        <v>44823</v>
      </c>
      <c r="AI94">
        <v>6.6</v>
      </c>
      <c r="AJ94">
        <v>27800</v>
      </c>
      <c r="AK94" s="927" t="s">
        <v>325</v>
      </c>
      <c r="AL94">
        <v>12</v>
      </c>
      <c r="AM94">
        <v>550</v>
      </c>
      <c r="AO94" s="927"/>
      <c r="AP94" s="927"/>
      <c r="AQ94" s="927" t="s">
        <v>840</v>
      </c>
    </row>
    <row r="95" spans="1:43">
      <c r="A95" s="927" t="s">
        <v>841</v>
      </c>
      <c r="B95" s="927" t="s">
        <v>842</v>
      </c>
      <c r="C95" s="927" t="s">
        <v>843</v>
      </c>
      <c r="D95" s="927" t="s">
        <v>42</v>
      </c>
      <c r="E95" s="717">
        <v>44797</v>
      </c>
      <c r="F95" s="927" t="s">
        <v>61</v>
      </c>
      <c r="G95" s="927" t="s">
        <v>844</v>
      </c>
      <c r="I95" s="927"/>
      <c r="J95" s="131"/>
      <c r="K95" s="927" t="s">
        <v>845</v>
      </c>
      <c r="L95" t="s">
        <v>3780</v>
      </c>
      <c r="M95" s="927" t="s">
        <v>3632</v>
      </c>
      <c r="N95" s="927" t="s">
        <v>845</v>
      </c>
      <c r="O95" s="927" t="s">
        <v>846</v>
      </c>
      <c r="P95" s="927" t="s">
        <v>379</v>
      </c>
      <c r="Q95" s="927"/>
      <c r="R95" s="927"/>
      <c r="S95">
        <v>600</v>
      </c>
      <c r="T95">
        <v>357</v>
      </c>
      <c r="U95">
        <v>441</v>
      </c>
      <c r="V95">
        <v>529</v>
      </c>
      <c r="W95">
        <v>528</v>
      </c>
      <c r="X95">
        <v>580</v>
      </c>
      <c r="Y95">
        <v>813</v>
      </c>
      <c r="Z95">
        <v>699</v>
      </c>
      <c r="AA95">
        <v>706</v>
      </c>
      <c r="AB95">
        <v>706</v>
      </c>
      <c r="AC95">
        <v>706</v>
      </c>
      <c r="AD95">
        <v>706</v>
      </c>
      <c r="AE95">
        <v>423</v>
      </c>
      <c r="AF95" s="927" t="s">
        <v>305</v>
      </c>
      <c r="AG95" s="927"/>
      <c r="AH95" s="717">
        <v>44865</v>
      </c>
      <c r="AK95" s="927"/>
      <c r="AO95" s="927" t="s">
        <v>337</v>
      </c>
      <c r="AP95" s="927" t="s">
        <v>395</v>
      </c>
      <c r="AQ95" s="927" t="s">
        <v>847</v>
      </c>
    </row>
    <row r="96" spans="1:43">
      <c r="A96" s="927" t="s">
        <v>4585</v>
      </c>
      <c r="B96" s="927" t="s">
        <v>848</v>
      </c>
      <c r="C96" s="927" t="s">
        <v>4586</v>
      </c>
      <c r="D96" s="927" t="s">
        <v>3613</v>
      </c>
      <c r="E96" s="717">
        <v>45611</v>
      </c>
      <c r="F96" s="927" t="s">
        <v>55</v>
      </c>
      <c r="G96" s="927" t="s">
        <v>849</v>
      </c>
      <c r="I96" s="927"/>
      <c r="J96" s="131"/>
      <c r="K96" s="927" t="s">
        <v>4587</v>
      </c>
      <c r="L96" t="s">
        <v>4588</v>
      </c>
      <c r="M96" s="927" t="s">
        <v>320</v>
      </c>
      <c r="N96" s="927" t="s">
        <v>1346</v>
      </c>
      <c r="O96" s="927" t="s">
        <v>3653</v>
      </c>
      <c r="P96" s="927" t="s">
        <v>322</v>
      </c>
      <c r="Q96" s="927" t="s">
        <v>323</v>
      </c>
      <c r="R96" s="927" t="s">
        <v>324</v>
      </c>
      <c r="S96">
        <v>590</v>
      </c>
      <c r="T96">
        <v>320</v>
      </c>
      <c r="U96">
        <v>1264</v>
      </c>
      <c r="V96">
        <v>978</v>
      </c>
      <c r="W96">
        <v>559</v>
      </c>
      <c r="X96">
        <v>977</v>
      </c>
      <c r="Y96">
        <v>702</v>
      </c>
      <c r="Z96">
        <v>252</v>
      </c>
      <c r="AA96">
        <v>250</v>
      </c>
      <c r="AB96">
        <v>250</v>
      </c>
      <c r="AC96">
        <v>324</v>
      </c>
      <c r="AD96">
        <v>600</v>
      </c>
      <c r="AE96">
        <v>600</v>
      </c>
      <c r="AF96" s="927" t="s">
        <v>1189</v>
      </c>
      <c r="AG96" s="927"/>
      <c r="AH96" s="717">
        <v>44830</v>
      </c>
      <c r="AI96">
        <v>8.8000000000000007</v>
      </c>
      <c r="AJ96">
        <v>35500</v>
      </c>
      <c r="AK96" s="927" t="s">
        <v>325</v>
      </c>
      <c r="AL96">
        <v>16</v>
      </c>
      <c r="AM96">
        <v>550</v>
      </c>
      <c r="AO96" s="927"/>
      <c r="AP96" s="927"/>
      <c r="AQ96" s="927" t="s">
        <v>4589</v>
      </c>
    </row>
    <row r="97" spans="1:43">
      <c r="A97" s="927" t="s">
        <v>850</v>
      </c>
      <c r="B97" s="927" t="s">
        <v>851</v>
      </c>
      <c r="C97" s="927" t="s">
        <v>852</v>
      </c>
      <c r="D97" s="927" t="s">
        <v>36</v>
      </c>
      <c r="E97" s="717">
        <v>44823</v>
      </c>
      <c r="F97" s="927" t="s">
        <v>61</v>
      </c>
      <c r="G97" s="927" t="s">
        <v>853</v>
      </c>
      <c r="I97" s="927"/>
      <c r="J97" s="131"/>
      <c r="K97" s="927" t="s">
        <v>854</v>
      </c>
      <c r="L97" t="s">
        <v>3781</v>
      </c>
      <c r="M97" s="927" t="s">
        <v>854</v>
      </c>
      <c r="N97" s="927" t="s">
        <v>854</v>
      </c>
      <c r="O97" s="927" t="s">
        <v>854</v>
      </c>
      <c r="P97" s="927" t="s">
        <v>322</v>
      </c>
      <c r="Q97" s="927" t="s">
        <v>706</v>
      </c>
      <c r="R97" s="927" t="s">
        <v>324</v>
      </c>
      <c r="S97">
        <v>10000</v>
      </c>
      <c r="T97">
        <v>14270</v>
      </c>
      <c r="U97">
        <v>13895</v>
      </c>
      <c r="V97">
        <v>11495</v>
      </c>
      <c r="W97">
        <v>10749</v>
      </c>
      <c r="X97">
        <v>8391</v>
      </c>
      <c r="Y97">
        <v>8042</v>
      </c>
      <c r="Z97">
        <v>7296</v>
      </c>
      <c r="AA97">
        <v>7994</v>
      </c>
      <c r="AB97">
        <v>9133</v>
      </c>
      <c r="AC97">
        <v>8891</v>
      </c>
      <c r="AD97">
        <v>9791</v>
      </c>
      <c r="AE97">
        <v>10053</v>
      </c>
      <c r="AF97" s="927" t="s">
        <v>305</v>
      </c>
      <c r="AG97" s="927"/>
      <c r="AH97" s="717"/>
      <c r="AK97" s="927"/>
      <c r="AO97" s="927"/>
      <c r="AP97" s="927"/>
      <c r="AQ97" s="927" t="s">
        <v>855</v>
      </c>
    </row>
    <row r="98" spans="1:43">
      <c r="A98" s="927" t="s">
        <v>856</v>
      </c>
      <c r="B98" s="927" t="s">
        <v>857</v>
      </c>
      <c r="C98" s="927" t="s">
        <v>858</v>
      </c>
      <c r="D98" s="927" t="s">
        <v>42</v>
      </c>
      <c r="E98" s="717">
        <v>44833</v>
      </c>
      <c r="F98" s="927" t="s">
        <v>48</v>
      </c>
      <c r="G98" s="927" t="s">
        <v>859</v>
      </c>
      <c r="I98" s="927"/>
      <c r="J98" s="131"/>
      <c r="K98" s="927" t="s">
        <v>860</v>
      </c>
      <c r="L98" t="s">
        <v>3782</v>
      </c>
      <c r="M98" s="927" t="s">
        <v>860</v>
      </c>
      <c r="N98" s="927" t="s">
        <v>860</v>
      </c>
      <c r="O98" s="927" t="s">
        <v>860</v>
      </c>
      <c r="P98" s="927" t="s">
        <v>322</v>
      </c>
      <c r="Q98" s="927" t="s">
        <v>706</v>
      </c>
      <c r="R98" s="927" t="s">
        <v>324</v>
      </c>
      <c r="S98">
        <v>3606</v>
      </c>
      <c r="T98">
        <v>3204</v>
      </c>
      <c r="U98">
        <v>3550</v>
      </c>
      <c r="V98">
        <v>4230</v>
      </c>
      <c r="W98">
        <v>3664</v>
      </c>
      <c r="X98">
        <v>3619</v>
      </c>
      <c r="Y98">
        <v>3630</v>
      </c>
      <c r="Z98">
        <v>3413</v>
      </c>
      <c r="AA98">
        <v>3305</v>
      </c>
      <c r="AB98">
        <v>3207</v>
      </c>
      <c r="AC98">
        <v>3614</v>
      </c>
      <c r="AD98">
        <v>3630</v>
      </c>
      <c r="AE98">
        <v>4206</v>
      </c>
      <c r="AF98" s="927" t="s">
        <v>305</v>
      </c>
      <c r="AG98" s="927"/>
      <c r="AH98" s="717">
        <v>44888</v>
      </c>
      <c r="AK98" s="927"/>
      <c r="AO98" s="927" t="s">
        <v>337</v>
      </c>
      <c r="AP98" s="927" t="s">
        <v>395</v>
      </c>
      <c r="AQ98" s="927" t="s">
        <v>861</v>
      </c>
    </row>
    <row r="99" spans="1:43">
      <c r="A99" s="927" t="s">
        <v>862</v>
      </c>
      <c r="B99" s="927" t="s">
        <v>863</v>
      </c>
      <c r="C99" s="927" t="s">
        <v>864</v>
      </c>
      <c r="D99" s="927" t="s">
        <v>42</v>
      </c>
      <c r="E99" s="717">
        <v>44833</v>
      </c>
      <c r="F99" s="927" t="s">
        <v>48</v>
      </c>
      <c r="G99" s="927" t="s">
        <v>859</v>
      </c>
      <c r="I99" s="927"/>
      <c r="J99" s="131"/>
      <c r="K99" s="927" t="s">
        <v>865</v>
      </c>
      <c r="L99" t="s">
        <v>3783</v>
      </c>
      <c r="M99" s="927" t="s">
        <v>865</v>
      </c>
      <c r="N99" s="927" t="s">
        <v>865</v>
      </c>
      <c r="O99" s="927" t="s">
        <v>865</v>
      </c>
      <c r="P99" s="927" t="s">
        <v>322</v>
      </c>
      <c r="Q99" s="927" t="s">
        <v>323</v>
      </c>
      <c r="R99" s="927" t="s">
        <v>324</v>
      </c>
      <c r="S99">
        <v>12845</v>
      </c>
      <c r="T99">
        <v>9449</v>
      </c>
      <c r="U99">
        <v>12687</v>
      </c>
      <c r="V99">
        <v>12268</v>
      </c>
      <c r="W99">
        <v>11606</v>
      </c>
      <c r="X99">
        <v>11858</v>
      </c>
      <c r="Y99">
        <v>14526</v>
      </c>
      <c r="Z99">
        <v>13715</v>
      </c>
      <c r="AA99">
        <v>15842</v>
      </c>
      <c r="AB99">
        <v>20937</v>
      </c>
      <c r="AC99">
        <v>10577</v>
      </c>
      <c r="AD99">
        <v>10143</v>
      </c>
      <c r="AE99">
        <v>10531</v>
      </c>
      <c r="AF99" s="927" t="s">
        <v>305</v>
      </c>
      <c r="AG99" s="927"/>
      <c r="AH99" s="717">
        <v>44888</v>
      </c>
      <c r="AK99" s="927"/>
      <c r="AO99" s="927" t="s">
        <v>337</v>
      </c>
      <c r="AP99" s="927" t="s">
        <v>44</v>
      </c>
      <c r="AQ99" s="927" t="s">
        <v>866</v>
      </c>
    </row>
    <row r="100" spans="1:43">
      <c r="A100" s="927" t="s">
        <v>867</v>
      </c>
      <c r="B100" s="927" t="s">
        <v>868</v>
      </c>
      <c r="C100" s="927" t="s">
        <v>869</v>
      </c>
      <c r="D100" s="927" t="s">
        <v>42</v>
      </c>
      <c r="E100" s="717">
        <v>44833</v>
      </c>
      <c r="F100" s="927" t="s">
        <v>48</v>
      </c>
      <c r="G100" s="927" t="s">
        <v>870</v>
      </c>
      <c r="I100" s="927"/>
      <c r="J100" s="131"/>
      <c r="K100" s="927" t="s">
        <v>871</v>
      </c>
      <c r="L100" t="s">
        <v>3784</v>
      </c>
      <c r="M100" s="927" t="s">
        <v>871</v>
      </c>
      <c r="N100" s="927" t="s">
        <v>871</v>
      </c>
      <c r="O100" s="927" t="s">
        <v>871</v>
      </c>
      <c r="P100" s="927" t="s">
        <v>322</v>
      </c>
      <c r="Q100" s="927"/>
      <c r="R100" s="927"/>
      <c r="S100">
        <v>900</v>
      </c>
      <c r="T100">
        <v>1284</v>
      </c>
      <c r="U100">
        <v>1251</v>
      </c>
      <c r="V100">
        <v>1035</v>
      </c>
      <c r="W100">
        <v>967</v>
      </c>
      <c r="X100">
        <v>755</v>
      </c>
      <c r="Y100">
        <v>724</v>
      </c>
      <c r="Z100">
        <v>657</v>
      </c>
      <c r="AA100">
        <v>719</v>
      </c>
      <c r="AB100">
        <v>822</v>
      </c>
      <c r="AC100">
        <v>800</v>
      </c>
      <c r="AD100">
        <v>881</v>
      </c>
      <c r="AE100">
        <v>905</v>
      </c>
      <c r="AF100" s="927" t="s">
        <v>305</v>
      </c>
      <c r="AG100" s="927"/>
      <c r="AH100" s="717">
        <v>44865</v>
      </c>
      <c r="AK100" s="927"/>
      <c r="AO100" s="927" t="s">
        <v>307</v>
      </c>
      <c r="AP100" s="927" t="s">
        <v>308</v>
      </c>
      <c r="AQ100" s="927" t="s">
        <v>872</v>
      </c>
    </row>
    <row r="101" spans="1:43">
      <c r="A101" s="927" t="s">
        <v>873</v>
      </c>
      <c r="B101" s="927" t="s">
        <v>874</v>
      </c>
      <c r="C101" s="927" t="s">
        <v>875</v>
      </c>
      <c r="D101" s="927" t="s">
        <v>42</v>
      </c>
      <c r="E101" s="717">
        <v>44832</v>
      </c>
      <c r="F101" s="927" t="s">
        <v>61</v>
      </c>
      <c r="G101" s="927" t="s">
        <v>876</v>
      </c>
      <c r="I101" s="927"/>
      <c r="J101" s="131"/>
      <c r="K101" s="927" t="s">
        <v>877</v>
      </c>
      <c r="L101" t="s">
        <v>3785</v>
      </c>
      <c r="M101" s="927" t="s">
        <v>3633</v>
      </c>
      <c r="N101" s="927" t="s">
        <v>877</v>
      </c>
      <c r="O101" s="927" t="s">
        <v>3633</v>
      </c>
      <c r="P101" s="927" t="s">
        <v>322</v>
      </c>
      <c r="Q101" s="927" t="s">
        <v>323</v>
      </c>
      <c r="R101" s="927" t="s">
        <v>324</v>
      </c>
      <c r="S101">
        <v>26500</v>
      </c>
      <c r="T101">
        <v>23600</v>
      </c>
      <c r="U101">
        <v>30600</v>
      </c>
      <c r="V101">
        <v>36400</v>
      </c>
      <c r="W101">
        <v>28000</v>
      </c>
      <c r="X101">
        <v>25800</v>
      </c>
      <c r="Y101">
        <v>21000</v>
      </c>
      <c r="Z101">
        <v>24000</v>
      </c>
      <c r="AA101">
        <v>26200</v>
      </c>
      <c r="AB101">
        <v>29600</v>
      </c>
      <c r="AC101">
        <v>28200</v>
      </c>
      <c r="AD101">
        <v>22800</v>
      </c>
      <c r="AE101">
        <v>21800</v>
      </c>
      <c r="AF101" s="927" t="s">
        <v>305</v>
      </c>
      <c r="AG101" s="927"/>
      <c r="AH101" s="717">
        <v>44964</v>
      </c>
      <c r="AK101" s="927"/>
      <c r="AO101" s="927" t="s">
        <v>307</v>
      </c>
      <c r="AP101" s="927" t="s">
        <v>308</v>
      </c>
      <c r="AQ101" s="927" t="s">
        <v>878</v>
      </c>
    </row>
    <row r="102" spans="1:43">
      <c r="A102" s="927" t="s">
        <v>879</v>
      </c>
      <c r="B102" s="927" t="s">
        <v>880</v>
      </c>
      <c r="C102" s="927" t="s">
        <v>881</v>
      </c>
      <c r="D102" s="927" t="s">
        <v>42</v>
      </c>
      <c r="E102" s="717">
        <v>44845</v>
      </c>
      <c r="F102" s="927" t="s">
        <v>50</v>
      </c>
      <c r="G102" s="927" t="s">
        <v>882</v>
      </c>
      <c r="I102" s="927"/>
      <c r="J102" s="131"/>
      <c r="K102" s="927" t="s">
        <v>883</v>
      </c>
      <c r="L102" t="s">
        <v>3786</v>
      </c>
      <c r="M102" s="927" t="s">
        <v>883</v>
      </c>
      <c r="N102" s="927" t="s">
        <v>883</v>
      </c>
      <c r="O102" s="927" t="s">
        <v>883</v>
      </c>
      <c r="P102" s="927" t="s">
        <v>322</v>
      </c>
      <c r="Q102" s="927" t="s">
        <v>323</v>
      </c>
      <c r="R102" s="927" t="s">
        <v>324</v>
      </c>
      <c r="S102">
        <v>352</v>
      </c>
      <c r="T102">
        <v>410</v>
      </c>
      <c r="U102">
        <v>352</v>
      </c>
      <c r="V102">
        <v>595</v>
      </c>
      <c r="W102">
        <v>472</v>
      </c>
      <c r="X102">
        <v>357</v>
      </c>
      <c r="Y102">
        <v>322</v>
      </c>
      <c r="Z102">
        <v>297</v>
      </c>
      <c r="AA102">
        <v>301</v>
      </c>
      <c r="AB102">
        <v>244</v>
      </c>
      <c r="AC102">
        <v>266</v>
      </c>
      <c r="AD102">
        <v>241</v>
      </c>
      <c r="AE102">
        <v>366</v>
      </c>
      <c r="AF102" s="927" t="s">
        <v>305</v>
      </c>
      <c r="AG102" s="927"/>
      <c r="AH102" s="717">
        <v>44893</v>
      </c>
      <c r="AK102" s="927"/>
      <c r="AO102" s="927" t="s">
        <v>337</v>
      </c>
      <c r="AP102" s="927" t="s">
        <v>395</v>
      </c>
      <c r="AQ102" s="927" t="s">
        <v>884</v>
      </c>
    </row>
    <row r="103" spans="1:43">
      <c r="A103" s="927" t="s">
        <v>885</v>
      </c>
      <c r="B103" s="927" t="s">
        <v>886</v>
      </c>
      <c r="C103" s="927" t="s">
        <v>887</v>
      </c>
      <c r="D103" s="927" t="s">
        <v>36</v>
      </c>
      <c r="E103" s="717">
        <v>44849</v>
      </c>
      <c r="F103" s="927" t="s">
        <v>55</v>
      </c>
      <c r="G103" s="927" t="s">
        <v>888</v>
      </c>
      <c r="I103" s="927"/>
      <c r="J103" s="131"/>
      <c r="K103" s="927" t="s">
        <v>889</v>
      </c>
      <c r="L103" t="s">
        <v>3787</v>
      </c>
      <c r="M103" s="927" t="s">
        <v>889</v>
      </c>
      <c r="N103" s="927" t="s">
        <v>889</v>
      </c>
      <c r="O103" s="927" t="s">
        <v>889</v>
      </c>
      <c r="P103" s="927" t="s">
        <v>379</v>
      </c>
      <c r="Q103" s="927" t="s">
        <v>323</v>
      </c>
      <c r="R103" s="927" t="s">
        <v>324</v>
      </c>
      <c r="S103">
        <v>273</v>
      </c>
      <c r="T103">
        <v>333</v>
      </c>
      <c r="U103">
        <v>303</v>
      </c>
      <c r="V103">
        <v>297</v>
      </c>
      <c r="W103">
        <v>343</v>
      </c>
      <c r="X103">
        <v>283</v>
      </c>
      <c r="Y103">
        <v>241</v>
      </c>
      <c r="Z103">
        <v>243</v>
      </c>
      <c r="AA103">
        <v>251</v>
      </c>
      <c r="AB103">
        <v>274</v>
      </c>
      <c r="AC103">
        <v>265</v>
      </c>
      <c r="AD103">
        <v>256</v>
      </c>
      <c r="AE103">
        <v>189</v>
      </c>
      <c r="AF103" s="927" t="s">
        <v>305</v>
      </c>
      <c r="AG103" s="927"/>
      <c r="AH103" s="717"/>
      <c r="AK103" s="927"/>
      <c r="AO103" s="927"/>
      <c r="AP103" s="927"/>
      <c r="AQ103" s="927" t="s">
        <v>890</v>
      </c>
    </row>
    <row r="104" spans="1:43">
      <c r="A104" s="927" t="s">
        <v>891</v>
      </c>
      <c r="B104" s="927" t="s">
        <v>892</v>
      </c>
      <c r="C104" s="927" t="s">
        <v>893</v>
      </c>
      <c r="D104" s="927" t="s">
        <v>32</v>
      </c>
      <c r="E104" s="717">
        <v>44865</v>
      </c>
      <c r="F104" s="927" t="s">
        <v>61</v>
      </c>
      <c r="G104" s="927" t="s">
        <v>894</v>
      </c>
      <c r="I104" s="927"/>
      <c r="J104" s="131"/>
      <c r="K104" s="927" t="s">
        <v>895</v>
      </c>
      <c r="L104" t="s">
        <v>3788</v>
      </c>
      <c r="M104" s="927" t="s">
        <v>895</v>
      </c>
      <c r="N104" s="927" t="s">
        <v>895</v>
      </c>
      <c r="O104" s="927" t="s">
        <v>895</v>
      </c>
      <c r="P104" s="927" t="s">
        <v>322</v>
      </c>
      <c r="Q104" s="927" t="s">
        <v>323</v>
      </c>
      <c r="R104" s="927" t="s">
        <v>324</v>
      </c>
      <c r="S104">
        <v>692</v>
      </c>
      <c r="T104">
        <v>770</v>
      </c>
      <c r="U104">
        <v>940</v>
      </c>
      <c r="V104">
        <v>910</v>
      </c>
      <c r="W104">
        <v>1000</v>
      </c>
      <c r="X104">
        <v>780</v>
      </c>
      <c r="Y104">
        <v>590</v>
      </c>
      <c r="Z104">
        <v>400</v>
      </c>
      <c r="AA104">
        <v>540</v>
      </c>
      <c r="AB104">
        <v>580</v>
      </c>
      <c r="AC104">
        <v>490</v>
      </c>
      <c r="AD104">
        <v>500</v>
      </c>
      <c r="AE104">
        <v>800</v>
      </c>
      <c r="AF104" s="927" t="s">
        <v>305</v>
      </c>
      <c r="AG104" s="927"/>
      <c r="AH104" s="717">
        <v>44895</v>
      </c>
      <c r="AI104">
        <v>4.4000000000000004</v>
      </c>
      <c r="AJ104">
        <v>20300</v>
      </c>
      <c r="AK104" s="927" t="s">
        <v>325</v>
      </c>
      <c r="AL104">
        <v>8</v>
      </c>
      <c r="AM104">
        <v>550</v>
      </c>
      <c r="AO104" s="927"/>
      <c r="AP104" s="927"/>
      <c r="AQ104" s="927" t="s">
        <v>896</v>
      </c>
    </row>
    <row r="105" spans="1:43">
      <c r="A105" s="927" t="s">
        <v>897</v>
      </c>
      <c r="B105" s="927" t="s">
        <v>898</v>
      </c>
      <c r="C105" s="927" t="s">
        <v>899</v>
      </c>
      <c r="D105" s="927" t="s">
        <v>42</v>
      </c>
      <c r="E105" s="717">
        <v>44869</v>
      </c>
      <c r="F105" s="927" t="s">
        <v>52</v>
      </c>
      <c r="G105" s="927" t="s">
        <v>900</v>
      </c>
      <c r="I105" s="927"/>
      <c r="J105" s="131"/>
      <c r="K105" s="927" t="s">
        <v>901</v>
      </c>
      <c r="L105" t="s">
        <v>3789</v>
      </c>
      <c r="M105" s="927" t="s">
        <v>901</v>
      </c>
      <c r="N105" s="927" t="s">
        <v>901</v>
      </c>
      <c r="O105" s="927" t="s">
        <v>901</v>
      </c>
      <c r="P105" s="927" t="s">
        <v>322</v>
      </c>
      <c r="Q105" s="927" t="s">
        <v>323</v>
      </c>
      <c r="R105" s="927" t="s">
        <v>324</v>
      </c>
      <c r="S105">
        <v>675</v>
      </c>
      <c r="T105">
        <v>853</v>
      </c>
      <c r="U105">
        <v>748</v>
      </c>
      <c r="V105">
        <v>987</v>
      </c>
      <c r="W105">
        <v>683</v>
      </c>
      <c r="X105">
        <v>618</v>
      </c>
      <c r="Y105">
        <v>577</v>
      </c>
      <c r="Z105">
        <v>520</v>
      </c>
      <c r="AA105">
        <v>576</v>
      </c>
      <c r="AB105">
        <v>572</v>
      </c>
      <c r="AC105">
        <v>529</v>
      </c>
      <c r="AD105">
        <v>664</v>
      </c>
      <c r="AE105">
        <v>778</v>
      </c>
      <c r="AF105" s="927" t="s">
        <v>305</v>
      </c>
      <c r="AG105" s="927"/>
      <c r="AH105" s="717">
        <v>44964</v>
      </c>
      <c r="AK105" s="927"/>
      <c r="AO105" s="927" t="s">
        <v>337</v>
      </c>
      <c r="AP105" s="927" t="s">
        <v>395</v>
      </c>
      <c r="AQ105" s="927" t="s">
        <v>902</v>
      </c>
    </row>
    <row r="106" spans="1:43">
      <c r="A106" s="927" t="s">
        <v>903</v>
      </c>
      <c r="B106" s="927" t="s">
        <v>904</v>
      </c>
      <c r="C106" s="927" t="s">
        <v>905</v>
      </c>
      <c r="D106" s="927" t="s">
        <v>42</v>
      </c>
      <c r="E106" s="717">
        <v>44888</v>
      </c>
      <c r="F106" s="927" t="s">
        <v>61</v>
      </c>
      <c r="G106" s="927" t="s">
        <v>906</v>
      </c>
      <c r="I106" s="927"/>
      <c r="J106" s="131"/>
      <c r="K106" s="927" t="s">
        <v>907</v>
      </c>
      <c r="L106" t="s">
        <v>3790</v>
      </c>
      <c r="M106" s="927" t="s">
        <v>907</v>
      </c>
      <c r="N106" s="927" t="s">
        <v>907</v>
      </c>
      <c r="O106" s="927" t="s">
        <v>907</v>
      </c>
      <c r="P106" s="927" t="s">
        <v>322</v>
      </c>
      <c r="Q106" s="927" t="s">
        <v>323</v>
      </c>
      <c r="R106" s="927" t="s">
        <v>324</v>
      </c>
      <c r="S106">
        <v>1318</v>
      </c>
      <c r="T106">
        <v>1287</v>
      </c>
      <c r="U106">
        <v>1588</v>
      </c>
      <c r="V106">
        <v>1579</v>
      </c>
      <c r="W106">
        <v>1441</v>
      </c>
      <c r="X106">
        <v>1369</v>
      </c>
      <c r="Y106">
        <v>1165</v>
      </c>
      <c r="Z106">
        <v>1142</v>
      </c>
      <c r="AA106">
        <v>1294</v>
      </c>
      <c r="AB106">
        <v>1125</v>
      </c>
      <c r="AC106">
        <v>1285</v>
      </c>
      <c r="AD106">
        <v>1247</v>
      </c>
      <c r="AE106">
        <v>1299</v>
      </c>
      <c r="AF106" s="927" t="s">
        <v>305</v>
      </c>
      <c r="AG106" s="927"/>
      <c r="AH106" s="717">
        <v>44901</v>
      </c>
      <c r="AK106" s="927"/>
      <c r="AO106" s="927" t="s">
        <v>337</v>
      </c>
      <c r="AP106" s="927" t="s">
        <v>387</v>
      </c>
      <c r="AQ106" s="927" t="s">
        <v>908</v>
      </c>
    </row>
    <row r="107" spans="1:43">
      <c r="A107" s="927" t="s">
        <v>909</v>
      </c>
      <c r="B107" s="927" t="s">
        <v>910</v>
      </c>
      <c r="C107" s="927" t="s">
        <v>911</v>
      </c>
      <c r="D107" s="927" t="s">
        <v>32</v>
      </c>
      <c r="E107" s="717">
        <v>44893</v>
      </c>
      <c r="F107" s="927" t="s">
        <v>52</v>
      </c>
      <c r="G107" s="927" t="s">
        <v>912</v>
      </c>
      <c r="I107" s="927"/>
      <c r="J107" s="131"/>
      <c r="K107" s="927" t="s">
        <v>913</v>
      </c>
      <c r="L107" t="s">
        <v>3791</v>
      </c>
      <c r="M107" s="927" t="s">
        <v>913</v>
      </c>
      <c r="N107" s="927" t="s">
        <v>913</v>
      </c>
      <c r="O107" s="927" t="s">
        <v>913</v>
      </c>
      <c r="P107" s="927" t="s">
        <v>322</v>
      </c>
      <c r="Q107" s="927" t="s">
        <v>323</v>
      </c>
      <c r="R107" s="927" t="s">
        <v>324</v>
      </c>
      <c r="S107">
        <v>900</v>
      </c>
      <c r="T107">
        <v>1284</v>
      </c>
      <c r="U107">
        <v>1251</v>
      </c>
      <c r="V107">
        <v>1035</v>
      </c>
      <c r="W107">
        <v>967</v>
      </c>
      <c r="X107">
        <v>755</v>
      </c>
      <c r="Y107">
        <v>724</v>
      </c>
      <c r="Z107">
        <v>657</v>
      </c>
      <c r="AA107">
        <v>719</v>
      </c>
      <c r="AB107">
        <v>822</v>
      </c>
      <c r="AC107">
        <v>800</v>
      </c>
      <c r="AD107">
        <v>881</v>
      </c>
      <c r="AE107">
        <v>905</v>
      </c>
      <c r="AF107" s="927" t="s">
        <v>305</v>
      </c>
      <c r="AG107" s="927"/>
      <c r="AH107" s="717">
        <v>44932</v>
      </c>
      <c r="AI107">
        <v>10.199999999999999</v>
      </c>
      <c r="AJ107">
        <v>44030</v>
      </c>
      <c r="AK107" s="927" t="s">
        <v>914</v>
      </c>
      <c r="AL107">
        <v>17</v>
      </c>
      <c r="AM107">
        <v>600</v>
      </c>
      <c r="AO107" s="927"/>
      <c r="AP107" s="927"/>
      <c r="AQ107" s="927" t="s">
        <v>915</v>
      </c>
    </row>
    <row r="108" spans="1:43">
      <c r="A108" s="927" t="s">
        <v>916</v>
      </c>
      <c r="B108" s="927" t="s">
        <v>917</v>
      </c>
      <c r="C108" s="927" t="s">
        <v>918</v>
      </c>
      <c r="D108" s="927" t="s">
        <v>32</v>
      </c>
      <c r="E108" s="717">
        <v>44895</v>
      </c>
      <c r="F108" s="927" t="s">
        <v>61</v>
      </c>
      <c r="G108" s="927" t="s">
        <v>919</v>
      </c>
      <c r="I108" s="927"/>
      <c r="J108" s="131"/>
      <c r="K108" s="927" t="s">
        <v>920</v>
      </c>
      <c r="L108" t="s">
        <v>3792</v>
      </c>
      <c r="M108" s="927" t="s">
        <v>920</v>
      </c>
      <c r="N108" s="927" t="s">
        <v>920</v>
      </c>
      <c r="O108" s="927" t="s">
        <v>920</v>
      </c>
      <c r="P108" s="927" t="s">
        <v>322</v>
      </c>
      <c r="Q108" s="927" t="s">
        <v>323</v>
      </c>
      <c r="R108" s="927" t="s">
        <v>324</v>
      </c>
      <c r="S108">
        <v>350</v>
      </c>
      <c r="T108">
        <v>500</v>
      </c>
      <c r="U108">
        <v>486</v>
      </c>
      <c r="V108">
        <v>430</v>
      </c>
      <c r="W108">
        <v>376</v>
      </c>
      <c r="X108">
        <v>300</v>
      </c>
      <c r="Y108">
        <v>281</v>
      </c>
      <c r="Z108">
        <v>266</v>
      </c>
      <c r="AA108">
        <v>279</v>
      </c>
      <c r="AB108">
        <v>227</v>
      </c>
      <c r="AC108">
        <v>265</v>
      </c>
      <c r="AD108">
        <v>290</v>
      </c>
      <c r="AE108">
        <v>500</v>
      </c>
      <c r="AF108" s="927" t="s">
        <v>305</v>
      </c>
      <c r="AG108" s="927"/>
      <c r="AH108" s="717">
        <v>44922</v>
      </c>
      <c r="AI108">
        <v>3.3</v>
      </c>
      <c r="AJ108">
        <v>17300</v>
      </c>
      <c r="AK108" s="927" t="s">
        <v>351</v>
      </c>
      <c r="AL108">
        <v>6</v>
      </c>
      <c r="AM108">
        <v>550</v>
      </c>
      <c r="AO108" s="927"/>
      <c r="AP108" s="927"/>
      <c r="AQ108" s="927" t="s">
        <v>921</v>
      </c>
    </row>
    <row r="109" spans="1:43">
      <c r="A109" s="927" t="s">
        <v>922</v>
      </c>
      <c r="B109" s="927" t="s">
        <v>923</v>
      </c>
      <c r="C109" s="927" t="s">
        <v>924</v>
      </c>
      <c r="D109" s="927" t="s">
        <v>32</v>
      </c>
      <c r="E109" s="717">
        <v>44895</v>
      </c>
      <c r="F109" s="927" t="s">
        <v>61</v>
      </c>
      <c r="G109" s="927" t="s">
        <v>925</v>
      </c>
      <c r="I109" s="927"/>
      <c r="J109" s="131"/>
      <c r="K109" s="927" t="s">
        <v>926</v>
      </c>
      <c r="L109" t="s">
        <v>3793</v>
      </c>
      <c r="M109" s="927" t="s">
        <v>926</v>
      </c>
      <c r="N109" s="927" t="s">
        <v>926</v>
      </c>
      <c r="O109" s="927" t="s">
        <v>926</v>
      </c>
      <c r="P109" s="927" t="s">
        <v>322</v>
      </c>
      <c r="Q109" s="927" t="s">
        <v>323</v>
      </c>
      <c r="R109" s="927" t="s">
        <v>324</v>
      </c>
      <c r="S109">
        <v>751</v>
      </c>
      <c r="T109">
        <v>848</v>
      </c>
      <c r="U109">
        <v>800</v>
      </c>
      <c r="V109">
        <v>813</v>
      </c>
      <c r="W109">
        <v>891</v>
      </c>
      <c r="X109">
        <v>820</v>
      </c>
      <c r="Y109">
        <v>613</v>
      </c>
      <c r="Z109">
        <v>651</v>
      </c>
      <c r="AA109">
        <v>716</v>
      </c>
      <c r="AB109">
        <v>646</v>
      </c>
      <c r="AC109">
        <v>642</v>
      </c>
      <c r="AD109">
        <v>796</v>
      </c>
      <c r="AE109">
        <v>779</v>
      </c>
      <c r="AF109" s="927" t="s">
        <v>305</v>
      </c>
      <c r="AG109" s="927"/>
      <c r="AH109" s="717">
        <v>44956</v>
      </c>
      <c r="AI109">
        <v>8.25</v>
      </c>
      <c r="AJ109">
        <v>34800</v>
      </c>
      <c r="AK109" s="927" t="s">
        <v>351</v>
      </c>
      <c r="AL109">
        <v>15</v>
      </c>
      <c r="AM109">
        <v>550</v>
      </c>
      <c r="AO109" s="927"/>
      <c r="AP109" s="927"/>
      <c r="AQ109" s="927" t="s">
        <v>927</v>
      </c>
    </row>
    <row r="110" spans="1:43">
      <c r="A110" s="927" t="s">
        <v>928</v>
      </c>
      <c r="B110" s="927" t="s">
        <v>929</v>
      </c>
      <c r="C110" s="927" t="s">
        <v>930</v>
      </c>
      <c r="D110" s="927" t="s">
        <v>32</v>
      </c>
      <c r="E110" s="717">
        <v>44900</v>
      </c>
      <c r="F110" s="927" t="s">
        <v>61</v>
      </c>
      <c r="G110" s="927" t="s">
        <v>931</v>
      </c>
      <c r="I110" s="927"/>
      <c r="J110" s="131"/>
      <c r="K110" s="927" t="s">
        <v>932</v>
      </c>
      <c r="L110" t="s">
        <v>3794</v>
      </c>
      <c r="M110" s="927" t="s">
        <v>932</v>
      </c>
      <c r="N110" s="927" t="s">
        <v>932</v>
      </c>
      <c r="O110" s="927" t="s">
        <v>932</v>
      </c>
      <c r="P110" s="927" t="s">
        <v>322</v>
      </c>
      <c r="Q110" s="927" t="s">
        <v>323</v>
      </c>
      <c r="R110" s="927" t="s">
        <v>324</v>
      </c>
      <c r="S110">
        <v>500</v>
      </c>
      <c r="T110">
        <v>713</v>
      </c>
      <c r="U110">
        <v>695</v>
      </c>
      <c r="V110">
        <v>575</v>
      </c>
      <c r="W110">
        <v>537</v>
      </c>
      <c r="X110">
        <v>420</v>
      </c>
      <c r="Y110">
        <v>402</v>
      </c>
      <c r="Z110">
        <v>365</v>
      </c>
      <c r="AA110">
        <v>400</v>
      </c>
      <c r="AB110">
        <v>457</v>
      </c>
      <c r="AC110">
        <v>445</v>
      </c>
      <c r="AD110">
        <v>490</v>
      </c>
      <c r="AE110">
        <v>503</v>
      </c>
      <c r="AF110" s="927" t="s">
        <v>305</v>
      </c>
      <c r="AG110" s="927"/>
      <c r="AH110" s="717">
        <v>44922</v>
      </c>
      <c r="AI110">
        <v>4.4000000000000004</v>
      </c>
      <c r="AJ110">
        <v>20000</v>
      </c>
      <c r="AK110" s="927" t="s">
        <v>351</v>
      </c>
      <c r="AL110">
        <v>8</v>
      </c>
      <c r="AM110">
        <v>550</v>
      </c>
      <c r="AO110" s="927"/>
      <c r="AP110" s="927"/>
      <c r="AQ110" s="927" t="s">
        <v>933</v>
      </c>
    </row>
    <row r="111" spans="1:43">
      <c r="A111" s="927" t="s">
        <v>934</v>
      </c>
      <c r="B111" s="927" t="s">
        <v>935</v>
      </c>
      <c r="C111" s="927" t="s">
        <v>936</v>
      </c>
      <c r="D111" s="927" t="s">
        <v>42</v>
      </c>
      <c r="E111" s="717">
        <v>44902</v>
      </c>
      <c r="F111" s="927" t="s">
        <v>55</v>
      </c>
      <c r="G111" s="927" t="s">
        <v>937</v>
      </c>
      <c r="I111" s="927"/>
      <c r="J111" s="131"/>
      <c r="K111" s="927" t="s">
        <v>938</v>
      </c>
      <c r="L111" t="s">
        <v>3795</v>
      </c>
      <c r="M111" s="927" t="s">
        <v>938</v>
      </c>
      <c r="N111" s="927" t="s">
        <v>938</v>
      </c>
      <c r="O111" s="927" t="s">
        <v>938</v>
      </c>
      <c r="P111" s="927" t="s">
        <v>322</v>
      </c>
      <c r="Q111" s="927" t="s">
        <v>323</v>
      </c>
      <c r="R111" s="927" t="s">
        <v>324</v>
      </c>
      <c r="S111">
        <v>854</v>
      </c>
      <c r="T111">
        <v>789</v>
      </c>
      <c r="U111">
        <v>822</v>
      </c>
      <c r="V111">
        <v>911</v>
      </c>
      <c r="W111">
        <v>1005</v>
      </c>
      <c r="X111">
        <v>1003</v>
      </c>
      <c r="Y111">
        <v>720</v>
      </c>
      <c r="Z111">
        <v>768</v>
      </c>
      <c r="AA111">
        <v>784</v>
      </c>
      <c r="AB111">
        <v>725</v>
      </c>
      <c r="AC111">
        <v>755</v>
      </c>
      <c r="AD111">
        <v>901</v>
      </c>
      <c r="AE111">
        <v>1060</v>
      </c>
      <c r="AF111" s="927" t="s">
        <v>305</v>
      </c>
      <c r="AG111" s="927"/>
      <c r="AH111" s="717">
        <v>45068</v>
      </c>
      <c r="AK111" s="927"/>
      <c r="AO111" s="927" t="s">
        <v>337</v>
      </c>
      <c r="AP111" s="927" t="s">
        <v>395</v>
      </c>
      <c r="AQ111" s="927" t="s">
        <v>939</v>
      </c>
    </row>
    <row r="112" spans="1:43">
      <c r="A112" s="927" t="s">
        <v>940</v>
      </c>
      <c r="B112" s="927" t="s">
        <v>941</v>
      </c>
      <c r="C112" s="927" t="s">
        <v>942</v>
      </c>
      <c r="D112" s="927" t="s">
        <v>42</v>
      </c>
      <c r="E112" s="717">
        <v>44957</v>
      </c>
      <c r="F112" s="927" t="s">
        <v>52</v>
      </c>
      <c r="G112" s="927" t="s">
        <v>943</v>
      </c>
      <c r="I112" s="927"/>
      <c r="J112" s="131"/>
      <c r="K112" s="927" t="s">
        <v>944</v>
      </c>
      <c r="L112" t="s">
        <v>3796</v>
      </c>
      <c r="M112" s="927" t="s">
        <v>945</v>
      </c>
      <c r="N112" s="927" t="s">
        <v>944</v>
      </c>
      <c r="O112" s="927" t="s">
        <v>945</v>
      </c>
      <c r="P112" s="927" t="s">
        <v>322</v>
      </c>
      <c r="Q112" s="927" t="s">
        <v>323</v>
      </c>
      <c r="R112" s="927" t="s">
        <v>555</v>
      </c>
      <c r="S112">
        <v>1000</v>
      </c>
      <c r="T112">
        <v>1427</v>
      </c>
      <c r="U112">
        <v>1390</v>
      </c>
      <c r="V112">
        <v>1150</v>
      </c>
      <c r="W112">
        <v>1075</v>
      </c>
      <c r="X112">
        <v>839</v>
      </c>
      <c r="Y112">
        <v>804</v>
      </c>
      <c r="Z112">
        <v>730</v>
      </c>
      <c r="AA112">
        <v>799</v>
      </c>
      <c r="AB112">
        <v>913</v>
      </c>
      <c r="AC112">
        <v>889</v>
      </c>
      <c r="AD112">
        <v>979</v>
      </c>
      <c r="AE112">
        <v>1005</v>
      </c>
      <c r="AF112" s="927" t="s">
        <v>305</v>
      </c>
      <c r="AG112" s="927"/>
      <c r="AH112" s="717">
        <v>45005</v>
      </c>
      <c r="AK112" s="927"/>
      <c r="AO112" s="927" t="s">
        <v>337</v>
      </c>
      <c r="AP112" s="927" t="s">
        <v>395</v>
      </c>
      <c r="AQ112" s="927" t="s">
        <v>5730</v>
      </c>
    </row>
    <row r="113" spans="1:43">
      <c r="A113" s="927" t="s">
        <v>946</v>
      </c>
      <c r="B113" s="927" t="s">
        <v>947</v>
      </c>
      <c r="C113" s="927" t="s">
        <v>948</v>
      </c>
      <c r="D113" s="927" t="s">
        <v>42</v>
      </c>
      <c r="E113" s="717">
        <v>44984</v>
      </c>
      <c r="F113" s="927" t="s">
        <v>61</v>
      </c>
      <c r="G113" s="927" t="s">
        <v>949</v>
      </c>
      <c r="I113" s="927"/>
      <c r="J113" s="131"/>
      <c r="K113" s="927" t="s">
        <v>950</v>
      </c>
      <c r="L113" t="s">
        <v>3797</v>
      </c>
      <c r="M113" s="927" t="s">
        <v>950</v>
      </c>
      <c r="N113" s="927" t="s">
        <v>950</v>
      </c>
      <c r="O113" s="927" t="s">
        <v>950</v>
      </c>
      <c r="P113" s="927" t="s">
        <v>379</v>
      </c>
      <c r="Q113" s="927" t="s">
        <v>323</v>
      </c>
      <c r="R113" s="927" t="s">
        <v>324</v>
      </c>
      <c r="S113">
        <v>1398</v>
      </c>
      <c r="T113">
        <v>2580</v>
      </c>
      <c r="U113">
        <v>2710</v>
      </c>
      <c r="V113">
        <v>1000</v>
      </c>
      <c r="W113">
        <v>900</v>
      </c>
      <c r="X113">
        <v>800</v>
      </c>
      <c r="Y113">
        <v>730</v>
      </c>
      <c r="Z113">
        <v>710</v>
      </c>
      <c r="AA113">
        <v>775</v>
      </c>
      <c r="AB113">
        <v>870</v>
      </c>
      <c r="AC113">
        <v>1585</v>
      </c>
      <c r="AD113">
        <v>1760</v>
      </c>
      <c r="AE113">
        <v>2350</v>
      </c>
      <c r="AF113" s="927" t="s">
        <v>305</v>
      </c>
      <c r="AG113" s="927"/>
      <c r="AH113" s="717">
        <v>45005</v>
      </c>
      <c r="AK113" s="927"/>
      <c r="AO113" s="927" t="s">
        <v>307</v>
      </c>
      <c r="AP113" s="927" t="s">
        <v>395</v>
      </c>
      <c r="AQ113" s="927" t="s">
        <v>951</v>
      </c>
    </row>
    <row r="114" spans="1:43">
      <c r="A114" s="927" t="s">
        <v>952</v>
      </c>
      <c r="B114" s="927" t="s">
        <v>953</v>
      </c>
      <c r="C114" s="927" t="s">
        <v>954</v>
      </c>
      <c r="D114" s="927" t="s">
        <v>33</v>
      </c>
      <c r="E114" s="717">
        <v>44991</v>
      </c>
      <c r="F114" s="927" t="s">
        <v>61</v>
      </c>
      <c r="G114" s="927" t="s">
        <v>955</v>
      </c>
      <c r="I114" s="927"/>
      <c r="J114" s="131"/>
      <c r="K114" s="927" t="s">
        <v>956</v>
      </c>
      <c r="L114" t="s">
        <v>3798</v>
      </c>
      <c r="M114" s="927" t="s">
        <v>956</v>
      </c>
      <c r="N114" s="927" t="s">
        <v>956</v>
      </c>
      <c r="O114" s="927" t="s">
        <v>956</v>
      </c>
      <c r="P114" s="927" t="s">
        <v>322</v>
      </c>
      <c r="Q114" s="927"/>
      <c r="R114" s="927"/>
      <c r="S114">
        <v>702</v>
      </c>
      <c r="T114">
        <v>999</v>
      </c>
      <c r="U114">
        <v>973</v>
      </c>
      <c r="V114">
        <v>805</v>
      </c>
      <c r="W114">
        <v>752</v>
      </c>
      <c r="X114">
        <v>587</v>
      </c>
      <c r="Y114">
        <v>504</v>
      </c>
      <c r="Z114">
        <v>511</v>
      </c>
      <c r="AA114">
        <v>560</v>
      </c>
      <c r="AB114">
        <v>588</v>
      </c>
      <c r="AC114">
        <v>622</v>
      </c>
      <c r="AD114">
        <v>685</v>
      </c>
      <c r="AE114">
        <v>840</v>
      </c>
      <c r="AF114" s="927" t="s">
        <v>305</v>
      </c>
      <c r="AG114" s="927"/>
      <c r="AH114" s="717"/>
      <c r="AK114" s="927"/>
      <c r="AO114" s="927"/>
      <c r="AP114" s="927"/>
      <c r="AQ114" s="927" t="s">
        <v>957</v>
      </c>
    </row>
    <row r="115" spans="1:43">
      <c r="A115" s="927" t="s">
        <v>958</v>
      </c>
      <c r="B115" s="927" t="s">
        <v>959</v>
      </c>
      <c r="C115" s="927" t="s">
        <v>960</v>
      </c>
      <c r="D115" s="927" t="s">
        <v>37</v>
      </c>
      <c r="E115" s="717">
        <v>44998</v>
      </c>
      <c r="F115" s="927" t="s">
        <v>61</v>
      </c>
      <c r="G115" s="927" t="s">
        <v>961</v>
      </c>
      <c r="I115" s="927"/>
      <c r="J115" s="131"/>
      <c r="K115" s="927" t="s">
        <v>962</v>
      </c>
      <c r="L115" t="s">
        <v>3799</v>
      </c>
      <c r="M115" s="927" t="s">
        <v>962</v>
      </c>
      <c r="N115" s="927" t="s">
        <v>962</v>
      </c>
      <c r="O115" s="927" t="s">
        <v>962</v>
      </c>
      <c r="P115" s="927" t="s">
        <v>322</v>
      </c>
      <c r="Q115" s="927" t="s">
        <v>323</v>
      </c>
      <c r="R115" s="927" t="s">
        <v>324</v>
      </c>
      <c r="S115">
        <v>442</v>
      </c>
      <c r="T115">
        <v>648</v>
      </c>
      <c r="U115">
        <v>621</v>
      </c>
      <c r="V115">
        <v>564</v>
      </c>
      <c r="W115">
        <v>532</v>
      </c>
      <c r="X115">
        <v>329</v>
      </c>
      <c r="Y115">
        <v>292</v>
      </c>
      <c r="Z115">
        <v>274</v>
      </c>
      <c r="AA115">
        <v>298</v>
      </c>
      <c r="AB115">
        <v>378</v>
      </c>
      <c r="AC115">
        <v>394</v>
      </c>
      <c r="AD115">
        <v>432</v>
      </c>
      <c r="AE115">
        <v>540</v>
      </c>
      <c r="AF115" s="927" t="s">
        <v>305</v>
      </c>
      <c r="AG115" s="927" t="s">
        <v>963</v>
      </c>
      <c r="AH115" s="717"/>
      <c r="AK115" s="927"/>
      <c r="AO115" s="927"/>
      <c r="AP115" s="927"/>
      <c r="AQ115" s="927" t="s">
        <v>964</v>
      </c>
    </row>
    <row r="116" spans="1:43">
      <c r="A116" s="927" t="s">
        <v>965</v>
      </c>
      <c r="B116" s="927" t="s">
        <v>966</v>
      </c>
      <c r="C116" s="927" t="s">
        <v>967</v>
      </c>
      <c r="D116" s="927" t="s">
        <v>43</v>
      </c>
      <c r="E116" s="717">
        <v>44999</v>
      </c>
      <c r="F116" s="927" t="s">
        <v>61</v>
      </c>
      <c r="G116" s="927" t="s">
        <v>968</v>
      </c>
      <c r="I116" s="927"/>
      <c r="J116" s="131"/>
      <c r="K116" s="927" t="s">
        <v>969</v>
      </c>
      <c r="L116" t="s">
        <v>3800</v>
      </c>
      <c r="M116" s="927" t="s">
        <v>969</v>
      </c>
      <c r="N116" s="927" t="s">
        <v>969</v>
      </c>
      <c r="O116" s="927" t="s">
        <v>969</v>
      </c>
      <c r="P116" s="927" t="s">
        <v>322</v>
      </c>
      <c r="Q116" s="927"/>
      <c r="R116" s="927" t="s">
        <v>324</v>
      </c>
      <c r="S116">
        <v>7022</v>
      </c>
      <c r="T116">
        <v>9989</v>
      </c>
      <c r="U116">
        <v>9727</v>
      </c>
      <c r="V116">
        <v>8047</v>
      </c>
      <c r="W116">
        <v>7524</v>
      </c>
      <c r="X116">
        <v>5874</v>
      </c>
      <c r="Y116">
        <v>5040</v>
      </c>
      <c r="Z116">
        <v>5107</v>
      </c>
      <c r="AA116">
        <v>5596</v>
      </c>
      <c r="AB116">
        <v>5880</v>
      </c>
      <c r="AC116">
        <v>6224</v>
      </c>
      <c r="AD116">
        <v>6854</v>
      </c>
      <c r="AE116">
        <v>8400</v>
      </c>
      <c r="AF116" s="927"/>
      <c r="AG116" s="927"/>
      <c r="AH116" s="717"/>
      <c r="AK116" s="927"/>
      <c r="AO116" s="927"/>
      <c r="AP116" s="927"/>
      <c r="AQ116" s="927" t="s">
        <v>970</v>
      </c>
    </row>
    <row r="117" spans="1:43">
      <c r="A117" s="927" t="s">
        <v>971</v>
      </c>
      <c r="B117" s="927" t="s">
        <v>972</v>
      </c>
      <c r="C117" s="927" t="s">
        <v>973</v>
      </c>
      <c r="D117" s="927" t="s">
        <v>36</v>
      </c>
      <c r="E117" s="717">
        <v>45033</v>
      </c>
      <c r="F117" s="927" t="s">
        <v>52</v>
      </c>
      <c r="G117" s="927" t="s">
        <v>974</v>
      </c>
      <c r="I117" s="927"/>
      <c r="J117" s="131"/>
      <c r="K117" s="927" t="s">
        <v>975</v>
      </c>
      <c r="L117" t="s">
        <v>3801</v>
      </c>
      <c r="M117" s="927" t="s">
        <v>976</v>
      </c>
      <c r="N117" s="927" t="s">
        <v>975</v>
      </c>
      <c r="O117" s="927" t="s">
        <v>976</v>
      </c>
      <c r="P117" s="927" t="s">
        <v>322</v>
      </c>
      <c r="Q117" s="927"/>
      <c r="R117" s="927"/>
      <c r="S117">
        <v>8025</v>
      </c>
      <c r="T117">
        <v>11416</v>
      </c>
      <c r="U117">
        <v>11116</v>
      </c>
      <c r="V117">
        <v>9196</v>
      </c>
      <c r="W117">
        <v>8599</v>
      </c>
      <c r="X117">
        <v>6713</v>
      </c>
      <c r="Y117">
        <v>5760</v>
      </c>
      <c r="Z117">
        <v>5837</v>
      </c>
      <c r="AA117">
        <v>6395</v>
      </c>
      <c r="AB117">
        <v>6720</v>
      </c>
      <c r="AC117">
        <v>7113</v>
      </c>
      <c r="AD117">
        <v>7833</v>
      </c>
      <c r="AE117">
        <v>9600</v>
      </c>
      <c r="AF117" s="927" t="s">
        <v>305</v>
      </c>
      <c r="AG117" s="927"/>
      <c r="AH117" s="717"/>
      <c r="AK117" s="927"/>
      <c r="AO117" s="927"/>
      <c r="AP117" s="927"/>
      <c r="AQ117" s="927" t="s">
        <v>977</v>
      </c>
    </row>
    <row r="118" spans="1:43">
      <c r="A118" s="927" t="s">
        <v>978</v>
      </c>
      <c r="B118" s="927" t="s">
        <v>979</v>
      </c>
      <c r="C118" s="927" t="s">
        <v>980</v>
      </c>
      <c r="D118" s="927" t="s">
        <v>32</v>
      </c>
      <c r="E118" s="717">
        <v>45041</v>
      </c>
      <c r="F118" s="927" t="s">
        <v>50</v>
      </c>
      <c r="G118" s="927" t="s">
        <v>981</v>
      </c>
      <c r="I118" s="927"/>
      <c r="J118" s="131"/>
      <c r="K118" s="927" t="s">
        <v>982</v>
      </c>
      <c r="L118" t="s">
        <v>3802</v>
      </c>
      <c r="M118" s="927" t="s">
        <v>982</v>
      </c>
      <c r="N118" s="927" t="s">
        <v>982</v>
      </c>
      <c r="O118" s="927" t="s">
        <v>982</v>
      </c>
      <c r="P118" s="927" t="s">
        <v>322</v>
      </c>
      <c r="Q118" s="927" t="s">
        <v>323</v>
      </c>
      <c r="R118" s="927" t="s">
        <v>324</v>
      </c>
      <c r="S118">
        <v>1500</v>
      </c>
      <c r="T118">
        <v>2140</v>
      </c>
      <c r="U118">
        <v>2084</v>
      </c>
      <c r="V118">
        <v>1724</v>
      </c>
      <c r="W118">
        <v>1612</v>
      </c>
      <c r="X118">
        <v>1240</v>
      </c>
      <c r="Y118">
        <v>1060</v>
      </c>
      <c r="Z118">
        <v>1084</v>
      </c>
      <c r="AA118">
        <v>1199</v>
      </c>
      <c r="AB118">
        <v>1254</v>
      </c>
      <c r="AC118">
        <v>1334</v>
      </c>
      <c r="AD118">
        <v>1469</v>
      </c>
      <c r="AE118">
        <v>1800</v>
      </c>
      <c r="AF118" s="927" t="s">
        <v>305</v>
      </c>
      <c r="AG118" s="927"/>
      <c r="AH118" s="717">
        <v>45057</v>
      </c>
      <c r="AI118">
        <v>14.3</v>
      </c>
      <c r="AJ118">
        <v>46000</v>
      </c>
      <c r="AK118" s="927" t="s">
        <v>351</v>
      </c>
      <c r="AL118">
        <v>26</v>
      </c>
      <c r="AM118">
        <v>550</v>
      </c>
      <c r="AO118" s="927"/>
      <c r="AP118" s="927"/>
      <c r="AQ118" s="927" t="s">
        <v>983</v>
      </c>
    </row>
    <row r="119" spans="1:43">
      <c r="A119" s="927" t="s">
        <v>984</v>
      </c>
      <c r="B119" s="927" t="s">
        <v>985</v>
      </c>
      <c r="C119" s="927" t="s">
        <v>986</v>
      </c>
      <c r="D119" s="927" t="s">
        <v>42</v>
      </c>
      <c r="E119" s="717">
        <v>45051</v>
      </c>
      <c r="F119" s="927" t="s">
        <v>61</v>
      </c>
      <c r="G119" s="927" t="s">
        <v>987</v>
      </c>
      <c r="I119" s="927"/>
      <c r="J119" s="131"/>
      <c r="K119" s="927" t="s">
        <v>306</v>
      </c>
      <c r="M119" s="927" t="s">
        <v>306</v>
      </c>
      <c r="N119" s="927" t="s">
        <v>306</v>
      </c>
      <c r="O119" s="927" t="s">
        <v>306</v>
      </c>
      <c r="P119" s="927" t="s">
        <v>379</v>
      </c>
      <c r="Q119" s="927" t="s">
        <v>323</v>
      </c>
      <c r="R119" s="927"/>
      <c r="S119">
        <v>602</v>
      </c>
      <c r="T119">
        <v>856</v>
      </c>
      <c r="U119">
        <v>834</v>
      </c>
      <c r="V119">
        <v>690</v>
      </c>
      <c r="W119">
        <v>645</v>
      </c>
      <c r="X119">
        <v>503</v>
      </c>
      <c r="Y119">
        <v>432</v>
      </c>
      <c r="Z119">
        <v>438</v>
      </c>
      <c r="AA119">
        <v>480</v>
      </c>
      <c r="AB119">
        <v>504</v>
      </c>
      <c r="AC119">
        <v>533</v>
      </c>
      <c r="AD119">
        <v>587</v>
      </c>
      <c r="AE119">
        <v>720</v>
      </c>
      <c r="AF119" s="927"/>
      <c r="AG119" s="927"/>
      <c r="AH119" s="717">
        <v>45068</v>
      </c>
      <c r="AK119" s="927"/>
      <c r="AO119" s="927" t="s">
        <v>307</v>
      </c>
      <c r="AP119" s="927" t="s">
        <v>308</v>
      </c>
      <c r="AQ119" s="927" t="s">
        <v>988</v>
      </c>
    </row>
    <row r="120" spans="1:43">
      <c r="A120" s="927" t="s">
        <v>989</v>
      </c>
      <c r="B120" s="927" t="s">
        <v>990</v>
      </c>
      <c r="C120" s="927" t="s">
        <v>991</v>
      </c>
      <c r="D120" s="927" t="s">
        <v>32</v>
      </c>
      <c r="E120" s="717">
        <v>45061</v>
      </c>
      <c r="F120" s="927" t="s">
        <v>61</v>
      </c>
      <c r="G120" s="927" t="s">
        <v>992</v>
      </c>
      <c r="I120" s="927"/>
      <c r="J120" s="131"/>
      <c r="K120" s="927" t="s">
        <v>993</v>
      </c>
      <c r="L120" t="s">
        <v>993</v>
      </c>
      <c r="M120" s="927" t="s">
        <v>993</v>
      </c>
      <c r="N120" s="927" t="s">
        <v>993</v>
      </c>
      <c r="O120" s="927" t="s">
        <v>993</v>
      </c>
      <c r="P120" s="927" t="s">
        <v>379</v>
      </c>
      <c r="Q120" s="927"/>
      <c r="R120" s="927"/>
      <c r="S120">
        <v>418</v>
      </c>
      <c r="T120">
        <v>452</v>
      </c>
      <c r="U120">
        <v>525</v>
      </c>
      <c r="V120">
        <v>564</v>
      </c>
      <c r="W120">
        <v>433</v>
      </c>
      <c r="X120">
        <v>333</v>
      </c>
      <c r="Y120">
        <v>361</v>
      </c>
      <c r="Z120">
        <v>326</v>
      </c>
      <c r="AA120">
        <v>352</v>
      </c>
      <c r="AB120">
        <v>375</v>
      </c>
      <c r="AC120">
        <v>386</v>
      </c>
      <c r="AD120">
        <v>452</v>
      </c>
      <c r="AE120">
        <v>457</v>
      </c>
      <c r="AF120" s="927" t="s">
        <v>305</v>
      </c>
      <c r="AG120" s="927"/>
      <c r="AH120" s="717"/>
      <c r="AK120" s="927"/>
      <c r="AO120" s="927"/>
      <c r="AP120" s="927"/>
      <c r="AQ120" s="927" t="s">
        <v>994</v>
      </c>
    </row>
    <row r="121" spans="1:43">
      <c r="A121" s="927" t="s">
        <v>995</v>
      </c>
      <c r="B121" s="927" t="s">
        <v>996</v>
      </c>
      <c r="C121" s="927" t="s">
        <v>997</v>
      </c>
      <c r="D121" s="927" t="s">
        <v>36</v>
      </c>
      <c r="E121" s="717">
        <v>45092</v>
      </c>
      <c r="F121" s="927" t="s">
        <v>48</v>
      </c>
      <c r="G121" s="927" t="s">
        <v>998</v>
      </c>
      <c r="I121" s="927"/>
      <c r="J121" s="131"/>
      <c r="K121" s="927" t="s">
        <v>999</v>
      </c>
      <c r="L121" t="s">
        <v>3803</v>
      </c>
      <c r="M121" s="927" t="s">
        <v>3634</v>
      </c>
      <c r="N121" s="927" t="s">
        <v>999</v>
      </c>
      <c r="O121" s="927" t="s">
        <v>3634</v>
      </c>
      <c r="P121" s="927" t="s">
        <v>379</v>
      </c>
      <c r="Q121" s="927" t="s">
        <v>323</v>
      </c>
      <c r="R121" s="927" t="s">
        <v>324</v>
      </c>
      <c r="S121">
        <v>377</v>
      </c>
      <c r="T121">
        <v>198</v>
      </c>
      <c r="U121">
        <v>400</v>
      </c>
      <c r="V121">
        <v>437</v>
      </c>
      <c r="W121">
        <v>464</v>
      </c>
      <c r="X121">
        <v>482</v>
      </c>
      <c r="Y121">
        <v>442</v>
      </c>
      <c r="Z121">
        <v>352</v>
      </c>
      <c r="AA121">
        <v>398</v>
      </c>
      <c r="AB121">
        <v>332</v>
      </c>
      <c r="AC121">
        <v>419</v>
      </c>
      <c r="AD121">
        <v>218</v>
      </c>
      <c r="AE121">
        <v>382</v>
      </c>
      <c r="AF121" s="927"/>
      <c r="AG121" s="927"/>
      <c r="AH121" s="717">
        <v>45195</v>
      </c>
      <c r="AK121" s="927"/>
      <c r="AO121" s="927"/>
      <c r="AP121" s="927"/>
      <c r="AQ121" s="927" t="s">
        <v>1000</v>
      </c>
    </row>
    <row r="122" spans="1:43">
      <c r="A122" s="927" t="s">
        <v>1001</v>
      </c>
      <c r="B122" s="927" t="s">
        <v>1002</v>
      </c>
      <c r="C122" s="927" t="s">
        <v>1003</v>
      </c>
      <c r="D122" s="927" t="s">
        <v>33</v>
      </c>
      <c r="E122" s="717">
        <v>45132</v>
      </c>
      <c r="F122" s="927" t="s">
        <v>58</v>
      </c>
      <c r="G122" s="927" t="s">
        <v>1004</v>
      </c>
      <c r="I122" s="927"/>
      <c r="J122" s="131"/>
      <c r="K122" s="927" t="s">
        <v>1005</v>
      </c>
      <c r="L122" t="s">
        <v>3804</v>
      </c>
      <c r="M122" s="927" t="s">
        <v>3635</v>
      </c>
      <c r="N122" s="927" t="s">
        <v>1005</v>
      </c>
      <c r="O122" s="927" t="s">
        <v>3635</v>
      </c>
      <c r="P122" s="927" t="s">
        <v>322</v>
      </c>
      <c r="Q122" s="927" t="s">
        <v>323</v>
      </c>
      <c r="R122" s="927" t="s">
        <v>324</v>
      </c>
      <c r="S122">
        <v>5695</v>
      </c>
      <c r="V122">
        <v>6678</v>
      </c>
      <c r="W122">
        <v>4711</v>
      </c>
      <c r="AF122" s="927"/>
      <c r="AG122" s="927" t="s">
        <v>963</v>
      </c>
      <c r="AH122" s="717"/>
      <c r="AK122" s="927"/>
      <c r="AO122" s="927"/>
      <c r="AP122" s="927"/>
      <c r="AQ122" s="927" t="s">
        <v>1006</v>
      </c>
    </row>
    <row r="123" spans="1:43">
      <c r="A123" s="927" t="s">
        <v>1007</v>
      </c>
      <c r="B123" s="927" t="s">
        <v>1008</v>
      </c>
      <c r="C123" s="927" t="s">
        <v>1009</v>
      </c>
      <c r="D123" s="927" t="s">
        <v>36</v>
      </c>
      <c r="E123" s="717">
        <v>45139</v>
      </c>
      <c r="F123" s="927" t="s">
        <v>61</v>
      </c>
      <c r="G123" s="927" t="s">
        <v>1010</v>
      </c>
      <c r="I123" s="927"/>
      <c r="J123" s="131"/>
      <c r="K123" s="927" t="s">
        <v>1011</v>
      </c>
      <c r="L123" t="s">
        <v>3805</v>
      </c>
      <c r="M123" s="927" t="s">
        <v>3636</v>
      </c>
      <c r="N123" s="927" t="s">
        <v>1011</v>
      </c>
      <c r="O123" s="927" t="s">
        <v>3636</v>
      </c>
      <c r="P123" s="927" t="s">
        <v>322</v>
      </c>
      <c r="Q123" s="927" t="s">
        <v>323</v>
      </c>
      <c r="R123" s="927" t="s">
        <v>324</v>
      </c>
      <c r="S123">
        <v>500</v>
      </c>
      <c r="T123">
        <v>720</v>
      </c>
      <c r="U123">
        <v>690</v>
      </c>
      <c r="V123">
        <v>576</v>
      </c>
      <c r="W123">
        <v>534</v>
      </c>
      <c r="X123">
        <v>420</v>
      </c>
      <c r="Y123">
        <v>360</v>
      </c>
      <c r="Z123">
        <v>360</v>
      </c>
      <c r="AA123">
        <v>402</v>
      </c>
      <c r="AB123">
        <v>420</v>
      </c>
      <c r="AC123">
        <v>438</v>
      </c>
      <c r="AD123">
        <v>480</v>
      </c>
      <c r="AE123">
        <v>600</v>
      </c>
      <c r="AF123" s="927" t="s">
        <v>305</v>
      </c>
      <c r="AG123" s="927" t="s">
        <v>963</v>
      </c>
      <c r="AH123" s="717">
        <v>45209</v>
      </c>
      <c r="AK123" s="927"/>
      <c r="AO123" s="927"/>
      <c r="AP123" s="927"/>
      <c r="AQ123" s="927" t="s">
        <v>1012</v>
      </c>
    </row>
    <row r="124" spans="1:43">
      <c r="A124" s="927" t="s">
        <v>1013</v>
      </c>
      <c r="B124" s="927" t="s">
        <v>1014</v>
      </c>
      <c r="C124" s="927" t="s">
        <v>1015</v>
      </c>
      <c r="D124" s="927" t="s">
        <v>42</v>
      </c>
      <c r="E124" s="717">
        <v>45149</v>
      </c>
      <c r="F124" s="927" t="s">
        <v>58</v>
      </c>
      <c r="G124" s="927" t="s">
        <v>1016</v>
      </c>
      <c r="I124" s="927"/>
      <c r="J124" s="131"/>
      <c r="K124" s="927" t="s">
        <v>1017</v>
      </c>
      <c r="L124" t="s">
        <v>3806</v>
      </c>
      <c r="M124" s="927" t="s">
        <v>1017</v>
      </c>
      <c r="N124" s="927" t="s">
        <v>1017</v>
      </c>
      <c r="O124" s="927" t="s">
        <v>1017</v>
      </c>
      <c r="P124" s="927"/>
      <c r="Q124" s="927"/>
      <c r="R124" s="927"/>
      <c r="AF124" s="927"/>
      <c r="AG124" s="927"/>
      <c r="AH124" s="717">
        <v>45163</v>
      </c>
      <c r="AK124" s="927"/>
      <c r="AO124" s="927" t="s">
        <v>337</v>
      </c>
      <c r="AP124" s="927" t="s">
        <v>395</v>
      </c>
      <c r="AQ124" s="927" t="s">
        <v>1018</v>
      </c>
    </row>
    <row r="125" spans="1:43">
      <c r="A125" s="927" t="s">
        <v>1019</v>
      </c>
      <c r="B125" s="927" t="s">
        <v>1020</v>
      </c>
      <c r="C125" s="927" t="s">
        <v>1021</v>
      </c>
      <c r="D125" s="927" t="s">
        <v>42</v>
      </c>
      <c r="E125" s="717">
        <v>45148</v>
      </c>
      <c r="F125" s="927" t="s">
        <v>58</v>
      </c>
      <c r="G125" s="927" t="s">
        <v>1022</v>
      </c>
      <c r="I125" s="927"/>
      <c r="J125" s="131"/>
      <c r="K125" s="927" t="s">
        <v>1023</v>
      </c>
      <c r="L125" t="s">
        <v>3807</v>
      </c>
      <c r="M125" s="927" t="s">
        <v>560</v>
      </c>
      <c r="N125" s="927" t="s">
        <v>3808</v>
      </c>
      <c r="O125" s="927" t="s">
        <v>1024</v>
      </c>
      <c r="P125" s="927"/>
      <c r="Q125" s="927"/>
      <c r="R125" s="927"/>
      <c r="AF125" s="927"/>
      <c r="AG125" s="927"/>
      <c r="AH125" s="717">
        <v>45163</v>
      </c>
      <c r="AK125" s="927"/>
      <c r="AO125" s="927" t="s">
        <v>337</v>
      </c>
      <c r="AP125" s="927" t="s">
        <v>395</v>
      </c>
      <c r="AQ125" s="927" t="s">
        <v>1018</v>
      </c>
    </row>
    <row r="126" spans="1:43">
      <c r="A126" s="927" t="s">
        <v>1025</v>
      </c>
      <c r="B126" s="927" t="s">
        <v>1026</v>
      </c>
      <c r="C126" s="927" t="s">
        <v>1027</v>
      </c>
      <c r="D126" s="927" t="s">
        <v>42</v>
      </c>
      <c r="E126" s="717">
        <v>45147</v>
      </c>
      <c r="F126" s="927" t="s">
        <v>58</v>
      </c>
      <c r="G126" s="927" t="s">
        <v>1028</v>
      </c>
      <c r="I126" s="927"/>
      <c r="J126" s="131"/>
      <c r="K126" s="927" t="s">
        <v>306</v>
      </c>
      <c r="M126" s="927" t="s">
        <v>306</v>
      </c>
      <c r="N126" s="927" t="s">
        <v>306</v>
      </c>
      <c r="O126" s="927" t="s">
        <v>306</v>
      </c>
      <c r="P126" s="927"/>
      <c r="Q126" s="927"/>
      <c r="R126" s="927"/>
      <c r="AF126" s="927"/>
      <c r="AG126" s="927"/>
      <c r="AH126" s="717">
        <v>45163</v>
      </c>
      <c r="AK126" s="927"/>
      <c r="AO126" s="927" t="s">
        <v>337</v>
      </c>
      <c r="AP126" s="927" t="s">
        <v>395</v>
      </c>
      <c r="AQ126" s="927" t="s">
        <v>1018</v>
      </c>
    </row>
    <row r="127" spans="1:43">
      <c r="A127" s="927" t="s">
        <v>1029</v>
      </c>
      <c r="B127" s="927" t="s">
        <v>1030</v>
      </c>
      <c r="C127" s="927" t="s">
        <v>1031</v>
      </c>
      <c r="D127" s="927" t="s">
        <v>42</v>
      </c>
      <c r="E127" s="717">
        <v>45145</v>
      </c>
      <c r="F127" s="927" t="s">
        <v>58</v>
      </c>
      <c r="G127" s="927" t="s">
        <v>1032</v>
      </c>
      <c r="I127" s="927"/>
      <c r="J127" s="131"/>
      <c r="K127" s="927" t="s">
        <v>306</v>
      </c>
      <c r="M127" s="927" t="s">
        <v>306</v>
      </c>
      <c r="N127" s="927" t="s">
        <v>306</v>
      </c>
      <c r="O127" s="927" t="s">
        <v>306</v>
      </c>
      <c r="P127" s="927"/>
      <c r="Q127" s="927"/>
      <c r="R127" s="927"/>
      <c r="AF127" s="927"/>
      <c r="AG127" s="927"/>
      <c r="AH127" s="717">
        <v>45163</v>
      </c>
      <c r="AK127" s="927"/>
      <c r="AO127" s="927" t="s">
        <v>337</v>
      </c>
      <c r="AP127" s="927" t="s">
        <v>395</v>
      </c>
      <c r="AQ127" s="927" t="s">
        <v>1018</v>
      </c>
    </row>
    <row r="128" spans="1:43">
      <c r="A128" s="927" t="s">
        <v>1033</v>
      </c>
      <c r="B128" s="927" t="s">
        <v>1034</v>
      </c>
      <c r="C128" s="927" t="s">
        <v>1035</v>
      </c>
      <c r="D128" s="927" t="s">
        <v>42</v>
      </c>
      <c r="E128" s="717">
        <v>45151</v>
      </c>
      <c r="F128" s="927" t="s">
        <v>58</v>
      </c>
      <c r="G128" s="927" t="s">
        <v>1036</v>
      </c>
      <c r="I128" s="927"/>
      <c r="J128" s="131"/>
      <c r="K128" s="927" t="s">
        <v>306</v>
      </c>
      <c r="M128" s="927" t="s">
        <v>306</v>
      </c>
      <c r="N128" s="927" t="s">
        <v>306</v>
      </c>
      <c r="O128" s="927" t="s">
        <v>306</v>
      </c>
      <c r="P128" s="927"/>
      <c r="Q128" s="927"/>
      <c r="R128" s="927"/>
      <c r="AF128" s="927"/>
      <c r="AG128" s="927"/>
      <c r="AH128" s="717">
        <v>45163</v>
      </c>
      <c r="AK128" s="927"/>
      <c r="AO128" s="927" t="s">
        <v>337</v>
      </c>
      <c r="AP128" s="927" t="s">
        <v>395</v>
      </c>
      <c r="AQ128" s="927" t="s">
        <v>1018</v>
      </c>
    </row>
    <row r="129" spans="1:43">
      <c r="A129" s="927" t="s">
        <v>1037</v>
      </c>
      <c r="B129" s="927" t="s">
        <v>1038</v>
      </c>
      <c r="C129" s="927" t="s">
        <v>1039</v>
      </c>
      <c r="D129" s="927" t="s">
        <v>42</v>
      </c>
      <c r="E129" s="717">
        <v>45151</v>
      </c>
      <c r="F129" s="927" t="s">
        <v>58</v>
      </c>
      <c r="G129" s="927" t="s">
        <v>1040</v>
      </c>
      <c r="I129" s="927"/>
      <c r="J129" s="131"/>
      <c r="K129" s="927" t="s">
        <v>306</v>
      </c>
      <c r="M129" s="927" t="s">
        <v>306</v>
      </c>
      <c r="N129" s="927" t="s">
        <v>306</v>
      </c>
      <c r="O129" s="927" t="s">
        <v>306</v>
      </c>
      <c r="P129" s="927"/>
      <c r="Q129" s="927"/>
      <c r="R129" s="927"/>
      <c r="AF129" s="927"/>
      <c r="AG129" s="927"/>
      <c r="AH129" s="717">
        <v>45163</v>
      </c>
      <c r="AK129" s="927"/>
      <c r="AO129" s="927" t="s">
        <v>337</v>
      </c>
      <c r="AP129" s="927" t="s">
        <v>395</v>
      </c>
      <c r="AQ129" s="927" t="s">
        <v>1018</v>
      </c>
    </row>
    <row r="130" spans="1:43">
      <c r="A130" s="927" t="s">
        <v>1041</v>
      </c>
      <c r="B130" s="927" t="s">
        <v>1042</v>
      </c>
      <c r="C130" s="927" t="s">
        <v>1043</v>
      </c>
      <c r="D130" s="927" t="s">
        <v>42</v>
      </c>
      <c r="E130" s="717">
        <v>45153</v>
      </c>
      <c r="F130" s="927" t="s">
        <v>58</v>
      </c>
      <c r="G130" s="927" t="s">
        <v>1044</v>
      </c>
      <c r="I130" s="927"/>
      <c r="J130" s="131"/>
      <c r="K130" s="927" t="s">
        <v>306</v>
      </c>
      <c r="M130" s="927" t="s">
        <v>306</v>
      </c>
      <c r="N130" s="927" t="s">
        <v>306</v>
      </c>
      <c r="O130" s="927" t="s">
        <v>306</v>
      </c>
      <c r="P130" s="927"/>
      <c r="Q130" s="927"/>
      <c r="R130" s="927"/>
      <c r="AF130" s="927"/>
      <c r="AG130" s="927"/>
      <c r="AH130" s="717">
        <v>45163</v>
      </c>
      <c r="AK130" s="927"/>
      <c r="AO130" s="927" t="s">
        <v>337</v>
      </c>
      <c r="AP130" s="927" t="s">
        <v>395</v>
      </c>
      <c r="AQ130" s="927" t="s">
        <v>1045</v>
      </c>
    </row>
    <row r="131" spans="1:43">
      <c r="A131" s="927" t="s">
        <v>5731</v>
      </c>
      <c r="B131" s="927" t="s">
        <v>1046</v>
      </c>
      <c r="C131" s="927" t="s">
        <v>5732</v>
      </c>
      <c r="D131" s="927" t="s">
        <v>42</v>
      </c>
      <c r="E131" s="717">
        <v>45153</v>
      </c>
      <c r="F131" s="927" t="s">
        <v>48</v>
      </c>
      <c r="G131" s="927" t="s">
        <v>1047</v>
      </c>
      <c r="I131" s="927"/>
      <c r="J131" s="131"/>
      <c r="K131" s="927" t="s">
        <v>306</v>
      </c>
      <c r="M131" s="927" t="s">
        <v>306</v>
      </c>
      <c r="N131" s="927" t="s">
        <v>306</v>
      </c>
      <c r="O131" s="927" t="s">
        <v>306</v>
      </c>
      <c r="P131" s="927"/>
      <c r="Q131" s="927"/>
      <c r="R131" s="927"/>
      <c r="AF131" s="927"/>
      <c r="AG131" s="927"/>
      <c r="AH131" s="717">
        <v>45163</v>
      </c>
      <c r="AK131" s="927"/>
      <c r="AO131" s="927" t="s">
        <v>337</v>
      </c>
      <c r="AP131" s="927" t="s">
        <v>395</v>
      </c>
      <c r="AQ131" s="927" t="s">
        <v>1048</v>
      </c>
    </row>
    <row r="132" spans="1:43">
      <c r="A132" s="927" t="s">
        <v>1049</v>
      </c>
      <c r="B132" s="927" t="s">
        <v>1050</v>
      </c>
      <c r="C132" s="927" t="s">
        <v>1051</v>
      </c>
      <c r="D132" s="927" t="s">
        <v>42</v>
      </c>
      <c r="E132" s="717">
        <v>45153</v>
      </c>
      <c r="F132" s="927" t="s">
        <v>58</v>
      </c>
      <c r="G132" s="927" t="s">
        <v>1052</v>
      </c>
      <c r="I132" s="927"/>
      <c r="J132" s="131"/>
      <c r="K132" s="927" t="s">
        <v>306</v>
      </c>
      <c r="M132" s="927" t="s">
        <v>306</v>
      </c>
      <c r="N132" s="927" t="s">
        <v>306</v>
      </c>
      <c r="O132" s="927" t="s">
        <v>306</v>
      </c>
      <c r="P132" s="927"/>
      <c r="Q132" s="927"/>
      <c r="R132" s="927"/>
      <c r="AF132" s="927"/>
      <c r="AG132" s="927"/>
      <c r="AH132" s="717">
        <v>45163</v>
      </c>
      <c r="AK132" s="927"/>
      <c r="AO132" s="927" t="s">
        <v>337</v>
      </c>
      <c r="AP132" s="927" t="s">
        <v>44</v>
      </c>
      <c r="AQ132" s="927" t="s">
        <v>1053</v>
      </c>
    </row>
    <row r="133" spans="1:43">
      <c r="A133" s="927" t="s">
        <v>1054</v>
      </c>
      <c r="B133" s="927" t="s">
        <v>1055</v>
      </c>
      <c r="C133" s="927" t="s">
        <v>1056</v>
      </c>
      <c r="D133" s="927" t="s">
        <v>42</v>
      </c>
      <c r="E133" s="717">
        <v>45153</v>
      </c>
      <c r="F133" s="927" t="s">
        <v>58</v>
      </c>
      <c r="G133" s="927" t="s">
        <v>1057</v>
      </c>
      <c r="I133" s="927"/>
      <c r="J133" s="131"/>
      <c r="K133" s="927" t="s">
        <v>306</v>
      </c>
      <c r="M133" s="927" t="s">
        <v>306</v>
      </c>
      <c r="N133" s="927" t="s">
        <v>306</v>
      </c>
      <c r="O133" s="927" t="s">
        <v>306</v>
      </c>
      <c r="P133" s="927"/>
      <c r="Q133" s="927"/>
      <c r="R133" s="927"/>
      <c r="AF133" s="927"/>
      <c r="AG133" s="927"/>
      <c r="AH133" s="717">
        <v>45166</v>
      </c>
      <c r="AK133" s="927"/>
      <c r="AO133" s="927" t="s">
        <v>337</v>
      </c>
      <c r="AP133" s="927" t="s">
        <v>395</v>
      </c>
      <c r="AQ133" s="927" t="s">
        <v>1018</v>
      </c>
    </row>
    <row r="134" spans="1:43">
      <c r="A134" s="927" t="s">
        <v>1058</v>
      </c>
      <c r="B134" s="927" t="s">
        <v>1059</v>
      </c>
      <c r="C134" s="927" t="s">
        <v>1060</v>
      </c>
      <c r="D134" s="927" t="s">
        <v>42</v>
      </c>
      <c r="E134" s="717">
        <v>45154</v>
      </c>
      <c r="F134" s="927" t="s">
        <v>58</v>
      </c>
      <c r="G134" s="927" t="s">
        <v>1061</v>
      </c>
      <c r="I134" s="927"/>
      <c r="J134" s="131"/>
      <c r="K134" s="927" t="s">
        <v>306</v>
      </c>
      <c r="M134" s="927" t="s">
        <v>306</v>
      </c>
      <c r="N134" s="927" t="s">
        <v>306</v>
      </c>
      <c r="O134" s="927" t="s">
        <v>306</v>
      </c>
      <c r="P134" s="927"/>
      <c r="Q134" s="927"/>
      <c r="R134" s="927"/>
      <c r="AF134" s="927"/>
      <c r="AG134" s="927"/>
      <c r="AH134" s="717">
        <v>45163</v>
      </c>
      <c r="AK134" s="927"/>
      <c r="AO134" s="927" t="s">
        <v>337</v>
      </c>
      <c r="AP134" s="927" t="s">
        <v>44</v>
      </c>
      <c r="AQ134" s="927" t="s">
        <v>1062</v>
      </c>
    </row>
    <row r="135" spans="1:43">
      <c r="A135" s="927" t="s">
        <v>1063</v>
      </c>
      <c r="B135" s="927" t="s">
        <v>1064</v>
      </c>
      <c r="C135" s="927" t="s">
        <v>1065</v>
      </c>
      <c r="D135" s="927" t="s">
        <v>42</v>
      </c>
      <c r="E135" s="717">
        <v>45154</v>
      </c>
      <c r="F135" s="927" t="s">
        <v>58</v>
      </c>
      <c r="G135" s="927" t="s">
        <v>1066</v>
      </c>
      <c r="I135" s="927"/>
      <c r="J135" s="131"/>
      <c r="K135" s="927" t="s">
        <v>306</v>
      </c>
      <c r="M135" s="927" t="s">
        <v>306</v>
      </c>
      <c r="N135" s="927" t="s">
        <v>306</v>
      </c>
      <c r="O135" s="927" t="s">
        <v>306</v>
      </c>
      <c r="P135" s="927"/>
      <c r="Q135" s="927"/>
      <c r="R135" s="927"/>
      <c r="AF135" s="927"/>
      <c r="AG135" s="927"/>
      <c r="AH135" s="717">
        <v>45166</v>
      </c>
      <c r="AK135" s="927"/>
      <c r="AO135" s="927" t="s">
        <v>337</v>
      </c>
      <c r="AP135" s="927" t="s">
        <v>395</v>
      </c>
      <c r="AQ135" s="927" t="s">
        <v>1018</v>
      </c>
    </row>
    <row r="136" spans="1:43">
      <c r="A136" s="927" t="s">
        <v>1067</v>
      </c>
      <c r="B136" s="927" t="s">
        <v>1068</v>
      </c>
      <c r="C136" s="927" t="s">
        <v>1069</v>
      </c>
      <c r="D136" s="927" t="s">
        <v>42</v>
      </c>
      <c r="E136" s="717">
        <v>45154</v>
      </c>
      <c r="F136" s="927" t="s">
        <v>58</v>
      </c>
      <c r="G136" s="927" t="s">
        <v>1070</v>
      </c>
      <c r="I136" s="927"/>
      <c r="J136" s="131"/>
      <c r="K136" s="927" t="s">
        <v>306</v>
      </c>
      <c r="M136" s="927" t="s">
        <v>306</v>
      </c>
      <c r="N136" s="927" t="s">
        <v>306</v>
      </c>
      <c r="O136" s="927" t="s">
        <v>306</v>
      </c>
      <c r="P136" s="927"/>
      <c r="Q136" s="927"/>
      <c r="R136" s="927"/>
      <c r="AF136" s="927"/>
      <c r="AG136" s="927"/>
      <c r="AH136" s="717">
        <v>45166</v>
      </c>
      <c r="AK136" s="927"/>
      <c r="AO136" s="927" t="s">
        <v>337</v>
      </c>
      <c r="AP136" s="927" t="s">
        <v>395</v>
      </c>
      <c r="AQ136" s="927" t="s">
        <v>1018</v>
      </c>
    </row>
    <row r="137" spans="1:43">
      <c r="A137" s="927" t="s">
        <v>1071</v>
      </c>
      <c r="B137" s="927" t="s">
        <v>1072</v>
      </c>
      <c r="C137" s="927" t="s">
        <v>1073</v>
      </c>
      <c r="D137" s="927" t="s">
        <v>42</v>
      </c>
      <c r="E137" s="717">
        <v>45155</v>
      </c>
      <c r="F137" s="927" t="s">
        <v>58</v>
      </c>
      <c r="G137" s="927" t="s">
        <v>1074</v>
      </c>
      <c r="I137" s="927"/>
      <c r="J137" s="131"/>
      <c r="K137" s="927" t="s">
        <v>306</v>
      </c>
      <c r="M137" s="927" t="s">
        <v>306</v>
      </c>
      <c r="N137" s="927" t="s">
        <v>306</v>
      </c>
      <c r="O137" s="927" t="s">
        <v>306</v>
      </c>
      <c r="P137" s="927"/>
      <c r="Q137" s="927"/>
      <c r="R137" s="927"/>
      <c r="AF137" s="927"/>
      <c r="AG137" s="927"/>
      <c r="AH137" s="717">
        <v>45166</v>
      </c>
      <c r="AK137" s="927"/>
      <c r="AO137" s="927" t="s">
        <v>337</v>
      </c>
      <c r="AP137" s="927" t="s">
        <v>395</v>
      </c>
      <c r="AQ137" s="927" t="s">
        <v>1075</v>
      </c>
    </row>
    <row r="138" spans="1:43">
      <c r="A138" s="927" t="s">
        <v>1076</v>
      </c>
      <c r="B138" s="927" t="s">
        <v>1077</v>
      </c>
      <c r="C138" s="927" t="s">
        <v>1078</v>
      </c>
      <c r="D138" s="927" t="s">
        <v>42</v>
      </c>
      <c r="E138" s="717">
        <v>45155</v>
      </c>
      <c r="F138" s="927" t="s">
        <v>58</v>
      </c>
      <c r="G138" s="927"/>
      <c r="I138" s="927"/>
      <c r="J138" s="131"/>
      <c r="K138" s="927" t="s">
        <v>306</v>
      </c>
      <c r="M138" s="927" t="s">
        <v>306</v>
      </c>
      <c r="N138" s="927" t="s">
        <v>306</v>
      </c>
      <c r="O138" s="927" t="s">
        <v>306</v>
      </c>
      <c r="P138" s="927"/>
      <c r="Q138" s="927"/>
      <c r="R138" s="927"/>
      <c r="AF138" s="927"/>
      <c r="AG138" s="927"/>
      <c r="AH138" s="717">
        <v>45163</v>
      </c>
      <c r="AK138" s="927"/>
      <c r="AO138" s="927" t="s">
        <v>307</v>
      </c>
      <c r="AP138" s="927" t="s">
        <v>395</v>
      </c>
      <c r="AQ138" s="927" t="s">
        <v>1079</v>
      </c>
    </row>
    <row r="139" spans="1:43">
      <c r="A139" s="927" t="s">
        <v>1080</v>
      </c>
      <c r="B139" s="927" t="s">
        <v>1081</v>
      </c>
      <c r="C139" s="927" t="s">
        <v>1082</v>
      </c>
      <c r="D139" s="927" t="s">
        <v>42</v>
      </c>
      <c r="E139" s="717">
        <v>45153</v>
      </c>
      <c r="F139" s="927" t="s">
        <v>58</v>
      </c>
      <c r="G139" s="927" t="s">
        <v>1083</v>
      </c>
      <c r="I139" s="927"/>
      <c r="J139" s="131"/>
      <c r="K139" s="927" t="s">
        <v>306</v>
      </c>
      <c r="M139" s="927" t="s">
        <v>306</v>
      </c>
      <c r="N139" s="927" t="s">
        <v>306</v>
      </c>
      <c r="O139" s="927" t="s">
        <v>306</v>
      </c>
      <c r="P139" s="927"/>
      <c r="Q139" s="927"/>
      <c r="R139" s="927"/>
      <c r="AF139" s="927"/>
      <c r="AG139" s="927"/>
      <c r="AH139" s="717">
        <v>45156</v>
      </c>
      <c r="AK139" s="927"/>
      <c r="AO139" s="927" t="s">
        <v>337</v>
      </c>
      <c r="AP139" s="927" t="s">
        <v>1084</v>
      </c>
      <c r="AQ139" s="927" t="s">
        <v>1085</v>
      </c>
    </row>
    <row r="140" spans="1:43">
      <c r="A140" s="927" t="s">
        <v>1086</v>
      </c>
      <c r="B140" s="927" t="s">
        <v>1087</v>
      </c>
      <c r="C140" s="927" t="s">
        <v>1088</v>
      </c>
      <c r="D140" s="927" t="s">
        <v>42</v>
      </c>
      <c r="E140" s="717">
        <v>45159</v>
      </c>
      <c r="F140" s="927" t="s">
        <v>58</v>
      </c>
      <c r="G140" s="927" t="s">
        <v>1089</v>
      </c>
      <c r="I140" s="927"/>
      <c r="J140" s="131"/>
      <c r="K140" s="927" t="s">
        <v>306</v>
      </c>
      <c r="M140" s="927" t="s">
        <v>306</v>
      </c>
      <c r="N140" s="927" t="s">
        <v>306</v>
      </c>
      <c r="O140" s="927" t="s">
        <v>306</v>
      </c>
      <c r="P140" s="927"/>
      <c r="Q140" s="927"/>
      <c r="R140" s="927"/>
      <c r="AF140" s="927"/>
      <c r="AG140" s="927"/>
      <c r="AH140" s="717">
        <v>45163</v>
      </c>
      <c r="AK140" s="927"/>
      <c r="AO140" s="927" t="s">
        <v>337</v>
      </c>
      <c r="AP140" s="927" t="s">
        <v>387</v>
      </c>
      <c r="AQ140" s="927" t="s">
        <v>1090</v>
      </c>
    </row>
    <row r="141" spans="1:43">
      <c r="A141" s="927" t="s">
        <v>1091</v>
      </c>
      <c r="B141" s="927" t="s">
        <v>1092</v>
      </c>
      <c r="C141" s="927" t="s">
        <v>1093</v>
      </c>
      <c r="D141" s="927" t="s">
        <v>42</v>
      </c>
      <c r="E141" s="717">
        <v>45159</v>
      </c>
      <c r="F141" s="927" t="s">
        <v>58</v>
      </c>
      <c r="G141" s="927" t="s">
        <v>1094</v>
      </c>
      <c r="I141" s="927"/>
      <c r="J141" s="131"/>
      <c r="K141" s="927" t="s">
        <v>306</v>
      </c>
      <c r="M141" s="927" t="s">
        <v>306</v>
      </c>
      <c r="N141" s="927" t="s">
        <v>306</v>
      </c>
      <c r="O141" s="927" t="s">
        <v>306</v>
      </c>
      <c r="P141" s="927"/>
      <c r="Q141" s="927"/>
      <c r="R141" s="927"/>
      <c r="AF141" s="927"/>
      <c r="AG141" s="927"/>
      <c r="AH141" s="717">
        <v>45167</v>
      </c>
      <c r="AK141" s="927"/>
      <c r="AO141" s="927" t="s">
        <v>307</v>
      </c>
      <c r="AP141" s="927" t="s">
        <v>1084</v>
      </c>
      <c r="AQ141" s="927" t="s">
        <v>1095</v>
      </c>
    </row>
    <row r="142" spans="1:43">
      <c r="A142" s="927" t="s">
        <v>1096</v>
      </c>
      <c r="B142" s="927" t="s">
        <v>1097</v>
      </c>
      <c r="C142" s="927" t="s">
        <v>1098</v>
      </c>
      <c r="D142" s="927" t="s">
        <v>42</v>
      </c>
      <c r="E142" s="717">
        <v>45159</v>
      </c>
      <c r="F142" s="927" t="s">
        <v>58</v>
      </c>
      <c r="G142" s="927" t="s">
        <v>1099</v>
      </c>
      <c r="I142" s="927"/>
      <c r="J142" s="131"/>
      <c r="K142" s="927" t="s">
        <v>306</v>
      </c>
      <c r="M142" s="927" t="s">
        <v>306</v>
      </c>
      <c r="N142" s="927" t="s">
        <v>306</v>
      </c>
      <c r="O142" s="927" t="s">
        <v>306</v>
      </c>
      <c r="P142" s="927"/>
      <c r="Q142" s="927"/>
      <c r="R142" s="927"/>
      <c r="AF142" s="927"/>
      <c r="AG142" s="927"/>
      <c r="AH142" s="717">
        <v>45173</v>
      </c>
      <c r="AK142" s="927"/>
      <c r="AO142" s="927" t="s">
        <v>307</v>
      </c>
      <c r="AP142" s="927" t="s">
        <v>1100</v>
      </c>
      <c r="AQ142" s="927" t="s">
        <v>1101</v>
      </c>
    </row>
    <row r="143" spans="1:43">
      <c r="A143" s="927" t="s">
        <v>1102</v>
      </c>
      <c r="B143" s="927" t="s">
        <v>1103</v>
      </c>
      <c r="C143" s="927" t="s">
        <v>1104</v>
      </c>
      <c r="D143" s="927" t="s">
        <v>42</v>
      </c>
      <c r="E143" s="717">
        <v>45159</v>
      </c>
      <c r="F143" s="927" t="s">
        <v>58</v>
      </c>
      <c r="G143" s="927" t="s">
        <v>1105</v>
      </c>
      <c r="I143" s="927"/>
      <c r="J143" s="131"/>
      <c r="K143" s="927" t="s">
        <v>306</v>
      </c>
      <c r="M143" s="927" t="s">
        <v>306</v>
      </c>
      <c r="N143" s="927" t="s">
        <v>306</v>
      </c>
      <c r="O143" s="927" t="s">
        <v>306</v>
      </c>
      <c r="P143" s="927"/>
      <c r="Q143" s="927"/>
      <c r="R143" s="927"/>
      <c r="AF143" s="927"/>
      <c r="AG143" s="927"/>
      <c r="AH143" s="717">
        <v>45163</v>
      </c>
      <c r="AK143" s="927"/>
      <c r="AO143" s="927" t="s">
        <v>307</v>
      </c>
      <c r="AP143" s="927" t="s">
        <v>1100</v>
      </c>
      <c r="AQ143" s="927" t="s">
        <v>1106</v>
      </c>
    </row>
    <row r="144" spans="1:43">
      <c r="A144" s="927" t="s">
        <v>1107</v>
      </c>
      <c r="B144" s="927" t="s">
        <v>1108</v>
      </c>
      <c r="C144" s="927" t="s">
        <v>1109</v>
      </c>
      <c r="D144" s="927" t="s">
        <v>36</v>
      </c>
      <c r="E144" s="717">
        <v>45160</v>
      </c>
      <c r="F144" s="927" t="s">
        <v>58</v>
      </c>
      <c r="G144" s="927" t="s">
        <v>1110</v>
      </c>
      <c r="I144" s="927"/>
      <c r="J144" s="131"/>
      <c r="K144" s="927" t="s">
        <v>306</v>
      </c>
      <c r="M144" s="927" t="s">
        <v>306</v>
      </c>
      <c r="N144" s="927" t="s">
        <v>306</v>
      </c>
      <c r="O144" s="927" t="s">
        <v>306</v>
      </c>
      <c r="P144" s="927"/>
      <c r="Q144" s="927"/>
      <c r="R144" s="927"/>
      <c r="AF144" s="927"/>
      <c r="AG144" s="927"/>
      <c r="AH144" s="717">
        <v>45191</v>
      </c>
      <c r="AK144" s="927"/>
      <c r="AO144" s="927"/>
      <c r="AP144" s="927"/>
      <c r="AQ144" s="927" t="s">
        <v>1111</v>
      </c>
    </row>
    <row r="145" spans="1:43">
      <c r="A145" s="927" t="s">
        <v>1112</v>
      </c>
      <c r="B145" s="927" t="s">
        <v>1113</v>
      </c>
      <c r="C145" s="927" t="s">
        <v>1114</v>
      </c>
      <c r="D145" s="927" t="s">
        <v>1115</v>
      </c>
      <c r="E145" s="717">
        <v>45204</v>
      </c>
      <c r="F145" s="927" t="s">
        <v>58</v>
      </c>
      <c r="G145" s="927" t="s">
        <v>1116</v>
      </c>
      <c r="I145" s="927"/>
      <c r="J145" s="131"/>
      <c r="K145" s="927" t="s">
        <v>306</v>
      </c>
      <c r="M145" s="927" t="s">
        <v>306</v>
      </c>
      <c r="N145" s="927" t="s">
        <v>306</v>
      </c>
      <c r="O145" s="927" t="s">
        <v>306</v>
      </c>
      <c r="P145" s="927" t="s">
        <v>379</v>
      </c>
      <c r="Q145" s="927"/>
      <c r="R145" s="927"/>
      <c r="S145">
        <v>450</v>
      </c>
      <c r="T145">
        <v>648</v>
      </c>
      <c r="U145">
        <v>621</v>
      </c>
      <c r="V145">
        <v>518</v>
      </c>
      <c r="W145">
        <v>481</v>
      </c>
      <c r="X145">
        <v>378</v>
      </c>
      <c r="Y145">
        <v>324</v>
      </c>
      <c r="Z145">
        <v>324</v>
      </c>
      <c r="AA145">
        <v>362</v>
      </c>
      <c r="AB145">
        <v>378</v>
      </c>
      <c r="AC145">
        <v>394</v>
      </c>
      <c r="AD145">
        <v>432</v>
      </c>
      <c r="AE145">
        <v>540</v>
      </c>
      <c r="AF145" s="927"/>
      <c r="AG145" s="927"/>
      <c r="AH145" s="717"/>
      <c r="AK145" s="927"/>
      <c r="AO145" s="927"/>
      <c r="AP145" s="927"/>
      <c r="AQ145" s="927" t="s">
        <v>1117</v>
      </c>
    </row>
    <row r="146" spans="1:43">
      <c r="A146" s="927" t="s">
        <v>1118</v>
      </c>
      <c r="B146" s="927" t="s">
        <v>1119</v>
      </c>
      <c r="C146" s="927" t="s">
        <v>1120</v>
      </c>
      <c r="D146" s="927" t="s">
        <v>33</v>
      </c>
      <c r="E146" s="717">
        <v>45163</v>
      </c>
      <c r="F146" s="927" t="s">
        <v>34</v>
      </c>
      <c r="G146" s="927" t="s">
        <v>1121</v>
      </c>
      <c r="I146" s="927"/>
      <c r="J146" s="131"/>
      <c r="K146" s="927" t="s">
        <v>1122</v>
      </c>
      <c r="L146" t="s">
        <v>3809</v>
      </c>
      <c r="M146" s="927" t="s">
        <v>1122</v>
      </c>
      <c r="N146" s="927" t="s">
        <v>1122</v>
      </c>
      <c r="O146" s="927" t="s">
        <v>1122</v>
      </c>
      <c r="P146" s="927" t="s">
        <v>322</v>
      </c>
      <c r="Q146" s="927" t="s">
        <v>323</v>
      </c>
      <c r="R146" s="927" t="s">
        <v>324</v>
      </c>
      <c r="S146">
        <v>644</v>
      </c>
      <c r="T146">
        <v>588</v>
      </c>
      <c r="U146">
        <v>551</v>
      </c>
      <c r="V146">
        <v>618</v>
      </c>
      <c r="W146">
        <v>739</v>
      </c>
      <c r="X146">
        <v>687</v>
      </c>
      <c r="Y146">
        <v>647</v>
      </c>
      <c r="Z146">
        <v>738</v>
      </c>
      <c r="AA146">
        <v>766</v>
      </c>
      <c r="AB146">
        <v>590</v>
      </c>
      <c r="AC146">
        <v>626</v>
      </c>
      <c r="AD146">
        <v>554</v>
      </c>
      <c r="AE146">
        <v>628</v>
      </c>
      <c r="AF146" s="927"/>
      <c r="AG146" s="927" t="s">
        <v>963</v>
      </c>
      <c r="AH146" s="717"/>
      <c r="AK146" s="927"/>
      <c r="AO146" s="927"/>
      <c r="AP146" s="927"/>
      <c r="AQ146" s="927" t="s">
        <v>5733</v>
      </c>
    </row>
    <row r="147" spans="1:43">
      <c r="A147" s="927" t="s">
        <v>3702</v>
      </c>
      <c r="B147" s="927" t="s">
        <v>1123</v>
      </c>
      <c r="C147" s="927" t="s">
        <v>3703</v>
      </c>
      <c r="D147" s="927" t="s">
        <v>3613</v>
      </c>
      <c r="E147" s="717">
        <v>45204</v>
      </c>
      <c r="F147" s="927" t="s">
        <v>58</v>
      </c>
      <c r="G147" s="927" t="s">
        <v>1124</v>
      </c>
      <c r="I147" s="927"/>
      <c r="J147" s="131"/>
      <c r="K147" s="927" t="s">
        <v>306</v>
      </c>
      <c r="M147" s="927" t="s">
        <v>306</v>
      </c>
      <c r="N147" s="927" t="s">
        <v>306</v>
      </c>
      <c r="O147" s="927" t="s">
        <v>306</v>
      </c>
      <c r="P147" s="927" t="s">
        <v>322</v>
      </c>
      <c r="Q147" s="927"/>
      <c r="R147" s="927" t="s">
        <v>324</v>
      </c>
      <c r="AF147" s="927" t="s">
        <v>1189</v>
      </c>
      <c r="AG147" s="927"/>
      <c r="AH147" s="717"/>
      <c r="AK147" s="927"/>
      <c r="AO147" s="927"/>
      <c r="AP147" s="927"/>
      <c r="AQ147" s="927"/>
    </row>
    <row r="148" spans="1:43">
      <c r="A148" s="927" t="s">
        <v>1125</v>
      </c>
      <c r="B148" s="927" t="s">
        <v>1126</v>
      </c>
      <c r="C148" s="927" t="s">
        <v>1127</v>
      </c>
      <c r="D148" s="927" t="s">
        <v>42</v>
      </c>
      <c r="E148" s="717">
        <v>45161</v>
      </c>
      <c r="F148" s="927" t="s">
        <v>58</v>
      </c>
      <c r="G148" s="927" t="s">
        <v>1128</v>
      </c>
      <c r="I148" s="927"/>
      <c r="J148" s="131"/>
      <c r="K148" s="927" t="s">
        <v>306</v>
      </c>
      <c r="M148" s="927" t="s">
        <v>306</v>
      </c>
      <c r="N148" s="927" t="s">
        <v>306</v>
      </c>
      <c r="O148" s="927" t="s">
        <v>306</v>
      </c>
      <c r="P148" s="927"/>
      <c r="Q148" s="927"/>
      <c r="R148" s="927"/>
      <c r="AF148" s="927"/>
      <c r="AG148" s="927"/>
      <c r="AH148" s="717">
        <v>45168</v>
      </c>
      <c r="AK148" s="927"/>
      <c r="AO148" s="927" t="s">
        <v>337</v>
      </c>
      <c r="AP148" s="927" t="s">
        <v>395</v>
      </c>
      <c r="AQ148" s="927" t="s">
        <v>1129</v>
      </c>
    </row>
    <row r="149" spans="1:43">
      <c r="A149" s="927" t="s">
        <v>1130</v>
      </c>
      <c r="B149" s="927" t="s">
        <v>1131</v>
      </c>
      <c r="C149" s="927" t="s">
        <v>1132</v>
      </c>
      <c r="D149" s="927" t="s">
        <v>42</v>
      </c>
      <c r="E149" s="717">
        <v>45163</v>
      </c>
      <c r="F149" s="927" t="s">
        <v>58</v>
      </c>
      <c r="G149" s="927" t="s">
        <v>1133</v>
      </c>
      <c r="I149" s="927"/>
      <c r="J149" s="131"/>
      <c r="K149" s="927" t="s">
        <v>306</v>
      </c>
      <c r="M149" s="927" t="s">
        <v>306</v>
      </c>
      <c r="N149" s="927" t="s">
        <v>306</v>
      </c>
      <c r="O149" s="927" t="s">
        <v>306</v>
      </c>
      <c r="P149" s="927"/>
      <c r="Q149" s="927"/>
      <c r="R149" s="927"/>
      <c r="AF149" s="927"/>
      <c r="AG149" s="927"/>
      <c r="AH149" s="717">
        <v>45168</v>
      </c>
      <c r="AK149" s="927"/>
      <c r="AO149" s="927" t="s">
        <v>337</v>
      </c>
      <c r="AP149" s="927" t="s">
        <v>395</v>
      </c>
      <c r="AQ149" s="927" t="s">
        <v>1134</v>
      </c>
    </row>
    <row r="150" spans="1:43">
      <c r="A150" s="927" t="s">
        <v>1135</v>
      </c>
      <c r="B150" s="927" t="s">
        <v>1136</v>
      </c>
      <c r="C150" s="927" t="s">
        <v>1137</v>
      </c>
      <c r="D150" s="927" t="s">
        <v>42</v>
      </c>
      <c r="E150" s="717">
        <v>45166</v>
      </c>
      <c r="F150" s="927" t="s">
        <v>58</v>
      </c>
      <c r="G150" s="927" t="s">
        <v>1138</v>
      </c>
      <c r="I150" s="927"/>
      <c r="J150" s="131"/>
      <c r="K150" s="927" t="s">
        <v>306</v>
      </c>
      <c r="M150" s="927" t="s">
        <v>306</v>
      </c>
      <c r="N150" s="927" t="s">
        <v>306</v>
      </c>
      <c r="O150" s="927" t="s">
        <v>306</v>
      </c>
      <c r="P150" s="927"/>
      <c r="Q150" s="927"/>
      <c r="R150" s="927"/>
      <c r="AF150" s="927"/>
      <c r="AG150" s="927"/>
      <c r="AH150" s="717">
        <v>45187</v>
      </c>
      <c r="AK150" s="927"/>
      <c r="AO150" s="927" t="s">
        <v>337</v>
      </c>
      <c r="AP150" s="927" t="s">
        <v>395</v>
      </c>
      <c r="AQ150" s="927" t="s">
        <v>1139</v>
      </c>
    </row>
    <row r="151" spans="1:43">
      <c r="A151" s="927" t="s">
        <v>1140</v>
      </c>
      <c r="B151" s="927" t="s">
        <v>1141</v>
      </c>
      <c r="C151" s="927" t="s">
        <v>1142</v>
      </c>
      <c r="D151" s="927" t="s">
        <v>42</v>
      </c>
      <c r="E151" s="717">
        <v>45166</v>
      </c>
      <c r="F151" s="927" t="s">
        <v>48</v>
      </c>
      <c r="G151" s="927" t="s">
        <v>1143</v>
      </c>
      <c r="I151" s="927"/>
      <c r="J151" s="131"/>
      <c r="K151" s="927" t="s">
        <v>306</v>
      </c>
      <c r="M151" s="927" t="s">
        <v>306</v>
      </c>
      <c r="N151" s="927" t="s">
        <v>306</v>
      </c>
      <c r="O151" s="927" t="s">
        <v>306</v>
      </c>
      <c r="P151" s="927"/>
      <c r="Q151" s="927"/>
      <c r="R151" s="927"/>
      <c r="AF151" s="927"/>
      <c r="AG151" s="927"/>
      <c r="AH151" s="717">
        <v>45189</v>
      </c>
      <c r="AK151" s="927"/>
      <c r="AO151" s="927" t="s">
        <v>337</v>
      </c>
      <c r="AP151" s="927" t="s">
        <v>395</v>
      </c>
      <c r="AQ151" s="927" t="s">
        <v>1144</v>
      </c>
    </row>
    <row r="152" spans="1:43">
      <c r="A152" s="927" t="s">
        <v>1145</v>
      </c>
      <c r="B152" s="927" t="s">
        <v>1146</v>
      </c>
      <c r="C152" s="927" t="s">
        <v>1147</v>
      </c>
      <c r="D152" s="927" t="s">
        <v>42</v>
      </c>
      <c r="E152" s="717">
        <v>45167</v>
      </c>
      <c r="F152" s="927" t="s">
        <v>55</v>
      </c>
      <c r="G152" s="927" t="s">
        <v>1148</v>
      </c>
      <c r="I152" s="927"/>
      <c r="J152" s="131"/>
      <c r="K152" s="927" t="s">
        <v>5734</v>
      </c>
      <c r="L152" t="s">
        <v>5735</v>
      </c>
      <c r="M152" s="927" t="s">
        <v>3637</v>
      </c>
      <c r="N152" s="927" t="s">
        <v>5735</v>
      </c>
      <c r="O152" s="927" t="s">
        <v>3637</v>
      </c>
      <c r="P152" s="927" t="s">
        <v>322</v>
      </c>
      <c r="Q152" s="927" t="s">
        <v>323</v>
      </c>
      <c r="R152" s="927" t="s">
        <v>324</v>
      </c>
      <c r="S152">
        <v>319</v>
      </c>
      <c r="T152">
        <v>273</v>
      </c>
      <c r="U152">
        <v>337</v>
      </c>
      <c r="V152">
        <v>309</v>
      </c>
      <c r="W152">
        <v>344</v>
      </c>
      <c r="X152">
        <v>279</v>
      </c>
      <c r="Y152">
        <v>298</v>
      </c>
      <c r="Z152">
        <v>344</v>
      </c>
      <c r="AA152">
        <v>321</v>
      </c>
      <c r="AB152">
        <v>281</v>
      </c>
      <c r="AC152">
        <v>342</v>
      </c>
      <c r="AD152">
        <v>331</v>
      </c>
      <c r="AE152">
        <v>369</v>
      </c>
      <c r="AF152" s="927"/>
      <c r="AG152" s="927" t="s">
        <v>963</v>
      </c>
      <c r="AH152" s="717">
        <v>45204</v>
      </c>
      <c r="AK152" s="927"/>
      <c r="AO152" s="927" t="s">
        <v>307</v>
      </c>
      <c r="AP152" s="927" t="s">
        <v>308</v>
      </c>
      <c r="AQ152" s="927" t="s">
        <v>1149</v>
      </c>
    </row>
    <row r="153" spans="1:43">
      <c r="A153" s="927" t="s">
        <v>1150</v>
      </c>
      <c r="B153" s="927" t="s">
        <v>1151</v>
      </c>
      <c r="C153" s="927" t="s">
        <v>1152</v>
      </c>
      <c r="D153" s="927" t="s">
        <v>29</v>
      </c>
      <c r="E153" s="717">
        <v>45167</v>
      </c>
      <c r="F153" s="927" t="s">
        <v>58</v>
      </c>
      <c r="G153" s="927" t="s">
        <v>1153</v>
      </c>
      <c r="I153" s="927"/>
      <c r="J153" s="131"/>
      <c r="K153" s="927" t="s">
        <v>306</v>
      </c>
      <c r="M153" s="927" t="s">
        <v>306</v>
      </c>
      <c r="N153" s="927" t="s">
        <v>306</v>
      </c>
      <c r="O153" s="927" t="s">
        <v>306</v>
      </c>
      <c r="P153" s="927"/>
      <c r="Q153" s="927"/>
      <c r="R153" s="927"/>
      <c r="AF153" s="927"/>
      <c r="AG153" s="927"/>
      <c r="AH153" s="717"/>
      <c r="AK153" s="927"/>
      <c r="AO153" s="927"/>
      <c r="AP153" s="927"/>
      <c r="AQ153" s="927"/>
    </row>
    <row r="154" spans="1:43">
      <c r="A154" s="927" t="s">
        <v>1154</v>
      </c>
      <c r="B154" s="927" t="s">
        <v>1155</v>
      </c>
      <c r="C154" s="927" t="s">
        <v>1156</v>
      </c>
      <c r="D154" s="927" t="s">
        <v>33</v>
      </c>
      <c r="E154" s="717">
        <v>45173</v>
      </c>
      <c r="F154" s="927" t="s">
        <v>50</v>
      </c>
      <c r="G154" s="927" t="s">
        <v>1157</v>
      </c>
      <c r="I154" s="927"/>
      <c r="J154" s="131"/>
      <c r="K154" s="927" t="s">
        <v>306</v>
      </c>
      <c r="M154" s="927" t="s">
        <v>306</v>
      </c>
      <c r="N154" s="927" t="s">
        <v>306</v>
      </c>
      <c r="O154" s="927" t="s">
        <v>306</v>
      </c>
      <c r="P154" s="927" t="s">
        <v>322</v>
      </c>
      <c r="Q154" s="927"/>
      <c r="R154" s="927"/>
      <c r="S154">
        <v>780</v>
      </c>
      <c r="T154">
        <v>1123</v>
      </c>
      <c r="U154">
        <v>1076</v>
      </c>
      <c r="V154">
        <v>899</v>
      </c>
      <c r="W154">
        <v>833</v>
      </c>
      <c r="X154">
        <v>655</v>
      </c>
      <c r="Y154">
        <v>562</v>
      </c>
      <c r="Z154">
        <v>562</v>
      </c>
      <c r="AA154">
        <v>627</v>
      </c>
      <c r="AB154">
        <v>655</v>
      </c>
      <c r="AC154">
        <v>683</v>
      </c>
      <c r="AD154">
        <v>749</v>
      </c>
      <c r="AE154">
        <v>936</v>
      </c>
      <c r="AF154" s="927"/>
      <c r="AG154" s="927" t="s">
        <v>963</v>
      </c>
      <c r="AH154" s="717"/>
      <c r="AK154" s="927"/>
      <c r="AO154" s="927"/>
      <c r="AP154" s="927"/>
      <c r="AQ154" s="927" t="s">
        <v>1158</v>
      </c>
    </row>
    <row r="155" spans="1:43">
      <c r="A155" s="927" t="s">
        <v>1159</v>
      </c>
      <c r="B155" s="927" t="s">
        <v>1160</v>
      </c>
      <c r="C155" s="927" t="s">
        <v>1161</v>
      </c>
      <c r="D155" s="927" t="s">
        <v>1115</v>
      </c>
      <c r="E155" s="717">
        <v>45025</v>
      </c>
      <c r="F155" s="927" t="s">
        <v>58</v>
      </c>
      <c r="G155" s="927" t="s">
        <v>1162</v>
      </c>
      <c r="I155" s="927"/>
      <c r="J155" s="131"/>
      <c r="K155" s="927" t="s">
        <v>306</v>
      </c>
      <c r="M155" s="927" t="s">
        <v>306</v>
      </c>
      <c r="N155" s="927" t="s">
        <v>306</v>
      </c>
      <c r="O155" s="927" t="s">
        <v>306</v>
      </c>
      <c r="P155" s="927"/>
      <c r="Q155" s="927"/>
      <c r="R155" s="927"/>
      <c r="AF155" s="927"/>
      <c r="AG155" s="927"/>
      <c r="AH155" s="717"/>
      <c r="AK155" s="927"/>
      <c r="AO155" s="927"/>
      <c r="AP155" s="927" t="s">
        <v>395</v>
      </c>
      <c r="AQ155" s="927"/>
    </row>
    <row r="156" spans="1:43">
      <c r="A156" s="927" t="s">
        <v>1163</v>
      </c>
      <c r="B156" s="927" t="s">
        <v>1164</v>
      </c>
      <c r="C156" s="927" t="s">
        <v>1165</v>
      </c>
      <c r="D156" s="927" t="s">
        <v>29</v>
      </c>
      <c r="E156" s="717">
        <v>45174</v>
      </c>
      <c r="F156" s="927" t="s">
        <v>48</v>
      </c>
      <c r="G156" s="927" t="s">
        <v>1166</v>
      </c>
      <c r="I156" s="927"/>
      <c r="J156" s="131"/>
      <c r="K156" s="927" t="s">
        <v>1167</v>
      </c>
      <c r="L156" t="s">
        <v>3810</v>
      </c>
      <c r="M156" s="927" t="s">
        <v>1167</v>
      </c>
      <c r="N156" s="927" t="s">
        <v>1167</v>
      </c>
      <c r="O156" s="927" t="s">
        <v>1167</v>
      </c>
      <c r="P156" s="927"/>
      <c r="Q156" s="927"/>
      <c r="R156" s="927"/>
      <c r="AF156" s="927"/>
      <c r="AG156" s="927"/>
      <c r="AH156" s="717"/>
      <c r="AK156" s="927"/>
      <c r="AO156" s="927"/>
      <c r="AP156" s="927" t="s">
        <v>395</v>
      </c>
      <c r="AQ156" s="927" t="s">
        <v>1169</v>
      </c>
    </row>
    <row r="157" spans="1:43">
      <c r="A157" s="927" t="s">
        <v>1170</v>
      </c>
      <c r="B157" s="927" t="s">
        <v>1171</v>
      </c>
      <c r="C157" s="927" t="s">
        <v>1172</v>
      </c>
      <c r="D157" s="927" t="s">
        <v>33</v>
      </c>
      <c r="E157" s="717">
        <v>45170</v>
      </c>
      <c r="F157" s="927" t="s">
        <v>55</v>
      </c>
      <c r="G157" s="927" t="s">
        <v>1173</v>
      </c>
      <c r="I157" s="927"/>
      <c r="J157" s="131"/>
      <c r="K157" s="927" t="s">
        <v>1174</v>
      </c>
      <c r="L157" t="s">
        <v>3811</v>
      </c>
      <c r="M157" s="927" t="s">
        <v>1174</v>
      </c>
      <c r="N157" s="927" t="s">
        <v>1174</v>
      </c>
      <c r="O157" s="927" t="s">
        <v>1174</v>
      </c>
      <c r="P157" s="927" t="s">
        <v>322</v>
      </c>
      <c r="Q157" s="927"/>
      <c r="R157" s="927" t="s">
        <v>324</v>
      </c>
      <c r="S157">
        <v>927</v>
      </c>
      <c r="T157">
        <v>929</v>
      </c>
      <c r="U157">
        <v>993</v>
      </c>
      <c r="V157">
        <v>901</v>
      </c>
      <c r="W157">
        <v>1570</v>
      </c>
      <c r="X157">
        <v>878</v>
      </c>
      <c r="Y157">
        <v>837</v>
      </c>
      <c r="Z157">
        <v>826</v>
      </c>
      <c r="AA157">
        <v>810</v>
      </c>
      <c r="AB157">
        <v>800</v>
      </c>
      <c r="AC157">
        <v>780</v>
      </c>
      <c r="AD157">
        <v>840</v>
      </c>
      <c r="AE157">
        <v>963</v>
      </c>
      <c r="AF157" s="927" t="s">
        <v>305</v>
      </c>
      <c r="AG157" s="927" t="s">
        <v>963</v>
      </c>
      <c r="AH157" s="717"/>
      <c r="AK157" s="927"/>
      <c r="AO157" s="927"/>
      <c r="AP157" s="927"/>
      <c r="AQ157" s="927" t="s">
        <v>1175</v>
      </c>
    </row>
    <row r="158" spans="1:43">
      <c r="A158" s="927" t="s">
        <v>1176</v>
      </c>
      <c r="B158" s="927" t="s">
        <v>1177</v>
      </c>
      <c r="C158" s="927" t="s">
        <v>1178</v>
      </c>
      <c r="D158" s="927" t="s">
        <v>33</v>
      </c>
      <c r="E158" s="717">
        <v>45174</v>
      </c>
      <c r="F158" s="927" t="s">
        <v>52</v>
      </c>
      <c r="G158" s="927" t="s">
        <v>508</v>
      </c>
      <c r="I158" s="927"/>
      <c r="J158" s="131"/>
      <c r="K158" s="927" t="s">
        <v>1179</v>
      </c>
      <c r="L158" t="s">
        <v>3812</v>
      </c>
      <c r="M158" s="927" t="s">
        <v>1179</v>
      </c>
      <c r="N158" s="927" t="s">
        <v>1179</v>
      </c>
      <c r="O158" s="927" t="s">
        <v>1179</v>
      </c>
      <c r="P158" s="927" t="s">
        <v>322</v>
      </c>
      <c r="Q158" s="927" t="s">
        <v>706</v>
      </c>
      <c r="R158" s="927" t="s">
        <v>324</v>
      </c>
      <c r="S158">
        <v>40000</v>
      </c>
      <c r="T158">
        <v>40000</v>
      </c>
      <c r="U158">
        <v>40000</v>
      </c>
      <c r="V158">
        <v>40000</v>
      </c>
      <c r="W158">
        <v>40000</v>
      </c>
      <c r="X158">
        <v>40000</v>
      </c>
      <c r="Y158">
        <v>40000</v>
      </c>
      <c r="Z158">
        <v>40000</v>
      </c>
      <c r="AA158">
        <v>40000</v>
      </c>
      <c r="AB158">
        <v>40000</v>
      </c>
      <c r="AC158">
        <v>40000</v>
      </c>
      <c r="AD158">
        <v>40000</v>
      </c>
      <c r="AE158">
        <v>40000</v>
      </c>
      <c r="AF158" s="927" t="s">
        <v>305</v>
      </c>
      <c r="AG158" s="927" t="s">
        <v>270</v>
      </c>
      <c r="AH158" s="717"/>
      <c r="AK158" s="927"/>
      <c r="AO158" s="927"/>
      <c r="AP158" s="927"/>
      <c r="AQ158" s="927" t="s">
        <v>1180</v>
      </c>
    </row>
    <row r="159" spans="1:43">
      <c r="A159" s="927" t="s">
        <v>5736</v>
      </c>
      <c r="B159" s="927" t="s">
        <v>1181</v>
      </c>
      <c r="C159" s="927" t="s">
        <v>1078</v>
      </c>
      <c r="D159" s="927" t="s">
        <v>29</v>
      </c>
      <c r="E159" s="717">
        <v>45180</v>
      </c>
      <c r="F159" s="927" t="s">
        <v>58</v>
      </c>
      <c r="G159" s="927" t="s">
        <v>1182</v>
      </c>
      <c r="I159" s="927"/>
      <c r="J159" s="131"/>
      <c r="K159" s="927" t="s">
        <v>1183</v>
      </c>
      <c r="L159" t="s">
        <v>3813</v>
      </c>
      <c r="M159" s="927" t="s">
        <v>1183</v>
      </c>
      <c r="N159" s="927" t="s">
        <v>1183</v>
      </c>
      <c r="O159" s="927" t="s">
        <v>1183</v>
      </c>
      <c r="P159" s="927"/>
      <c r="Q159" s="927"/>
      <c r="R159" s="927"/>
      <c r="AF159" s="927"/>
      <c r="AG159" s="927"/>
      <c r="AH159" s="717"/>
      <c r="AK159" s="927"/>
      <c r="AO159" s="927"/>
      <c r="AP159" s="927"/>
      <c r="AQ159" s="927"/>
    </row>
    <row r="160" spans="1:43">
      <c r="A160" s="927" t="s">
        <v>1184</v>
      </c>
      <c r="B160" s="927" t="s">
        <v>1185</v>
      </c>
      <c r="C160" s="927" t="s">
        <v>1186</v>
      </c>
      <c r="D160" s="927" t="s">
        <v>1187</v>
      </c>
      <c r="E160" s="717">
        <v>45239</v>
      </c>
      <c r="F160" s="927" t="s">
        <v>58</v>
      </c>
      <c r="G160" s="927" t="s">
        <v>1188</v>
      </c>
      <c r="I160" s="927"/>
      <c r="J160" s="131"/>
      <c r="K160" s="927" t="s">
        <v>306</v>
      </c>
      <c r="M160" s="927" t="s">
        <v>306</v>
      </c>
      <c r="N160" s="927" t="s">
        <v>306</v>
      </c>
      <c r="O160" s="927" t="s">
        <v>306</v>
      </c>
      <c r="P160" s="927" t="s">
        <v>379</v>
      </c>
      <c r="Q160" s="927"/>
      <c r="R160" s="927"/>
      <c r="T160">
        <v>5760</v>
      </c>
      <c r="U160">
        <v>5520</v>
      </c>
      <c r="V160">
        <v>4608</v>
      </c>
      <c r="W160">
        <v>4272</v>
      </c>
      <c r="X160">
        <v>3360</v>
      </c>
      <c r="Y160">
        <v>2880</v>
      </c>
      <c r="Z160">
        <v>2880</v>
      </c>
      <c r="AA160">
        <v>3216</v>
      </c>
      <c r="AB160">
        <v>3360</v>
      </c>
      <c r="AC160">
        <v>3504</v>
      </c>
      <c r="AD160">
        <v>3840</v>
      </c>
      <c r="AE160">
        <v>4800</v>
      </c>
      <c r="AF160" s="927" t="s">
        <v>1189</v>
      </c>
      <c r="AG160" s="927"/>
      <c r="AH160" s="717"/>
      <c r="AK160" s="927"/>
      <c r="AO160" s="927"/>
      <c r="AP160" s="927"/>
      <c r="AQ160" s="927" t="s">
        <v>1190</v>
      </c>
    </row>
    <row r="161" spans="1:43">
      <c r="A161" s="927" t="s">
        <v>1191</v>
      </c>
      <c r="B161" s="927" t="s">
        <v>1192</v>
      </c>
      <c r="C161" s="927" t="s">
        <v>1193</v>
      </c>
      <c r="D161" s="927" t="s">
        <v>33</v>
      </c>
      <c r="E161" s="717">
        <v>45180</v>
      </c>
      <c r="F161" s="927" t="s">
        <v>50</v>
      </c>
      <c r="G161" s="927" t="s">
        <v>1194</v>
      </c>
      <c r="I161" s="927"/>
      <c r="J161" s="131"/>
      <c r="K161" s="927" t="s">
        <v>1195</v>
      </c>
      <c r="L161" t="s">
        <v>3814</v>
      </c>
      <c r="M161" s="927" t="s">
        <v>1195</v>
      </c>
      <c r="N161" s="927" t="s">
        <v>1195</v>
      </c>
      <c r="O161" s="927" t="s">
        <v>1195</v>
      </c>
      <c r="P161" s="927" t="s">
        <v>1196</v>
      </c>
      <c r="Q161" s="927"/>
      <c r="R161" s="927"/>
      <c r="S161">
        <v>4000</v>
      </c>
      <c r="T161">
        <v>5760</v>
      </c>
      <c r="U161">
        <v>5520</v>
      </c>
      <c r="V161">
        <v>4608</v>
      </c>
      <c r="W161">
        <v>4272</v>
      </c>
      <c r="X161">
        <v>3360</v>
      </c>
      <c r="Y161">
        <v>2880</v>
      </c>
      <c r="Z161">
        <v>2880</v>
      </c>
      <c r="AA161">
        <v>3216</v>
      </c>
      <c r="AB161">
        <v>3360</v>
      </c>
      <c r="AC161">
        <v>3504</v>
      </c>
      <c r="AD161">
        <v>3840</v>
      </c>
      <c r="AE161">
        <v>4800</v>
      </c>
      <c r="AF161" s="927" t="s">
        <v>305</v>
      </c>
      <c r="AG161" s="927" t="s">
        <v>270</v>
      </c>
      <c r="AH161" s="717"/>
      <c r="AK161" s="927"/>
      <c r="AO161" s="927"/>
      <c r="AP161" s="927"/>
      <c r="AQ161" s="927" t="s">
        <v>1190</v>
      </c>
    </row>
    <row r="162" spans="1:43">
      <c r="A162" s="927" t="s">
        <v>1197</v>
      </c>
      <c r="B162" s="927" t="s">
        <v>1198</v>
      </c>
      <c r="C162" s="927" t="s">
        <v>1199</v>
      </c>
      <c r="D162" s="927" t="s">
        <v>37</v>
      </c>
      <c r="E162" s="717">
        <v>45175</v>
      </c>
      <c r="F162" s="927" t="s">
        <v>52</v>
      </c>
      <c r="G162" s="927" t="s">
        <v>482</v>
      </c>
      <c r="I162" s="927"/>
      <c r="J162" s="131"/>
      <c r="K162" s="927" t="s">
        <v>1200</v>
      </c>
      <c r="L162" t="s">
        <v>3815</v>
      </c>
      <c r="M162" s="927" t="s">
        <v>1200</v>
      </c>
      <c r="N162" s="927" t="s">
        <v>1200</v>
      </c>
      <c r="O162" s="927" t="s">
        <v>1200</v>
      </c>
      <c r="P162" s="927" t="s">
        <v>322</v>
      </c>
      <c r="Q162" s="927"/>
      <c r="R162" s="927"/>
      <c r="S162">
        <v>429</v>
      </c>
      <c r="T162">
        <v>331</v>
      </c>
      <c r="U162">
        <v>662</v>
      </c>
      <c r="V162">
        <v>700</v>
      </c>
      <c r="W162">
        <v>475</v>
      </c>
      <c r="X162">
        <v>356</v>
      </c>
      <c r="Y162">
        <v>401</v>
      </c>
      <c r="Z162">
        <v>299</v>
      </c>
      <c r="AA162">
        <v>171</v>
      </c>
      <c r="AB162">
        <v>377</v>
      </c>
      <c r="AC162">
        <v>375</v>
      </c>
      <c r="AD162">
        <v>465</v>
      </c>
      <c r="AE162">
        <v>541</v>
      </c>
      <c r="AF162" s="927" t="s">
        <v>305</v>
      </c>
      <c r="AG162" s="927" t="s">
        <v>963</v>
      </c>
      <c r="AH162" s="717"/>
      <c r="AK162" s="927"/>
      <c r="AO162" s="927"/>
      <c r="AP162" s="927"/>
      <c r="AQ162" s="927" t="s">
        <v>1201</v>
      </c>
    </row>
    <row r="163" spans="1:43">
      <c r="A163" s="927" t="s">
        <v>1202</v>
      </c>
      <c r="B163" s="927" t="s">
        <v>1203</v>
      </c>
      <c r="C163" s="927" t="s">
        <v>1204</v>
      </c>
      <c r="D163" s="927" t="s">
        <v>37</v>
      </c>
      <c r="E163" s="717">
        <v>45183</v>
      </c>
      <c r="F163" s="927" t="s">
        <v>52</v>
      </c>
      <c r="G163" s="927" t="s">
        <v>1205</v>
      </c>
      <c r="I163" s="927"/>
      <c r="J163" s="131"/>
      <c r="K163" s="927" t="s">
        <v>1206</v>
      </c>
      <c r="L163" t="s">
        <v>3639</v>
      </c>
      <c r="M163" s="927" t="s">
        <v>3639</v>
      </c>
      <c r="N163" s="927" t="s">
        <v>1206</v>
      </c>
      <c r="O163" s="927" t="s">
        <v>3638</v>
      </c>
      <c r="P163" s="927" t="s">
        <v>322</v>
      </c>
      <c r="Q163" s="927" t="s">
        <v>323</v>
      </c>
      <c r="R163" s="927" t="s">
        <v>324</v>
      </c>
      <c r="S163">
        <v>333</v>
      </c>
      <c r="T163">
        <v>373</v>
      </c>
      <c r="U163">
        <v>536</v>
      </c>
      <c r="V163">
        <v>455</v>
      </c>
      <c r="W163">
        <v>422</v>
      </c>
      <c r="X163">
        <v>196</v>
      </c>
      <c r="Y163">
        <v>208</v>
      </c>
      <c r="Z163">
        <v>189</v>
      </c>
      <c r="AA163">
        <v>381</v>
      </c>
      <c r="AB163">
        <v>402</v>
      </c>
      <c r="AC163">
        <v>271</v>
      </c>
      <c r="AD163">
        <v>223</v>
      </c>
      <c r="AE163">
        <v>337</v>
      </c>
      <c r="AF163" s="927" t="s">
        <v>305</v>
      </c>
      <c r="AG163" s="927" t="s">
        <v>963</v>
      </c>
      <c r="AH163" s="717"/>
      <c r="AK163" s="927"/>
      <c r="AO163" s="927"/>
      <c r="AP163" s="927"/>
      <c r="AQ163" s="927" t="s">
        <v>1208</v>
      </c>
    </row>
    <row r="164" spans="1:43">
      <c r="A164" s="927" t="s">
        <v>1209</v>
      </c>
      <c r="B164" s="927" t="s">
        <v>1210</v>
      </c>
      <c r="C164" s="927" t="s">
        <v>1211</v>
      </c>
      <c r="D164" s="927" t="s">
        <v>36</v>
      </c>
      <c r="E164" s="717">
        <v>45177</v>
      </c>
      <c r="F164" s="927" t="s">
        <v>58</v>
      </c>
      <c r="G164" s="927" t="s">
        <v>1212</v>
      </c>
      <c r="I164" s="927"/>
      <c r="J164" s="131"/>
      <c r="K164" s="927" t="s">
        <v>1213</v>
      </c>
      <c r="L164" t="s">
        <v>1213</v>
      </c>
      <c r="M164" s="927" t="s">
        <v>1213</v>
      </c>
      <c r="N164" s="927" t="s">
        <v>1213</v>
      </c>
      <c r="O164" s="927" t="s">
        <v>1213</v>
      </c>
      <c r="P164" s="927" t="s">
        <v>379</v>
      </c>
      <c r="Q164" s="927"/>
      <c r="R164" s="927"/>
      <c r="S164">
        <v>2504</v>
      </c>
      <c r="T164">
        <v>2894</v>
      </c>
      <c r="U164">
        <v>2963</v>
      </c>
      <c r="V164">
        <v>2306</v>
      </c>
      <c r="W164">
        <v>2136</v>
      </c>
      <c r="X164">
        <v>2730</v>
      </c>
      <c r="Y164">
        <v>2681</v>
      </c>
      <c r="Z164">
        <v>2509</v>
      </c>
      <c r="AA164">
        <v>2967</v>
      </c>
      <c r="AB164">
        <v>2009</v>
      </c>
      <c r="AC164">
        <v>2136</v>
      </c>
      <c r="AD164">
        <v>2306</v>
      </c>
      <c r="AE164">
        <v>2412</v>
      </c>
      <c r="AF164" s="927" t="s">
        <v>305</v>
      </c>
      <c r="AG164" s="927" t="s">
        <v>270</v>
      </c>
      <c r="AH164" s="717">
        <v>45187</v>
      </c>
      <c r="AK164" s="927"/>
      <c r="AO164" s="927"/>
      <c r="AP164" s="927"/>
      <c r="AQ164" s="927" t="s">
        <v>1215</v>
      </c>
    </row>
    <row r="165" spans="1:43">
      <c r="A165" s="927" t="s">
        <v>1216</v>
      </c>
      <c r="B165" s="927" t="s">
        <v>1217</v>
      </c>
      <c r="C165" s="927" t="s">
        <v>1218</v>
      </c>
      <c r="D165" s="927" t="s">
        <v>36</v>
      </c>
      <c r="E165" s="717">
        <v>45155</v>
      </c>
      <c r="F165" s="927" t="s">
        <v>61</v>
      </c>
      <c r="G165" s="927" t="s">
        <v>1219</v>
      </c>
      <c r="I165" s="927"/>
      <c r="J165" s="131"/>
      <c r="K165" s="927" t="s">
        <v>306</v>
      </c>
      <c r="M165" s="927" t="s">
        <v>306</v>
      </c>
      <c r="N165" s="927" t="s">
        <v>306</v>
      </c>
      <c r="O165" s="927" t="s">
        <v>306</v>
      </c>
      <c r="P165" s="927" t="s">
        <v>322</v>
      </c>
      <c r="Q165" s="927"/>
      <c r="R165" s="927"/>
      <c r="AF165" s="927"/>
      <c r="AG165" s="927"/>
      <c r="AH165" s="717">
        <v>45189</v>
      </c>
      <c r="AK165" s="927"/>
      <c r="AO165" s="927"/>
      <c r="AP165" s="927"/>
      <c r="AQ165" s="927" t="s">
        <v>1220</v>
      </c>
    </row>
    <row r="166" spans="1:43">
      <c r="A166" s="927" t="s">
        <v>1221</v>
      </c>
      <c r="B166" s="927" t="s">
        <v>1222</v>
      </c>
      <c r="C166" s="927" t="s">
        <v>1223</v>
      </c>
      <c r="D166" s="927" t="s">
        <v>32</v>
      </c>
      <c r="E166" s="717">
        <v>45196</v>
      </c>
      <c r="F166" s="927" t="s">
        <v>50</v>
      </c>
      <c r="G166" s="927" t="s">
        <v>1224</v>
      </c>
      <c r="I166" s="927"/>
      <c r="J166" s="131"/>
      <c r="K166" s="927" t="s">
        <v>1225</v>
      </c>
      <c r="L166" t="s">
        <v>3816</v>
      </c>
      <c r="M166" s="927" t="s">
        <v>1225</v>
      </c>
      <c r="N166" s="927" t="s">
        <v>1225</v>
      </c>
      <c r="O166" s="927" t="s">
        <v>1225</v>
      </c>
      <c r="P166" s="927" t="s">
        <v>322</v>
      </c>
      <c r="Q166" s="927" t="s">
        <v>323</v>
      </c>
      <c r="R166" s="927" t="s">
        <v>324</v>
      </c>
      <c r="S166">
        <v>548</v>
      </c>
      <c r="T166">
        <v>534</v>
      </c>
      <c r="U166">
        <v>636</v>
      </c>
      <c r="V166">
        <v>767</v>
      </c>
      <c r="W166">
        <v>629</v>
      </c>
      <c r="X166">
        <v>503</v>
      </c>
      <c r="Y166">
        <v>517</v>
      </c>
      <c r="Z166">
        <v>487</v>
      </c>
      <c r="AA166">
        <v>465</v>
      </c>
      <c r="AB166">
        <v>486</v>
      </c>
      <c r="AC166">
        <v>441</v>
      </c>
      <c r="AD166">
        <v>611</v>
      </c>
      <c r="AE166">
        <v>500</v>
      </c>
      <c r="AF166" s="927"/>
      <c r="AG166" s="927" t="s">
        <v>963</v>
      </c>
      <c r="AH166" s="717"/>
      <c r="AK166" s="927"/>
      <c r="AO166" s="927"/>
      <c r="AP166" s="927"/>
      <c r="AQ166" s="927" t="s">
        <v>1226</v>
      </c>
    </row>
    <row r="167" spans="1:43">
      <c r="A167" s="927" t="s">
        <v>1227</v>
      </c>
      <c r="B167" s="927" t="s">
        <v>1228</v>
      </c>
      <c r="C167" s="927" t="s">
        <v>1229</v>
      </c>
      <c r="D167" s="927" t="s">
        <v>37</v>
      </c>
      <c r="E167" s="717">
        <v>45184</v>
      </c>
      <c r="F167" s="927" t="s">
        <v>61</v>
      </c>
      <c r="G167" s="927" t="s">
        <v>1230</v>
      </c>
      <c r="I167" s="927"/>
      <c r="J167" s="131"/>
      <c r="K167" s="927" t="s">
        <v>1231</v>
      </c>
      <c r="L167" t="s">
        <v>3817</v>
      </c>
      <c r="M167" s="927" t="s">
        <v>3640</v>
      </c>
      <c r="N167" s="927" t="s">
        <v>3818</v>
      </c>
      <c r="O167" s="927" t="s">
        <v>3640</v>
      </c>
      <c r="P167" s="927"/>
      <c r="Q167" s="927"/>
      <c r="R167" s="927"/>
      <c r="AF167" s="927"/>
      <c r="AG167" s="927"/>
      <c r="AH167" s="717"/>
      <c r="AK167" s="927"/>
      <c r="AO167" s="927"/>
      <c r="AP167" s="927"/>
      <c r="AQ167" s="927" t="s">
        <v>1232</v>
      </c>
    </row>
    <row r="168" spans="1:43">
      <c r="A168" s="927" t="s">
        <v>1233</v>
      </c>
      <c r="B168" s="927" t="s">
        <v>1234</v>
      </c>
      <c r="C168" s="927" t="s">
        <v>1235</v>
      </c>
      <c r="D168" s="927" t="s">
        <v>29</v>
      </c>
      <c r="E168" s="717">
        <v>45187</v>
      </c>
      <c r="F168" s="927" t="s">
        <v>48</v>
      </c>
      <c r="G168" s="927" t="s">
        <v>1236</v>
      </c>
      <c r="I168" s="927"/>
      <c r="J168" s="131"/>
      <c r="K168" s="927" t="s">
        <v>5737</v>
      </c>
      <c r="L168" t="s">
        <v>3819</v>
      </c>
      <c r="M168" s="927" t="s">
        <v>5737</v>
      </c>
      <c r="N168" s="927" t="s">
        <v>5737</v>
      </c>
      <c r="O168" s="927" t="s">
        <v>5737</v>
      </c>
      <c r="P168" s="927" t="s">
        <v>322</v>
      </c>
      <c r="Q168" s="927" t="s">
        <v>323</v>
      </c>
      <c r="R168" s="927" t="s">
        <v>438</v>
      </c>
      <c r="AF168" s="927"/>
      <c r="AG168" s="927"/>
      <c r="AH168" s="717"/>
      <c r="AK168" s="927"/>
      <c r="AO168" s="927"/>
      <c r="AP168" s="927"/>
      <c r="AQ168" s="927"/>
    </row>
    <row r="169" spans="1:43">
      <c r="A169" s="927" t="s">
        <v>1237</v>
      </c>
      <c r="B169" s="927" t="s">
        <v>1238</v>
      </c>
      <c r="C169" s="927" t="s">
        <v>1239</v>
      </c>
      <c r="D169" s="927" t="s">
        <v>29</v>
      </c>
      <c r="E169" s="717">
        <v>45194</v>
      </c>
      <c r="F169" s="927" t="s">
        <v>48</v>
      </c>
      <c r="G169" s="927" t="s">
        <v>1240</v>
      </c>
      <c r="I169" s="927"/>
      <c r="J169" s="131"/>
      <c r="K169" s="927" t="s">
        <v>1241</v>
      </c>
      <c r="L169" t="s">
        <v>3820</v>
      </c>
      <c r="M169" s="927" t="s">
        <v>1241</v>
      </c>
      <c r="N169" s="927" t="s">
        <v>1241</v>
      </c>
      <c r="O169" s="927" t="s">
        <v>1241</v>
      </c>
      <c r="P169" s="927" t="s">
        <v>322</v>
      </c>
      <c r="Q169" s="927" t="s">
        <v>323</v>
      </c>
      <c r="R169" s="927" t="s">
        <v>438</v>
      </c>
      <c r="AF169" s="927"/>
      <c r="AG169" s="927"/>
      <c r="AH169" s="717"/>
      <c r="AK169" s="927"/>
      <c r="AO169" s="927"/>
      <c r="AP169" s="927"/>
      <c r="AQ169" s="927"/>
    </row>
    <row r="170" spans="1:43">
      <c r="A170" s="927" t="s">
        <v>1242</v>
      </c>
      <c r="B170" s="927" t="s">
        <v>1243</v>
      </c>
      <c r="C170" s="927" t="s">
        <v>1244</v>
      </c>
      <c r="D170" s="927" t="s">
        <v>33</v>
      </c>
      <c r="E170" s="717">
        <v>45201</v>
      </c>
      <c r="F170" s="927" t="s">
        <v>50</v>
      </c>
      <c r="G170" s="927" t="s">
        <v>1245</v>
      </c>
      <c r="I170" s="927"/>
      <c r="J170" s="131"/>
      <c r="K170" s="927" t="s">
        <v>1246</v>
      </c>
      <c r="L170" t="s">
        <v>3821</v>
      </c>
      <c r="M170" s="927" t="s">
        <v>1246</v>
      </c>
      <c r="N170" s="927" t="s">
        <v>1246</v>
      </c>
      <c r="O170" s="927" t="s">
        <v>1246</v>
      </c>
      <c r="P170" s="927" t="s">
        <v>322</v>
      </c>
      <c r="Q170" s="927"/>
      <c r="R170" s="927"/>
      <c r="S170">
        <v>471</v>
      </c>
      <c r="T170">
        <v>485</v>
      </c>
      <c r="U170">
        <v>538</v>
      </c>
      <c r="V170">
        <v>512</v>
      </c>
      <c r="W170">
        <v>560</v>
      </c>
      <c r="X170">
        <v>490</v>
      </c>
      <c r="Y170">
        <v>462</v>
      </c>
      <c r="Z170">
        <v>346</v>
      </c>
      <c r="AA170">
        <v>397</v>
      </c>
      <c r="AB170">
        <v>477</v>
      </c>
      <c r="AC170">
        <v>413</v>
      </c>
      <c r="AD170">
        <v>509</v>
      </c>
      <c r="AE170">
        <v>458</v>
      </c>
      <c r="AF170" s="927" t="s">
        <v>305</v>
      </c>
      <c r="AG170" s="927" t="s">
        <v>963</v>
      </c>
      <c r="AH170" s="717"/>
      <c r="AK170" s="927"/>
      <c r="AO170" s="927"/>
      <c r="AP170" s="927"/>
      <c r="AQ170" s="927" t="s">
        <v>1247</v>
      </c>
    </row>
    <row r="171" spans="1:43">
      <c r="A171" s="927" t="s">
        <v>1248</v>
      </c>
      <c r="B171" s="927" t="s">
        <v>1249</v>
      </c>
      <c r="C171" s="927" t="s">
        <v>1250</v>
      </c>
      <c r="D171" s="927" t="s">
        <v>42</v>
      </c>
      <c r="E171" s="717">
        <v>45161</v>
      </c>
      <c r="F171" s="927" t="s">
        <v>58</v>
      </c>
      <c r="G171" s="927" t="s">
        <v>1251</v>
      </c>
      <c r="I171" s="927"/>
      <c r="J171" s="131"/>
      <c r="K171" s="927" t="s">
        <v>306</v>
      </c>
      <c r="M171" s="927" t="s">
        <v>306</v>
      </c>
      <c r="N171" s="927" t="s">
        <v>306</v>
      </c>
      <c r="O171" s="927" t="s">
        <v>306</v>
      </c>
      <c r="P171" s="927"/>
      <c r="Q171" s="927"/>
      <c r="R171" s="927"/>
      <c r="AF171" s="927"/>
      <c r="AG171" s="927"/>
      <c r="AH171" s="717">
        <v>45161</v>
      </c>
      <c r="AK171" s="927"/>
      <c r="AO171" s="927" t="s">
        <v>307</v>
      </c>
      <c r="AP171" s="927" t="s">
        <v>1100</v>
      </c>
      <c r="AQ171" s="927" t="s">
        <v>1252</v>
      </c>
    </row>
    <row r="172" spans="1:43">
      <c r="A172" s="927" t="s">
        <v>1253</v>
      </c>
      <c r="B172" s="927" t="s">
        <v>1254</v>
      </c>
      <c r="C172" s="927" t="s">
        <v>1255</v>
      </c>
      <c r="D172" s="927" t="s">
        <v>42</v>
      </c>
      <c r="E172" s="717">
        <v>45204</v>
      </c>
      <c r="F172" s="927" t="s">
        <v>58</v>
      </c>
      <c r="G172" s="927" t="s">
        <v>1256</v>
      </c>
      <c r="I172" s="927"/>
      <c r="J172" s="131"/>
      <c r="K172" s="927" t="s">
        <v>306</v>
      </c>
      <c r="M172" s="927" t="s">
        <v>306</v>
      </c>
      <c r="N172" s="927" t="s">
        <v>306</v>
      </c>
      <c r="O172" s="927" t="s">
        <v>306</v>
      </c>
      <c r="P172" s="927"/>
      <c r="Q172" s="927"/>
      <c r="R172" s="927"/>
      <c r="AF172" s="927"/>
      <c r="AG172" s="927"/>
      <c r="AH172" s="717">
        <v>45204</v>
      </c>
      <c r="AK172" s="927"/>
      <c r="AO172" s="927" t="s">
        <v>307</v>
      </c>
      <c r="AP172" s="927" t="s">
        <v>1084</v>
      </c>
      <c r="AQ172" s="927" t="s">
        <v>1257</v>
      </c>
    </row>
    <row r="173" spans="1:43">
      <c r="A173" s="927" t="s">
        <v>1258</v>
      </c>
      <c r="B173" s="927" t="s">
        <v>1259</v>
      </c>
      <c r="C173" s="927" t="s">
        <v>1260</v>
      </c>
      <c r="D173" s="927" t="s">
        <v>29</v>
      </c>
      <c r="E173" s="717">
        <v>45198</v>
      </c>
      <c r="F173" s="927" t="s">
        <v>58</v>
      </c>
      <c r="G173" s="927" t="s">
        <v>1261</v>
      </c>
      <c r="I173" s="927"/>
      <c r="J173" s="131"/>
      <c r="K173" s="927" t="s">
        <v>306</v>
      </c>
      <c r="M173" s="927" t="s">
        <v>306</v>
      </c>
      <c r="N173" s="927" t="s">
        <v>306</v>
      </c>
      <c r="O173" s="927" t="s">
        <v>306</v>
      </c>
      <c r="P173" s="927"/>
      <c r="Q173" s="927"/>
      <c r="R173" s="927"/>
      <c r="AF173" s="927"/>
      <c r="AG173" s="927"/>
      <c r="AH173" s="717"/>
      <c r="AK173" s="927"/>
      <c r="AO173" s="927"/>
      <c r="AP173" s="927"/>
      <c r="AQ173" s="927"/>
    </row>
    <row r="174" spans="1:43">
      <c r="A174" s="927" t="s">
        <v>1262</v>
      </c>
      <c r="B174" s="927" t="s">
        <v>1263</v>
      </c>
      <c r="C174" s="927" t="s">
        <v>1264</v>
      </c>
      <c r="D174" s="927" t="s">
        <v>29</v>
      </c>
      <c r="E174" s="717">
        <v>45199</v>
      </c>
      <c r="F174" s="927" t="s">
        <v>58</v>
      </c>
      <c r="G174" s="927" t="s">
        <v>1265</v>
      </c>
      <c r="I174" s="927"/>
      <c r="J174" s="131"/>
      <c r="K174" s="927" t="s">
        <v>306</v>
      </c>
      <c r="M174" s="927" t="s">
        <v>306</v>
      </c>
      <c r="N174" s="927" t="s">
        <v>306</v>
      </c>
      <c r="O174" s="927" t="s">
        <v>306</v>
      </c>
      <c r="P174" s="927"/>
      <c r="Q174" s="927"/>
      <c r="R174" s="927"/>
      <c r="AF174" s="927"/>
      <c r="AG174" s="927"/>
      <c r="AH174" s="717"/>
      <c r="AK174" s="927"/>
      <c r="AO174" s="927"/>
      <c r="AP174" s="927"/>
      <c r="AQ174" s="927"/>
    </row>
    <row r="175" spans="1:43">
      <c r="A175" s="927" t="s">
        <v>1266</v>
      </c>
      <c r="B175" s="927" t="s">
        <v>1267</v>
      </c>
      <c r="C175" s="927" t="s">
        <v>1268</v>
      </c>
      <c r="D175" s="927" t="s">
        <v>29</v>
      </c>
      <c r="E175" s="717">
        <v>45190</v>
      </c>
      <c r="F175" s="927" t="s">
        <v>58</v>
      </c>
      <c r="G175" s="927" t="s">
        <v>1269</v>
      </c>
      <c r="I175" s="927"/>
      <c r="J175" s="131"/>
      <c r="K175" s="927" t="s">
        <v>306</v>
      </c>
      <c r="M175" s="927" t="s">
        <v>306</v>
      </c>
      <c r="N175" s="927" t="s">
        <v>306</v>
      </c>
      <c r="O175" s="927" t="s">
        <v>306</v>
      </c>
      <c r="P175" s="927"/>
      <c r="Q175" s="927"/>
      <c r="R175" s="927"/>
      <c r="AF175" s="927"/>
      <c r="AG175" s="927"/>
      <c r="AH175" s="717"/>
      <c r="AK175" s="927"/>
      <c r="AO175" s="927"/>
      <c r="AP175" s="927"/>
      <c r="AQ175" s="927"/>
    </row>
    <row r="176" spans="1:43">
      <c r="A176" s="927" t="s">
        <v>1270</v>
      </c>
      <c r="B176" s="927" t="s">
        <v>1271</v>
      </c>
      <c r="C176" s="927" t="s">
        <v>1272</v>
      </c>
      <c r="D176" s="927" t="s">
        <v>29</v>
      </c>
      <c r="E176" s="717">
        <v>45197</v>
      </c>
      <c r="F176" s="927" t="s">
        <v>58</v>
      </c>
      <c r="G176" s="927" t="s">
        <v>1273</v>
      </c>
      <c r="I176" s="927"/>
      <c r="J176" s="131"/>
      <c r="K176" s="927" t="s">
        <v>306</v>
      </c>
      <c r="M176" s="927" t="s">
        <v>306</v>
      </c>
      <c r="N176" s="927" t="s">
        <v>306</v>
      </c>
      <c r="O176" s="927" t="s">
        <v>306</v>
      </c>
      <c r="P176" s="927"/>
      <c r="Q176" s="927"/>
      <c r="R176" s="927"/>
      <c r="AF176" s="927"/>
      <c r="AG176" s="927"/>
      <c r="AH176" s="717"/>
      <c r="AK176" s="927"/>
      <c r="AO176" s="927"/>
      <c r="AP176" s="927"/>
      <c r="AQ176" s="927"/>
    </row>
    <row r="177" spans="1:43">
      <c r="A177" s="927" t="s">
        <v>1274</v>
      </c>
      <c r="B177" s="927" t="s">
        <v>1275</v>
      </c>
      <c r="C177" s="927" t="s">
        <v>1276</v>
      </c>
      <c r="D177" s="927" t="s">
        <v>42</v>
      </c>
      <c r="E177" s="717">
        <v>45212</v>
      </c>
      <c r="F177" s="927" t="s">
        <v>58</v>
      </c>
      <c r="G177" s="927" t="s">
        <v>1277</v>
      </c>
      <c r="I177" s="927"/>
      <c r="J177" s="131"/>
      <c r="K177" s="927" t="s">
        <v>306</v>
      </c>
      <c r="M177" s="927" t="s">
        <v>306</v>
      </c>
      <c r="N177" s="927" t="s">
        <v>306</v>
      </c>
      <c r="O177" s="927" t="s">
        <v>306</v>
      </c>
      <c r="P177" s="927"/>
      <c r="Q177" s="927"/>
      <c r="R177" s="927"/>
      <c r="AF177" s="927"/>
      <c r="AG177" s="927"/>
      <c r="AH177" s="717">
        <v>45212</v>
      </c>
      <c r="AK177" s="927"/>
      <c r="AO177" s="927" t="s">
        <v>307</v>
      </c>
      <c r="AP177" s="927" t="s">
        <v>1100</v>
      </c>
      <c r="AQ177" s="927" t="s">
        <v>1278</v>
      </c>
    </row>
    <row r="178" spans="1:43">
      <c r="A178" s="927" t="s">
        <v>1279</v>
      </c>
      <c r="B178" s="927" t="s">
        <v>1280</v>
      </c>
      <c r="C178" s="927" t="s">
        <v>1281</v>
      </c>
      <c r="D178" s="927" t="s">
        <v>29</v>
      </c>
      <c r="E178" s="717">
        <v>45196</v>
      </c>
      <c r="F178" s="927" t="s">
        <v>58</v>
      </c>
      <c r="G178" s="927" t="s">
        <v>1282</v>
      </c>
      <c r="I178" s="927"/>
      <c r="J178" s="131"/>
      <c r="K178" s="927" t="s">
        <v>306</v>
      </c>
      <c r="M178" s="927" t="s">
        <v>306</v>
      </c>
      <c r="N178" s="927" t="s">
        <v>306</v>
      </c>
      <c r="O178" s="927" t="s">
        <v>306</v>
      </c>
      <c r="P178" s="927"/>
      <c r="Q178" s="927"/>
      <c r="R178" s="927"/>
      <c r="AF178" s="927"/>
      <c r="AG178" s="927"/>
      <c r="AH178" s="717"/>
      <c r="AK178" s="927"/>
      <c r="AO178" s="927"/>
      <c r="AP178" s="927"/>
      <c r="AQ178" s="927"/>
    </row>
    <row r="179" spans="1:43">
      <c r="A179" s="927" t="s">
        <v>1283</v>
      </c>
      <c r="B179" s="927" t="s">
        <v>1284</v>
      </c>
      <c r="C179" s="927" t="s">
        <v>1285</v>
      </c>
      <c r="D179" s="927" t="s">
        <v>29</v>
      </c>
      <c r="E179" s="717">
        <v>45196</v>
      </c>
      <c r="F179" s="927" t="s">
        <v>58</v>
      </c>
      <c r="G179" s="927" t="s">
        <v>1286</v>
      </c>
      <c r="I179" s="927"/>
      <c r="J179" s="131"/>
      <c r="K179" s="927" t="s">
        <v>306</v>
      </c>
      <c r="M179" s="927" t="s">
        <v>306</v>
      </c>
      <c r="N179" s="927" t="s">
        <v>306</v>
      </c>
      <c r="O179" s="927" t="s">
        <v>306</v>
      </c>
      <c r="P179" s="927"/>
      <c r="Q179" s="927"/>
      <c r="R179" s="927"/>
      <c r="AF179" s="927"/>
      <c r="AG179" s="927"/>
      <c r="AH179" s="717"/>
      <c r="AK179" s="927"/>
      <c r="AO179" s="927"/>
      <c r="AP179" s="927"/>
      <c r="AQ179" s="927"/>
    </row>
    <row r="180" spans="1:43">
      <c r="A180" s="927" t="s">
        <v>1287</v>
      </c>
      <c r="B180" s="927" t="s">
        <v>1288</v>
      </c>
      <c r="C180" s="927" t="s">
        <v>1289</v>
      </c>
      <c r="D180" s="927" t="s">
        <v>29</v>
      </c>
      <c r="E180" s="717">
        <v>45200</v>
      </c>
      <c r="F180" s="927" t="s">
        <v>58</v>
      </c>
      <c r="G180" s="927" t="s">
        <v>1290</v>
      </c>
      <c r="I180" s="927"/>
      <c r="J180" s="131"/>
      <c r="K180" s="927" t="s">
        <v>306</v>
      </c>
      <c r="M180" s="927" t="s">
        <v>306</v>
      </c>
      <c r="N180" s="927" t="s">
        <v>306</v>
      </c>
      <c r="O180" s="927" t="s">
        <v>306</v>
      </c>
      <c r="P180" s="927"/>
      <c r="Q180" s="927"/>
      <c r="R180" s="927"/>
      <c r="AF180" s="927"/>
      <c r="AG180" s="927"/>
      <c r="AH180" s="717"/>
      <c r="AK180" s="927"/>
      <c r="AO180" s="927"/>
      <c r="AP180" s="927"/>
      <c r="AQ180" s="927"/>
    </row>
    <row r="181" spans="1:43">
      <c r="A181" s="927" t="s">
        <v>1291</v>
      </c>
      <c r="B181" s="927" t="s">
        <v>1292</v>
      </c>
      <c r="C181" s="927" t="s">
        <v>1293</v>
      </c>
      <c r="D181" s="927" t="s">
        <v>29</v>
      </c>
      <c r="E181" s="717">
        <v>45200</v>
      </c>
      <c r="F181" s="927" t="s">
        <v>58</v>
      </c>
      <c r="G181" s="927" t="s">
        <v>1294</v>
      </c>
      <c r="I181" s="927"/>
      <c r="J181" s="131"/>
      <c r="K181" s="927" t="s">
        <v>306</v>
      </c>
      <c r="M181" s="927" t="s">
        <v>306</v>
      </c>
      <c r="N181" s="927" t="s">
        <v>306</v>
      </c>
      <c r="O181" s="927" t="s">
        <v>306</v>
      </c>
      <c r="P181" s="927"/>
      <c r="Q181" s="927"/>
      <c r="R181" s="927"/>
      <c r="AF181" s="927"/>
      <c r="AG181" s="927"/>
      <c r="AH181" s="717"/>
      <c r="AK181" s="927"/>
      <c r="AO181" s="927"/>
      <c r="AP181" s="927"/>
      <c r="AQ181" s="927"/>
    </row>
    <row r="182" spans="1:43">
      <c r="A182" s="927" t="s">
        <v>1295</v>
      </c>
      <c r="B182" s="927" t="s">
        <v>1296</v>
      </c>
      <c r="C182" s="927" t="s">
        <v>1297</v>
      </c>
      <c r="D182" s="927" t="s">
        <v>29</v>
      </c>
      <c r="E182" s="717">
        <v>45170</v>
      </c>
      <c r="F182" s="927" t="s">
        <v>55</v>
      </c>
      <c r="G182" s="927" t="s">
        <v>1298</v>
      </c>
      <c r="I182" s="927"/>
      <c r="J182" s="131"/>
      <c r="K182" s="927" t="s">
        <v>306</v>
      </c>
      <c r="M182" s="927" t="s">
        <v>306</v>
      </c>
      <c r="N182" s="927" t="s">
        <v>306</v>
      </c>
      <c r="O182" s="927" t="s">
        <v>306</v>
      </c>
      <c r="P182" s="927"/>
      <c r="Q182" s="927"/>
      <c r="R182" s="927"/>
      <c r="AF182" s="927"/>
      <c r="AG182" s="927"/>
      <c r="AH182" s="717"/>
      <c r="AK182" s="927"/>
      <c r="AO182" s="927"/>
      <c r="AP182" s="927"/>
      <c r="AQ182" s="927"/>
    </row>
    <row r="183" spans="1:43">
      <c r="A183" s="927" t="s">
        <v>1299</v>
      </c>
      <c r="B183" s="927" t="s">
        <v>1300</v>
      </c>
      <c r="C183" s="927" t="s">
        <v>1301</v>
      </c>
      <c r="D183" s="927" t="s">
        <v>29</v>
      </c>
      <c r="E183" s="717">
        <v>45208</v>
      </c>
      <c r="F183" s="927" t="s">
        <v>58</v>
      </c>
      <c r="G183" s="927" t="s">
        <v>1302</v>
      </c>
      <c r="I183" s="927"/>
      <c r="J183" s="131"/>
      <c r="K183" s="927" t="s">
        <v>306</v>
      </c>
      <c r="M183" s="927" t="s">
        <v>306</v>
      </c>
      <c r="N183" s="927" t="s">
        <v>306</v>
      </c>
      <c r="O183" s="927" t="s">
        <v>306</v>
      </c>
      <c r="P183" s="927"/>
      <c r="Q183" s="927"/>
      <c r="R183" s="927"/>
      <c r="AF183" s="927"/>
      <c r="AG183" s="927"/>
      <c r="AH183" s="717"/>
      <c r="AK183" s="927"/>
      <c r="AO183" s="927"/>
      <c r="AP183" s="927"/>
      <c r="AQ183" s="927"/>
    </row>
    <row r="184" spans="1:43">
      <c r="A184" s="927" t="s">
        <v>1303</v>
      </c>
      <c r="B184" s="927" t="s">
        <v>1304</v>
      </c>
      <c r="C184" s="927" t="s">
        <v>1305</v>
      </c>
      <c r="D184" s="927" t="s">
        <v>29</v>
      </c>
      <c r="E184" s="717">
        <v>45208</v>
      </c>
      <c r="F184" s="927" t="s">
        <v>58</v>
      </c>
      <c r="G184" s="927" t="s">
        <v>1306</v>
      </c>
      <c r="I184" s="927"/>
      <c r="J184" s="131"/>
      <c r="K184" s="927" t="s">
        <v>306</v>
      </c>
      <c r="M184" s="927" t="s">
        <v>306</v>
      </c>
      <c r="N184" s="927" t="s">
        <v>306</v>
      </c>
      <c r="O184" s="927" t="s">
        <v>306</v>
      </c>
      <c r="P184" s="927"/>
      <c r="Q184" s="927"/>
      <c r="R184" s="927"/>
      <c r="AF184" s="927"/>
      <c r="AG184" s="927"/>
      <c r="AH184" s="717"/>
      <c r="AK184" s="927"/>
      <c r="AO184" s="927"/>
      <c r="AP184" s="927"/>
      <c r="AQ184" s="927"/>
    </row>
    <row r="185" spans="1:43">
      <c r="A185" s="927" t="s">
        <v>1307</v>
      </c>
      <c r="B185" s="927" t="s">
        <v>1308</v>
      </c>
      <c r="C185" s="927" t="s">
        <v>1309</v>
      </c>
      <c r="D185" s="927" t="s">
        <v>42</v>
      </c>
      <c r="E185" s="717">
        <v>45210</v>
      </c>
      <c r="F185" s="927" t="s">
        <v>58</v>
      </c>
      <c r="G185" s="927" t="s">
        <v>1310</v>
      </c>
      <c r="I185" s="927"/>
      <c r="J185" s="131"/>
      <c r="K185" s="927" t="s">
        <v>306</v>
      </c>
      <c r="M185" s="927" t="s">
        <v>306</v>
      </c>
      <c r="N185" s="927" t="s">
        <v>306</v>
      </c>
      <c r="O185" s="927" t="s">
        <v>306</v>
      </c>
      <c r="P185" s="927"/>
      <c r="Q185" s="927"/>
      <c r="R185" s="927"/>
      <c r="AF185" s="927"/>
      <c r="AG185" s="927"/>
      <c r="AH185" s="717">
        <v>45210</v>
      </c>
      <c r="AK185" s="927"/>
      <c r="AO185" s="927" t="s">
        <v>307</v>
      </c>
      <c r="AP185" s="927" t="s">
        <v>1100</v>
      </c>
      <c r="AQ185" s="927" t="s">
        <v>1311</v>
      </c>
    </row>
    <row r="186" spans="1:43">
      <c r="A186" s="927" t="s">
        <v>1312</v>
      </c>
      <c r="B186" s="927" t="s">
        <v>1313</v>
      </c>
      <c r="C186" s="927" t="s">
        <v>775</v>
      </c>
      <c r="D186" s="927" t="s">
        <v>29</v>
      </c>
      <c r="E186" s="717">
        <v>45208</v>
      </c>
      <c r="F186" s="927" t="s">
        <v>58</v>
      </c>
      <c r="G186" s="927" t="s">
        <v>1314</v>
      </c>
      <c r="I186" s="927"/>
      <c r="J186" s="131"/>
      <c r="K186" s="927" t="s">
        <v>306</v>
      </c>
      <c r="M186" s="927" t="s">
        <v>306</v>
      </c>
      <c r="N186" s="927" t="s">
        <v>306</v>
      </c>
      <c r="O186" s="927" t="s">
        <v>306</v>
      </c>
      <c r="P186" s="927"/>
      <c r="Q186" s="927"/>
      <c r="R186" s="927"/>
      <c r="AF186" s="927"/>
      <c r="AG186" s="927"/>
      <c r="AH186" s="717"/>
      <c r="AK186" s="927"/>
      <c r="AO186" s="927"/>
      <c r="AP186" s="927"/>
      <c r="AQ186" s="927"/>
    </row>
    <row r="187" spans="1:43">
      <c r="A187" s="927" t="s">
        <v>1315</v>
      </c>
      <c r="B187" s="927" t="s">
        <v>1316</v>
      </c>
      <c r="C187" s="927" t="s">
        <v>1317</v>
      </c>
      <c r="D187" s="927" t="s">
        <v>29</v>
      </c>
      <c r="E187" s="717">
        <v>45210</v>
      </c>
      <c r="F187" s="927" t="s">
        <v>58</v>
      </c>
      <c r="G187" s="927" t="s">
        <v>1318</v>
      </c>
      <c r="I187" s="927"/>
      <c r="J187" s="131"/>
      <c r="K187" s="927" t="s">
        <v>306</v>
      </c>
      <c r="M187" s="927" t="s">
        <v>306</v>
      </c>
      <c r="N187" s="927" t="s">
        <v>306</v>
      </c>
      <c r="O187" s="927" t="s">
        <v>306</v>
      </c>
      <c r="P187" s="927"/>
      <c r="Q187" s="927"/>
      <c r="R187" s="927"/>
      <c r="AF187" s="927"/>
      <c r="AG187" s="927"/>
      <c r="AH187" s="717"/>
      <c r="AK187" s="927"/>
      <c r="AO187" s="927"/>
      <c r="AP187" s="927"/>
      <c r="AQ187" s="927"/>
    </row>
    <row r="188" spans="1:43">
      <c r="A188" s="927" t="s">
        <v>1319</v>
      </c>
      <c r="B188" s="927" t="s">
        <v>1320</v>
      </c>
      <c r="C188" s="927" t="s">
        <v>1321</v>
      </c>
      <c r="D188" s="927"/>
      <c r="E188" s="717"/>
      <c r="F188" s="927"/>
      <c r="G188" s="927"/>
      <c r="I188" s="927"/>
      <c r="J188" s="131"/>
      <c r="K188" s="927" t="s">
        <v>1322</v>
      </c>
      <c r="L188" t="s">
        <v>3822</v>
      </c>
      <c r="M188" s="927" t="s">
        <v>1322</v>
      </c>
      <c r="N188" s="927" t="s">
        <v>1322</v>
      </c>
      <c r="O188" s="927" t="s">
        <v>1322</v>
      </c>
      <c r="P188" s="927" t="s">
        <v>322</v>
      </c>
      <c r="Q188" s="927"/>
      <c r="R188" s="927"/>
      <c r="S188">
        <v>678</v>
      </c>
      <c r="T188">
        <v>1000</v>
      </c>
      <c r="U188">
        <v>800</v>
      </c>
      <c r="V188">
        <v>1060</v>
      </c>
      <c r="W188">
        <v>720</v>
      </c>
      <c r="X188">
        <v>690</v>
      </c>
      <c r="Y188">
        <v>310</v>
      </c>
      <c r="Z188">
        <v>510</v>
      </c>
      <c r="AA188">
        <v>480</v>
      </c>
      <c r="AB188">
        <v>580</v>
      </c>
      <c r="AC188">
        <v>570</v>
      </c>
      <c r="AD188">
        <v>790</v>
      </c>
      <c r="AE188">
        <v>630</v>
      </c>
      <c r="AF188" s="927" t="s">
        <v>269</v>
      </c>
      <c r="AG188" s="927" t="s">
        <v>963</v>
      </c>
      <c r="AH188" s="717"/>
      <c r="AK188" s="927"/>
      <c r="AO188" s="927"/>
      <c r="AP188" s="927"/>
      <c r="AQ188" s="927"/>
    </row>
    <row r="189" spans="1:43">
      <c r="A189" s="927" t="s">
        <v>946</v>
      </c>
      <c r="B189" s="927" t="s">
        <v>947</v>
      </c>
      <c r="C189" s="927" t="s">
        <v>948</v>
      </c>
      <c r="D189" s="927"/>
      <c r="E189" s="717">
        <v>44984</v>
      </c>
      <c r="F189" s="927" t="s">
        <v>61</v>
      </c>
      <c r="G189" s="927" t="s">
        <v>949</v>
      </c>
      <c r="I189" s="927"/>
      <c r="J189" s="131"/>
      <c r="K189" s="927" t="s">
        <v>950</v>
      </c>
      <c r="L189" t="s">
        <v>3797</v>
      </c>
      <c r="M189" s="927" t="s">
        <v>950</v>
      </c>
      <c r="N189" s="927" t="s">
        <v>950</v>
      </c>
      <c r="O189" s="927" t="s">
        <v>950</v>
      </c>
      <c r="P189" s="927" t="s">
        <v>379</v>
      </c>
      <c r="Q189" s="927" t="s">
        <v>323</v>
      </c>
      <c r="R189" s="927" t="s">
        <v>438</v>
      </c>
      <c r="S189">
        <v>212</v>
      </c>
      <c r="T189">
        <v>288</v>
      </c>
      <c r="U189">
        <v>304</v>
      </c>
      <c r="V189">
        <v>276</v>
      </c>
      <c r="W189">
        <v>187</v>
      </c>
      <c r="X189">
        <v>193</v>
      </c>
      <c r="Y189">
        <v>167</v>
      </c>
      <c r="Z189">
        <v>147</v>
      </c>
      <c r="AA189">
        <v>166</v>
      </c>
      <c r="AB189">
        <v>170</v>
      </c>
      <c r="AC189">
        <v>205</v>
      </c>
      <c r="AD189">
        <v>210</v>
      </c>
      <c r="AE189">
        <v>235</v>
      </c>
      <c r="AF189" s="927" t="s">
        <v>305</v>
      </c>
      <c r="AG189" s="927"/>
      <c r="AH189" s="717">
        <v>45005</v>
      </c>
      <c r="AK189" s="927"/>
      <c r="AO189" s="927" t="s">
        <v>307</v>
      </c>
      <c r="AP189" s="927" t="s">
        <v>395</v>
      </c>
      <c r="AQ189" s="927" t="s">
        <v>951</v>
      </c>
    </row>
    <row r="190" spans="1:43">
      <c r="A190" s="927" t="s">
        <v>897</v>
      </c>
      <c r="B190" s="927" t="s">
        <v>898</v>
      </c>
      <c r="C190" s="927" t="s">
        <v>899</v>
      </c>
      <c r="D190" s="927"/>
      <c r="E190" s="717">
        <v>44869</v>
      </c>
      <c r="F190" s="927" t="s">
        <v>52</v>
      </c>
      <c r="G190" s="927" t="s">
        <v>900</v>
      </c>
      <c r="I190" s="927"/>
      <c r="J190" s="131"/>
      <c r="K190" s="927" t="s">
        <v>901</v>
      </c>
      <c r="L190" t="s">
        <v>3789</v>
      </c>
      <c r="M190" s="927" t="s">
        <v>901</v>
      </c>
      <c r="N190" s="927" t="s">
        <v>901</v>
      </c>
      <c r="O190" s="927" t="s">
        <v>901</v>
      </c>
      <c r="P190" s="927" t="s">
        <v>322</v>
      </c>
      <c r="Q190" s="927" t="s">
        <v>323</v>
      </c>
      <c r="R190" s="927" t="s">
        <v>324</v>
      </c>
      <c r="S190">
        <v>717</v>
      </c>
      <c r="T190">
        <v>1015</v>
      </c>
      <c r="U190">
        <v>915</v>
      </c>
      <c r="V190">
        <v>1050</v>
      </c>
      <c r="W190">
        <v>687</v>
      </c>
      <c r="X190">
        <v>546</v>
      </c>
      <c r="Y190">
        <v>562</v>
      </c>
      <c r="Z190">
        <v>590</v>
      </c>
      <c r="AA190">
        <v>561</v>
      </c>
      <c r="AB190">
        <v>531</v>
      </c>
      <c r="AC190">
        <v>681</v>
      </c>
      <c r="AD190">
        <v>651</v>
      </c>
      <c r="AE190">
        <v>813</v>
      </c>
      <c r="AF190" s="927" t="s">
        <v>305</v>
      </c>
      <c r="AG190" s="927"/>
      <c r="AH190" s="717"/>
      <c r="AK190" s="927"/>
      <c r="AO190" s="927"/>
      <c r="AP190" s="927"/>
      <c r="AQ190" s="927" t="s">
        <v>902</v>
      </c>
    </row>
    <row r="191" spans="1:43">
      <c r="A191" s="927" t="s">
        <v>1323</v>
      </c>
      <c r="B191" s="927" t="s">
        <v>1324</v>
      </c>
      <c r="C191" s="927" t="s">
        <v>1325</v>
      </c>
      <c r="D191" s="927" t="s">
        <v>1326</v>
      </c>
      <c r="E191" s="717">
        <v>45399</v>
      </c>
      <c r="F191" s="927" t="s">
        <v>61</v>
      </c>
      <c r="G191" s="927"/>
      <c r="I191" s="927"/>
      <c r="J191" s="131"/>
      <c r="K191" s="927" t="s">
        <v>306</v>
      </c>
      <c r="M191" s="927" t="s">
        <v>306</v>
      </c>
      <c r="N191" s="927" t="s">
        <v>306</v>
      </c>
      <c r="O191" s="927" t="s">
        <v>306</v>
      </c>
      <c r="P191" s="927" t="s">
        <v>379</v>
      </c>
      <c r="Q191" s="927" t="s">
        <v>323</v>
      </c>
      <c r="R191" s="927" t="s">
        <v>324</v>
      </c>
      <c r="S191">
        <v>702</v>
      </c>
      <c r="T191">
        <v>875</v>
      </c>
      <c r="U191">
        <v>918</v>
      </c>
      <c r="V191">
        <v>895</v>
      </c>
      <c r="W191">
        <v>924</v>
      </c>
      <c r="X191">
        <v>620</v>
      </c>
      <c r="Y191">
        <v>489</v>
      </c>
      <c r="Z191">
        <v>448</v>
      </c>
      <c r="AA191">
        <v>470</v>
      </c>
      <c r="AB191">
        <v>526</v>
      </c>
      <c r="AC191">
        <v>673</v>
      </c>
      <c r="AD191">
        <v>713</v>
      </c>
      <c r="AE191">
        <v>871</v>
      </c>
      <c r="AF191" s="927" t="s">
        <v>269</v>
      </c>
      <c r="AG191" s="927" t="s">
        <v>963</v>
      </c>
      <c r="AH191" s="717"/>
      <c r="AK191" s="927"/>
      <c r="AO191" s="927"/>
      <c r="AP191" s="927"/>
      <c r="AQ191" s="927"/>
    </row>
    <row r="192" spans="1:43">
      <c r="A192" s="927" t="s">
        <v>5738</v>
      </c>
      <c r="B192" s="927" t="s">
        <v>1327</v>
      </c>
      <c r="C192" s="927" t="s">
        <v>5732</v>
      </c>
      <c r="D192" s="927"/>
      <c r="E192" s="717"/>
      <c r="F192" s="927"/>
      <c r="G192" s="927"/>
      <c r="I192" s="927"/>
      <c r="J192" s="131"/>
      <c r="K192" s="927" t="s">
        <v>306</v>
      </c>
      <c r="M192" s="927" t="s">
        <v>306</v>
      </c>
      <c r="N192" s="927" t="s">
        <v>306</v>
      </c>
      <c r="O192" s="927" t="s">
        <v>306</v>
      </c>
      <c r="P192" s="927" t="s">
        <v>322</v>
      </c>
      <c r="Q192" s="927"/>
      <c r="R192" s="927"/>
      <c r="S192">
        <v>500</v>
      </c>
      <c r="T192">
        <v>720</v>
      </c>
      <c r="U192">
        <v>690</v>
      </c>
      <c r="V192">
        <v>576</v>
      </c>
      <c r="W192">
        <v>534</v>
      </c>
      <c r="X192">
        <v>420</v>
      </c>
      <c r="Y192">
        <v>360</v>
      </c>
      <c r="Z192">
        <v>360</v>
      </c>
      <c r="AA192">
        <v>402</v>
      </c>
      <c r="AB192">
        <v>420</v>
      </c>
      <c r="AC192">
        <v>438</v>
      </c>
      <c r="AD192">
        <v>480</v>
      </c>
      <c r="AE192">
        <v>600</v>
      </c>
      <c r="AF192" s="927"/>
      <c r="AG192" s="927"/>
      <c r="AH192" s="717"/>
      <c r="AK192" s="927"/>
      <c r="AO192" s="927"/>
      <c r="AP192" s="927"/>
      <c r="AQ192" s="927"/>
    </row>
    <row r="193" spans="1:43">
      <c r="A193" s="927" t="s">
        <v>1328</v>
      </c>
      <c r="B193" s="927" t="s">
        <v>1329</v>
      </c>
      <c r="C193" s="927" t="s">
        <v>1330</v>
      </c>
      <c r="D193" s="927"/>
      <c r="E193" s="717"/>
      <c r="F193" s="927"/>
      <c r="G193" s="927"/>
      <c r="I193" s="927"/>
      <c r="J193" s="131"/>
      <c r="K193" s="927" t="s">
        <v>1331</v>
      </c>
      <c r="L193" t="s">
        <v>3823</v>
      </c>
      <c r="M193" s="927" t="s">
        <v>3642</v>
      </c>
      <c r="N193" s="927" t="s">
        <v>1331</v>
      </c>
      <c r="O193" s="927" t="s">
        <v>3641</v>
      </c>
      <c r="P193" s="927" t="s">
        <v>322</v>
      </c>
      <c r="Q193" s="927" t="s">
        <v>323</v>
      </c>
      <c r="R193" s="927" t="s">
        <v>555</v>
      </c>
      <c r="S193">
        <v>291</v>
      </c>
      <c r="T193">
        <v>339</v>
      </c>
      <c r="U193">
        <v>349</v>
      </c>
      <c r="V193">
        <v>467</v>
      </c>
      <c r="W193">
        <v>312</v>
      </c>
      <c r="X193">
        <v>312</v>
      </c>
      <c r="Y193">
        <v>197</v>
      </c>
      <c r="Z193">
        <v>252</v>
      </c>
      <c r="AA193">
        <v>148</v>
      </c>
      <c r="AB193">
        <v>199</v>
      </c>
      <c r="AC193">
        <v>265</v>
      </c>
      <c r="AD193">
        <v>343</v>
      </c>
      <c r="AE193">
        <v>310</v>
      </c>
      <c r="AF193" s="927" t="s">
        <v>269</v>
      </c>
      <c r="AG193" s="927" t="s">
        <v>963</v>
      </c>
      <c r="AH193" s="717"/>
      <c r="AK193" s="927"/>
      <c r="AO193" s="927"/>
      <c r="AP193" s="927"/>
      <c r="AQ193" s="927"/>
    </row>
    <row r="194" spans="1:43">
      <c r="A194" s="927" t="s">
        <v>1332</v>
      </c>
      <c r="B194" s="927" t="s">
        <v>1333</v>
      </c>
      <c r="C194" s="927" t="s">
        <v>781</v>
      </c>
      <c r="D194" s="927"/>
      <c r="E194" s="717">
        <v>44671</v>
      </c>
      <c r="F194" s="927" t="s">
        <v>61</v>
      </c>
      <c r="G194" s="927" t="s">
        <v>782</v>
      </c>
      <c r="I194" s="927"/>
      <c r="J194" s="131"/>
      <c r="K194" s="927" t="s">
        <v>783</v>
      </c>
      <c r="L194" t="s">
        <v>3771</v>
      </c>
      <c r="M194" s="927" t="s">
        <v>783</v>
      </c>
      <c r="N194" s="927" t="s">
        <v>783</v>
      </c>
      <c r="O194" s="927" t="s">
        <v>783</v>
      </c>
      <c r="P194" s="927" t="s">
        <v>379</v>
      </c>
      <c r="Q194" s="927" t="s">
        <v>323</v>
      </c>
      <c r="R194" s="927" t="s">
        <v>324</v>
      </c>
      <c r="S194">
        <v>317</v>
      </c>
      <c r="T194">
        <v>316</v>
      </c>
      <c r="U194">
        <v>387</v>
      </c>
      <c r="V194">
        <v>483</v>
      </c>
      <c r="W194">
        <v>378</v>
      </c>
      <c r="X194">
        <v>302</v>
      </c>
      <c r="Y194">
        <v>270</v>
      </c>
      <c r="Z194">
        <v>290</v>
      </c>
      <c r="AA194">
        <v>252</v>
      </c>
      <c r="AB194">
        <v>275</v>
      </c>
      <c r="AC194">
        <v>312</v>
      </c>
      <c r="AD194">
        <v>251</v>
      </c>
      <c r="AE194">
        <v>285</v>
      </c>
      <c r="AF194" s="927" t="s">
        <v>305</v>
      </c>
      <c r="AG194" s="927"/>
      <c r="AH194" s="717"/>
      <c r="AK194" s="927"/>
      <c r="AO194" s="927"/>
      <c r="AP194" s="927"/>
      <c r="AQ194" s="927"/>
    </row>
    <row r="195" spans="1:43">
      <c r="A195" s="927" t="s">
        <v>1334</v>
      </c>
      <c r="B195" s="927" t="s">
        <v>1335</v>
      </c>
      <c r="C195" s="927" t="s">
        <v>1156</v>
      </c>
      <c r="D195" s="927" t="s">
        <v>33</v>
      </c>
      <c r="E195" s="717">
        <v>45173</v>
      </c>
      <c r="F195" s="927" t="s">
        <v>50</v>
      </c>
      <c r="G195" s="927" t="s">
        <v>1157</v>
      </c>
      <c r="I195" s="927"/>
      <c r="J195" s="131"/>
      <c r="K195" s="927" t="s">
        <v>306</v>
      </c>
      <c r="M195" s="927" t="s">
        <v>306</v>
      </c>
      <c r="N195" s="927" t="s">
        <v>306</v>
      </c>
      <c r="O195" s="927" t="s">
        <v>306</v>
      </c>
      <c r="P195" s="927" t="s">
        <v>322</v>
      </c>
      <c r="Q195" s="927"/>
      <c r="R195" s="927"/>
      <c r="S195">
        <v>780</v>
      </c>
      <c r="T195">
        <v>1123</v>
      </c>
      <c r="U195">
        <v>1076</v>
      </c>
      <c r="V195">
        <v>899</v>
      </c>
      <c r="W195">
        <v>833</v>
      </c>
      <c r="X195">
        <v>655</v>
      </c>
      <c r="Y195">
        <v>562</v>
      </c>
      <c r="Z195">
        <v>562</v>
      </c>
      <c r="AA195">
        <v>627</v>
      </c>
      <c r="AB195">
        <v>655</v>
      </c>
      <c r="AC195">
        <v>683</v>
      </c>
      <c r="AD195">
        <v>749</v>
      </c>
      <c r="AE195">
        <v>936</v>
      </c>
      <c r="AF195" s="927"/>
      <c r="AG195" s="927" t="s">
        <v>963</v>
      </c>
      <c r="AH195" s="717"/>
      <c r="AK195" s="927"/>
      <c r="AO195" s="927"/>
      <c r="AP195" s="927"/>
      <c r="AQ195" s="927"/>
    </row>
    <row r="196" spans="1:43">
      <c r="A196" s="927" t="s">
        <v>1336</v>
      </c>
      <c r="B196" s="927" t="s">
        <v>1337</v>
      </c>
      <c r="C196" s="927" t="s">
        <v>1338</v>
      </c>
      <c r="D196" s="927" t="s">
        <v>33</v>
      </c>
      <c r="E196" s="717">
        <v>45222</v>
      </c>
      <c r="F196" s="927" t="s">
        <v>58</v>
      </c>
      <c r="G196" s="927" t="s">
        <v>5739</v>
      </c>
      <c r="I196" s="927"/>
      <c r="J196" s="131"/>
      <c r="K196" s="927" t="s">
        <v>1339</v>
      </c>
      <c r="L196" t="s">
        <v>3824</v>
      </c>
      <c r="M196" s="927" t="s">
        <v>3643</v>
      </c>
      <c r="N196" s="927" t="s">
        <v>1339</v>
      </c>
      <c r="O196" s="927" t="s">
        <v>3643</v>
      </c>
      <c r="P196" s="927" t="s">
        <v>322</v>
      </c>
      <c r="Q196" s="927" t="s">
        <v>323</v>
      </c>
      <c r="R196" s="927" t="s">
        <v>324</v>
      </c>
      <c r="S196">
        <v>472</v>
      </c>
      <c r="T196">
        <v>721</v>
      </c>
      <c r="U196">
        <v>641</v>
      </c>
      <c r="V196">
        <v>634</v>
      </c>
      <c r="W196">
        <v>593</v>
      </c>
      <c r="X196">
        <v>343</v>
      </c>
      <c r="Y196">
        <v>233</v>
      </c>
      <c r="Z196">
        <v>210</v>
      </c>
      <c r="AA196">
        <v>245</v>
      </c>
      <c r="AB196">
        <v>314</v>
      </c>
      <c r="AC196">
        <v>499</v>
      </c>
      <c r="AD196">
        <v>510</v>
      </c>
      <c r="AE196">
        <v>721</v>
      </c>
      <c r="AF196" s="927" t="s">
        <v>269</v>
      </c>
      <c r="AG196" s="927" t="s">
        <v>963</v>
      </c>
      <c r="AH196" s="717"/>
      <c r="AK196" s="927"/>
      <c r="AO196" s="927"/>
      <c r="AP196" s="927"/>
      <c r="AQ196" s="927"/>
    </row>
    <row r="197" spans="1:43">
      <c r="A197" s="927" t="s">
        <v>1340</v>
      </c>
      <c r="B197" s="927" t="s">
        <v>1341</v>
      </c>
      <c r="C197" s="927" t="s">
        <v>1342</v>
      </c>
      <c r="D197" s="927" t="s">
        <v>1115</v>
      </c>
      <c r="E197" s="717">
        <v>45224</v>
      </c>
      <c r="F197" s="927"/>
      <c r="G197" s="927"/>
      <c r="I197" s="927"/>
      <c r="J197" s="131"/>
      <c r="K197" s="927" t="s">
        <v>306</v>
      </c>
      <c r="M197" s="927" t="s">
        <v>306</v>
      </c>
      <c r="N197" s="927" t="s">
        <v>306</v>
      </c>
      <c r="O197" s="927" t="s">
        <v>306</v>
      </c>
      <c r="P197" s="927"/>
      <c r="Q197" s="927"/>
      <c r="R197" s="927"/>
      <c r="AF197" s="927"/>
      <c r="AG197" s="927"/>
      <c r="AH197" s="717"/>
      <c r="AK197" s="927"/>
      <c r="AO197" s="927"/>
      <c r="AP197" s="927"/>
      <c r="AQ197" s="927"/>
    </row>
    <row r="198" spans="1:43">
      <c r="A198" s="927" t="s">
        <v>4243</v>
      </c>
      <c r="B198" s="927" t="s">
        <v>1343</v>
      </c>
      <c r="C198" s="927" t="s">
        <v>4244</v>
      </c>
      <c r="D198" s="927" t="s">
        <v>1371</v>
      </c>
      <c r="E198" s="717">
        <v>45426</v>
      </c>
      <c r="F198" s="927"/>
      <c r="G198" s="927"/>
      <c r="H198" t="s">
        <v>4245</v>
      </c>
      <c r="I198" s="927"/>
      <c r="J198" s="131">
        <v>20784</v>
      </c>
      <c r="K198" s="927" t="s">
        <v>1345</v>
      </c>
      <c r="L198" t="s">
        <v>3842</v>
      </c>
      <c r="M198" s="927" t="s">
        <v>320</v>
      </c>
      <c r="N198" s="927" t="s">
        <v>1346</v>
      </c>
      <c r="O198" s="927" t="s">
        <v>1347</v>
      </c>
      <c r="P198" s="927" t="s">
        <v>322</v>
      </c>
      <c r="Q198" s="927"/>
      <c r="R198" s="927" t="s">
        <v>324</v>
      </c>
      <c r="T198">
        <v>1068</v>
      </c>
      <c r="U198">
        <v>1138</v>
      </c>
      <c r="V198">
        <v>1373</v>
      </c>
      <c r="W198">
        <v>812</v>
      </c>
      <c r="X198">
        <v>737</v>
      </c>
      <c r="Y198">
        <v>726</v>
      </c>
      <c r="Z198">
        <v>754</v>
      </c>
      <c r="AA198">
        <v>783</v>
      </c>
      <c r="AB198">
        <v>843</v>
      </c>
      <c r="AC198">
        <v>913</v>
      </c>
      <c r="AD198">
        <v>1121</v>
      </c>
      <c r="AE198">
        <v>938</v>
      </c>
      <c r="AF198" s="927" t="s">
        <v>1189</v>
      </c>
      <c r="AG198" s="927" t="s">
        <v>1189</v>
      </c>
      <c r="AH198" s="717"/>
      <c r="AI198">
        <v>9.1199999999999992</v>
      </c>
      <c r="AJ198">
        <v>27297</v>
      </c>
      <c r="AK198" s="927"/>
      <c r="AL198">
        <v>16</v>
      </c>
      <c r="AM198">
        <v>570</v>
      </c>
      <c r="AO198" s="927"/>
      <c r="AP198" s="927"/>
      <c r="AQ198" s="927" t="s">
        <v>4246</v>
      </c>
    </row>
    <row r="199" spans="1:43">
      <c r="A199" s="927" t="s">
        <v>1348</v>
      </c>
      <c r="B199" s="927" t="s">
        <v>1349</v>
      </c>
      <c r="C199" s="927" t="s">
        <v>1350</v>
      </c>
      <c r="D199" s="927"/>
      <c r="E199" s="717"/>
      <c r="F199" s="927"/>
      <c r="G199" s="927" t="s">
        <v>5739</v>
      </c>
      <c r="I199" s="927"/>
      <c r="J199" s="131"/>
      <c r="K199" s="927" t="s">
        <v>306</v>
      </c>
      <c r="M199" s="927" t="s">
        <v>306</v>
      </c>
      <c r="N199" s="927" t="s">
        <v>306</v>
      </c>
      <c r="O199" s="927" t="s">
        <v>306</v>
      </c>
      <c r="P199" s="927"/>
      <c r="Q199" s="927"/>
      <c r="R199" s="927"/>
      <c r="S199">
        <v>900</v>
      </c>
      <c r="T199">
        <v>1296</v>
      </c>
      <c r="U199">
        <v>1242</v>
      </c>
      <c r="V199">
        <v>1037</v>
      </c>
      <c r="W199">
        <v>961</v>
      </c>
      <c r="X199">
        <v>756</v>
      </c>
      <c r="Y199">
        <v>648</v>
      </c>
      <c r="Z199">
        <v>648</v>
      </c>
      <c r="AA199">
        <v>724</v>
      </c>
      <c r="AB199">
        <v>756</v>
      </c>
      <c r="AC199">
        <v>788</v>
      </c>
      <c r="AD199">
        <v>864</v>
      </c>
      <c r="AE199">
        <v>1080</v>
      </c>
      <c r="AF199" s="927"/>
      <c r="AG199" s="927"/>
      <c r="AH199" s="717"/>
      <c r="AK199" s="927"/>
      <c r="AO199" s="927"/>
      <c r="AP199" s="927"/>
      <c r="AQ199" s="927"/>
    </row>
    <row r="200" spans="1:43">
      <c r="A200" s="927" t="s">
        <v>1351</v>
      </c>
      <c r="B200" s="927" t="s">
        <v>1352</v>
      </c>
      <c r="C200" s="927" t="s">
        <v>1353</v>
      </c>
      <c r="D200" s="927" t="s">
        <v>43</v>
      </c>
      <c r="E200" s="717">
        <v>45226</v>
      </c>
      <c r="F200" s="927" t="s">
        <v>55</v>
      </c>
      <c r="G200" s="927" t="s">
        <v>1354</v>
      </c>
      <c r="I200" s="927"/>
      <c r="J200" s="131"/>
      <c r="K200" s="927" t="s">
        <v>1355</v>
      </c>
      <c r="L200" t="s">
        <v>3825</v>
      </c>
      <c r="M200" s="927" t="s">
        <v>1355</v>
      </c>
      <c r="N200" s="927" t="s">
        <v>1355</v>
      </c>
      <c r="O200" s="927" t="s">
        <v>1355</v>
      </c>
      <c r="P200" s="927" t="s">
        <v>322</v>
      </c>
      <c r="Q200" s="927" t="s">
        <v>323</v>
      </c>
      <c r="R200" s="927" t="s">
        <v>324</v>
      </c>
      <c r="S200">
        <v>1000</v>
      </c>
      <c r="T200">
        <v>1440</v>
      </c>
      <c r="U200">
        <v>1380</v>
      </c>
      <c r="V200">
        <v>1152</v>
      </c>
      <c r="W200">
        <v>1068</v>
      </c>
      <c r="X200">
        <v>840</v>
      </c>
      <c r="Y200">
        <v>720</v>
      </c>
      <c r="Z200">
        <v>720</v>
      </c>
      <c r="AA200">
        <v>804</v>
      </c>
      <c r="AB200">
        <v>840</v>
      </c>
      <c r="AC200">
        <v>876</v>
      </c>
      <c r="AD200">
        <v>960</v>
      </c>
      <c r="AE200">
        <v>1200</v>
      </c>
      <c r="AF200" s="927" t="s">
        <v>305</v>
      </c>
      <c r="AG200" s="927" t="s">
        <v>963</v>
      </c>
      <c r="AH200" s="717"/>
      <c r="AK200" s="927"/>
      <c r="AO200" s="927"/>
      <c r="AP200" s="927"/>
      <c r="AQ200" s="927" t="s">
        <v>1356</v>
      </c>
    </row>
    <row r="201" spans="1:43">
      <c r="A201" s="927" t="s">
        <v>1357</v>
      </c>
      <c r="B201" s="927" t="s">
        <v>1358</v>
      </c>
      <c r="C201" s="927" t="s">
        <v>1359</v>
      </c>
      <c r="D201" s="927" t="s">
        <v>1115</v>
      </c>
      <c r="E201" s="717">
        <v>45230</v>
      </c>
      <c r="F201" s="927"/>
      <c r="G201" s="927"/>
      <c r="I201" s="927"/>
      <c r="J201" s="131"/>
      <c r="K201" s="927" t="s">
        <v>306</v>
      </c>
      <c r="M201" s="927" t="s">
        <v>306</v>
      </c>
      <c r="N201" s="927" t="s">
        <v>306</v>
      </c>
      <c r="O201" s="927" t="s">
        <v>306</v>
      </c>
      <c r="P201" s="927"/>
      <c r="Q201" s="927"/>
      <c r="R201" s="927"/>
      <c r="AF201" s="927"/>
      <c r="AG201" s="927"/>
      <c r="AH201" s="717"/>
      <c r="AK201" s="927"/>
      <c r="AO201" s="927"/>
      <c r="AP201" s="927"/>
      <c r="AQ201" s="927"/>
    </row>
    <row r="202" spans="1:43">
      <c r="A202" s="927" t="s">
        <v>1360</v>
      </c>
      <c r="B202" s="927" t="s">
        <v>1361</v>
      </c>
      <c r="C202" s="927" t="s">
        <v>1362</v>
      </c>
      <c r="D202" s="927" t="s">
        <v>43</v>
      </c>
      <c r="E202" s="717">
        <v>45229</v>
      </c>
      <c r="F202" s="927" t="s">
        <v>55</v>
      </c>
      <c r="G202" s="927" t="s">
        <v>1363</v>
      </c>
      <c r="I202" s="927"/>
      <c r="J202" s="131"/>
      <c r="K202" s="927" t="s">
        <v>1355</v>
      </c>
      <c r="L202" t="s">
        <v>3825</v>
      </c>
      <c r="M202" s="927" t="s">
        <v>1355</v>
      </c>
      <c r="N202" s="927" t="s">
        <v>1355</v>
      </c>
      <c r="O202" s="927" t="s">
        <v>1355</v>
      </c>
      <c r="P202" s="927" t="s">
        <v>322</v>
      </c>
      <c r="Q202" s="927" t="s">
        <v>323</v>
      </c>
      <c r="R202" s="927" t="s">
        <v>324</v>
      </c>
      <c r="S202">
        <v>1000</v>
      </c>
      <c r="T202">
        <v>1440</v>
      </c>
      <c r="U202">
        <v>1380</v>
      </c>
      <c r="V202">
        <v>1152</v>
      </c>
      <c r="W202">
        <v>1068</v>
      </c>
      <c r="X202">
        <v>840</v>
      </c>
      <c r="Y202">
        <v>720</v>
      </c>
      <c r="Z202">
        <v>720</v>
      </c>
      <c r="AA202">
        <v>804</v>
      </c>
      <c r="AB202">
        <v>840</v>
      </c>
      <c r="AC202">
        <v>876</v>
      </c>
      <c r="AD202">
        <v>960</v>
      </c>
      <c r="AE202">
        <v>1200</v>
      </c>
      <c r="AF202" s="927" t="s">
        <v>305</v>
      </c>
      <c r="AG202" s="927" t="s">
        <v>963</v>
      </c>
      <c r="AH202" s="717"/>
      <c r="AK202" s="927"/>
      <c r="AO202" s="927"/>
      <c r="AP202" s="927"/>
      <c r="AQ202" s="927" t="s">
        <v>1364</v>
      </c>
    </row>
    <row r="203" spans="1:43">
      <c r="A203" s="927" t="s">
        <v>1365</v>
      </c>
      <c r="B203" s="927" t="s">
        <v>1366</v>
      </c>
      <c r="C203" s="927" t="s">
        <v>1367</v>
      </c>
      <c r="D203" s="927" t="s">
        <v>1115</v>
      </c>
      <c r="E203" s="717">
        <v>45236</v>
      </c>
      <c r="F203" s="927"/>
      <c r="G203" s="927"/>
      <c r="I203" s="927"/>
      <c r="J203" s="131"/>
      <c r="K203" s="927" t="s">
        <v>306</v>
      </c>
      <c r="M203" s="927" t="s">
        <v>306</v>
      </c>
      <c r="N203" s="927" t="s">
        <v>306</v>
      </c>
      <c r="O203" s="927" t="s">
        <v>306</v>
      </c>
      <c r="P203" s="927"/>
      <c r="Q203" s="927"/>
      <c r="R203" s="927"/>
      <c r="AF203" s="927"/>
      <c r="AG203" s="927"/>
      <c r="AH203" s="717"/>
      <c r="AK203" s="927"/>
      <c r="AO203" s="927"/>
      <c r="AP203" s="927"/>
      <c r="AQ203" s="927"/>
    </row>
    <row r="204" spans="1:43">
      <c r="A204" s="927" t="s">
        <v>1368</v>
      </c>
      <c r="B204" s="927" t="s">
        <v>1369</v>
      </c>
      <c r="C204" s="927" t="s">
        <v>1370</v>
      </c>
      <c r="D204" s="927" t="s">
        <v>1418</v>
      </c>
      <c r="E204" s="717">
        <v>45236</v>
      </c>
      <c r="F204" s="927"/>
      <c r="G204" s="927"/>
      <c r="I204" s="927"/>
      <c r="J204" s="131"/>
      <c r="K204" s="927" t="s">
        <v>1372</v>
      </c>
      <c r="L204" t="s">
        <v>3843</v>
      </c>
      <c r="M204" s="927" t="s">
        <v>320</v>
      </c>
      <c r="N204" s="927" t="s">
        <v>1168</v>
      </c>
      <c r="O204" s="927" t="s">
        <v>1373</v>
      </c>
      <c r="P204" s="927" t="s">
        <v>322</v>
      </c>
      <c r="Q204" s="927"/>
      <c r="R204" s="927" t="s">
        <v>324</v>
      </c>
      <c r="T204">
        <v>1728</v>
      </c>
      <c r="U204">
        <v>1656</v>
      </c>
      <c r="V204">
        <v>1382</v>
      </c>
      <c r="W204">
        <v>1282</v>
      </c>
      <c r="X204">
        <v>1008</v>
      </c>
      <c r="Y204">
        <v>864</v>
      </c>
      <c r="Z204">
        <v>864</v>
      </c>
      <c r="AA204">
        <v>965</v>
      </c>
      <c r="AB204">
        <v>1008</v>
      </c>
      <c r="AC204">
        <v>1051</v>
      </c>
      <c r="AD204">
        <v>1152</v>
      </c>
      <c r="AE204">
        <v>1440</v>
      </c>
      <c r="AF204" s="927" t="s">
        <v>1189</v>
      </c>
      <c r="AG204" s="927"/>
      <c r="AH204" s="717"/>
      <c r="AK204" s="927"/>
      <c r="AO204" s="927"/>
      <c r="AP204" s="927"/>
      <c r="AQ204" s="927"/>
    </row>
    <row r="205" spans="1:43">
      <c r="A205" s="927" t="s">
        <v>1374</v>
      </c>
      <c r="B205" s="927" t="s">
        <v>1375</v>
      </c>
      <c r="C205" s="927" t="s">
        <v>1376</v>
      </c>
      <c r="D205" s="927" t="s">
        <v>1115</v>
      </c>
      <c r="E205" s="717">
        <v>45236</v>
      </c>
      <c r="F205" s="927"/>
      <c r="G205" s="927"/>
      <c r="I205" s="927"/>
      <c r="J205" s="131"/>
      <c r="K205" s="927" t="s">
        <v>306</v>
      </c>
      <c r="M205" s="927" t="s">
        <v>306</v>
      </c>
      <c r="N205" s="927" t="s">
        <v>306</v>
      </c>
      <c r="O205" s="927" t="s">
        <v>306</v>
      </c>
      <c r="P205" s="927"/>
      <c r="Q205" s="927"/>
      <c r="R205" s="927"/>
      <c r="AF205" s="927"/>
      <c r="AG205" s="927"/>
      <c r="AH205" s="717"/>
      <c r="AK205" s="927"/>
      <c r="AO205" s="927"/>
      <c r="AP205" s="927"/>
      <c r="AQ205" s="927"/>
    </row>
    <row r="206" spans="1:43">
      <c r="A206" s="927" t="s">
        <v>1377</v>
      </c>
      <c r="B206" s="927" t="s">
        <v>1378</v>
      </c>
      <c r="C206" s="927" t="s">
        <v>1379</v>
      </c>
      <c r="D206" s="927" t="s">
        <v>1115</v>
      </c>
      <c r="E206" s="717">
        <v>45415</v>
      </c>
      <c r="F206" s="927" t="s">
        <v>58</v>
      </c>
      <c r="G206" s="927" t="s">
        <v>5739</v>
      </c>
      <c r="I206" s="927"/>
      <c r="J206" s="131"/>
      <c r="K206" s="927" t="s">
        <v>1380</v>
      </c>
      <c r="L206" t="s">
        <v>3826</v>
      </c>
      <c r="M206" s="927" t="s">
        <v>3645</v>
      </c>
      <c r="N206" s="927" t="s">
        <v>1380</v>
      </c>
      <c r="O206" s="927" t="s">
        <v>3644</v>
      </c>
      <c r="P206" s="927" t="s">
        <v>322</v>
      </c>
      <c r="Q206" s="927" t="s">
        <v>323</v>
      </c>
      <c r="R206" s="927" t="s">
        <v>324</v>
      </c>
      <c r="S206">
        <v>474</v>
      </c>
      <c r="T206">
        <v>436</v>
      </c>
      <c r="U206">
        <v>447</v>
      </c>
      <c r="V206">
        <v>521</v>
      </c>
      <c r="W206">
        <v>577</v>
      </c>
      <c r="X206">
        <v>441</v>
      </c>
      <c r="Y206">
        <v>445</v>
      </c>
      <c r="Z206">
        <v>497</v>
      </c>
      <c r="AA206">
        <v>411</v>
      </c>
      <c r="AB206">
        <v>496</v>
      </c>
      <c r="AC206">
        <v>468</v>
      </c>
      <c r="AD206">
        <v>492</v>
      </c>
      <c r="AE206">
        <v>456</v>
      </c>
      <c r="AF206" s="927" t="s">
        <v>494</v>
      </c>
      <c r="AG206" s="927" t="s">
        <v>963</v>
      </c>
      <c r="AH206" s="717"/>
      <c r="AK206" s="927"/>
      <c r="AO206" s="927"/>
      <c r="AP206" s="927"/>
      <c r="AQ206" s="927"/>
    </row>
    <row r="207" spans="1:43">
      <c r="A207" s="927" t="s">
        <v>1381</v>
      </c>
      <c r="B207" s="927" t="s">
        <v>1382</v>
      </c>
      <c r="C207" s="927" t="s">
        <v>1383</v>
      </c>
      <c r="D207" s="927" t="s">
        <v>33</v>
      </c>
      <c r="E207" s="717"/>
      <c r="F207" s="927" t="s">
        <v>61</v>
      </c>
      <c r="G207" s="927" t="s">
        <v>1384</v>
      </c>
      <c r="I207" s="927"/>
      <c r="J207" s="131"/>
      <c r="K207" s="927" t="s">
        <v>306</v>
      </c>
      <c r="M207" s="927" t="s">
        <v>306</v>
      </c>
      <c r="N207" s="927" t="s">
        <v>306</v>
      </c>
      <c r="O207" s="927" t="s">
        <v>306</v>
      </c>
      <c r="P207" s="927" t="s">
        <v>322</v>
      </c>
      <c r="Q207" s="927"/>
      <c r="R207" s="927"/>
      <c r="S207">
        <v>1200</v>
      </c>
      <c r="T207">
        <v>1728</v>
      </c>
      <c r="U207">
        <v>1656</v>
      </c>
      <c r="V207">
        <v>1382</v>
      </c>
      <c r="W207">
        <v>1282</v>
      </c>
      <c r="X207">
        <v>1008</v>
      </c>
      <c r="Y207">
        <v>864</v>
      </c>
      <c r="Z207">
        <v>864</v>
      </c>
      <c r="AA207">
        <v>965</v>
      </c>
      <c r="AB207">
        <v>1008</v>
      </c>
      <c r="AC207">
        <v>1051</v>
      </c>
      <c r="AD207">
        <v>1152</v>
      </c>
      <c r="AE207">
        <v>1440</v>
      </c>
      <c r="AF207" s="927" t="s">
        <v>305</v>
      </c>
      <c r="AG207" s="927" t="s">
        <v>963</v>
      </c>
      <c r="AH207" s="717"/>
      <c r="AK207" s="927"/>
      <c r="AO207" s="927"/>
      <c r="AP207" s="927"/>
      <c r="AQ207" s="927"/>
    </row>
    <row r="208" spans="1:43">
      <c r="A208" s="927" t="s">
        <v>1385</v>
      </c>
      <c r="B208" s="927" t="s">
        <v>1386</v>
      </c>
      <c r="C208" s="927" t="s">
        <v>1387</v>
      </c>
      <c r="D208" s="927" t="s">
        <v>1344</v>
      </c>
      <c r="E208" s="717">
        <v>45234</v>
      </c>
      <c r="F208" s="927" t="s">
        <v>58</v>
      </c>
      <c r="G208" s="927" t="s">
        <v>5739</v>
      </c>
      <c r="I208" s="927"/>
      <c r="J208" s="131"/>
      <c r="K208" s="927" t="s">
        <v>1388</v>
      </c>
      <c r="L208" t="s">
        <v>3827</v>
      </c>
      <c r="M208" s="927" t="s">
        <v>3646</v>
      </c>
      <c r="N208" s="927" t="s">
        <v>1388</v>
      </c>
      <c r="O208" s="927" t="s">
        <v>3646</v>
      </c>
      <c r="P208" s="927" t="s">
        <v>322</v>
      </c>
      <c r="Q208" s="927" t="s">
        <v>323</v>
      </c>
      <c r="R208" s="927" t="s">
        <v>324</v>
      </c>
      <c r="S208">
        <v>805</v>
      </c>
      <c r="T208">
        <v>589</v>
      </c>
      <c r="U208">
        <v>1053</v>
      </c>
      <c r="V208">
        <v>1363</v>
      </c>
      <c r="W208">
        <v>1162</v>
      </c>
      <c r="X208">
        <v>715</v>
      </c>
      <c r="Y208">
        <v>553</v>
      </c>
      <c r="Z208">
        <v>516</v>
      </c>
      <c r="AA208">
        <v>551</v>
      </c>
      <c r="AB208">
        <v>635</v>
      </c>
      <c r="AC208">
        <v>788</v>
      </c>
      <c r="AD208">
        <v>812</v>
      </c>
      <c r="AE208">
        <v>921</v>
      </c>
      <c r="AF208" s="927" t="s">
        <v>269</v>
      </c>
      <c r="AG208" s="927" t="s">
        <v>963</v>
      </c>
      <c r="AH208" s="717"/>
      <c r="AK208" s="927"/>
      <c r="AO208" s="927"/>
      <c r="AP208" s="927"/>
      <c r="AQ208" s="927"/>
    </row>
    <row r="209" spans="1:43">
      <c r="A209" s="927" t="s">
        <v>1389</v>
      </c>
      <c r="B209" s="927" t="s">
        <v>1390</v>
      </c>
      <c r="C209" s="927" t="s">
        <v>1391</v>
      </c>
      <c r="D209" s="927"/>
      <c r="E209" s="717"/>
      <c r="F209" s="927"/>
      <c r="G209" s="927"/>
      <c r="I209" s="927"/>
      <c r="J209" s="131"/>
      <c r="K209" s="927" t="s">
        <v>1392</v>
      </c>
      <c r="L209" t="s">
        <v>3828</v>
      </c>
      <c r="M209" s="927" t="s">
        <v>3647</v>
      </c>
      <c r="N209" s="927" t="s">
        <v>1392</v>
      </c>
      <c r="O209" s="927" t="s">
        <v>3647</v>
      </c>
      <c r="P209" s="927" t="s">
        <v>379</v>
      </c>
      <c r="Q209" s="927" t="s">
        <v>323</v>
      </c>
      <c r="R209" s="927" t="s">
        <v>324</v>
      </c>
      <c r="S209">
        <v>2937</v>
      </c>
      <c r="T209">
        <v>2800</v>
      </c>
      <c r="U209">
        <v>2054</v>
      </c>
      <c r="V209">
        <v>3029</v>
      </c>
      <c r="W209">
        <v>3372</v>
      </c>
      <c r="X209">
        <v>2879</v>
      </c>
      <c r="Y209">
        <v>2421</v>
      </c>
      <c r="Z209">
        <v>2630</v>
      </c>
      <c r="AA209">
        <v>3429</v>
      </c>
      <c r="AB209">
        <v>2765</v>
      </c>
      <c r="AC209">
        <v>3348</v>
      </c>
      <c r="AD209">
        <v>3232</v>
      </c>
      <c r="AE209">
        <v>3285</v>
      </c>
      <c r="AF209" s="927"/>
      <c r="AG209" s="927" t="s">
        <v>270</v>
      </c>
      <c r="AH209" s="717"/>
      <c r="AK209" s="927"/>
      <c r="AO209" s="927"/>
      <c r="AP209" s="927"/>
      <c r="AQ209" s="927"/>
    </row>
    <row r="210" spans="1:43">
      <c r="A210" s="927" t="s">
        <v>1393</v>
      </c>
      <c r="B210" s="927" t="s">
        <v>1394</v>
      </c>
      <c r="C210" s="927" t="s">
        <v>1395</v>
      </c>
      <c r="D210" s="927"/>
      <c r="E210" s="717"/>
      <c r="F210" s="927"/>
      <c r="G210" s="927"/>
      <c r="I210" s="927"/>
      <c r="J210" s="131"/>
      <c r="K210" s="927" t="s">
        <v>1396</v>
      </c>
      <c r="L210" t="s">
        <v>5740</v>
      </c>
      <c r="M210" s="927" t="s">
        <v>5741</v>
      </c>
      <c r="N210" s="927" t="s">
        <v>1396</v>
      </c>
      <c r="O210" s="927" t="s">
        <v>3648</v>
      </c>
      <c r="P210" s="927" t="s">
        <v>322</v>
      </c>
      <c r="Q210" s="927" t="s">
        <v>323</v>
      </c>
      <c r="R210" s="927" t="s">
        <v>324</v>
      </c>
      <c r="S210">
        <v>525</v>
      </c>
      <c r="T210">
        <v>706</v>
      </c>
      <c r="U210">
        <v>637</v>
      </c>
      <c r="V210">
        <v>841</v>
      </c>
      <c r="W210">
        <v>498</v>
      </c>
      <c r="X210">
        <v>393</v>
      </c>
      <c r="Y210">
        <v>272</v>
      </c>
      <c r="Z210">
        <v>263</v>
      </c>
      <c r="AA210">
        <v>220</v>
      </c>
      <c r="AB210">
        <v>553</v>
      </c>
      <c r="AC210">
        <v>434</v>
      </c>
      <c r="AD210">
        <v>714</v>
      </c>
      <c r="AE210">
        <v>768</v>
      </c>
      <c r="AF210" s="927" t="s">
        <v>269</v>
      </c>
      <c r="AG210" s="927" t="s">
        <v>963</v>
      </c>
      <c r="AH210" s="717"/>
      <c r="AK210" s="927"/>
      <c r="AO210" s="927"/>
      <c r="AP210" s="927"/>
      <c r="AQ210" s="927"/>
    </row>
    <row r="211" spans="1:43">
      <c r="A211" s="927" t="s">
        <v>1397</v>
      </c>
      <c r="B211" s="927" t="s">
        <v>1398</v>
      </c>
      <c r="C211" s="927" t="s">
        <v>1399</v>
      </c>
      <c r="D211" s="927" t="s">
        <v>33</v>
      </c>
      <c r="E211" s="717">
        <v>45247</v>
      </c>
      <c r="F211" s="927" t="s">
        <v>55</v>
      </c>
      <c r="G211" s="927" t="s">
        <v>1400</v>
      </c>
      <c r="I211" s="927"/>
      <c r="J211" s="131"/>
      <c r="K211" s="927" t="s">
        <v>1401</v>
      </c>
      <c r="L211" t="s">
        <v>3829</v>
      </c>
      <c r="M211" s="927" t="s">
        <v>1401</v>
      </c>
      <c r="N211" s="927" t="s">
        <v>1401</v>
      </c>
      <c r="O211" s="927" t="s">
        <v>1401</v>
      </c>
      <c r="P211" s="927" t="s">
        <v>322</v>
      </c>
      <c r="Q211" s="927" t="s">
        <v>323</v>
      </c>
      <c r="R211" s="927" t="s">
        <v>324</v>
      </c>
      <c r="S211">
        <v>3024</v>
      </c>
      <c r="T211">
        <v>3255</v>
      </c>
      <c r="U211">
        <v>3443</v>
      </c>
      <c r="V211">
        <v>3536</v>
      </c>
      <c r="W211">
        <v>3421</v>
      </c>
      <c r="X211">
        <v>1761</v>
      </c>
      <c r="Y211">
        <v>2219</v>
      </c>
      <c r="Z211">
        <v>1763</v>
      </c>
      <c r="AA211">
        <v>2259</v>
      </c>
      <c r="AB211">
        <v>3050</v>
      </c>
      <c r="AC211">
        <v>3545</v>
      </c>
      <c r="AD211">
        <v>3931</v>
      </c>
      <c r="AE211">
        <v>4107</v>
      </c>
      <c r="AF211" s="927" t="s">
        <v>269</v>
      </c>
      <c r="AG211" s="927" t="s">
        <v>270</v>
      </c>
      <c r="AH211" s="717"/>
      <c r="AK211" s="927"/>
      <c r="AO211" s="927"/>
      <c r="AP211" s="927"/>
      <c r="AQ211" s="927"/>
    </row>
    <row r="212" spans="1:43">
      <c r="A212" s="927" t="s">
        <v>1402</v>
      </c>
      <c r="B212" s="927" t="s">
        <v>1403</v>
      </c>
      <c r="C212" s="927" t="s">
        <v>1404</v>
      </c>
      <c r="D212" s="927" t="s">
        <v>1344</v>
      </c>
      <c r="E212" s="717">
        <v>45266</v>
      </c>
      <c r="F212" s="927" t="s">
        <v>55</v>
      </c>
      <c r="G212" s="927" t="s">
        <v>5739</v>
      </c>
      <c r="I212" s="927"/>
      <c r="J212" s="131"/>
      <c r="K212" s="927" t="s">
        <v>1405</v>
      </c>
      <c r="L212" t="s">
        <v>3830</v>
      </c>
      <c r="M212" s="927" t="s">
        <v>3649</v>
      </c>
      <c r="N212" s="927" t="s">
        <v>1405</v>
      </c>
      <c r="O212" s="927" t="s">
        <v>3649</v>
      </c>
      <c r="P212" s="927" t="s">
        <v>322</v>
      </c>
      <c r="Q212" s="927" t="s">
        <v>323</v>
      </c>
      <c r="R212" s="927" t="s">
        <v>324</v>
      </c>
      <c r="S212">
        <v>270</v>
      </c>
      <c r="T212">
        <v>390</v>
      </c>
      <c r="U212">
        <v>321</v>
      </c>
      <c r="V212">
        <v>358</v>
      </c>
      <c r="W212">
        <v>259</v>
      </c>
      <c r="X212">
        <v>210</v>
      </c>
      <c r="Y212">
        <v>161</v>
      </c>
      <c r="Z212">
        <v>168</v>
      </c>
      <c r="AA212">
        <v>167</v>
      </c>
      <c r="AB212">
        <v>226</v>
      </c>
      <c r="AC212">
        <v>262</v>
      </c>
      <c r="AD212">
        <v>331</v>
      </c>
      <c r="AE212">
        <v>390</v>
      </c>
      <c r="AF212" s="927" t="s">
        <v>269</v>
      </c>
      <c r="AG212" s="927" t="s">
        <v>963</v>
      </c>
      <c r="AH212" s="717"/>
      <c r="AK212" s="927"/>
      <c r="AO212" s="927"/>
      <c r="AP212" s="927"/>
      <c r="AQ212" s="927"/>
    </row>
    <row r="213" spans="1:43">
      <c r="A213" s="927" t="s">
        <v>1406</v>
      </c>
      <c r="B213" s="927" t="s">
        <v>1407</v>
      </c>
      <c r="C213" s="927" t="s">
        <v>1408</v>
      </c>
      <c r="D213" s="927" t="s">
        <v>1344</v>
      </c>
      <c r="E213" s="717">
        <v>45266</v>
      </c>
      <c r="F213" s="927" t="s">
        <v>61</v>
      </c>
      <c r="G213" s="927" t="s">
        <v>5739</v>
      </c>
      <c r="I213" s="927"/>
      <c r="J213" s="131"/>
      <c r="K213" s="927" t="s">
        <v>1409</v>
      </c>
      <c r="L213" t="s">
        <v>3831</v>
      </c>
      <c r="M213" s="927" t="s">
        <v>3651</v>
      </c>
      <c r="N213" s="927" t="s">
        <v>1409</v>
      </c>
      <c r="O213" s="927" t="s">
        <v>3650</v>
      </c>
      <c r="P213" s="927" t="s">
        <v>322</v>
      </c>
      <c r="Q213" s="927" t="s">
        <v>323</v>
      </c>
      <c r="R213" s="927" t="s">
        <v>324</v>
      </c>
      <c r="S213">
        <v>762</v>
      </c>
      <c r="T213">
        <v>916</v>
      </c>
      <c r="U213">
        <v>859</v>
      </c>
      <c r="V213">
        <v>1161</v>
      </c>
      <c r="W213">
        <v>763</v>
      </c>
      <c r="X213">
        <v>759</v>
      </c>
      <c r="Y213">
        <v>678</v>
      </c>
      <c r="Z213">
        <v>442</v>
      </c>
      <c r="AA213">
        <v>622</v>
      </c>
      <c r="AB213">
        <v>771</v>
      </c>
      <c r="AC213">
        <v>929</v>
      </c>
      <c r="AD213">
        <v>475</v>
      </c>
      <c r="AE213">
        <v>765</v>
      </c>
      <c r="AF213" s="927" t="s">
        <v>269</v>
      </c>
      <c r="AG213" s="927" t="s">
        <v>963</v>
      </c>
      <c r="AH213" s="717"/>
      <c r="AK213" s="927"/>
      <c r="AO213" s="927"/>
      <c r="AP213" s="927"/>
      <c r="AQ213" s="927"/>
    </row>
    <row r="214" spans="1:43">
      <c r="A214" s="927" t="s">
        <v>1410</v>
      </c>
      <c r="B214" s="927" t="s">
        <v>1411</v>
      </c>
      <c r="C214" s="927" t="s">
        <v>1412</v>
      </c>
      <c r="D214" s="927" t="s">
        <v>54</v>
      </c>
      <c r="E214" s="717">
        <v>45267</v>
      </c>
      <c r="F214" s="927" t="s">
        <v>55</v>
      </c>
      <c r="G214" s="927" t="s">
        <v>5739</v>
      </c>
      <c r="I214" s="927"/>
      <c r="J214" s="131"/>
      <c r="K214" s="927" t="s">
        <v>1413</v>
      </c>
      <c r="L214" t="s">
        <v>3832</v>
      </c>
      <c r="M214" s="927" t="s">
        <v>3652</v>
      </c>
      <c r="N214" s="927" t="s">
        <v>1413</v>
      </c>
      <c r="O214" s="927" t="s">
        <v>3652</v>
      </c>
      <c r="P214" s="927" t="s">
        <v>322</v>
      </c>
      <c r="Q214" s="927" t="s">
        <v>323</v>
      </c>
      <c r="R214" s="927" t="s">
        <v>324</v>
      </c>
      <c r="S214">
        <v>309</v>
      </c>
      <c r="T214">
        <v>256</v>
      </c>
      <c r="U214">
        <v>320</v>
      </c>
      <c r="V214">
        <v>401</v>
      </c>
      <c r="W214">
        <v>374</v>
      </c>
      <c r="X214">
        <v>263</v>
      </c>
      <c r="Y214">
        <v>237</v>
      </c>
      <c r="Z214">
        <v>294</v>
      </c>
      <c r="AA214">
        <v>250</v>
      </c>
      <c r="AB214">
        <v>288</v>
      </c>
      <c r="AC214">
        <v>304</v>
      </c>
      <c r="AD214">
        <v>349</v>
      </c>
      <c r="AE214">
        <v>368</v>
      </c>
      <c r="AF214" s="927" t="s">
        <v>269</v>
      </c>
      <c r="AG214" s="927" t="s">
        <v>963</v>
      </c>
      <c r="AH214" s="717"/>
      <c r="AK214" s="927"/>
      <c r="AO214" s="927"/>
      <c r="AP214" s="927"/>
      <c r="AQ214" s="927"/>
    </row>
    <row r="215" spans="1:43">
      <c r="A215" s="927" t="s">
        <v>3925</v>
      </c>
      <c r="B215" s="927" t="s">
        <v>1414</v>
      </c>
      <c r="C215" s="927" t="s">
        <v>3926</v>
      </c>
      <c r="D215" s="927" t="s">
        <v>3613</v>
      </c>
      <c r="E215" s="717">
        <v>45496</v>
      </c>
      <c r="F215" s="927" t="s">
        <v>38</v>
      </c>
      <c r="G215" s="927" t="s">
        <v>5739</v>
      </c>
      <c r="I215" s="927"/>
      <c r="J215" s="131"/>
      <c r="K215" s="927" t="s">
        <v>3927</v>
      </c>
      <c r="L215" t="s">
        <v>3928</v>
      </c>
      <c r="M215" s="927" t="s">
        <v>320</v>
      </c>
      <c r="N215" s="927" t="s">
        <v>1346</v>
      </c>
      <c r="O215" s="927" t="s">
        <v>82</v>
      </c>
      <c r="P215" s="927" t="s">
        <v>322</v>
      </c>
      <c r="Q215" s="927" t="s">
        <v>323</v>
      </c>
      <c r="R215" s="927" t="s">
        <v>324</v>
      </c>
      <c r="S215">
        <v>744</v>
      </c>
      <c r="T215">
        <v>1080</v>
      </c>
      <c r="U215">
        <v>1035</v>
      </c>
      <c r="V215">
        <v>864</v>
      </c>
      <c r="W215">
        <v>825</v>
      </c>
      <c r="X215">
        <v>620</v>
      </c>
      <c r="Y215">
        <v>562</v>
      </c>
      <c r="Z215">
        <v>418</v>
      </c>
      <c r="AA215">
        <v>510</v>
      </c>
      <c r="AB215">
        <v>517</v>
      </c>
      <c r="AC215">
        <v>700</v>
      </c>
      <c r="AD215">
        <v>839</v>
      </c>
      <c r="AE215">
        <v>955</v>
      </c>
      <c r="AF215" s="927" t="s">
        <v>269</v>
      </c>
      <c r="AG215" s="927" t="s">
        <v>963</v>
      </c>
      <c r="AH215" s="717"/>
      <c r="AK215" s="927"/>
      <c r="AO215" s="927"/>
      <c r="AP215" s="927"/>
      <c r="AQ215" s="927"/>
    </row>
    <row r="216" spans="1:43">
      <c r="A216" s="927" t="s">
        <v>1415</v>
      </c>
      <c r="B216" s="927" t="s">
        <v>1416</v>
      </c>
      <c r="C216" s="927" t="s">
        <v>1417</v>
      </c>
      <c r="D216" s="927" t="s">
        <v>1418</v>
      </c>
      <c r="E216" s="717">
        <v>45348</v>
      </c>
      <c r="F216" s="927" t="s">
        <v>61</v>
      </c>
      <c r="G216" s="927" t="s">
        <v>5739</v>
      </c>
      <c r="I216" s="927"/>
      <c r="J216" s="131"/>
      <c r="K216" s="927" t="s">
        <v>1419</v>
      </c>
      <c r="L216" t="s">
        <v>3833</v>
      </c>
      <c r="M216" s="927" t="s">
        <v>320</v>
      </c>
      <c r="N216" s="927" t="s">
        <v>1346</v>
      </c>
      <c r="O216" s="927" t="s">
        <v>3653</v>
      </c>
      <c r="P216" s="927" t="s">
        <v>322</v>
      </c>
      <c r="Q216" s="927" t="s">
        <v>323</v>
      </c>
      <c r="R216" s="927" t="s">
        <v>324</v>
      </c>
      <c r="S216">
        <v>330</v>
      </c>
      <c r="T216">
        <v>658</v>
      </c>
      <c r="U216">
        <v>368</v>
      </c>
      <c r="V216">
        <v>427</v>
      </c>
      <c r="W216">
        <v>311</v>
      </c>
      <c r="X216">
        <v>289</v>
      </c>
      <c r="Y216">
        <v>246</v>
      </c>
      <c r="Z216">
        <v>266</v>
      </c>
      <c r="AA216">
        <v>276</v>
      </c>
      <c r="AB216">
        <v>323</v>
      </c>
      <c r="AC216">
        <v>334</v>
      </c>
      <c r="AD216">
        <v>389</v>
      </c>
      <c r="AE216">
        <v>378</v>
      </c>
      <c r="AF216" s="927" t="s">
        <v>1420</v>
      </c>
      <c r="AG216" s="927" t="s">
        <v>963</v>
      </c>
      <c r="AH216" s="717"/>
      <c r="AI216">
        <v>9.1999999999999993</v>
      </c>
      <c r="AJ216">
        <v>25400</v>
      </c>
      <c r="AK216" s="927"/>
      <c r="AL216">
        <v>16</v>
      </c>
      <c r="AM216">
        <v>575</v>
      </c>
      <c r="AO216" s="927"/>
      <c r="AP216" s="927"/>
      <c r="AQ216" s="927" t="s">
        <v>1421</v>
      </c>
    </row>
    <row r="217" spans="1:43">
      <c r="A217" s="927" t="s">
        <v>1422</v>
      </c>
      <c r="B217" s="927" t="s">
        <v>1423</v>
      </c>
      <c r="C217" s="927" t="s">
        <v>1424</v>
      </c>
      <c r="D217" s="927" t="s">
        <v>54</v>
      </c>
      <c r="E217" s="717">
        <v>45307</v>
      </c>
      <c r="F217" s="927" t="s">
        <v>50</v>
      </c>
      <c r="G217" s="927" t="s">
        <v>5739</v>
      </c>
      <c r="I217" s="927"/>
      <c r="J217" s="131"/>
      <c r="K217" s="927" t="s">
        <v>306</v>
      </c>
      <c r="M217" s="927" t="s">
        <v>306</v>
      </c>
      <c r="N217" s="927" t="s">
        <v>306</v>
      </c>
      <c r="O217" s="927" t="s">
        <v>306</v>
      </c>
      <c r="P217" s="927" t="s">
        <v>322</v>
      </c>
      <c r="Q217" s="927"/>
      <c r="R217" s="927"/>
      <c r="S217">
        <v>900</v>
      </c>
      <c r="T217">
        <v>1250</v>
      </c>
      <c r="U217">
        <v>1242</v>
      </c>
      <c r="V217">
        <v>1037</v>
      </c>
      <c r="W217">
        <v>961</v>
      </c>
      <c r="X217">
        <v>756</v>
      </c>
      <c r="Y217">
        <v>648</v>
      </c>
      <c r="Z217">
        <v>648</v>
      </c>
      <c r="AA217">
        <v>724</v>
      </c>
      <c r="AB217">
        <v>756</v>
      </c>
      <c r="AC217">
        <v>788</v>
      </c>
      <c r="AD217">
        <v>864</v>
      </c>
      <c r="AE217">
        <v>1120</v>
      </c>
      <c r="AF217" s="927"/>
      <c r="AG217" s="927"/>
      <c r="AH217" s="717"/>
      <c r="AK217" s="927"/>
      <c r="AO217" s="927"/>
      <c r="AP217" s="927"/>
      <c r="AQ217" s="927"/>
    </row>
    <row r="218" spans="1:43">
      <c r="A218" s="927" t="s">
        <v>1425</v>
      </c>
      <c r="B218" s="927" t="s">
        <v>1426</v>
      </c>
      <c r="C218" s="927" t="s">
        <v>1427</v>
      </c>
      <c r="D218" s="927" t="s">
        <v>1344</v>
      </c>
      <c r="E218" s="717">
        <v>45307</v>
      </c>
      <c r="F218" s="927" t="s">
        <v>61</v>
      </c>
      <c r="G218" s="927" t="s">
        <v>5739</v>
      </c>
      <c r="I218" s="927"/>
      <c r="J218" s="131"/>
      <c r="K218" s="927" t="s">
        <v>1428</v>
      </c>
      <c r="L218" t="s">
        <v>3834</v>
      </c>
      <c r="M218" s="927" t="s">
        <v>3654</v>
      </c>
      <c r="N218" s="927" t="s">
        <v>1428</v>
      </c>
      <c r="O218" s="927" t="s">
        <v>3654</v>
      </c>
      <c r="P218" s="927" t="s">
        <v>322</v>
      </c>
      <c r="Q218" s="927" t="s">
        <v>323</v>
      </c>
      <c r="R218" s="927" t="s">
        <v>324</v>
      </c>
      <c r="S218">
        <v>357</v>
      </c>
      <c r="T218">
        <v>397</v>
      </c>
      <c r="U218">
        <v>397</v>
      </c>
      <c r="V218">
        <v>378</v>
      </c>
      <c r="W218">
        <v>400</v>
      </c>
      <c r="X218">
        <v>366</v>
      </c>
      <c r="Y218">
        <v>338</v>
      </c>
      <c r="Z218">
        <v>302</v>
      </c>
      <c r="AA218">
        <v>312</v>
      </c>
      <c r="AB218">
        <v>309</v>
      </c>
      <c r="AC218">
        <v>375</v>
      </c>
      <c r="AD218">
        <v>317</v>
      </c>
      <c r="AE218">
        <v>397</v>
      </c>
      <c r="AF218" s="927"/>
      <c r="AG218" s="927"/>
      <c r="AH218" s="717"/>
      <c r="AK218" s="927"/>
      <c r="AO218" s="927"/>
      <c r="AP218" s="927"/>
      <c r="AQ218" s="927"/>
    </row>
    <row r="219" spans="1:43">
      <c r="A219" s="927" t="s">
        <v>4247</v>
      </c>
      <c r="B219" s="927" t="s">
        <v>1429</v>
      </c>
      <c r="C219" s="927" t="s">
        <v>1391</v>
      </c>
      <c r="D219" s="927" t="s">
        <v>4020</v>
      </c>
      <c r="E219" s="717">
        <v>45372</v>
      </c>
      <c r="F219" s="927" t="s">
        <v>50</v>
      </c>
      <c r="G219" s="927" t="s">
        <v>5739</v>
      </c>
      <c r="I219" s="927"/>
      <c r="J219" s="131"/>
      <c r="K219" s="927" t="s">
        <v>1392</v>
      </c>
      <c r="L219" t="s">
        <v>4248</v>
      </c>
      <c r="M219" s="927" t="s">
        <v>320</v>
      </c>
      <c r="N219" s="927" t="s">
        <v>4249</v>
      </c>
      <c r="O219" s="927" t="s">
        <v>4250</v>
      </c>
      <c r="P219" s="927" t="s">
        <v>379</v>
      </c>
      <c r="Q219" s="927"/>
      <c r="R219" s="927" t="s">
        <v>324</v>
      </c>
      <c r="S219">
        <v>349</v>
      </c>
      <c r="T219">
        <v>2800</v>
      </c>
      <c r="U219">
        <v>2054</v>
      </c>
      <c r="V219">
        <v>3029</v>
      </c>
      <c r="W219">
        <v>3372</v>
      </c>
      <c r="X219">
        <v>2879</v>
      </c>
      <c r="Y219">
        <v>2421</v>
      </c>
      <c r="Z219">
        <v>2630</v>
      </c>
      <c r="AA219">
        <v>3429</v>
      </c>
      <c r="AB219">
        <v>2765</v>
      </c>
      <c r="AC219">
        <v>3348</v>
      </c>
      <c r="AD219">
        <v>3232</v>
      </c>
      <c r="AE219">
        <v>3285</v>
      </c>
      <c r="AF219" s="927"/>
      <c r="AG219" s="927"/>
      <c r="AH219" s="717"/>
      <c r="AI219">
        <v>28.75</v>
      </c>
      <c r="AJ219">
        <v>87350</v>
      </c>
      <c r="AK219" s="927"/>
      <c r="AL219">
        <v>50</v>
      </c>
      <c r="AM219">
        <v>575</v>
      </c>
      <c r="AO219" s="927"/>
      <c r="AP219" s="927"/>
      <c r="AQ219" s="927" t="s">
        <v>4251</v>
      </c>
    </row>
    <row r="220" spans="1:43">
      <c r="A220" s="927" t="s">
        <v>1430</v>
      </c>
      <c r="B220" s="927" t="s">
        <v>1431</v>
      </c>
      <c r="C220" s="927" t="s">
        <v>1432</v>
      </c>
      <c r="D220" s="927" t="s">
        <v>1344</v>
      </c>
      <c r="E220" s="717">
        <v>45373</v>
      </c>
      <c r="F220" s="927" t="s">
        <v>61</v>
      </c>
      <c r="G220" s="927" t="s">
        <v>5739</v>
      </c>
      <c r="I220" s="927"/>
      <c r="J220" s="131"/>
      <c r="K220" s="927" t="s">
        <v>1433</v>
      </c>
      <c r="L220" t="s">
        <v>3844</v>
      </c>
      <c r="M220" s="927" t="s">
        <v>320</v>
      </c>
      <c r="N220" s="927" t="s">
        <v>1437</v>
      </c>
      <c r="O220" s="927" t="s">
        <v>1438</v>
      </c>
      <c r="P220" s="927" t="s">
        <v>322</v>
      </c>
      <c r="Q220" s="927" t="s">
        <v>323</v>
      </c>
      <c r="R220" s="927" t="s">
        <v>555</v>
      </c>
      <c r="S220">
        <v>486</v>
      </c>
      <c r="T220">
        <v>410</v>
      </c>
      <c r="U220">
        <v>400</v>
      </c>
      <c r="V220">
        <v>310</v>
      </c>
      <c r="W220">
        <v>370</v>
      </c>
      <c r="X220">
        <v>420</v>
      </c>
      <c r="Y220">
        <v>340</v>
      </c>
      <c r="Z220">
        <v>300</v>
      </c>
      <c r="AA220">
        <v>330</v>
      </c>
      <c r="AB220">
        <v>310</v>
      </c>
      <c r="AC220">
        <v>260</v>
      </c>
      <c r="AD220">
        <v>300</v>
      </c>
      <c r="AE220">
        <v>290</v>
      </c>
      <c r="AF220" s="927" t="s">
        <v>269</v>
      </c>
      <c r="AG220" s="927" t="s">
        <v>963</v>
      </c>
      <c r="AH220" s="717"/>
      <c r="AK220" s="927"/>
      <c r="AO220" s="927"/>
      <c r="AP220" s="927"/>
      <c r="AQ220" s="927" t="s">
        <v>1434</v>
      </c>
    </row>
    <row r="221" spans="1:43">
      <c r="A221" s="927" t="s">
        <v>1435</v>
      </c>
      <c r="B221" s="927" t="s">
        <v>1436</v>
      </c>
      <c r="C221" s="927" t="s">
        <v>1432</v>
      </c>
      <c r="D221" s="927" t="s">
        <v>1418</v>
      </c>
      <c r="E221" s="717">
        <v>45373</v>
      </c>
      <c r="F221" s="927"/>
      <c r="G221" s="927"/>
      <c r="I221" s="927"/>
      <c r="J221" s="131"/>
      <c r="K221" s="927" t="s">
        <v>1433</v>
      </c>
      <c r="L221" t="s">
        <v>3844</v>
      </c>
      <c r="M221" s="927" t="s">
        <v>320</v>
      </c>
      <c r="N221" s="927" t="s">
        <v>1437</v>
      </c>
      <c r="O221" s="927" t="s">
        <v>1438</v>
      </c>
      <c r="P221" s="927" t="s">
        <v>379</v>
      </c>
      <c r="Q221" s="927"/>
      <c r="R221" s="927" t="s">
        <v>324</v>
      </c>
      <c r="T221">
        <v>410</v>
      </c>
      <c r="U221">
        <v>400</v>
      </c>
      <c r="V221">
        <v>310</v>
      </c>
      <c r="W221">
        <v>370</v>
      </c>
      <c r="X221">
        <v>420</v>
      </c>
      <c r="Y221">
        <v>340</v>
      </c>
      <c r="Z221">
        <v>300</v>
      </c>
      <c r="AA221">
        <v>330</v>
      </c>
      <c r="AB221">
        <v>310</v>
      </c>
      <c r="AC221">
        <v>260</v>
      </c>
      <c r="AD221">
        <v>300</v>
      </c>
      <c r="AE221">
        <v>290</v>
      </c>
      <c r="AF221" s="927" t="s">
        <v>1189</v>
      </c>
      <c r="AG221" s="927"/>
      <c r="AH221" s="717"/>
      <c r="AI221">
        <v>9.1999999999999993</v>
      </c>
      <c r="AJ221">
        <v>26600</v>
      </c>
      <c r="AK221" s="927"/>
      <c r="AL221">
        <v>16</v>
      </c>
      <c r="AM221">
        <v>575</v>
      </c>
      <c r="AO221" s="927"/>
      <c r="AP221" s="927"/>
      <c r="AQ221" s="927" t="s">
        <v>1434</v>
      </c>
    </row>
    <row r="222" spans="1:43">
      <c r="A222" s="927" t="s">
        <v>4506</v>
      </c>
      <c r="B222" s="927" t="s">
        <v>1439</v>
      </c>
      <c r="C222" s="927" t="s">
        <v>4507</v>
      </c>
      <c r="D222" s="927" t="s">
        <v>1371</v>
      </c>
      <c r="E222" s="717">
        <v>45373</v>
      </c>
      <c r="F222" s="927" t="s">
        <v>50</v>
      </c>
      <c r="G222" s="927" t="s">
        <v>1440</v>
      </c>
      <c r="I222" s="927"/>
      <c r="J222" s="131"/>
      <c r="K222" s="927" t="s">
        <v>4508</v>
      </c>
      <c r="L222" t="s">
        <v>4509</v>
      </c>
      <c r="M222" s="927" t="s">
        <v>320</v>
      </c>
      <c r="N222" s="927" t="s">
        <v>1346</v>
      </c>
      <c r="O222" s="927" t="s">
        <v>4510</v>
      </c>
      <c r="P222" s="927" t="s">
        <v>322</v>
      </c>
      <c r="Q222" s="927" t="s">
        <v>706</v>
      </c>
      <c r="R222" s="927" t="s">
        <v>324</v>
      </c>
      <c r="T222">
        <v>1675</v>
      </c>
      <c r="U222">
        <v>1745</v>
      </c>
      <c r="V222">
        <v>1795</v>
      </c>
      <c r="W222">
        <v>1507</v>
      </c>
      <c r="X222">
        <v>1261</v>
      </c>
      <c r="Y222">
        <v>1295</v>
      </c>
      <c r="Z222">
        <v>1208</v>
      </c>
      <c r="AA222">
        <v>1199</v>
      </c>
      <c r="AB222">
        <v>1478</v>
      </c>
      <c r="AC222">
        <v>1462</v>
      </c>
      <c r="AD222">
        <v>1417</v>
      </c>
      <c r="AE222">
        <v>1817</v>
      </c>
      <c r="AF222" s="927"/>
      <c r="AG222" s="927"/>
      <c r="AH222" s="717"/>
      <c r="AI222">
        <v>90.85</v>
      </c>
      <c r="AJ222">
        <v>348000</v>
      </c>
      <c r="AK222" s="927"/>
      <c r="AL222">
        <v>158</v>
      </c>
      <c r="AM222">
        <v>575</v>
      </c>
      <c r="AO222" s="927"/>
      <c r="AP222" s="927"/>
      <c r="AQ222" s="927" t="s">
        <v>4511</v>
      </c>
    </row>
    <row r="223" spans="1:43">
      <c r="A223" s="927" t="s">
        <v>4034</v>
      </c>
      <c r="B223" s="927" t="s">
        <v>1441</v>
      </c>
      <c r="C223" s="927" t="s">
        <v>4035</v>
      </c>
      <c r="D223" s="927" t="s">
        <v>1418</v>
      </c>
      <c r="E223" s="717">
        <v>45379</v>
      </c>
      <c r="F223" s="927" t="s">
        <v>61</v>
      </c>
      <c r="G223" s="927" t="s">
        <v>5739</v>
      </c>
      <c r="H223" t="s">
        <v>3859</v>
      </c>
      <c r="I223" s="927" t="s">
        <v>3877</v>
      </c>
      <c r="J223" s="131">
        <v>30797</v>
      </c>
      <c r="K223" s="927" t="s">
        <v>1460</v>
      </c>
      <c r="L223" t="s">
        <v>3835</v>
      </c>
      <c r="M223" s="927" t="s">
        <v>320</v>
      </c>
      <c r="N223" s="927" t="s">
        <v>1346</v>
      </c>
      <c r="O223" s="927" t="s">
        <v>3712</v>
      </c>
      <c r="P223" s="927" t="s">
        <v>322</v>
      </c>
      <c r="Q223" s="927" t="s">
        <v>323</v>
      </c>
      <c r="R223" s="927" t="s">
        <v>324</v>
      </c>
      <c r="S223">
        <v>500</v>
      </c>
      <c r="T223">
        <v>909</v>
      </c>
      <c r="U223">
        <v>803</v>
      </c>
      <c r="V223">
        <v>576</v>
      </c>
      <c r="W223">
        <v>534</v>
      </c>
      <c r="X223">
        <v>420</v>
      </c>
      <c r="Y223">
        <v>360</v>
      </c>
      <c r="Z223">
        <v>360</v>
      </c>
      <c r="AA223">
        <v>402</v>
      </c>
      <c r="AB223">
        <v>420</v>
      </c>
      <c r="AC223">
        <v>438</v>
      </c>
      <c r="AD223">
        <v>480</v>
      </c>
      <c r="AE223">
        <v>1561</v>
      </c>
      <c r="AF223" s="927" t="s">
        <v>1189</v>
      </c>
      <c r="AG223" s="927" t="s">
        <v>1189</v>
      </c>
      <c r="AH223" s="717"/>
      <c r="AI223">
        <v>8.5500000000000007</v>
      </c>
      <c r="AJ223">
        <v>24300</v>
      </c>
      <c r="AK223" s="927"/>
      <c r="AL223">
        <v>15</v>
      </c>
      <c r="AM223">
        <v>570</v>
      </c>
      <c r="AO223" s="927"/>
      <c r="AP223" s="927"/>
      <c r="AQ223" s="927" t="s">
        <v>4036</v>
      </c>
    </row>
    <row r="224" spans="1:43">
      <c r="A224" s="927" t="s">
        <v>3896</v>
      </c>
      <c r="B224" s="927" t="s">
        <v>1442</v>
      </c>
      <c r="C224" s="927" t="s">
        <v>3897</v>
      </c>
      <c r="D224" s="927" t="s">
        <v>1418</v>
      </c>
      <c r="E224" s="717">
        <v>45379</v>
      </c>
      <c r="F224" s="927" t="s">
        <v>55</v>
      </c>
      <c r="G224" s="927" t="s">
        <v>5739</v>
      </c>
      <c r="I224" s="927" t="s">
        <v>3898</v>
      </c>
      <c r="J224" s="131">
        <v>24799</v>
      </c>
      <c r="K224" s="927" t="s">
        <v>3618</v>
      </c>
      <c r="L224" t="s">
        <v>3845</v>
      </c>
      <c r="M224" s="927" t="s">
        <v>320</v>
      </c>
      <c r="N224" s="927" t="s">
        <v>3655</v>
      </c>
      <c r="O224" s="927" t="s">
        <v>3656</v>
      </c>
      <c r="P224" s="927" t="s">
        <v>1815</v>
      </c>
      <c r="Q224" s="927" t="s">
        <v>323</v>
      </c>
      <c r="R224" s="927" t="s">
        <v>324</v>
      </c>
      <c r="S224">
        <v>869</v>
      </c>
      <c r="T224">
        <v>709</v>
      </c>
      <c r="U224">
        <v>583</v>
      </c>
      <c r="V224">
        <v>395</v>
      </c>
      <c r="W224">
        <v>413</v>
      </c>
      <c r="X224">
        <v>423</v>
      </c>
      <c r="Y224">
        <v>370</v>
      </c>
      <c r="Z224">
        <v>228</v>
      </c>
      <c r="AA224">
        <v>425</v>
      </c>
      <c r="AB224">
        <v>472</v>
      </c>
      <c r="AC224">
        <v>320</v>
      </c>
      <c r="AD224">
        <v>357</v>
      </c>
      <c r="AE224">
        <v>541</v>
      </c>
      <c r="AF224" s="927" t="s">
        <v>1189</v>
      </c>
      <c r="AG224" s="927" t="s">
        <v>1189</v>
      </c>
      <c r="AH224" s="717"/>
      <c r="AI224">
        <v>2.2799999999999998</v>
      </c>
      <c r="AJ224">
        <v>11000</v>
      </c>
      <c r="AK224" s="927"/>
      <c r="AL224">
        <v>4</v>
      </c>
      <c r="AM224">
        <v>570</v>
      </c>
      <c r="AO224" s="927"/>
      <c r="AP224" s="927"/>
      <c r="AQ224" s="927" t="s">
        <v>3899</v>
      </c>
    </row>
    <row r="225" spans="1:43">
      <c r="A225" s="927" t="s">
        <v>1443</v>
      </c>
      <c r="B225" s="927" t="s">
        <v>1444</v>
      </c>
      <c r="C225" s="927" t="s">
        <v>1445</v>
      </c>
      <c r="D225" s="927" t="s">
        <v>57</v>
      </c>
      <c r="E225" s="717">
        <v>45316</v>
      </c>
      <c r="F225" s="927" t="s">
        <v>55</v>
      </c>
      <c r="G225" s="927" t="s">
        <v>5739</v>
      </c>
      <c r="I225" s="927"/>
      <c r="J225" s="131"/>
      <c r="K225" s="927" t="s">
        <v>1446</v>
      </c>
      <c r="L225" t="s">
        <v>3836</v>
      </c>
      <c r="M225" s="927" t="s">
        <v>3658</v>
      </c>
      <c r="N225" s="927" t="s">
        <v>1446</v>
      </c>
      <c r="O225" s="927" t="s">
        <v>3657</v>
      </c>
      <c r="P225" s="927" t="s">
        <v>322</v>
      </c>
      <c r="Q225" s="927" t="s">
        <v>323</v>
      </c>
      <c r="R225" s="927" t="s">
        <v>324</v>
      </c>
      <c r="AF225" s="927"/>
      <c r="AG225" s="927"/>
      <c r="AH225" s="717"/>
      <c r="AK225" s="927"/>
      <c r="AO225" s="927"/>
      <c r="AP225" s="927"/>
      <c r="AQ225" s="927"/>
    </row>
    <row r="226" spans="1:43">
      <c r="A226" s="927" t="s">
        <v>1447</v>
      </c>
      <c r="B226" s="927" t="s">
        <v>1448</v>
      </c>
      <c r="C226" s="927" t="s">
        <v>1449</v>
      </c>
      <c r="D226" s="927"/>
      <c r="E226" s="717"/>
      <c r="F226" s="927"/>
      <c r="G226" s="927"/>
      <c r="I226" s="927"/>
      <c r="J226" s="131"/>
      <c r="K226" s="927" t="s">
        <v>306</v>
      </c>
      <c r="M226" s="927" t="s">
        <v>306</v>
      </c>
      <c r="N226" s="927" t="s">
        <v>306</v>
      </c>
      <c r="O226" s="927" t="s">
        <v>306</v>
      </c>
      <c r="P226" s="927" t="s">
        <v>322</v>
      </c>
      <c r="Q226" s="927"/>
      <c r="R226" s="927"/>
      <c r="S226">
        <v>420</v>
      </c>
      <c r="T226">
        <v>451</v>
      </c>
      <c r="U226">
        <v>496</v>
      </c>
      <c r="V226">
        <v>595</v>
      </c>
      <c r="W226">
        <v>653</v>
      </c>
      <c r="X226">
        <v>389</v>
      </c>
      <c r="Y226">
        <v>306</v>
      </c>
      <c r="Z226">
        <v>319</v>
      </c>
      <c r="AA226">
        <v>330</v>
      </c>
      <c r="AB226">
        <v>361</v>
      </c>
      <c r="AC226">
        <v>384</v>
      </c>
      <c r="AD226">
        <v>351</v>
      </c>
      <c r="AE226">
        <v>401</v>
      </c>
      <c r="AF226" s="927"/>
      <c r="AG226" s="927"/>
      <c r="AH226" s="717"/>
      <c r="AK226" s="927"/>
      <c r="AO226" s="927"/>
      <c r="AP226" s="927"/>
      <c r="AQ226" s="927"/>
    </row>
    <row r="227" spans="1:43">
      <c r="A227" s="927" t="s">
        <v>1450</v>
      </c>
      <c r="B227" s="927" t="s">
        <v>1451</v>
      </c>
      <c r="C227" s="927" t="s">
        <v>1452</v>
      </c>
      <c r="D227" s="927"/>
      <c r="E227" s="717"/>
      <c r="F227" s="927"/>
      <c r="G227" s="927" t="s">
        <v>1453</v>
      </c>
      <c r="I227" s="927"/>
      <c r="J227" s="131"/>
      <c r="K227" s="927" t="s">
        <v>1454</v>
      </c>
      <c r="L227" t="s">
        <v>3837</v>
      </c>
      <c r="M227" s="927" t="s">
        <v>1454</v>
      </c>
      <c r="N227" s="927" t="s">
        <v>1454</v>
      </c>
      <c r="O227" s="927" t="s">
        <v>1454</v>
      </c>
      <c r="P227" s="927" t="s">
        <v>322</v>
      </c>
      <c r="Q227" s="927" t="s">
        <v>323</v>
      </c>
      <c r="R227" s="927" t="s">
        <v>324</v>
      </c>
      <c r="S227">
        <v>2500</v>
      </c>
      <c r="T227">
        <v>3600</v>
      </c>
      <c r="U227">
        <v>3450</v>
      </c>
      <c r="V227">
        <v>2880</v>
      </c>
      <c r="W227">
        <v>2670</v>
      </c>
      <c r="X227">
        <v>2100</v>
      </c>
      <c r="Y227">
        <v>1800</v>
      </c>
      <c r="Z227">
        <v>1800</v>
      </c>
      <c r="AA227">
        <v>2010</v>
      </c>
      <c r="AB227">
        <v>2100</v>
      </c>
      <c r="AC227">
        <v>2190</v>
      </c>
      <c r="AD227">
        <v>2400</v>
      </c>
      <c r="AE227">
        <v>3000</v>
      </c>
      <c r="AF227" s="927" t="s">
        <v>269</v>
      </c>
      <c r="AG227" s="927" t="s">
        <v>963</v>
      </c>
      <c r="AH227" s="717"/>
      <c r="AK227" s="927"/>
      <c r="AO227" s="927"/>
      <c r="AP227" s="927"/>
      <c r="AQ227" s="927"/>
    </row>
    <row r="228" spans="1:43">
      <c r="A228" s="927" t="s">
        <v>1455</v>
      </c>
      <c r="B228" s="927" t="s">
        <v>1456</v>
      </c>
      <c r="C228" s="927" t="s">
        <v>1457</v>
      </c>
      <c r="D228" s="927"/>
      <c r="E228" s="717"/>
      <c r="F228" s="927"/>
      <c r="G228" s="927"/>
      <c r="I228" s="927"/>
      <c r="J228" s="131"/>
      <c r="K228" s="927" t="s">
        <v>1458</v>
      </c>
      <c r="L228" t="s">
        <v>3838</v>
      </c>
      <c r="M228" s="927" t="s">
        <v>3659</v>
      </c>
      <c r="N228" s="927" t="s">
        <v>1458</v>
      </c>
      <c r="O228" s="927" t="s">
        <v>3659</v>
      </c>
      <c r="P228" s="927" t="s">
        <v>379</v>
      </c>
      <c r="Q228" s="927"/>
      <c r="R228" s="927"/>
      <c r="S228">
        <v>1000</v>
      </c>
      <c r="T228">
        <v>1440</v>
      </c>
      <c r="U228">
        <v>1380</v>
      </c>
      <c r="V228">
        <v>1152</v>
      </c>
      <c r="W228">
        <v>1068</v>
      </c>
      <c r="X228">
        <v>840</v>
      </c>
      <c r="Y228">
        <v>720</v>
      </c>
      <c r="Z228">
        <v>720</v>
      </c>
      <c r="AA228">
        <v>804</v>
      </c>
      <c r="AB228">
        <v>840</v>
      </c>
      <c r="AC228">
        <v>876</v>
      </c>
      <c r="AD228">
        <v>960</v>
      </c>
      <c r="AE228">
        <v>1200</v>
      </c>
      <c r="AF228" s="927" t="s">
        <v>269</v>
      </c>
      <c r="AG228" s="927" t="s">
        <v>963</v>
      </c>
      <c r="AH228" s="717"/>
      <c r="AK228" s="927"/>
      <c r="AO228" s="927"/>
      <c r="AP228" s="927"/>
      <c r="AQ228" s="927"/>
    </row>
    <row r="229" spans="1:43">
      <c r="A229" s="927" t="s">
        <v>4102</v>
      </c>
      <c r="B229" s="927" t="s">
        <v>1459</v>
      </c>
      <c r="C229" s="927" t="s">
        <v>4103</v>
      </c>
      <c r="D229" s="927" t="s">
        <v>1418</v>
      </c>
      <c r="E229" s="717">
        <v>45391</v>
      </c>
      <c r="F229" s="927"/>
      <c r="G229" s="927"/>
      <c r="I229" s="927"/>
      <c r="J229" s="131">
        <v>32771</v>
      </c>
      <c r="K229" s="927" t="s">
        <v>1510</v>
      </c>
      <c r="L229" t="s">
        <v>3851</v>
      </c>
      <c r="M229" s="927" t="s">
        <v>320</v>
      </c>
      <c r="N229" s="927" t="s">
        <v>1346</v>
      </c>
      <c r="O229" s="927" t="s">
        <v>1511</v>
      </c>
      <c r="P229" s="927" t="s">
        <v>322</v>
      </c>
      <c r="Q229" s="927" t="s">
        <v>323</v>
      </c>
      <c r="R229" s="927" t="s">
        <v>324</v>
      </c>
      <c r="S229">
        <v>1000</v>
      </c>
      <c r="T229">
        <v>299</v>
      </c>
      <c r="U229">
        <v>344</v>
      </c>
      <c r="V229">
        <v>308</v>
      </c>
      <c r="W229">
        <v>447</v>
      </c>
      <c r="X229">
        <v>543</v>
      </c>
      <c r="Y229">
        <v>611</v>
      </c>
      <c r="Z229">
        <v>395</v>
      </c>
      <c r="AA229">
        <v>287</v>
      </c>
      <c r="AB229">
        <v>379</v>
      </c>
      <c r="AC229">
        <v>284</v>
      </c>
      <c r="AD229">
        <v>423</v>
      </c>
      <c r="AE229">
        <v>119</v>
      </c>
      <c r="AF229" s="927" t="s">
        <v>1189</v>
      </c>
      <c r="AG229" s="927" t="s">
        <v>1189</v>
      </c>
      <c r="AH229" s="717"/>
      <c r="AI229">
        <v>4.0949999999999998</v>
      </c>
      <c r="AJ229">
        <v>15100</v>
      </c>
      <c r="AK229" s="927"/>
      <c r="AL229">
        <v>7</v>
      </c>
      <c r="AM229">
        <v>585</v>
      </c>
      <c r="AO229" s="927"/>
      <c r="AP229" s="927"/>
      <c r="AQ229" s="927" t="s">
        <v>4473</v>
      </c>
    </row>
    <row r="230" spans="1:43">
      <c r="A230" s="927" t="s">
        <v>3862</v>
      </c>
      <c r="B230" s="927" t="s">
        <v>1461</v>
      </c>
      <c r="C230" s="927" t="s">
        <v>3863</v>
      </c>
      <c r="D230" s="927" t="s">
        <v>1418</v>
      </c>
      <c r="E230" s="717">
        <v>45391</v>
      </c>
      <c r="F230" s="927"/>
      <c r="G230" s="927"/>
      <c r="H230" t="s">
        <v>3864</v>
      </c>
      <c r="I230" s="927" t="s">
        <v>3878</v>
      </c>
      <c r="J230" s="131">
        <v>27951</v>
      </c>
      <c r="K230" s="927" t="s">
        <v>3617</v>
      </c>
      <c r="L230" t="s">
        <v>3846</v>
      </c>
      <c r="M230" s="927" t="s">
        <v>320</v>
      </c>
      <c r="N230" s="927" t="s">
        <v>1346</v>
      </c>
      <c r="O230" s="927" t="s">
        <v>3660</v>
      </c>
      <c r="P230" s="927" t="s">
        <v>322</v>
      </c>
      <c r="Q230" s="927"/>
      <c r="R230" s="927" t="s">
        <v>324</v>
      </c>
      <c r="S230">
        <v>1300</v>
      </c>
      <c r="T230">
        <v>1000</v>
      </c>
      <c r="U230">
        <v>800</v>
      </c>
      <c r="V230">
        <v>1060</v>
      </c>
      <c r="W230">
        <v>720</v>
      </c>
      <c r="X230">
        <v>690</v>
      </c>
      <c r="Y230">
        <v>310</v>
      </c>
      <c r="Z230">
        <v>510</v>
      </c>
      <c r="AA230">
        <v>480</v>
      </c>
      <c r="AB230">
        <v>580</v>
      </c>
      <c r="AC230">
        <v>570</v>
      </c>
      <c r="AD230">
        <v>790</v>
      </c>
      <c r="AE230">
        <v>630</v>
      </c>
      <c r="AF230" s="927" t="s">
        <v>1189</v>
      </c>
      <c r="AG230" s="927" t="s">
        <v>1189</v>
      </c>
      <c r="AH230" s="717"/>
      <c r="AI230">
        <v>11.4</v>
      </c>
      <c r="AJ230">
        <v>45000</v>
      </c>
      <c r="AK230" s="927"/>
      <c r="AL230">
        <v>20</v>
      </c>
      <c r="AM230">
        <v>570</v>
      </c>
      <c r="AO230" s="927"/>
      <c r="AP230" s="927"/>
      <c r="AQ230" s="927" t="s">
        <v>3865</v>
      </c>
    </row>
    <row r="231" spans="1:43">
      <c r="A231" s="927" t="s">
        <v>1462</v>
      </c>
      <c r="B231" s="927" t="s">
        <v>1463</v>
      </c>
      <c r="C231" s="927" t="s">
        <v>1464</v>
      </c>
      <c r="D231" s="927" t="s">
        <v>1465</v>
      </c>
      <c r="E231" s="717">
        <v>45393</v>
      </c>
      <c r="F231" s="927" t="s">
        <v>55</v>
      </c>
      <c r="G231" s="927" t="s">
        <v>1466</v>
      </c>
      <c r="I231" s="927"/>
      <c r="J231" s="131"/>
      <c r="K231" s="927" t="s">
        <v>1467</v>
      </c>
      <c r="L231" t="s">
        <v>3847</v>
      </c>
      <c r="M231" s="927" t="s">
        <v>320</v>
      </c>
      <c r="N231" s="927" t="s">
        <v>3661</v>
      </c>
      <c r="O231" s="927" t="s">
        <v>1481</v>
      </c>
      <c r="P231" s="927" t="s">
        <v>379</v>
      </c>
      <c r="Q231" s="927" t="s">
        <v>323</v>
      </c>
      <c r="R231" s="927" t="s">
        <v>438</v>
      </c>
      <c r="S231">
        <v>1300</v>
      </c>
      <c r="T231">
        <v>288</v>
      </c>
      <c r="U231">
        <v>304</v>
      </c>
      <c r="V231">
        <v>276</v>
      </c>
      <c r="W231">
        <v>187</v>
      </c>
      <c r="X231">
        <v>193</v>
      </c>
      <c r="Y231">
        <v>167</v>
      </c>
      <c r="Z231">
        <v>147</v>
      </c>
      <c r="AA231">
        <v>166</v>
      </c>
      <c r="AB231">
        <v>170</v>
      </c>
      <c r="AC231">
        <v>205</v>
      </c>
      <c r="AD231">
        <v>210</v>
      </c>
      <c r="AE231">
        <v>235</v>
      </c>
      <c r="AF231" s="927" t="s">
        <v>1189</v>
      </c>
      <c r="AG231" s="927" t="s">
        <v>963</v>
      </c>
      <c r="AH231" s="717"/>
      <c r="AI231">
        <v>3.42</v>
      </c>
      <c r="AJ231">
        <v>13700</v>
      </c>
      <c r="AK231" s="927"/>
      <c r="AL231">
        <v>6</v>
      </c>
      <c r="AM231">
        <v>570</v>
      </c>
      <c r="AO231" s="927"/>
      <c r="AP231" s="927"/>
      <c r="AQ231" s="927" t="s">
        <v>1468</v>
      </c>
    </row>
    <row r="232" spans="1:43">
      <c r="A232" s="927" t="s">
        <v>1469</v>
      </c>
      <c r="B232" s="927" t="s">
        <v>1470</v>
      </c>
      <c r="C232" s="927" t="s">
        <v>799</v>
      </c>
      <c r="D232" s="927"/>
      <c r="E232" s="717">
        <v>44718</v>
      </c>
      <c r="F232" s="927" t="s">
        <v>44</v>
      </c>
      <c r="G232" s="927" t="s">
        <v>800</v>
      </c>
      <c r="I232" s="927"/>
      <c r="J232" s="131"/>
      <c r="K232" s="927" t="s">
        <v>801</v>
      </c>
      <c r="L232" t="s">
        <v>3774</v>
      </c>
      <c r="M232" s="927" t="s">
        <v>801</v>
      </c>
      <c r="N232" s="927" t="s">
        <v>801</v>
      </c>
      <c r="O232" s="927" t="s">
        <v>801</v>
      </c>
      <c r="P232" s="927" t="s">
        <v>322</v>
      </c>
      <c r="Q232" s="927" t="s">
        <v>323</v>
      </c>
      <c r="R232" s="927" t="s">
        <v>324</v>
      </c>
      <c r="S232">
        <v>789</v>
      </c>
      <c r="T232">
        <v>1151</v>
      </c>
      <c r="U232">
        <v>819</v>
      </c>
      <c r="V232">
        <v>1373</v>
      </c>
      <c r="W232">
        <v>865</v>
      </c>
      <c r="X232">
        <v>585</v>
      </c>
      <c r="Y232">
        <v>506</v>
      </c>
      <c r="Z232">
        <v>387</v>
      </c>
      <c r="AA232">
        <v>756</v>
      </c>
      <c r="AB232">
        <v>776</v>
      </c>
      <c r="AC232">
        <v>785</v>
      </c>
      <c r="AD232">
        <v>725</v>
      </c>
      <c r="AE232">
        <v>745</v>
      </c>
      <c r="AF232" s="927" t="s">
        <v>305</v>
      </c>
      <c r="AG232" s="927" t="s">
        <v>963</v>
      </c>
      <c r="AH232" s="717"/>
      <c r="AK232" s="927"/>
      <c r="AO232" s="927"/>
      <c r="AP232" s="927"/>
      <c r="AQ232" s="927"/>
    </row>
    <row r="233" spans="1:43">
      <c r="A233" s="927" t="s">
        <v>1471</v>
      </c>
      <c r="B233" s="927" t="s">
        <v>1472</v>
      </c>
      <c r="C233" s="927" t="s">
        <v>1473</v>
      </c>
      <c r="D233" s="927" t="s">
        <v>1326</v>
      </c>
      <c r="E233" s="717">
        <v>45397</v>
      </c>
      <c r="F233" s="927"/>
      <c r="G233" s="927"/>
      <c r="I233" s="927"/>
      <c r="J233" s="131"/>
      <c r="K233" s="927" t="s">
        <v>306</v>
      </c>
      <c r="M233" s="927" t="s">
        <v>306</v>
      </c>
      <c r="N233" s="927" t="s">
        <v>306</v>
      </c>
      <c r="O233" s="927" t="s">
        <v>306</v>
      </c>
      <c r="P233" s="927"/>
      <c r="Q233" s="927"/>
      <c r="R233" s="927"/>
      <c r="AF233" s="927"/>
      <c r="AG233" s="927"/>
      <c r="AH233" s="717"/>
      <c r="AK233" s="927"/>
      <c r="AO233" s="927"/>
      <c r="AP233" s="927"/>
      <c r="AQ233" s="927" t="s">
        <v>1474</v>
      </c>
    </row>
    <row r="234" spans="1:43">
      <c r="A234" s="927" t="s">
        <v>1475</v>
      </c>
      <c r="B234" s="927" t="s">
        <v>1476</v>
      </c>
      <c r="C234" s="927" t="s">
        <v>1477</v>
      </c>
      <c r="D234" s="927" t="s">
        <v>1418</v>
      </c>
      <c r="E234" s="717">
        <v>45400</v>
      </c>
      <c r="F234" s="927"/>
      <c r="G234" s="927"/>
      <c r="I234" s="927"/>
      <c r="J234" s="131"/>
      <c r="K234" s="927" t="s">
        <v>306</v>
      </c>
      <c r="M234" s="927" t="s">
        <v>306</v>
      </c>
      <c r="N234" s="927" t="s">
        <v>306</v>
      </c>
      <c r="O234" s="927" t="s">
        <v>306</v>
      </c>
      <c r="P234" s="927"/>
      <c r="Q234" s="927"/>
      <c r="R234" s="927"/>
      <c r="AF234" s="927"/>
      <c r="AG234" s="927"/>
      <c r="AH234" s="717"/>
      <c r="AK234" s="927"/>
      <c r="AO234" s="927"/>
      <c r="AP234" s="927"/>
      <c r="AQ234" s="927" t="s">
        <v>1226</v>
      </c>
    </row>
    <row r="235" spans="1:43">
      <c r="A235" s="927" t="s">
        <v>1478</v>
      </c>
      <c r="B235" s="927" t="s">
        <v>1479</v>
      </c>
      <c r="C235" s="927" t="s">
        <v>1480</v>
      </c>
      <c r="D235" s="927" t="s">
        <v>1115</v>
      </c>
      <c r="E235" s="717">
        <v>45404</v>
      </c>
      <c r="F235" s="927"/>
      <c r="G235" s="927"/>
      <c r="I235" s="927"/>
      <c r="J235" s="131"/>
      <c r="K235" s="927" t="s">
        <v>1331</v>
      </c>
      <c r="L235" t="s">
        <v>3848</v>
      </c>
      <c r="M235" s="927" t="s">
        <v>320</v>
      </c>
      <c r="N235" s="927" t="s">
        <v>1346</v>
      </c>
      <c r="O235" s="927" t="s">
        <v>1481</v>
      </c>
      <c r="P235" s="927" t="s">
        <v>322</v>
      </c>
      <c r="Q235" s="927"/>
      <c r="R235" s="927" t="s">
        <v>555</v>
      </c>
      <c r="T235">
        <v>339</v>
      </c>
      <c r="U235">
        <v>349</v>
      </c>
      <c r="V235">
        <v>467</v>
      </c>
      <c r="W235">
        <v>312</v>
      </c>
      <c r="X235">
        <v>312</v>
      </c>
      <c r="Y235">
        <v>197</v>
      </c>
      <c r="Z235">
        <v>252</v>
      </c>
      <c r="AA235">
        <v>148</v>
      </c>
      <c r="AB235">
        <v>199</v>
      </c>
      <c r="AC235">
        <v>265</v>
      </c>
      <c r="AD235">
        <v>343</v>
      </c>
      <c r="AE235">
        <v>310</v>
      </c>
      <c r="AF235" s="927" t="s">
        <v>1189</v>
      </c>
      <c r="AG235" s="927"/>
      <c r="AH235" s="717"/>
      <c r="AI235">
        <v>3.42</v>
      </c>
      <c r="AJ235">
        <v>13900</v>
      </c>
      <c r="AK235" s="927"/>
      <c r="AL235">
        <v>6</v>
      </c>
      <c r="AM235">
        <v>570</v>
      </c>
      <c r="AO235" s="927"/>
      <c r="AP235" s="927"/>
      <c r="AQ235" s="927" t="s">
        <v>1482</v>
      </c>
    </row>
    <row r="236" spans="1:43">
      <c r="A236" s="927" t="s">
        <v>1483</v>
      </c>
      <c r="B236" s="927" t="s">
        <v>1484</v>
      </c>
      <c r="C236" s="927" t="s">
        <v>1485</v>
      </c>
      <c r="D236" s="927" t="s">
        <v>1115</v>
      </c>
      <c r="E236" s="717">
        <v>45406</v>
      </c>
      <c r="F236" s="927"/>
      <c r="G236" s="927"/>
      <c r="I236" s="927"/>
      <c r="J236" s="131"/>
      <c r="K236" s="927" t="s">
        <v>1486</v>
      </c>
      <c r="L236" t="s">
        <v>3839</v>
      </c>
      <c r="M236" s="927" t="s">
        <v>320</v>
      </c>
      <c r="N236" s="927" t="s">
        <v>3655</v>
      </c>
      <c r="O236" s="927" t="s">
        <v>1487</v>
      </c>
      <c r="P236" s="927" t="s">
        <v>379</v>
      </c>
      <c r="Q236" s="927"/>
      <c r="R236" s="927" t="s">
        <v>324</v>
      </c>
      <c r="T236">
        <v>5383</v>
      </c>
      <c r="U236">
        <v>4783</v>
      </c>
      <c r="V236">
        <v>5183</v>
      </c>
      <c r="W236">
        <v>5384</v>
      </c>
      <c r="X236">
        <v>4419</v>
      </c>
      <c r="Y236">
        <v>4285</v>
      </c>
      <c r="Z236">
        <v>3673</v>
      </c>
      <c r="AA236">
        <v>4004</v>
      </c>
      <c r="AB236">
        <v>4700</v>
      </c>
      <c r="AC236">
        <v>4436</v>
      </c>
      <c r="AD236">
        <v>4516</v>
      </c>
      <c r="AE236">
        <v>5049</v>
      </c>
      <c r="AF236" s="927" t="s">
        <v>1420</v>
      </c>
      <c r="AG236" s="927"/>
      <c r="AH236" s="717"/>
      <c r="AK236" s="927"/>
      <c r="AO236" s="927"/>
      <c r="AP236" s="927"/>
      <c r="AQ236" s="927" t="s">
        <v>3678</v>
      </c>
    </row>
    <row r="237" spans="1:43">
      <c r="A237" s="927" t="s">
        <v>1488</v>
      </c>
      <c r="B237" s="927" t="s">
        <v>1489</v>
      </c>
      <c r="C237" s="927" t="s">
        <v>1490</v>
      </c>
      <c r="D237" s="927" t="s">
        <v>1465</v>
      </c>
      <c r="E237" s="717">
        <v>45407</v>
      </c>
      <c r="F237" s="927"/>
      <c r="G237" s="927"/>
      <c r="I237" s="927"/>
      <c r="J237" s="131"/>
      <c r="K237" s="927" t="s">
        <v>306</v>
      </c>
      <c r="M237" s="927" t="s">
        <v>306</v>
      </c>
      <c r="N237" s="927" t="s">
        <v>306</v>
      </c>
      <c r="O237" s="927" t="s">
        <v>306</v>
      </c>
      <c r="P237" s="927" t="s">
        <v>379</v>
      </c>
      <c r="Q237" s="927"/>
      <c r="R237" s="927" t="s">
        <v>324</v>
      </c>
      <c r="T237">
        <v>248</v>
      </c>
      <c r="U237">
        <v>250</v>
      </c>
      <c r="V237">
        <v>250</v>
      </c>
      <c r="W237">
        <v>212</v>
      </c>
      <c r="X237">
        <v>334</v>
      </c>
      <c r="Y237">
        <v>310</v>
      </c>
      <c r="Z237">
        <v>263</v>
      </c>
      <c r="AA237">
        <v>280</v>
      </c>
      <c r="AB237">
        <v>212</v>
      </c>
      <c r="AC237">
        <v>185</v>
      </c>
      <c r="AD237">
        <v>201</v>
      </c>
      <c r="AE237">
        <v>213</v>
      </c>
      <c r="AF237" s="927" t="s">
        <v>1189</v>
      </c>
      <c r="AG237" s="927"/>
      <c r="AH237" s="717"/>
      <c r="AI237">
        <v>2.48</v>
      </c>
      <c r="AJ237">
        <v>13800</v>
      </c>
      <c r="AK237" s="927"/>
      <c r="AL237">
        <v>4</v>
      </c>
      <c r="AM237">
        <v>620</v>
      </c>
      <c r="AO237" s="927"/>
      <c r="AP237" s="927"/>
      <c r="AQ237" s="927" t="s">
        <v>3704</v>
      </c>
    </row>
    <row r="238" spans="1:43">
      <c r="A238" s="927" t="s">
        <v>4598</v>
      </c>
      <c r="B238" s="927" t="s">
        <v>4599</v>
      </c>
      <c r="C238" s="927" t="s">
        <v>4600</v>
      </c>
      <c r="D238" s="927" t="s">
        <v>4020</v>
      </c>
      <c r="E238" s="717">
        <v>45408</v>
      </c>
      <c r="F238" s="927"/>
      <c r="G238" s="927"/>
      <c r="I238" s="927"/>
      <c r="J238" s="131"/>
      <c r="K238" s="927" t="s">
        <v>306</v>
      </c>
      <c r="M238" s="927" t="s">
        <v>306</v>
      </c>
      <c r="N238" s="927" t="s">
        <v>306</v>
      </c>
      <c r="O238" s="927" t="s">
        <v>306</v>
      </c>
      <c r="P238" s="927" t="s">
        <v>322</v>
      </c>
      <c r="Q238" s="927"/>
      <c r="R238" s="927"/>
      <c r="T238">
        <v>1123</v>
      </c>
      <c r="U238">
        <v>1076</v>
      </c>
      <c r="V238">
        <v>899</v>
      </c>
      <c r="W238">
        <v>833</v>
      </c>
      <c r="X238">
        <v>655</v>
      </c>
      <c r="Y238">
        <v>562</v>
      </c>
      <c r="Z238">
        <v>562</v>
      </c>
      <c r="AA238">
        <v>627</v>
      </c>
      <c r="AB238">
        <v>655</v>
      </c>
      <c r="AC238">
        <v>683</v>
      </c>
      <c r="AD238">
        <v>749</v>
      </c>
      <c r="AE238">
        <v>936</v>
      </c>
      <c r="AF238" s="927"/>
      <c r="AG238" s="927" t="s">
        <v>1189</v>
      </c>
      <c r="AH238" s="717"/>
      <c r="AK238" s="927"/>
      <c r="AO238" s="927"/>
      <c r="AP238" s="927"/>
      <c r="AQ238" s="927" t="s">
        <v>4601</v>
      </c>
    </row>
    <row r="239" spans="1:43">
      <c r="A239" s="927" t="s">
        <v>1491</v>
      </c>
      <c r="B239" s="927" t="s">
        <v>1492</v>
      </c>
      <c r="C239" s="927" t="s">
        <v>1493</v>
      </c>
      <c r="D239" s="927" t="s">
        <v>1418</v>
      </c>
      <c r="E239" s="717">
        <v>45409</v>
      </c>
      <c r="F239" s="927"/>
      <c r="G239" s="927" t="s">
        <v>5739</v>
      </c>
      <c r="H239" t="s">
        <v>3866</v>
      </c>
      <c r="I239" s="927" t="s">
        <v>3879</v>
      </c>
      <c r="J239" s="131">
        <v>29123</v>
      </c>
      <c r="K239" s="927" t="s">
        <v>1494</v>
      </c>
      <c r="L239" t="s">
        <v>3849</v>
      </c>
      <c r="M239" s="927" t="s">
        <v>320</v>
      </c>
      <c r="N239" s="927" t="s">
        <v>1346</v>
      </c>
      <c r="O239" s="927" t="s">
        <v>1347</v>
      </c>
      <c r="P239" s="927" t="s">
        <v>322</v>
      </c>
      <c r="Q239" s="927"/>
      <c r="R239" s="927" t="s">
        <v>324</v>
      </c>
      <c r="AF239" s="927" t="s">
        <v>1189</v>
      </c>
      <c r="AG239" s="927" t="s">
        <v>1189</v>
      </c>
      <c r="AH239" s="717"/>
      <c r="AI239">
        <v>8.5500000000000007</v>
      </c>
      <c r="AJ239">
        <v>26500</v>
      </c>
      <c r="AK239" s="927"/>
      <c r="AL239">
        <v>15</v>
      </c>
      <c r="AM239">
        <v>570</v>
      </c>
      <c r="AO239" s="927"/>
      <c r="AP239" s="927"/>
      <c r="AQ239" s="927" t="s">
        <v>3867</v>
      </c>
    </row>
    <row r="240" spans="1:43">
      <c r="A240" s="927" t="s">
        <v>3950</v>
      </c>
      <c r="B240" s="927" t="s">
        <v>3951</v>
      </c>
      <c r="C240" s="927" t="s">
        <v>3952</v>
      </c>
      <c r="D240" s="927" t="s">
        <v>1326</v>
      </c>
      <c r="E240" s="717">
        <v>45410</v>
      </c>
      <c r="F240" s="927"/>
      <c r="G240" s="927" t="s">
        <v>5739</v>
      </c>
      <c r="I240" s="927"/>
      <c r="J240" s="131"/>
      <c r="K240" s="927" t="s">
        <v>306</v>
      </c>
      <c r="M240" s="927" t="s">
        <v>306</v>
      </c>
      <c r="N240" s="927" t="s">
        <v>306</v>
      </c>
      <c r="O240" s="927" t="s">
        <v>306</v>
      </c>
      <c r="P240" s="927" t="s">
        <v>322</v>
      </c>
      <c r="Q240" s="927"/>
      <c r="R240" s="927"/>
      <c r="T240">
        <v>11416</v>
      </c>
      <c r="U240">
        <v>11116</v>
      </c>
      <c r="V240">
        <v>9196</v>
      </c>
      <c r="W240">
        <v>8599</v>
      </c>
      <c r="X240">
        <v>6713</v>
      </c>
      <c r="Y240">
        <v>5760</v>
      </c>
      <c r="Z240">
        <v>5837</v>
      </c>
      <c r="AA240">
        <v>6395</v>
      </c>
      <c r="AB240">
        <v>6720</v>
      </c>
      <c r="AC240">
        <v>7113</v>
      </c>
      <c r="AD240">
        <v>7833</v>
      </c>
      <c r="AE240">
        <v>9600</v>
      </c>
      <c r="AF240" s="927" t="s">
        <v>1189</v>
      </c>
      <c r="AG240" s="927"/>
      <c r="AH240" s="717"/>
      <c r="AK240" s="927"/>
      <c r="AO240" s="927"/>
      <c r="AP240" s="927"/>
      <c r="AQ240" s="927" t="s">
        <v>3953</v>
      </c>
    </row>
    <row r="241" spans="1:43">
      <c r="A241" s="927" t="s">
        <v>1495</v>
      </c>
      <c r="B241" s="927" t="s">
        <v>1496</v>
      </c>
      <c r="C241" s="927" t="s">
        <v>1497</v>
      </c>
      <c r="D241" s="927" t="s">
        <v>1115</v>
      </c>
      <c r="E241" s="717">
        <v>45411</v>
      </c>
      <c r="F241" s="927"/>
      <c r="G241" s="927"/>
      <c r="I241" s="927"/>
      <c r="J241" s="131"/>
      <c r="K241" s="927" t="s">
        <v>306</v>
      </c>
      <c r="M241" s="927" t="s">
        <v>306</v>
      </c>
      <c r="N241" s="927" t="s">
        <v>306</v>
      </c>
      <c r="O241" s="927" t="s">
        <v>306</v>
      </c>
      <c r="P241" s="927" t="s">
        <v>322</v>
      </c>
      <c r="Q241" s="927"/>
      <c r="R241" s="927" t="s">
        <v>324</v>
      </c>
      <c r="T241">
        <v>1151</v>
      </c>
      <c r="U241">
        <v>819</v>
      </c>
      <c r="V241">
        <v>1373</v>
      </c>
      <c r="W241">
        <v>865</v>
      </c>
      <c r="X241">
        <v>585</v>
      </c>
      <c r="Y241">
        <v>506</v>
      </c>
      <c r="Z241">
        <v>387</v>
      </c>
      <c r="AA241">
        <v>756</v>
      </c>
      <c r="AB241">
        <v>776</v>
      </c>
      <c r="AC241">
        <v>785</v>
      </c>
      <c r="AD241">
        <v>725</v>
      </c>
      <c r="AE241">
        <v>745</v>
      </c>
      <c r="AF241" s="927" t="s">
        <v>1189</v>
      </c>
      <c r="AG241" s="927"/>
      <c r="AH241" s="717"/>
      <c r="AK241" s="927"/>
      <c r="AO241" s="927"/>
      <c r="AP241" s="927"/>
      <c r="AQ241" s="927" t="s">
        <v>1498</v>
      </c>
    </row>
    <row r="242" spans="1:43">
      <c r="A242" s="927" t="s">
        <v>1499</v>
      </c>
      <c r="B242" s="927" t="s">
        <v>1500</v>
      </c>
      <c r="C242" s="927" t="s">
        <v>1501</v>
      </c>
      <c r="D242" s="927" t="s">
        <v>1326</v>
      </c>
      <c r="E242" s="717">
        <v>45412</v>
      </c>
      <c r="F242" s="927"/>
      <c r="G242" s="927"/>
      <c r="I242" s="927"/>
      <c r="J242" s="131"/>
      <c r="K242" s="927" t="s">
        <v>306</v>
      </c>
      <c r="M242" s="927" t="s">
        <v>306</v>
      </c>
      <c r="N242" s="927" t="s">
        <v>306</v>
      </c>
      <c r="O242" s="927" t="s">
        <v>306</v>
      </c>
      <c r="P242" s="927" t="s">
        <v>322</v>
      </c>
      <c r="Q242" s="927"/>
      <c r="R242" s="927"/>
      <c r="T242">
        <v>1000</v>
      </c>
      <c r="U242">
        <v>800</v>
      </c>
      <c r="AF242" s="927"/>
      <c r="AG242" s="927"/>
      <c r="AH242" s="717"/>
      <c r="AK242" s="927"/>
      <c r="AO242" s="927"/>
      <c r="AP242" s="927"/>
      <c r="AQ242" s="927" t="s">
        <v>1502</v>
      </c>
    </row>
    <row r="243" spans="1:43">
      <c r="A243" s="927" t="s">
        <v>1503</v>
      </c>
      <c r="B243" s="927" t="s">
        <v>1504</v>
      </c>
      <c r="C243" s="927" t="s">
        <v>1501</v>
      </c>
      <c r="D243" s="927" t="s">
        <v>1115</v>
      </c>
      <c r="E243" s="717">
        <v>45412</v>
      </c>
      <c r="F243" s="927"/>
      <c r="G243" s="927"/>
      <c r="I243" s="927"/>
      <c r="J243" s="131"/>
      <c r="K243" s="927" t="s">
        <v>1505</v>
      </c>
      <c r="L243" t="s">
        <v>3850</v>
      </c>
      <c r="M243" s="927" t="s">
        <v>320</v>
      </c>
      <c r="N243" s="927" t="s">
        <v>1346</v>
      </c>
      <c r="O243" s="927" t="s">
        <v>1347</v>
      </c>
      <c r="P243" s="927"/>
      <c r="Q243" s="927"/>
      <c r="R243" s="927"/>
      <c r="AF243" s="927"/>
      <c r="AG243" s="927"/>
      <c r="AH243" s="717"/>
      <c r="AK243" s="927"/>
      <c r="AO243" s="927"/>
      <c r="AP243" s="927"/>
      <c r="AQ243" s="927" t="s">
        <v>1506</v>
      </c>
    </row>
    <row r="244" spans="1:43">
      <c r="A244" s="927" t="s">
        <v>1507</v>
      </c>
      <c r="B244" s="927" t="s">
        <v>1508</v>
      </c>
      <c r="C244" s="927" t="s">
        <v>1509</v>
      </c>
      <c r="D244" s="927" t="s">
        <v>1371</v>
      </c>
      <c r="E244" s="717">
        <v>45414</v>
      </c>
      <c r="F244" s="927"/>
      <c r="G244" s="927"/>
      <c r="I244" s="927"/>
      <c r="J244" s="131"/>
      <c r="K244" s="927" t="s">
        <v>1510</v>
      </c>
      <c r="L244" t="s">
        <v>3851</v>
      </c>
      <c r="M244" s="927" t="s">
        <v>320</v>
      </c>
      <c r="N244" s="927" t="s">
        <v>1346</v>
      </c>
      <c r="O244" s="927" t="s">
        <v>1511</v>
      </c>
      <c r="P244" s="927"/>
      <c r="Q244" s="927"/>
      <c r="R244" s="927"/>
      <c r="AF244" s="927"/>
      <c r="AG244" s="927"/>
      <c r="AH244" s="717"/>
      <c r="AK244" s="927"/>
      <c r="AO244" s="927"/>
      <c r="AP244" s="927"/>
      <c r="AQ244" s="927" t="s">
        <v>1512</v>
      </c>
    </row>
    <row r="245" spans="1:43">
      <c r="A245" s="927" t="s">
        <v>1513</v>
      </c>
      <c r="B245" s="927" t="s">
        <v>1514</v>
      </c>
      <c r="C245" s="927" t="s">
        <v>1379</v>
      </c>
      <c r="D245" s="927" t="s">
        <v>1344</v>
      </c>
      <c r="E245" s="717">
        <v>45415</v>
      </c>
      <c r="F245" s="927"/>
      <c r="G245" s="927"/>
      <c r="I245" s="927"/>
      <c r="J245" s="131"/>
      <c r="K245" s="927" t="s">
        <v>1515</v>
      </c>
      <c r="L245" t="s">
        <v>3852</v>
      </c>
      <c r="M245" s="927" t="s">
        <v>320</v>
      </c>
      <c r="N245" s="927" t="s">
        <v>1346</v>
      </c>
      <c r="O245" s="927" t="s">
        <v>1516</v>
      </c>
      <c r="P245" s="927" t="s">
        <v>322</v>
      </c>
      <c r="Q245" s="927"/>
      <c r="R245" s="927" t="s">
        <v>324</v>
      </c>
      <c r="T245">
        <v>542</v>
      </c>
      <c r="U245">
        <v>658</v>
      </c>
      <c r="V245">
        <v>772</v>
      </c>
      <c r="W245">
        <v>793</v>
      </c>
      <c r="X245">
        <v>697</v>
      </c>
      <c r="Y245">
        <v>651</v>
      </c>
      <c r="Z245">
        <v>589</v>
      </c>
      <c r="AA245">
        <v>571</v>
      </c>
      <c r="AB245">
        <v>751</v>
      </c>
      <c r="AC245">
        <v>862</v>
      </c>
      <c r="AD245">
        <v>723</v>
      </c>
      <c r="AE245">
        <v>894</v>
      </c>
      <c r="AF245" s="927"/>
      <c r="AG245" s="927"/>
      <c r="AH245" s="717"/>
      <c r="AI245">
        <v>6.84</v>
      </c>
      <c r="AJ245">
        <v>21200</v>
      </c>
      <c r="AK245" s="927"/>
      <c r="AL245">
        <v>12</v>
      </c>
      <c r="AM245">
        <v>570</v>
      </c>
      <c r="AO245" s="927"/>
      <c r="AP245" s="927"/>
      <c r="AQ245" s="927" t="s">
        <v>1517</v>
      </c>
    </row>
    <row r="246" spans="1:43">
      <c r="A246" s="927" t="s">
        <v>1518</v>
      </c>
      <c r="B246" s="927" t="s">
        <v>1519</v>
      </c>
      <c r="C246" s="927" t="s">
        <v>1520</v>
      </c>
      <c r="D246" s="927" t="s">
        <v>3615</v>
      </c>
      <c r="E246" s="717">
        <v>45418</v>
      </c>
      <c r="F246" s="927"/>
      <c r="G246" s="927"/>
      <c r="I246" s="927"/>
      <c r="J246" s="131"/>
      <c r="K246" s="927" t="s">
        <v>1521</v>
      </c>
      <c r="L246" t="s">
        <v>3853</v>
      </c>
      <c r="M246" s="927" t="s">
        <v>320</v>
      </c>
      <c r="N246" s="927" t="s">
        <v>1346</v>
      </c>
      <c r="O246" s="927" t="s">
        <v>1522</v>
      </c>
      <c r="P246" s="927" t="s">
        <v>322</v>
      </c>
      <c r="Q246" s="927"/>
      <c r="R246" s="927" t="s">
        <v>324</v>
      </c>
      <c r="T246">
        <v>842</v>
      </c>
      <c r="U246">
        <v>1048</v>
      </c>
      <c r="V246">
        <v>1024</v>
      </c>
      <c r="W246">
        <v>739</v>
      </c>
      <c r="X246">
        <v>687</v>
      </c>
      <c r="Y246">
        <v>647</v>
      </c>
      <c r="Z246">
        <v>738</v>
      </c>
      <c r="AA246">
        <v>766</v>
      </c>
      <c r="AB246">
        <v>799</v>
      </c>
      <c r="AC246">
        <v>774</v>
      </c>
      <c r="AD246">
        <v>1003</v>
      </c>
      <c r="AE246">
        <v>876</v>
      </c>
      <c r="AF246" s="927"/>
      <c r="AG246" s="927"/>
      <c r="AH246" s="717"/>
      <c r="AI246">
        <v>9.1199999999999992</v>
      </c>
      <c r="AK246" s="927"/>
      <c r="AL246">
        <v>16</v>
      </c>
      <c r="AM246">
        <v>570</v>
      </c>
      <c r="AO246" s="927"/>
      <c r="AP246" s="927"/>
      <c r="AQ246" s="927" t="s">
        <v>3705</v>
      </c>
    </row>
    <row r="247" spans="1:43">
      <c r="A247" s="927" t="s">
        <v>4761</v>
      </c>
      <c r="B247" s="927" t="s">
        <v>1523</v>
      </c>
      <c r="C247" s="927" t="s">
        <v>4762</v>
      </c>
      <c r="D247" s="927" t="s">
        <v>1418</v>
      </c>
      <c r="E247" s="717">
        <v>45425</v>
      </c>
      <c r="F247" s="927"/>
      <c r="G247" s="927"/>
      <c r="H247" t="s">
        <v>4763</v>
      </c>
      <c r="I247" s="927"/>
      <c r="J247" s="131">
        <v>28694</v>
      </c>
      <c r="K247" s="927" t="s">
        <v>4656</v>
      </c>
      <c r="L247" t="s">
        <v>4657</v>
      </c>
      <c r="M247" s="927" t="s">
        <v>320</v>
      </c>
      <c r="N247" s="927" t="s">
        <v>3661</v>
      </c>
      <c r="O247" s="927" t="s">
        <v>4053</v>
      </c>
      <c r="P247" s="927" t="s">
        <v>379</v>
      </c>
      <c r="Q247" s="927"/>
      <c r="R247" s="927"/>
      <c r="T247">
        <v>1296</v>
      </c>
      <c r="U247">
        <v>1242</v>
      </c>
      <c r="V247">
        <v>1037</v>
      </c>
      <c r="W247">
        <v>961</v>
      </c>
      <c r="X247">
        <v>756</v>
      </c>
      <c r="Y247">
        <v>648</v>
      </c>
      <c r="Z247">
        <v>648</v>
      </c>
      <c r="AA247">
        <v>724</v>
      </c>
      <c r="AB247">
        <v>756</v>
      </c>
      <c r="AC247">
        <v>788</v>
      </c>
      <c r="AD247">
        <v>864</v>
      </c>
      <c r="AE247">
        <v>1080</v>
      </c>
      <c r="AF247" s="927" t="s">
        <v>1189</v>
      </c>
      <c r="AG247" s="927" t="s">
        <v>1189</v>
      </c>
      <c r="AH247" s="717"/>
      <c r="AI247">
        <v>9.1199999999999992</v>
      </c>
      <c r="AJ247">
        <v>25760</v>
      </c>
      <c r="AK247" s="927"/>
      <c r="AL247">
        <v>16</v>
      </c>
      <c r="AM247">
        <v>570</v>
      </c>
      <c r="AO247" s="927"/>
      <c r="AP247" s="927"/>
      <c r="AQ247" s="927" t="s">
        <v>4764</v>
      </c>
    </row>
    <row r="248" spans="1:43">
      <c r="A248" s="927" t="s">
        <v>1524</v>
      </c>
      <c r="B248" s="927" t="s">
        <v>1525</v>
      </c>
      <c r="C248" s="927" t="s">
        <v>1526</v>
      </c>
      <c r="D248" s="927" t="s">
        <v>4020</v>
      </c>
      <c r="E248" s="717">
        <v>45432</v>
      </c>
      <c r="F248" s="927"/>
      <c r="G248" s="927"/>
      <c r="I248" s="927"/>
      <c r="J248" s="131"/>
      <c r="K248" s="927" t="s">
        <v>1527</v>
      </c>
      <c r="L248" t="s">
        <v>3854</v>
      </c>
      <c r="M248" s="927" t="s">
        <v>320</v>
      </c>
      <c r="N248" s="927" t="s">
        <v>1346</v>
      </c>
      <c r="O248" s="927" t="s">
        <v>1528</v>
      </c>
      <c r="P248" s="927" t="s">
        <v>322</v>
      </c>
      <c r="Q248" s="927"/>
      <c r="R248" s="927"/>
      <c r="T248">
        <v>1440</v>
      </c>
      <c r="U248">
        <v>1380</v>
      </c>
      <c r="V248">
        <v>1152</v>
      </c>
      <c r="W248">
        <v>1068</v>
      </c>
      <c r="X248">
        <v>840</v>
      </c>
      <c r="Y248">
        <v>720</v>
      </c>
      <c r="Z248">
        <v>720</v>
      </c>
      <c r="AA248">
        <v>804</v>
      </c>
      <c r="AB248">
        <v>840</v>
      </c>
      <c r="AC248">
        <v>876</v>
      </c>
      <c r="AD248">
        <v>960</v>
      </c>
      <c r="AE248">
        <v>1200</v>
      </c>
      <c r="AF248" s="927"/>
      <c r="AG248" s="927"/>
      <c r="AH248" s="717"/>
      <c r="AI248">
        <v>10.26</v>
      </c>
      <c r="AJ248">
        <v>32250</v>
      </c>
      <c r="AK248" s="927"/>
      <c r="AL248">
        <v>18</v>
      </c>
      <c r="AM248">
        <v>570</v>
      </c>
      <c r="AO248" s="927"/>
      <c r="AP248" s="927"/>
      <c r="AQ248" s="927" t="s">
        <v>4291</v>
      </c>
    </row>
    <row r="249" spans="1:43">
      <c r="A249" s="927" t="s">
        <v>1529</v>
      </c>
      <c r="B249" s="927" t="s">
        <v>1530</v>
      </c>
      <c r="C249" s="927" t="s">
        <v>1531</v>
      </c>
      <c r="D249" s="927" t="s">
        <v>1344</v>
      </c>
      <c r="E249" s="717">
        <v>45439</v>
      </c>
      <c r="F249" s="927"/>
      <c r="G249" s="927"/>
      <c r="I249" s="927"/>
      <c r="J249" s="131"/>
      <c r="K249" s="927" t="s">
        <v>306</v>
      </c>
      <c r="M249" s="927" t="s">
        <v>306</v>
      </c>
      <c r="N249" s="927" t="s">
        <v>306</v>
      </c>
      <c r="O249" s="927" t="s">
        <v>306</v>
      </c>
      <c r="P249" s="927" t="s">
        <v>322</v>
      </c>
      <c r="Q249" s="927"/>
      <c r="R249" s="927" t="s">
        <v>324</v>
      </c>
      <c r="T249">
        <v>1000</v>
      </c>
      <c r="U249">
        <v>900</v>
      </c>
      <c r="V249">
        <v>900</v>
      </c>
      <c r="W249">
        <v>800</v>
      </c>
      <c r="X249">
        <v>700</v>
      </c>
      <c r="Y249">
        <v>500</v>
      </c>
      <c r="Z249">
        <v>500</v>
      </c>
      <c r="AA249">
        <v>800</v>
      </c>
      <c r="AB249">
        <v>900</v>
      </c>
      <c r="AC249">
        <v>1000</v>
      </c>
      <c r="AD249">
        <v>1000</v>
      </c>
      <c r="AE249">
        <v>1200</v>
      </c>
      <c r="AF249" s="927" t="s">
        <v>1189</v>
      </c>
      <c r="AG249" s="927"/>
      <c r="AH249" s="717"/>
      <c r="AK249" s="927"/>
      <c r="AO249" s="927"/>
      <c r="AP249" s="927"/>
      <c r="AQ249" s="927" t="s">
        <v>1532</v>
      </c>
    </row>
    <row r="250" spans="1:43">
      <c r="A250" s="927" t="s">
        <v>1533</v>
      </c>
      <c r="B250" s="927" t="s">
        <v>1534</v>
      </c>
      <c r="C250" s="927" t="s">
        <v>1379</v>
      </c>
      <c r="D250" s="927" t="s">
        <v>1115</v>
      </c>
      <c r="E250" s="717">
        <v>45415</v>
      </c>
      <c r="F250" s="927"/>
      <c r="G250" s="927"/>
      <c r="I250" s="927"/>
      <c r="J250" s="131"/>
      <c r="K250" s="927" t="s">
        <v>306</v>
      </c>
      <c r="M250" s="927" t="s">
        <v>306</v>
      </c>
      <c r="N250" s="927" t="s">
        <v>306</v>
      </c>
      <c r="O250" s="927" t="s">
        <v>306</v>
      </c>
      <c r="P250" s="927"/>
      <c r="Q250" s="927"/>
      <c r="R250" s="927"/>
      <c r="AF250" s="927"/>
      <c r="AG250" s="927"/>
      <c r="AH250" s="717"/>
      <c r="AK250" s="927"/>
      <c r="AO250" s="927"/>
      <c r="AP250" s="927"/>
      <c r="AQ250" s="927"/>
    </row>
    <row r="251" spans="1:43">
      <c r="A251" s="927" t="s">
        <v>3602</v>
      </c>
      <c r="B251" s="927" t="s">
        <v>3603</v>
      </c>
      <c r="C251" s="927" t="s">
        <v>3604</v>
      </c>
      <c r="D251" s="927" t="s">
        <v>1115</v>
      </c>
      <c r="E251" s="717">
        <v>45448</v>
      </c>
      <c r="F251" s="927"/>
      <c r="G251" s="927"/>
      <c r="I251" s="927"/>
      <c r="J251" s="131"/>
      <c r="K251" s="927" t="s">
        <v>306</v>
      </c>
      <c r="M251" s="927" t="s">
        <v>306</v>
      </c>
      <c r="N251" s="927" t="s">
        <v>306</v>
      </c>
      <c r="O251" s="927" t="s">
        <v>306</v>
      </c>
      <c r="P251" s="927" t="s">
        <v>322</v>
      </c>
      <c r="Q251" s="927"/>
      <c r="R251" s="927"/>
      <c r="AF251" s="927" t="s">
        <v>1189</v>
      </c>
      <c r="AG251" s="927"/>
      <c r="AH251" s="717"/>
      <c r="AK251" s="927"/>
      <c r="AO251" s="927"/>
      <c r="AP251" s="927"/>
      <c r="AQ251" s="927" t="s">
        <v>3605</v>
      </c>
    </row>
    <row r="252" spans="1:43">
      <c r="A252" s="927" t="s">
        <v>3606</v>
      </c>
      <c r="B252" s="927" t="s">
        <v>3607</v>
      </c>
      <c r="C252" s="927" t="s">
        <v>3608</v>
      </c>
      <c r="D252" s="927" t="s">
        <v>1115</v>
      </c>
      <c r="E252" s="717">
        <v>45448</v>
      </c>
      <c r="F252" s="927"/>
      <c r="G252" s="927"/>
      <c r="I252" s="927"/>
      <c r="J252" s="131"/>
      <c r="K252" s="927" t="s">
        <v>306</v>
      </c>
      <c r="M252" s="927" t="s">
        <v>306</v>
      </c>
      <c r="N252" s="927" t="s">
        <v>306</v>
      </c>
      <c r="O252" s="927" t="s">
        <v>306</v>
      </c>
      <c r="P252" s="927" t="s">
        <v>322</v>
      </c>
      <c r="Q252" s="927"/>
      <c r="R252" s="927"/>
      <c r="AF252" s="927" t="s">
        <v>1189</v>
      </c>
      <c r="AG252" s="927"/>
      <c r="AH252" s="717"/>
      <c r="AK252" s="927"/>
      <c r="AO252" s="927"/>
      <c r="AP252" s="927"/>
      <c r="AQ252" s="927" t="s">
        <v>3609</v>
      </c>
    </row>
    <row r="253" spans="1:43">
      <c r="A253" s="927" t="s">
        <v>3610</v>
      </c>
      <c r="B253" s="927" t="s">
        <v>3611</v>
      </c>
      <c r="C253" s="927" t="s">
        <v>3612</v>
      </c>
      <c r="D253" s="927" t="s">
        <v>1418</v>
      </c>
      <c r="E253" s="717">
        <v>45449</v>
      </c>
      <c r="F253" s="927"/>
      <c r="G253" s="927"/>
      <c r="I253" s="927"/>
      <c r="J253" s="131"/>
      <c r="K253" s="927" t="s">
        <v>3693</v>
      </c>
      <c r="L253" t="s">
        <v>3855</v>
      </c>
      <c r="M253" s="927" t="s">
        <v>320</v>
      </c>
      <c r="N253" s="927" t="s">
        <v>3694</v>
      </c>
      <c r="O253" s="927" t="s">
        <v>3695</v>
      </c>
      <c r="P253" s="927" t="s">
        <v>322</v>
      </c>
      <c r="Q253" s="927"/>
      <c r="R253" s="927" t="s">
        <v>324</v>
      </c>
      <c r="T253">
        <v>1530</v>
      </c>
      <c r="U253">
        <v>930</v>
      </c>
      <c r="V253">
        <v>1256</v>
      </c>
      <c r="W253">
        <v>1080</v>
      </c>
      <c r="X253">
        <v>1256</v>
      </c>
      <c r="Y253">
        <v>1080</v>
      </c>
      <c r="Z253">
        <v>1080</v>
      </c>
      <c r="AA253">
        <v>1080</v>
      </c>
      <c r="AB253">
        <v>1140</v>
      </c>
      <c r="AC253">
        <v>1140</v>
      </c>
      <c r="AD253">
        <v>1140</v>
      </c>
      <c r="AE253">
        <v>1083</v>
      </c>
      <c r="AF253" s="927" t="s">
        <v>1189</v>
      </c>
      <c r="AG253" s="927"/>
      <c r="AH253" s="717"/>
      <c r="AI253">
        <v>7.98</v>
      </c>
      <c r="AJ253">
        <v>29400</v>
      </c>
      <c r="AK253" s="927"/>
      <c r="AL253">
        <v>14</v>
      </c>
      <c r="AM253">
        <v>570</v>
      </c>
      <c r="AO253" s="927"/>
      <c r="AP253" s="927"/>
      <c r="AQ253" s="927" t="s">
        <v>3707</v>
      </c>
    </row>
    <row r="254" spans="1:43">
      <c r="A254" s="927" t="s">
        <v>3708</v>
      </c>
      <c r="B254" s="927" t="s">
        <v>3614</v>
      </c>
      <c r="C254" s="927" t="s">
        <v>3709</v>
      </c>
      <c r="D254" s="927" t="s">
        <v>1418</v>
      </c>
      <c r="E254" s="717">
        <v>45454</v>
      </c>
      <c r="F254" s="927"/>
      <c r="G254" s="927" t="s">
        <v>5739</v>
      </c>
      <c r="H254" t="s">
        <v>3889</v>
      </c>
      <c r="I254" s="927" t="s">
        <v>3890</v>
      </c>
      <c r="J254" s="131">
        <v>21526</v>
      </c>
      <c r="K254" s="927" t="s">
        <v>3696</v>
      </c>
      <c r="L254" t="s">
        <v>3839</v>
      </c>
      <c r="M254" s="927" t="s">
        <v>320</v>
      </c>
      <c r="N254" s="927" t="s">
        <v>3655</v>
      </c>
      <c r="O254" s="927" t="s">
        <v>1487</v>
      </c>
      <c r="P254" s="927" t="s">
        <v>379</v>
      </c>
      <c r="Q254" s="927"/>
      <c r="R254" s="927" t="s">
        <v>555</v>
      </c>
      <c r="T254">
        <v>709</v>
      </c>
      <c r="U254">
        <v>583</v>
      </c>
      <c r="V254">
        <v>395</v>
      </c>
      <c r="W254">
        <v>413</v>
      </c>
      <c r="X254">
        <v>423</v>
      </c>
      <c r="Y254">
        <v>370</v>
      </c>
      <c r="Z254">
        <v>228</v>
      </c>
      <c r="AA254">
        <v>425</v>
      </c>
      <c r="AB254">
        <v>472</v>
      </c>
      <c r="AC254">
        <v>320</v>
      </c>
      <c r="AD254">
        <v>357</v>
      </c>
      <c r="AE254">
        <v>541</v>
      </c>
      <c r="AF254" s="927" t="s">
        <v>1189</v>
      </c>
      <c r="AG254" s="927" t="s">
        <v>1189</v>
      </c>
      <c r="AH254" s="717"/>
      <c r="AI254">
        <v>4.5599999999999996</v>
      </c>
      <c r="AJ254">
        <v>34000</v>
      </c>
      <c r="AK254" s="927"/>
      <c r="AL254">
        <v>8</v>
      </c>
      <c r="AM254">
        <v>570</v>
      </c>
      <c r="AO254" s="927"/>
      <c r="AP254" s="927"/>
      <c r="AQ254" s="927" t="s">
        <v>3891</v>
      </c>
    </row>
    <row r="255" spans="1:43">
      <c r="A255" s="927" t="s">
        <v>3662</v>
      </c>
      <c r="B255" s="927" t="s">
        <v>3663</v>
      </c>
      <c r="C255" s="927" t="s">
        <v>3664</v>
      </c>
      <c r="D255" s="927" t="s">
        <v>3613</v>
      </c>
      <c r="E255" s="717">
        <v>45460</v>
      </c>
      <c r="F255" s="927"/>
      <c r="G255" s="927"/>
      <c r="H255" t="s">
        <v>5220</v>
      </c>
      <c r="I255" s="927"/>
      <c r="J255" s="131"/>
      <c r="K255" s="927" t="s">
        <v>3665</v>
      </c>
      <c r="L255" t="s">
        <v>3840</v>
      </c>
      <c r="M255" s="927" t="s">
        <v>320</v>
      </c>
      <c r="N255" s="927" t="s">
        <v>1346</v>
      </c>
      <c r="O255" s="927" t="s">
        <v>3666</v>
      </c>
      <c r="P255" s="927" t="s">
        <v>322</v>
      </c>
      <c r="Q255" s="927"/>
      <c r="R255" s="927" t="s">
        <v>324</v>
      </c>
      <c r="T255">
        <v>695</v>
      </c>
      <c r="U255">
        <v>870</v>
      </c>
      <c r="V255">
        <v>493</v>
      </c>
      <c r="W255">
        <v>830</v>
      </c>
      <c r="X255">
        <v>698</v>
      </c>
      <c r="Y255">
        <v>630</v>
      </c>
      <c r="Z255">
        <v>579</v>
      </c>
      <c r="AA255">
        <v>458</v>
      </c>
      <c r="AB255">
        <v>485</v>
      </c>
      <c r="AC255">
        <v>623</v>
      </c>
      <c r="AD255">
        <v>593</v>
      </c>
      <c r="AE255">
        <v>713</v>
      </c>
      <c r="AF255" s="927" t="s">
        <v>1189</v>
      </c>
      <c r="AG255" s="927" t="s">
        <v>1189</v>
      </c>
      <c r="AH255" s="717"/>
      <c r="AK255" s="927"/>
      <c r="AO255" s="927"/>
      <c r="AP255" s="927"/>
      <c r="AQ255" s="927" t="s">
        <v>5241</v>
      </c>
    </row>
    <row r="256" spans="1:43">
      <c r="A256" s="927" t="s">
        <v>1535</v>
      </c>
      <c r="B256" s="927" t="s">
        <v>1536</v>
      </c>
      <c r="C256" s="927" t="s">
        <v>1537</v>
      </c>
      <c r="D256" s="927" t="s">
        <v>1326</v>
      </c>
      <c r="E256" s="717">
        <v>45414</v>
      </c>
      <c r="F256" s="927"/>
      <c r="G256" s="927"/>
      <c r="I256" s="927"/>
      <c r="J256" s="131"/>
      <c r="K256" s="927" t="s">
        <v>306</v>
      </c>
      <c r="M256" s="927" t="s">
        <v>306</v>
      </c>
      <c r="N256" s="927" t="s">
        <v>306</v>
      </c>
      <c r="O256" s="927" t="s">
        <v>306</v>
      </c>
      <c r="P256" s="927"/>
      <c r="Q256" s="927"/>
      <c r="R256" s="927"/>
      <c r="AF256" s="927"/>
      <c r="AG256" s="927"/>
      <c r="AH256" s="717"/>
      <c r="AK256" s="927"/>
      <c r="AO256" s="927"/>
      <c r="AP256" s="927"/>
      <c r="AQ256" s="927"/>
    </row>
    <row r="257" spans="1:43">
      <c r="A257" s="927" t="s">
        <v>3679</v>
      </c>
      <c r="B257" s="927" t="s">
        <v>1538</v>
      </c>
      <c r="C257" s="927" t="s">
        <v>3680</v>
      </c>
      <c r="D257" s="927" t="s">
        <v>1371</v>
      </c>
      <c r="E257" s="717">
        <v>45464</v>
      </c>
      <c r="F257" s="927"/>
      <c r="G257" s="927"/>
      <c r="I257" s="927"/>
      <c r="J257" s="131"/>
      <c r="K257" s="927" t="s">
        <v>3681</v>
      </c>
      <c r="L257" t="s">
        <v>3856</v>
      </c>
      <c r="M257" s="927" t="s">
        <v>320</v>
      </c>
      <c r="N257" s="927" t="s">
        <v>1346</v>
      </c>
      <c r="O257" s="927" t="s">
        <v>3682</v>
      </c>
      <c r="P257" s="927"/>
      <c r="Q257" s="927"/>
      <c r="R257" s="927"/>
      <c r="T257">
        <v>600</v>
      </c>
      <c r="U257">
        <v>500</v>
      </c>
      <c r="V257">
        <v>500</v>
      </c>
      <c r="W257">
        <v>400</v>
      </c>
      <c r="X257">
        <v>400</v>
      </c>
      <c r="Y257">
        <v>400</v>
      </c>
      <c r="Z257">
        <v>400</v>
      </c>
      <c r="AA257">
        <v>500</v>
      </c>
      <c r="AB257">
        <v>600</v>
      </c>
      <c r="AC257">
        <v>700</v>
      </c>
      <c r="AD257">
        <v>700</v>
      </c>
      <c r="AE257">
        <v>800</v>
      </c>
      <c r="AF257" s="927"/>
      <c r="AG257" s="927"/>
      <c r="AH257" s="717"/>
      <c r="AK257" s="927"/>
      <c r="AO257" s="927"/>
      <c r="AP257" s="927"/>
      <c r="AQ257" s="927" t="s">
        <v>3683</v>
      </c>
    </row>
    <row r="258" spans="1:43">
      <c r="A258" s="927" t="s">
        <v>3697</v>
      </c>
      <c r="B258" s="927" t="s">
        <v>3698</v>
      </c>
      <c r="C258" s="927" t="s">
        <v>3699</v>
      </c>
      <c r="D258" s="927" t="s">
        <v>1418</v>
      </c>
      <c r="E258" s="717">
        <v>45468</v>
      </c>
      <c r="F258" s="927"/>
      <c r="G258" s="927" t="s">
        <v>5739</v>
      </c>
      <c r="H258" t="s">
        <v>5353</v>
      </c>
      <c r="I258" s="927" t="s">
        <v>5742</v>
      </c>
      <c r="J258" s="131">
        <v>28864</v>
      </c>
      <c r="K258" s="927" t="s">
        <v>3700</v>
      </c>
      <c r="L258" t="s">
        <v>3857</v>
      </c>
      <c r="M258" s="927" t="s">
        <v>320</v>
      </c>
      <c r="N258" s="927" t="s">
        <v>1346</v>
      </c>
      <c r="O258" s="927" t="s">
        <v>3701</v>
      </c>
      <c r="P258" s="927" t="s">
        <v>322</v>
      </c>
      <c r="Q258" s="927"/>
      <c r="R258" s="927" t="s">
        <v>324</v>
      </c>
      <c r="T258">
        <v>495</v>
      </c>
      <c r="U258">
        <v>389</v>
      </c>
      <c r="V258">
        <v>959</v>
      </c>
      <c r="W258">
        <v>1020</v>
      </c>
      <c r="X258">
        <v>1176</v>
      </c>
      <c r="Y258">
        <v>1081</v>
      </c>
      <c r="Z258">
        <v>916</v>
      </c>
      <c r="AA258">
        <v>704</v>
      </c>
      <c r="AB258">
        <v>550</v>
      </c>
      <c r="AC258">
        <v>470</v>
      </c>
      <c r="AD258">
        <v>536</v>
      </c>
      <c r="AE258">
        <v>309</v>
      </c>
      <c r="AF258" s="927" t="s">
        <v>1189</v>
      </c>
      <c r="AG258" s="927" t="s">
        <v>1189</v>
      </c>
      <c r="AH258" s="717"/>
      <c r="AI258">
        <v>4.68</v>
      </c>
      <c r="AJ258">
        <v>15840</v>
      </c>
      <c r="AK258" s="927"/>
      <c r="AL258">
        <v>8</v>
      </c>
      <c r="AM258">
        <v>585</v>
      </c>
      <c r="AO258" s="927"/>
      <c r="AP258" s="927"/>
      <c r="AQ258" s="927" t="s">
        <v>5354</v>
      </c>
    </row>
    <row r="259" spans="1:43">
      <c r="A259" s="927" t="s">
        <v>4049</v>
      </c>
      <c r="B259" s="927" t="s">
        <v>3674</v>
      </c>
      <c r="C259" s="927" t="s">
        <v>4050</v>
      </c>
      <c r="D259" s="927" t="s">
        <v>3613</v>
      </c>
      <c r="E259" s="717">
        <v>45460</v>
      </c>
      <c r="F259" s="927"/>
      <c r="G259" s="927" t="s">
        <v>5739</v>
      </c>
      <c r="I259" s="927"/>
      <c r="J259" s="131"/>
      <c r="K259" s="927" t="s">
        <v>4051</v>
      </c>
      <c r="L259" t="s">
        <v>4052</v>
      </c>
      <c r="M259" s="927" t="s">
        <v>320</v>
      </c>
      <c r="N259" s="927" t="s">
        <v>3661</v>
      </c>
      <c r="O259" s="927" t="s">
        <v>4053</v>
      </c>
      <c r="P259" s="927" t="s">
        <v>379</v>
      </c>
      <c r="Q259" s="927"/>
      <c r="R259" s="927" t="s">
        <v>324</v>
      </c>
      <c r="T259">
        <v>1915</v>
      </c>
      <c r="U259">
        <v>2013</v>
      </c>
      <c r="V259">
        <v>2245</v>
      </c>
      <c r="W259">
        <v>2209</v>
      </c>
      <c r="X259">
        <v>1873</v>
      </c>
      <c r="Y259">
        <v>1614</v>
      </c>
      <c r="Z259">
        <v>1584</v>
      </c>
      <c r="AA259">
        <v>1769</v>
      </c>
      <c r="AB259">
        <v>1848</v>
      </c>
      <c r="AC259">
        <v>1927</v>
      </c>
      <c r="AD259">
        <v>2112</v>
      </c>
      <c r="AE259">
        <v>1885</v>
      </c>
      <c r="AF259" s="927" t="s">
        <v>1189</v>
      </c>
      <c r="AG259" s="927" t="s">
        <v>1189</v>
      </c>
      <c r="AH259" s="717"/>
      <c r="AI259">
        <v>13.68</v>
      </c>
      <c r="AK259" s="927"/>
      <c r="AL259">
        <v>24</v>
      </c>
      <c r="AM259">
        <v>570</v>
      </c>
      <c r="AO259" s="927"/>
      <c r="AP259" s="927"/>
      <c r="AQ259" s="927" t="s">
        <v>4054</v>
      </c>
    </row>
    <row r="260" spans="1:43">
      <c r="A260" s="927" t="s">
        <v>3684</v>
      </c>
      <c r="B260" s="927" t="s">
        <v>3685</v>
      </c>
      <c r="C260" s="927" t="s">
        <v>3686</v>
      </c>
      <c r="D260" s="927" t="s">
        <v>3613</v>
      </c>
      <c r="E260" s="717">
        <v>45464</v>
      </c>
      <c r="F260" s="927"/>
      <c r="G260" s="927"/>
      <c r="I260" s="927"/>
      <c r="J260" s="131"/>
      <c r="K260" s="927" t="s">
        <v>3687</v>
      </c>
      <c r="L260" t="s">
        <v>3858</v>
      </c>
      <c r="M260" s="927" t="s">
        <v>320</v>
      </c>
      <c r="N260" s="927" t="s">
        <v>3687</v>
      </c>
      <c r="O260" s="927" t="s">
        <v>3653</v>
      </c>
      <c r="P260" s="927" t="s">
        <v>322</v>
      </c>
      <c r="Q260" s="927"/>
      <c r="R260" s="927"/>
      <c r="T260">
        <v>1440</v>
      </c>
      <c r="U260">
        <v>1380</v>
      </c>
      <c r="V260">
        <v>1152</v>
      </c>
      <c r="W260">
        <v>1068</v>
      </c>
      <c r="X260">
        <v>840</v>
      </c>
      <c r="Y260">
        <v>720</v>
      </c>
      <c r="Z260">
        <v>720</v>
      </c>
      <c r="AA260">
        <v>804</v>
      </c>
      <c r="AB260">
        <v>840</v>
      </c>
      <c r="AC260">
        <v>876</v>
      </c>
      <c r="AD260">
        <v>960</v>
      </c>
      <c r="AE260">
        <v>1200</v>
      </c>
      <c r="AF260" s="927"/>
      <c r="AG260" s="927"/>
      <c r="AH260" s="717"/>
      <c r="AK260" s="927"/>
      <c r="AO260" s="927"/>
      <c r="AP260" s="927"/>
      <c r="AQ260" s="927" t="s">
        <v>3688</v>
      </c>
    </row>
    <row r="261" spans="1:43">
      <c r="A261" s="927" t="s">
        <v>3868</v>
      </c>
      <c r="B261" s="927" t="s">
        <v>3869</v>
      </c>
      <c r="C261" s="927" t="s">
        <v>3870</v>
      </c>
      <c r="D261" s="927" t="s">
        <v>3613</v>
      </c>
      <c r="E261" s="717">
        <v>45485</v>
      </c>
      <c r="F261" s="927"/>
      <c r="G261" s="927" t="s">
        <v>5739</v>
      </c>
      <c r="H261" t="s">
        <v>3871</v>
      </c>
      <c r="I261" s="927" t="s">
        <v>3880</v>
      </c>
      <c r="J261" s="131"/>
      <c r="K261" s="927" t="s">
        <v>3872</v>
      </c>
      <c r="L261" t="s">
        <v>3873</v>
      </c>
      <c r="M261" s="927" t="s">
        <v>320</v>
      </c>
      <c r="N261" s="927" t="s">
        <v>1346</v>
      </c>
      <c r="O261" s="927" t="s">
        <v>3874</v>
      </c>
      <c r="P261" s="927" t="s">
        <v>322</v>
      </c>
      <c r="Q261" s="927"/>
      <c r="R261" s="927"/>
      <c r="AF261" s="927"/>
      <c r="AG261" s="927"/>
      <c r="AH261" s="717"/>
      <c r="AK261" s="927"/>
      <c r="AO261" s="927"/>
      <c r="AP261" s="927"/>
      <c r="AQ261" s="927" t="s">
        <v>3875</v>
      </c>
    </row>
    <row r="262" spans="1:43">
      <c r="A262" s="927" t="s">
        <v>3881</v>
      </c>
      <c r="B262" s="927" t="s">
        <v>3882</v>
      </c>
      <c r="C262" s="927" t="s">
        <v>3883</v>
      </c>
      <c r="D262" s="927" t="s">
        <v>3613</v>
      </c>
      <c r="E262" s="717">
        <v>45489</v>
      </c>
      <c r="F262" s="927"/>
      <c r="G262" s="927"/>
      <c r="I262" s="927" t="s">
        <v>3888</v>
      </c>
      <c r="J262" s="131"/>
      <c r="K262" s="927" t="s">
        <v>3884</v>
      </c>
      <c r="L262" t="s">
        <v>3885</v>
      </c>
      <c r="M262" s="927" t="s">
        <v>320</v>
      </c>
      <c r="N262" s="927" t="s">
        <v>1346</v>
      </c>
      <c r="O262" s="927" t="s">
        <v>3886</v>
      </c>
      <c r="P262" s="927" t="s">
        <v>322</v>
      </c>
      <c r="Q262" s="927"/>
      <c r="R262" s="927"/>
      <c r="T262">
        <v>13840</v>
      </c>
      <c r="U262">
        <v>13180</v>
      </c>
      <c r="V262">
        <v>12672</v>
      </c>
      <c r="W262">
        <v>11748</v>
      </c>
      <c r="X262">
        <v>10240</v>
      </c>
      <c r="Y262">
        <v>8920</v>
      </c>
      <c r="Z262">
        <v>8920</v>
      </c>
      <c r="AA262">
        <v>9344</v>
      </c>
      <c r="AB262">
        <v>9740</v>
      </c>
      <c r="AC262">
        <v>9636</v>
      </c>
      <c r="AD262">
        <v>10560</v>
      </c>
      <c r="AE262">
        <v>13200</v>
      </c>
      <c r="AF262" s="927" t="s">
        <v>1189</v>
      </c>
      <c r="AG262" s="927" t="s">
        <v>1420</v>
      </c>
      <c r="AH262" s="717"/>
      <c r="AK262" s="927"/>
      <c r="AO262" s="927"/>
      <c r="AP262" s="927"/>
      <c r="AQ262" s="927" t="s">
        <v>3887</v>
      </c>
    </row>
    <row r="263" spans="1:43">
      <c r="A263" s="927" t="s">
        <v>3900</v>
      </c>
      <c r="B263" s="927" t="s">
        <v>3901</v>
      </c>
      <c r="C263" s="927" t="s">
        <v>3902</v>
      </c>
      <c r="D263" s="927" t="s">
        <v>3613</v>
      </c>
      <c r="E263" s="717">
        <v>45490</v>
      </c>
      <c r="F263" s="927"/>
      <c r="G263" s="927" t="s">
        <v>5739</v>
      </c>
      <c r="H263" t="s">
        <v>3903</v>
      </c>
      <c r="I263" s="927" t="s">
        <v>5743</v>
      </c>
      <c r="J263" s="131"/>
      <c r="K263" s="927" t="s">
        <v>3904</v>
      </c>
      <c r="L263" t="s">
        <v>3905</v>
      </c>
      <c r="M263" s="927" t="s">
        <v>320</v>
      </c>
      <c r="N263" s="927" t="s">
        <v>1346</v>
      </c>
      <c r="O263" s="927" t="s">
        <v>3906</v>
      </c>
      <c r="P263" s="927"/>
      <c r="Q263" s="927"/>
      <c r="R263" s="927" t="s">
        <v>324</v>
      </c>
      <c r="T263">
        <v>1280</v>
      </c>
      <c r="U263">
        <v>3040</v>
      </c>
      <c r="V263">
        <v>4800</v>
      </c>
      <c r="W263">
        <v>3680</v>
      </c>
      <c r="X263">
        <v>3680</v>
      </c>
      <c r="Y263">
        <v>2240</v>
      </c>
      <c r="Z263">
        <v>1260</v>
      </c>
      <c r="AA263">
        <v>2080</v>
      </c>
      <c r="AB263">
        <v>2960</v>
      </c>
      <c r="AC263">
        <v>2720</v>
      </c>
      <c r="AD263">
        <v>3920</v>
      </c>
      <c r="AE263">
        <v>2800</v>
      </c>
      <c r="AF263" s="927" t="s">
        <v>1189</v>
      </c>
      <c r="AG263" s="927" t="s">
        <v>1420</v>
      </c>
      <c r="AH263" s="717"/>
      <c r="AI263">
        <v>0</v>
      </c>
      <c r="AK263" s="927"/>
      <c r="AM263">
        <v>570</v>
      </c>
      <c r="AO263" s="927"/>
      <c r="AP263" s="927"/>
      <c r="AQ263" s="927" t="s">
        <v>3907</v>
      </c>
    </row>
    <row r="264" spans="1:43">
      <c r="A264" s="927" t="s">
        <v>5744</v>
      </c>
      <c r="B264" s="927" t="s">
        <v>3892</v>
      </c>
      <c r="C264" s="927" t="s">
        <v>5745</v>
      </c>
      <c r="D264" s="927" t="s">
        <v>1371</v>
      </c>
      <c r="E264" s="717">
        <v>45491</v>
      </c>
      <c r="F264" s="927"/>
      <c r="G264" s="927" t="s">
        <v>5739</v>
      </c>
      <c r="H264" t="s">
        <v>4454</v>
      </c>
      <c r="I264" s="927" t="s">
        <v>3893</v>
      </c>
      <c r="J264" s="131">
        <v>29876</v>
      </c>
      <c r="K264" s="927" t="s">
        <v>1409</v>
      </c>
      <c r="L264" t="s">
        <v>3894</v>
      </c>
      <c r="M264" s="927" t="s">
        <v>320</v>
      </c>
      <c r="N264" s="927" t="s">
        <v>1346</v>
      </c>
      <c r="O264" s="927" t="s">
        <v>3895</v>
      </c>
      <c r="P264" s="927" t="s">
        <v>322</v>
      </c>
      <c r="Q264" s="927"/>
      <c r="R264" s="927" t="s">
        <v>324</v>
      </c>
      <c r="T264">
        <v>799</v>
      </c>
      <c r="U264">
        <v>1049</v>
      </c>
      <c r="V264">
        <v>798</v>
      </c>
      <c r="W264">
        <v>840</v>
      </c>
      <c r="X264">
        <v>996</v>
      </c>
      <c r="Y264">
        <v>717</v>
      </c>
      <c r="Z264">
        <v>675</v>
      </c>
      <c r="AA264">
        <v>440</v>
      </c>
      <c r="AB264">
        <v>544</v>
      </c>
      <c r="AC264">
        <v>751</v>
      </c>
      <c r="AD264">
        <v>720</v>
      </c>
      <c r="AE264">
        <v>853</v>
      </c>
      <c r="AF264" s="927" t="s">
        <v>1189</v>
      </c>
      <c r="AG264" s="927" t="s">
        <v>1189</v>
      </c>
      <c r="AH264" s="717"/>
      <c r="AI264">
        <v>4.5599999999999996</v>
      </c>
      <c r="AJ264">
        <v>21800</v>
      </c>
      <c r="AK264" s="927"/>
      <c r="AL264">
        <v>8</v>
      </c>
      <c r="AM264">
        <v>570</v>
      </c>
      <c r="AO264" s="927"/>
      <c r="AP264" s="927"/>
      <c r="AQ264" s="927" t="s">
        <v>4455</v>
      </c>
    </row>
    <row r="265" spans="1:43">
      <c r="A265" s="927" t="s">
        <v>3916</v>
      </c>
      <c r="B265" s="927" t="s">
        <v>3917</v>
      </c>
      <c r="C265" s="927" t="s">
        <v>3918</v>
      </c>
      <c r="D265" s="927" t="s">
        <v>3613</v>
      </c>
      <c r="E265" s="717">
        <v>45492</v>
      </c>
      <c r="F265" s="927"/>
      <c r="G265" s="927" t="s">
        <v>5739</v>
      </c>
      <c r="H265" t="s">
        <v>3919</v>
      </c>
      <c r="I265" s="927" t="s">
        <v>3920</v>
      </c>
      <c r="J265" s="131"/>
      <c r="K265" s="927" t="s">
        <v>3921</v>
      </c>
      <c r="L265" t="s">
        <v>3922</v>
      </c>
      <c r="M265" s="927" t="s">
        <v>320</v>
      </c>
      <c r="N265" s="927" t="s">
        <v>1346</v>
      </c>
      <c r="O265" s="927" t="s">
        <v>3923</v>
      </c>
      <c r="P265" s="927"/>
      <c r="Q265" s="927"/>
      <c r="R265" s="927"/>
      <c r="T265">
        <v>533</v>
      </c>
      <c r="U265">
        <v>511</v>
      </c>
      <c r="V265">
        <v>426</v>
      </c>
      <c r="W265">
        <v>395</v>
      </c>
      <c r="X265">
        <v>311</v>
      </c>
      <c r="Y265">
        <v>266</v>
      </c>
      <c r="Z265">
        <v>266</v>
      </c>
      <c r="AA265">
        <v>298</v>
      </c>
      <c r="AB265">
        <v>311</v>
      </c>
      <c r="AC265">
        <v>324</v>
      </c>
      <c r="AD265">
        <v>355</v>
      </c>
      <c r="AE265">
        <v>444</v>
      </c>
      <c r="AF265" s="927"/>
      <c r="AG265" s="927"/>
      <c r="AH265" s="717"/>
      <c r="AK265" s="927"/>
      <c r="AO265" s="927"/>
      <c r="AP265" s="927"/>
      <c r="AQ265" s="927" t="s">
        <v>3924</v>
      </c>
    </row>
    <row r="266" spans="1:43">
      <c r="A266" s="927" t="s">
        <v>3908</v>
      </c>
      <c r="B266" s="927" t="s">
        <v>3909</v>
      </c>
      <c r="C266" s="927" t="s">
        <v>3910</v>
      </c>
      <c r="D266" s="927" t="s">
        <v>3613</v>
      </c>
      <c r="E266" s="717">
        <v>45492</v>
      </c>
      <c r="F266" s="927"/>
      <c r="G266" s="927" t="s">
        <v>5739</v>
      </c>
      <c r="I266" s="927"/>
      <c r="J266" s="131"/>
      <c r="K266" s="927" t="s">
        <v>3911</v>
      </c>
      <c r="L266" t="s">
        <v>3912</v>
      </c>
      <c r="M266" s="927" t="s">
        <v>320</v>
      </c>
      <c r="N266" s="927" t="s">
        <v>3913</v>
      </c>
      <c r="O266" s="927" t="s">
        <v>3914</v>
      </c>
      <c r="P266" s="927" t="s">
        <v>379</v>
      </c>
      <c r="Q266" s="927"/>
      <c r="R266" s="927" t="s">
        <v>324</v>
      </c>
      <c r="T266">
        <v>4517</v>
      </c>
      <c r="U266">
        <v>2747</v>
      </c>
      <c r="V266">
        <v>1087</v>
      </c>
      <c r="W266">
        <v>1421</v>
      </c>
      <c r="X266">
        <v>3087</v>
      </c>
      <c r="Y266">
        <v>4993</v>
      </c>
      <c r="Z266">
        <v>2058</v>
      </c>
      <c r="AA266">
        <v>694</v>
      </c>
      <c r="AB266">
        <v>1347</v>
      </c>
      <c r="AC266">
        <v>1916</v>
      </c>
      <c r="AD266">
        <v>1523</v>
      </c>
      <c r="AE266">
        <v>1690</v>
      </c>
      <c r="AF266" s="927" t="s">
        <v>1189</v>
      </c>
      <c r="AG266" s="927" t="s">
        <v>1420</v>
      </c>
      <c r="AH266" s="717"/>
      <c r="AK266" s="927"/>
      <c r="AO266" s="927"/>
      <c r="AP266" s="927"/>
      <c r="AQ266" s="927" t="s">
        <v>3915</v>
      </c>
    </row>
    <row r="267" spans="1:43">
      <c r="A267" s="927" t="s">
        <v>3929</v>
      </c>
      <c r="B267" s="927" t="s">
        <v>3930</v>
      </c>
      <c r="C267" s="927" t="s">
        <v>3931</v>
      </c>
      <c r="D267" s="927" t="s">
        <v>1187</v>
      </c>
      <c r="E267" s="717">
        <v>45495</v>
      </c>
      <c r="F267" s="927"/>
      <c r="G267" s="927" t="s">
        <v>5739</v>
      </c>
      <c r="I267" s="927"/>
      <c r="J267" s="131"/>
      <c r="K267" s="927" t="s">
        <v>3932</v>
      </c>
      <c r="L267" t="s">
        <v>3933</v>
      </c>
      <c r="M267" s="927" t="s">
        <v>320</v>
      </c>
      <c r="N267" s="927" t="s">
        <v>1346</v>
      </c>
      <c r="O267" s="927" t="s">
        <v>3934</v>
      </c>
      <c r="P267" s="927" t="s">
        <v>322</v>
      </c>
      <c r="Q267" s="927"/>
      <c r="R267" s="927" t="s">
        <v>324</v>
      </c>
      <c r="T267">
        <v>4320</v>
      </c>
      <c r="U267">
        <v>4140</v>
      </c>
      <c r="V267">
        <v>3456</v>
      </c>
      <c r="W267">
        <v>3204</v>
      </c>
      <c r="X267">
        <v>2520</v>
      </c>
      <c r="Y267">
        <v>2160</v>
      </c>
      <c r="Z267">
        <v>2160</v>
      </c>
      <c r="AA267">
        <v>2412</v>
      </c>
      <c r="AB267">
        <v>2520</v>
      </c>
      <c r="AC267">
        <v>2628</v>
      </c>
      <c r="AD267">
        <v>2880</v>
      </c>
      <c r="AE267">
        <v>3600</v>
      </c>
      <c r="AF267" s="927" t="s">
        <v>1189</v>
      </c>
      <c r="AG267" s="927" t="s">
        <v>1420</v>
      </c>
      <c r="AH267" s="717"/>
      <c r="AK267" s="927"/>
      <c r="AO267" s="927"/>
      <c r="AP267" s="927"/>
      <c r="AQ267" s="927" t="s">
        <v>3941</v>
      </c>
    </row>
    <row r="268" spans="1:43">
      <c r="A268" s="927" t="s">
        <v>3937</v>
      </c>
      <c r="B268" s="927" t="s">
        <v>3935</v>
      </c>
      <c r="C268" s="927" t="s">
        <v>3938</v>
      </c>
      <c r="D268" s="927" t="s">
        <v>3613</v>
      </c>
      <c r="E268" s="717">
        <v>45502</v>
      </c>
      <c r="F268" s="927"/>
      <c r="G268" s="927" t="s">
        <v>5739</v>
      </c>
      <c r="I268" s="927" t="s">
        <v>3936</v>
      </c>
      <c r="J268" s="131"/>
      <c r="K268" s="927" t="s">
        <v>3939</v>
      </c>
      <c r="L268" t="s">
        <v>3858</v>
      </c>
      <c r="M268" s="927" t="s">
        <v>320</v>
      </c>
      <c r="N268" s="927" t="s">
        <v>3939</v>
      </c>
      <c r="O268" s="927" t="s">
        <v>3923</v>
      </c>
      <c r="P268" s="927" t="s">
        <v>322</v>
      </c>
      <c r="Q268" s="927"/>
      <c r="R268" s="927" t="s">
        <v>324</v>
      </c>
      <c r="T268">
        <v>1440</v>
      </c>
      <c r="U268">
        <v>1380</v>
      </c>
      <c r="V268">
        <v>1152</v>
      </c>
      <c r="W268">
        <v>1068</v>
      </c>
      <c r="X268">
        <v>840</v>
      </c>
      <c r="Y268">
        <v>720</v>
      </c>
      <c r="Z268">
        <v>720</v>
      </c>
      <c r="AA268">
        <v>804</v>
      </c>
      <c r="AB268">
        <v>840</v>
      </c>
      <c r="AC268">
        <v>876</v>
      </c>
      <c r="AD268">
        <v>960</v>
      </c>
      <c r="AE268">
        <v>1200</v>
      </c>
      <c r="AF268" s="927" t="s">
        <v>1189</v>
      </c>
      <c r="AG268" s="927" t="s">
        <v>1189</v>
      </c>
      <c r="AH268" s="717"/>
      <c r="AK268" s="927"/>
      <c r="AO268" s="927"/>
      <c r="AP268" s="927"/>
      <c r="AQ268" s="927" t="s">
        <v>3940</v>
      </c>
    </row>
    <row r="269" spans="1:43">
      <c r="A269" s="927" t="s">
        <v>3964</v>
      </c>
      <c r="B269" s="927" t="s">
        <v>3942</v>
      </c>
      <c r="C269" s="927" t="s">
        <v>3965</v>
      </c>
      <c r="D269" s="927" t="s">
        <v>3613</v>
      </c>
      <c r="E269" s="717">
        <v>45503</v>
      </c>
      <c r="F269" s="927"/>
      <c r="G269" s="927" t="s">
        <v>5739</v>
      </c>
      <c r="I269" s="927" t="s">
        <v>3966</v>
      </c>
      <c r="J269" s="131"/>
      <c r="K269" s="927" t="s">
        <v>3967</v>
      </c>
      <c r="L269" t="s">
        <v>3968</v>
      </c>
      <c r="M269" s="927" t="s">
        <v>320</v>
      </c>
      <c r="N269" s="927" t="s">
        <v>1346</v>
      </c>
      <c r="O269" s="927" t="s">
        <v>3969</v>
      </c>
      <c r="P269" s="927" t="s">
        <v>322</v>
      </c>
      <c r="Q269" s="927"/>
      <c r="R269" s="927" t="s">
        <v>555</v>
      </c>
      <c r="T269">
        <v>5700</v>
      </c>
      <c r="U269">
        <v>5600</v>
      </c>
      <c r="V269">
        <v>5500</v>
      </c>
      <c r="W269">
        <v>5400</v>
      </c>
      <c r="X269">
        <v>5300</v>
      </c>
      <c r="Y269">
        <v>5100</v>
      </c>
      <c r="Z269">
        <v>4700</v>
      </c>
      <c r="AA269">
        <v>4800</v>
      </c>
      <c r="AB269">
        <v>5000</v>
      </c>
      <c r="AC269">
        <v>5200</v>
      </c>
      <c r="AD269">
        <v>5300</v>
      </c>
      <c r="AE269">
        <v>5400</v>
      </c>
      <c r="AF269" s="927" t="s">
        <v>1189</v>
      </c>
      <c r="AG269" s="927" t="s">
        <v>1420</v>
      </c>
      <c r="AH269" s="717"/>
      <c r="AK269" s="927"/>
      <c r="AO269" s="927"/>
      <c r="AP269" s="927"/>
      <c r="AQ269" s="927" t="s">
        <v>3970</v>
      </c>
    </row>
    <row r="270" spans="1:43">
      <c r="A270" s="927" t="s">
        <v>3943</v>
      </c>
      <c r="B270" s="927" t="s">
        <v>3944</v>
      </c>
      <c r="C270" s="927" t="s">
        <v>3945</v>
      </c>
      <c r="D270" s="927" t="s">
        <v>3613</v>
      </c>
      <c r="E270" s="717">
        <v>45504</v>
      </c>
      <c r="F270" s="927"/>
      <c r="G270" s="927" t="s">
        <v>5739</v>
      </c>
      <c r="I270" s="927" t="s">
        <v>3946</v>
      </c>
      <c r="J270" s="131"/>
      <c r="K270" s="927" t="s">
        <v>3947</v>
      </c>
      <c r="L270" t="s">
        <v>3948</v>
      </c>
      <c r="M270" s="927" t="s">
        <v>320</v>
      </c>
      <c r="N270" s="927" t="s">
        <v>1346</v>
      </c>
      <c r="O270" s="927" t="s">
        <v>3923</v>
      </c>
      <c r="P270" s="927" t="s">
        <v>322</v>
      </c>
      <c r="Q270" s="927"/>
      <c r="R270" s="927"/>
      <c r="T270">
        <v>5700</v>
      </c>
      <c r="U270">
        <v>5700</v>
      </c>
      <c r="V270">
        <v>5600</v>
      </c>
      <c r="W270">
        <v>5600</v>
      </c>
      <c r="X270">
        <v>5200</v>
      </c>
      <c r="Y270">
        <v>4800</v>
      </c>
      <c r="Z270">
        <v>4600</v>
      </c>
      <c r="AA270">
        <v>4800</v>
      </c>
      <c r="AB270">
        <v>4800</v>
      </c>
      <c r="AC270">
        <v>5000</v>
      </c>
      <c r="AD270">
        <v>5000</v>
      </c>
      <c r="AE270">
        <v>5600</v>
      </c>
      <c r="AF270" s="927" t="s">
        <v>1189</v>
      </c>
      <c r="AG270" s="927"/>
      <c r="AH270" s="717"/>
      <c r="AK270" s="927"/>
      <c r="AO270" s="927"/>
      <c r="AP270" s="927"/>
      <c r="AQ270" s="927" t="s">
        <v>3949</v>
      </c>
    </row>
    <row r="271" spans="1:43">
      <c r="A271" s="927" t="s">
        <v>3981</v>
      </c>
      <c r="B271" s="927" t="s">
        <v>3982</v>
      </c>
      <c r="C271" s="927" t="s">
        <v>3983</v>
      </c>
      <c r="D271" s="927" t="s">
        <v>4020</v>
      </c>
      <c r="E271" s="717">
        <v>45505</v>
      </c>
      <c r="F271" s="927"/>
      <c r="G271" s="927" t="s">
        <v>5739</v>
      </c>
      <c r="H271" t="s">
        <v>3984</v>
      </c>
      <c r="I271" s="927" t="s">
        <v>3985</v>
      </c>
      <c r="J271" s="131"/>
      <c r="K271" s="927" t="s">
        <v>3986</v>
      </c>
      <c r="L271" t="s">
        <v>3987</v>
      </c>
      <c r="M271" s="927" t="s">
        <v>320</v>
      </c>
      <c r="N271" s="927" t="s">
        <v>1346</v>
      </c>
      <c r="O271" s="927" t="s">
        <v>3988</v>
      </c>
      <c r="P271" s="927" t="s">
        <v>322</v>
      </c>
      <c r="Q271" s="927"/>
      <c r="R271" s="927"/>
      <c r="T271">
        <v>3506</v>
      </c>
      <c r="U271">
        <v>3506</v>
      </c>
      <c r="V271">
        <v>3506</v>
      </c>
      <c r="W271">
        <v>3506</v>
      </c>
      <c r="X271">
        <v>3506</v>
      </c>
      <c r="Y271">
        <v>3542</v>
      </c>
      <c r="Z271">
        <v>3506</v>
      </c>
      <c r="AA271">
        <v>3506</v>
      </c>
      <c r="AB271">
        <v>3503</v>
      </c>
      <c r="AC271">
        <v>3503</v>
      </c>
      <c r="AD271">
        <v>3506</v>
      </c>
      <c r="AE271">
        <v>3506</v>
      </c>
      <c r="AF271" s="927" t="s">
        <v>1420</v>
      </c>
      <c r="AG271" s="927" t="s">
        <v>1189</v>
      </c>
      <c r="AH271" s="717"/>
      <c r="AK271" s="927"/>
      <c r="AO271" s="927"/>
      <c r="AP271" s="927"/>
      <c r="AQ271" s="927" t="s">
        <v>3989</v>
      </c>
    </row>
    <row r="272" spans="1:43">
      <c r="A272" s="927" t="s">
        <v>3954</v>
      </c>
      <c r="B272" s="927" t="s">
        <v>3955</v>
      </c>
      <c r="C272" s="927" t="s">
        <v>3956</v>
      </c>
      <c r="D272" s="927" t="s">
        <v>1371</v>
      </c>
      <c r="E272" s="717">
        <v>45506</v>
      </c>
      <c r="F272" s="927"/>
      <c r="G272" s="927" t="s">
        <v>5739</v>
      </c>
      <c r="H272" t="s">
        <v>3957</v>
      </c>
      <c r="I272" s="927" t="s">
        <v>3958</v>
      </c>
      <c r="J272" s="131">
        <v>33253</v>
      </c>
      <c r="K272" s="927" t="s">
        <v>3959</v>
      </c>
      <c r="L272" t="s">
        <v>3960</v>
      </c>
      <c r="M272" s="927" t="s">
        <v>320</v>
      </c>
      <c r="N272" s="927" t="s">
        <v>1346</v>
      </c>
      <c r="O272" s="927" t="s">
        <v>3961</v>
      </c>
      <c r="P272" s="927" t="s">
        <v>322</v>
      </c>
      <c r="Q272" s="927"/>
      <c r="R272" s="927" t="s">
        <v>324</v>
      </c>
      <c r="T272">
        <v>1943</v>
      </c>
      <c r="U272">
        <v>1879</v>
      </c>
      <c r="V272">
        <v>1798</v>
      </c>
      <c r="W272">
        <v>1663</v>
      </c>
      <c r="X272">
        <v>2142</v>
      </c>
      <c r="Y272">
        <v>2041</v>
      </c>
      <c r="Z272">
        <v>1788</v>
      </c>
      <c r="AA272">
        <v>1011</v>
      </c>
      <c r="AB272">
        <v>1237</v>
      </c>
      <c r="AC272">
        <v>1299</v>
      </c>
      <c r="AD272">
        <v>1720</v>
      </c>
      <c r="AE272">
        <v>1583</v>
      </c>
      <c r="AF272" s="927"/>
      <c r="AG272" s="927" t="s">
        <v>1420</v>
      </c>
      <c r="AH272" s="717"/>
      <c r="AI272">
        <v>21.09</v>
      </c>
      <c r="AJ272">
        <v>71820</v>
      </c>
      <c r="AK272" s="927"/>
      <c r="AL272">
        <v>37</v>
      </c>
      <c r="AM272">
        <v>570</v>
      </c>
      <c r="AO272" s="927"/>
      <c r="AP272" s="927"/>
      <c r="AQ272" s="927" t="s">
        <v>4142</v>
      </c>
    </row>
    <row r="273" spans="1:43">
      <c r="A273" s="927" t="s">
        <v>3971</v>
      </c>
      <c r="B273" s="927" t="s">
        <v>3972</v>
      </c>
      <c r="C273" s="927" t="s">
        <v>3973</v>
      </c>
      <c r="D273" s="927" t="s">
        <v>3613</v>
      </c>
      <c r="E273" s="717">
        <v>45509</v>
      </c>
      <c r="F273" s="927"/>
      <c r="G273" s="927" t="s">
        <v>5739</v>
      </c>
      <c r="H273" t="s">
        <v>3974</v>
      </c>
      <c r="I273" s="927" t="s">
        <v>3975</v>
      </c>
      <c r="J273" s="131"/>
      <c r="K273" s="927" t="s">
        <v>3976</v>
      </c>
      <c r="L273" t="s">
        <v>3977</v>
      </c>
      <c r="M273" s="927" t="s">
        <v>320</v>
      </c>
      <c r="N273" s="927" t="s">
        <v>1346</v>
      </c>
      <c r="O273" s="927" t="s">
        <v>3978</v>
      </c>
      <c r="P273" s="927" t="s">
        <v>322</v>
      </c>
      <c r="Q273" s="927"/>
      <c r="R273" s="927" t="s">
        <v>324</v>
      </c>
      <c r="T273">
        <v>24199</v>
      </c>
      <c r="U273">
        <v>21792</v>
      </c>
      <c r="V273">
        <v>21799</v>
      </c>
      <c r="W273">
        <v>24633</v>
      </c>
      <c r="X273">
        <v>23251</v>
      </c>
      <c r="Y273">
        <v>20460</v>
      </c>
      <c r="Z273">
        <v>19277</v>
      </c>
      <c r="AA273">
        <v>22728</v>
      </c>
      <c r="AB273">
        <v>20789</v>
      </c>
      <c r="AC273">
        <v>23223</v>
      </c>
      <c r="AD273">
        <v>21986</v>
      </c>
      <c r="AE273">
        <v>20467</v>
      </c>
      <c r="AF273" s="927" t="s">
        <v>1189</v>
      </c>
      <c r="AG273" s="927" t="s">
        <v>1420</v>
      </c>
      <c r="AH273" s="717"/>
      <c r="AK273" s="927"/>
      <c r="AO273" s="927"/>
      <c r="AP273" s="927"/>
      <c r="AQ273" s="927" t="s">
        <v>3979</v>
      </c>
    </row>
    <row r="274" spans="1:43">
      <c r="A274" s="927" t="s">
        <v>3990</v>
      </c>
      <c r="B274" s="927" t="s">
        <v>3991</v>
      </c>
      <c r="C274" s="927" t="s">
        <v>3992</v>
      </c>
      <c r="D274" s="927" t="s">
        <v>1187</v>
      </c>
      <c r="E274" s="717">
        <v>45510</v>
      </c>
      <c r="F274" s="927"/>
      <c r="G274" s="927" t="s">
        <v>5739</v>
      </c>
      <c r="H274" t="s">
        <v>3993</v>
      </c>
      <c r="I274" s="927" t="s">
        <v>5746</v>
      </c>
      <c r="J274" s="131"/>
      <c r="K274" s="927" t="s">
        <v>3994</v>
      </c>
      <c r="L274" t="s">
        <v>3995</v>
      </c>
      <c r="M274" s="927" t="s">
        <v>320</v>
      </c>
      <c r="N274" s="927" t="s">
        <v>1346</v>
      </c>
      <c r="O274" s="927" t="s">
        <v>3996</v>
      </c>
      <c r="P274" s="927" t="s">
        <v>322</v>
      </c>
      <c r="Q274" s="927"/>
      <c r="R274" s="927" t="s">
        <v>555</v>
      </c>
      <c r="T274">
        <v>628</v>
      </c>
      <c r="U274">
        <v>627</v>
      </c>
      <c r="V274">
        <v>630</v>
      </c>
      <c r="W274">
        <v>376</v>
      </c>
      <c r="X274">
        <v>404</v>
      </c>
      <c r="Y274">
        <v>458</v>
      </c>
      <c r="Z274">
        <v>403</v>
      </c>
      <c r="AA274">
        <v>468</v>
      </c>
      <c r="AB274">
        <v>506</v>
      </c>
      <c r="AC274">
        <v>452</v>
      </c>
      <c r="AD274">
        <v>623</v>
      </c>
      <c r="AE274">
        <v>564</v>
      </c>
      <c r="AF274" s="927" t="s">
        <v>1189</v>
      </c>
      <c r="AG274" s="927" t="s">
        <v>1189</v>
      </c>
      <c r="AH274" s="717"/>
      <c r="AI274">
        <v>5.13</v>
      </c>
      <c r="AJ274">
        <v>20736</v>
      </c>
      <c r="AK274" s="927"/>
      <c r="AL274">
        <v>9</v>
      </c>
      <c r="AM274">
        <v>570</v>
      </c>
      <c r="AO274" s="927"/>
      <c r="AP274" s="927"/>
      <c r="AQ274" s="927" t="s">
        <v>3997</v>
      </c>
    </row>
    <row r="275" spans="1:43">
      <c r="A275" s="927" t="s">
        <v>3998</v>
      </c>
      <c r="B275" s="927" t="s">
        <v>3999</v>
      </c>
      <c r="C275" s="927" t="s">
        <v>4000</v>
      </c>
      <c r="D275" s="927" t="s">
        <v>3613</v>
      </c>
      <c r="E275" s="717">
        <v>45513</v>
      </c>
      <c r="F275" s="927"/>
      <c r="G275" s="927"/>
      <c r="I275" s="927"/>
      <c r="J275" s="131"/>
      <c r="K275" s="927" t="s">
        <v>306</v>
      </c>
      <c r="M275" s="927" t="s">
        <v>306</v>
      </c>
      <c r="N275" s="927" t="s">
        <v>306</v>
      </c>
      <c r="O275" s="927" t="s">
        <v>306</v>
      </c>
      <c r="P275" s="927"/>
      <c r="Q275" s="927"/>
      <c r="R275" s="927"/>
      <c r="AF275" s="927"/>
      <c r="AG275" s="927"/>
      <c r="AH275" s="717"/>
      <c r="AK275" s="927"/>
      <c r="AO275" s="927"/>
      <c r="AP275" s="927"/>
      <c r="AQ275" s="927" t="s">
        <v>4001</v>
      </c>
    </row>
    <row r="276" spans="1:43">
      <c r="A276" s="927" t="s">
        <v>4012</v>
      </c>
      <c r="B276" s="927" t="s">
        <v>4013</v>
      </c>
      <c r="C276" s="927" t="s">
        <v>4014</v>
      </c>
      <c r="D276" s="927" t="s">
        <v>4020</v>
      </c>
      <c r="E276" s="717">
        <v>45513</v>
      </c>
      <c r="F276" s="927"/>
      <c r="G276" s="927" t="s">
        <v>5739</v>
      </c>
      <c r="H276" t="s">
        <v>4015</v>
      </c>
      <c r="I276" s="927"/>
      <c r="J276" s="131"/>
      <c r="K276" s="927" t="s">
        <v>4016</v>
      </c>
      <c r="L276" t="s">
        <v>4017</v>
      </c>
      <c r="M276" s="927" t="s">
        <v>320</v>
      </c>
      <c r="N276" s="927" t="s">
        <v>1346</v>
      </c>
      <c r="O276" s="927" t="s">
        <v>4018</v>
      </c>
      <c r="P276" s="927" t="s">
        <v>322</v>
      </c>
      <c r="Q276" s="927"/>
      <c r="R276" s="927" t="s">
        <v>324</v>
      </c>
      <c r="T276">
        <v>360</v>
      </c>
      <c r="U276">
        <v>300</v>
      </c>
      <c r="V276">
        <v>300</v>
      </c>
      <c r="W276">
        <v>290</v>
      </c>
      <c r="X276">
        <v>340</v>
      </c>
      <c r="Y276">
        <v>320</v>
      </c>
      <c r="Z276">
        <v>260</v>
      </c>
      <c r="AA276">
        <v>270</v>
      </c>
      <c r="AB276">
        <v>320</v>
      </c>
      <c r="AC276">
        <v>350</v>
      </c>
      <c r="AD276">
        <v>320</v>
      </c>
      <c r="AE276">
        <v>300</v>
      </c>
      <c r="AF276" s="927" t="s">
        <v>1189</v>
      </c>
      <c r="AG276" s="927" t="s">
        <v>1189</v>
      </c>
      <c r="AH276" s="717"/>
      <c r="AI276">
        <v>4.5599999999999996</v>
      </c>
      <c r="AJ276">
        <v>16848</v>
      </c>
      <c r="AK276" s="927"/>
      <c r="AL276">
        <v>8</v>
      </c>
      <c r="AM276">
        <v>570</v>
      </c>
      <c r="AO276" s="927"/>
      <c r="AP276" s="927"/>
      <c r="AQ276" s="927" t="s">
        <v>4019</v>
      </c>
    </row>
    <row r="277" spans="1:43">
      <c r="A277" s="927" t="s">
        <v>4006</v>
      </c>
      <c r="B277" s="927" t="s">
        <v>4007</v>
      </c>
      <c r="C277" s="927" t="s">
        <v>4008</v>
      </c>
      <c r="D277" s="927" t="s">
        <v>3613</v>
      </c>
      <c r="E277" s="717">
        <v>45516</v>
      </c>
      <c r="F277" s="927"/>
      <c r="G277" s="927" t="s">
        <v>5739</v>
      </c>
      <c r="I277" s="927"/>
      <c r="J277" s="131"/>
      <c r="K277" s="927" t="s">
        <v>4009</v>
      </c>
      <c r="L277" t="s">
        <v>4010</v>
      </c>
      <c r="M277" s="927" t="s">
        <v>320</v>
      </c>
      <c r="N277" s="927" t="s">
        <v>1346</v>
      </c>
      <c r="O277" s="927" t="s">
        <v>3906</v>
      </c>
      <c r="P277" s="927" t="s">
        <v>322</v>
      </c>
      <c r="Q277" s="927"/>
      <c r="R277" s="927"/>
      <c r="T277">
        <v>25000</v>
      </c>
      <c r="U277">
        <v>25000</v>
      </c>
      <c r="V277">
        <v>24000</v>
      </c>
      <c r="W277">
        <v>24000</v>
      </c>
      <c r="X277">
        <v>23000</v>
      </c>
      <c r="Y277">
        <v>21000</v>
      </c>
      <c r="Z277">
        <v>21000</v>
      </c>
      <c r="AA277">
        <v>22000</v>
      </c>
      <c r="AB277">
        <v>23000</v>
      </c>
      <c r="AC277">
        <v>24000</v>
      </c>
      <c r="AD277">
        <v>24000</v>
      </c>
      <c r="AE277">
        <v>25000</v>
      </c>
      <c r="AF277" s="927"/>
      <c r="AG277" s="927"/>
      <c r="AH277" s="717"/>
      <c r="AK277" s="927"/>
      <c r="AO277" s="927"/>
      <c r="AP277" s="927"/>
      <c r="AQ277" s="927" t="s">
        <v>4011</v>
      </c>
    </row>
    <row r="278" spans="1:43">
      <c r="A278" s="927" t="s">
        <v>4002</v>
      </c>
      <c r="B278" s="927" t="s">
        <v>4003</v>
      </c>
      <c r="C278" s="927" t="s">
        <v>4004</v>
      </c>
      <c r="D278" s="927" t="s">
        <v>3613</v>
      </c>
      <c r="E278" s="717">
        <v>45517</v>
      </c>
      <c r="F278" s="927"/>
      <c r="G278" s="927" t="s">
        <v>5739</v>
      </c>
      <c r="I278" s="927"/>
      <c r="J278" s="131"/>
      <c r="K278" s="927" t="s">
        <v>1419</v>
      </c>
      <c r="L278" t="s">
        <v>3833</v>
      </c>
      <c r="M278" s="927" t="s">
        <v>320</v>
      </c>
      <c r="N278" s="927" t="s">
        <v>1346</v>
      </c>
      <c r="O278" s="927" t="s">
        <v>3653</v>
      </c>
      <c r="P278" s="927" t="s">
        <v>322</v>
      </c>
      <c r="Q278" s="927"/>
      <c r="R278" s="927"/>
      <c r="T278">
        <v>576</v>
      </c>
      <c r="U278">
        <v>552</v>
      </c>
      <c r="V278">
        <v>461</v>
      </c>
      <c r="W278">
        <v>427</v>
      </c>
      <c r="X278">
        <v>336</v>
      </c>
      <c r="Y278">
        <v>288</v>
      </c>
      <c r="Z278">
        <v>288</v>
      </c>
      <c r="AA278">
        <v>322</v>
      </c>
      <c r="AB278">
        <v>336</v>
      </c>
      <c r="AC278">
        <v>350</v>
      </c>
      <c r="AD278">
        <v>384</v>
      </c>
      <c r="AE278">
        <v>480</v>
      </c>
      <c r="AF278" s="927" t="s">
        <v>1189</v>
      </c>
      <c r="AG278" s="927" t="s">
        <v>1189</v>
      </c>
      <c r="AH278" s="717"/>
      <c r="AK278" s="927"/>
      <c r="AO278" s="927"/>
      <c r="AP278" s="927"/>
      <c r="AQ278" s="927" t="s">
        <v>4005</v>
      </c>
    </row>
    <row r="279" spans="1:43">
      <c r="A279" s="927" t="s">
        <v>4021</v>
      </c>
      <c r="B279" s="927" t="s">
        <v>4022</v>
      </c>
      <c r="C279" s="927" t="s">
        <v>4023</v>
      </c>
      <c r="D279" s="927" t="s">
        <v>4020</v>
      </c>
      <c r="E279" s="717">
        <v>45518</v>
      </c>
      <c r="F279" s="927"/>
      <c r="G279" s="927"/>
      <c r="I279" s="927"/>
      <c r="J279" s="131"/>
      <c r="K279" s="927" t="s">
        <v>4024</v>
      </c>
      <c r="L279" t="s">
        <v>4025</v>
      </c>
      <c r="M279" s="927" t="s">
        <v>320</v>
      </c>
      <c r="N279" s="927" t="s">
        <v>1346</v>
      </c>
      <c r="O279" s="927" t="s">
        <v>560</v>
      </c>
      <c r="P279" s="927" t="s">
        <v>322</v>
      </c>
      <c r="Q279" s="927"/>
      <c r="R279" s="927" t="s">
        <v>324</v>
      </c>
      <c r="T279">
        <v>14640</v>
      </c>
      <c r="U279">
        <v>15200</v>
      </c>
      <c r="V279">
        <v>14000</v>
      </c>
      <c r="W279">
        <v>14560</v>
      </c>
      <c r="X279">
        <v>14160</v>
      </c>
      <c r="Y279">
        <v>14880</v>
      </c>
      <c r="Z279">
        <v>14000</v>
      </c>
      <c r="AA279">
        <v>13440</v>
      </c>
      <c r="AB279">
        <v>14660</v>
      </c>
      <c r="AC279">
        <v>14000</v>
      </c>
      <c r="AD279">
        <v>15680</v>
      </c>
      <c r="AE279">
        <v>15040</v>
      </c>
      <c r="AF279" s="927"/>
      <c r="AG279" s="927"/>
      <c r="AH279" s="717"/>
      <c r="AK279" s="927"/>
      <c r="AO279" s="927"/>
      <c r="AP279" s="927"/>
      <c r="AQ279" s="927" t="s">
        <v>4026</v>
      </c>
    </row>
    <row r="280" spans="1:43">
      <c r="A280" s="927" t="s">
        <v>4028</v>
      </c>
      <c r="B280" s="927" t="s">
        <v>4029</v>
      </c>
      <c r="C280" s="927" t="s">
        <v>4030</v>
      </c>
      <c r="D280" s="927" t="s">
        <v>4020</v>
      </c>
      <c r="E280" s="717">
        <v>45520</v>
      </c>
      <c r="F280" s="927"/>
      <c r="G280" s="927" t="s">
        <v>5739</v>
      </c>
      <c r="I280" s="927"/>
      <c r="J280" s="131"/>
      <c r="K280" s="927" t="s">
        <v>4031</v>
      </c>
      <c r="L280" t="s">
        <v>4032</v>
      </c>
      <c r="M280" s="927" t="s">
        <v>320</v>
      </c>
      <c r="N280" s="927" t="s">
        <v>1346</v>
      </c>
      <c r="O280" s="927" t="s">
        <v>3876</v>
      </c>
      <c r="P280" s="927" t="s">
        <v>322</v>
      </c>
      <c r="Q280" s="927"/>
      <c r="R280" s="927" t="s">
        <v>324</v>
      </c>
      <c r="T280">
        <v>1424</v>
      </c>
      <c r="U280">
        <v>1481</v>
      </c>
      <c r="V280">
        <v>1274</v>
      </c>
      <c r="W280">
        <v>1323</v>
      </c>
      <c r="X280">
        <v>1109</v>
      </c>
      <c r="Y280">
        <v>791</v>
      </c>
      <c r="Z280">
        <v>913</v>
      </c>
      <c r="AA280">
        <v>619</v>
      </c>
      <c r="AB280">
        <v>800</v>
      </c>
      <c r="AC280">
        <v>959</v>
      </c>
      <c r="AD280">
        <v>1097</v>
      </c>
      <c r="AE280">
        <v>1261</v>
      </c>
      <c r="AF280" s="927" t="s">
        <v>1420</v>
      </c>
      <c r="AG280" s="927" t="s">
        <v>1189</v>
      </c>
      <c r="AH280" s="717"/>
      <c r="AI280">
        <v>10.83</v>
      </c>
      <c r="AJ280">
        <v>38.549999999999997</v>
      </c>
      <c r="AK280" s="927"/>
      <c r="AL280">
        <v>19</v>
      </c>
      <c r="AM280">
        <v>570</v>
      </c>
      <c r="AO280" s="927"/>
      <c r="AP280" s="927"/>
      <c r="AQ280" s="927" t="s">
        <v>4033</v>
      </c>
    </row>
    <row r="281" spans="1:43">
      <c r="A281" s="927" t="s">
        <v>4037</v>
      </c>
      <c r="B281" s="927" t="s">
        <v>4038</v>
      </c>
      <c r="C281" s="927" t="s">
        <v>4039</v>
      </c>
      <c r="D281" s="927" t="s">
        <v>3613</v>
      </c>
      <c r="E281" s="717">
        <v>45524</v>
      </c>
      <c r="F281" s="927"/>
      <c r="G281" s="927"/>
      <c r="I281" s="927"/>
      <c r="J281" s="131"/>
      <c r="K281" s="927" t="s">
        <v>4040</v>
      </c>
      <c r="L281" t="s">
        <v>4041</v>
      </c>
      <c r="M281" s="927" t="s">
        <v>320</v>
      </c>
      <c r="N281" s="927" t="s">
        <v>1346</v>
      </c>
      <c r="O281" s="927" t="s">
        <v>3961</v>
      </c>
      <c r="P281" s="927" t="s">
        <v>322</v>
      </c>
      <c r="Q281" s="927"/>
      <c r="R281" s="927" t="s">
        <v>324</v>
      </c>
      <c r="T281">
        <v>237</v>
      </c>
      <c r="U281">
        <v>502</v>
      </c>
      <c r="V281">
        <v>411</v>
      </c>
      <c r="W281">
        <v>388</v>
      </c>
      <c r="X281">
        <v>338</v>
      </c>
      <c r="Y281">
        <v>267</v>
      </c>
      <c r="Z281">
        <v>250</v>
      </c>
      <c r="AA281">
        <v>232</v>
      </c>
      <c r="AB281">
        <v>231</v>
      </c>
      <c r="AC281">
        <v>265</v>
      </c>
      <c r="AD281">
        <v>285</v>
      </c>
      <c r="AE281">
        <v>295</v>
      </c>
      <c r="AF281" s="927" t="s">
        <v>1189</v>
      </c>
      <c r="AG281" s="927" t="s">
        <v>1189</v>
      </c>
      <c r="AH281" s="717"/>
      <c r="AK281" s="927"/>
      <c r="AO281" s="927"/>
      <c r="AP281" s="927"/>
      <c r="AQ281" s="927" t="s">
        <v>4042</v>
      </c>
    </row>
    <row r="282" spans="1:43">
      <c r="A282" s="927" t="s">
        <v>4043</v>
      </c>
      <c r="B282" s="927" t="s">
        <v>4044</v>
      </c>
      <c r="C282" s="927" t="s">
        <v>4045</v>
      </c>
      <c r="D282" s="927" t="s">
        <v>4020</v>
      </c>
      <c r="E282" s="717">
        <v>45481</v>
      </c>
      <c r="F282" s="927"/>
      <c r="G282" s="927"/>
      <c r="H282" t="s">
        <v>4046</v>
      </c>
      <c r="I282" s="927"/>
      <c r="J282" s="131"/>
      <c r="K282" s="927" t="s">
        <v>4047</v>
      </c>
      <c r="L282" t="s">
        <v>4048</v>
      </c>
      <c r="M282" s="927" t="s">
        <v>320</v>
      </c>
      <c r="N282" s="927" t="s">
        <v>1346</v>
      </c>
      <c r="O282" s="927" t="s">
        <v>3712</v>
      </c>
      <c r="P282" s="927" t="s">
        <v>322</v>
      </c>
      <c r="Q282" s="927"/>
      <c r="R282" s="927" t="s">
        <v>324</v>
      </c>
      <c r="T282">
        <v>6160</v>
      </c>
      <c r="U282">
        <v>8720</v>
      </c>
      <c r="V282">
        <v>14640</v>
      </c>
      <c r="W282">
        <v>11680</v>
      </c>
      <c r="X282">
        <v>13600</v>
      </c>
      <c r="Y282">
        <v>11520</v>
      </c>
      <c r="Z282">
        <v>7760</v>
      </c>
      <c r="AA282">
        <v>8320</v>
      </c>
      <c r="AB282">
        <v>11440</v>
      </c>
      <c r="AC282">
        <v>10480</v>
      </c>
      <c r="AD282">
        <v>14160</v>
      </c>
      <c r="AE282">
        <v>9840</v>
      </c>
      <c r="AF282" s="927" t="s">
        <v>1189</v>
      </c>
      <c r="AG282" s="927" t="s">
        <v>1420</v>
      </c>
      <c r="AH282" s="717"/>
      <c r="AI282">
        <v>105.45</v>
      </c>
      <c r="AJ282">
        <v>443660</v>
      </c>
      <c r="AK282" s="927"/>
      <c r="AL282">
        <v>185</v>
      </c>
      <c r="AM282">
        <v>570</v>
      </c>
      <c r="AO282" s="927"/>
      <c r="AP282" s="927"/>
      <c r="AQ282" s="927" t="s">
        <v>4109</v>
      </c>
    </row>
    <row r="283" spans="1:43">
      <c r="A283" s="927" t="s">
        <v>4055</v>
      </c>
      <c r="B283" s="927" t="s">
        <v>4056</v>
      </c>
      <c r="C283" s="927" t="s">
        <v>4057</v>
      </c>
      <c r="D283" s="927" t="s">
        <v>3613</v>
      </c>
      <c r="E283" s="717">
        <v>45369</v>
      </c>
      <c r="F283" s="927"/>
      <c r="G283" s="927"/>
      <c r="I283" s="927"/>
      <c r="J283" s="131"/>
      <c r="K283" s="927" t="s">
        <v>4058</v>
      </c>
      <c r="L283" t="s">
        <v>4059</v>
      </c>
      <c r="M283" s="927" t="s">
        <v>320</v>
      </c>
      <c r="N283" s="927" t="s">
        <v>1346</v>
      </c>
      <c r="O283" s="927" t="s">
        <v>4060</v>
      </c>
      <c r="P283" s="927"/>
      <c r="Q283" s="927"/>
      <c r="R283" s="927"/>
      <c r="T283">
        <v>4320</v>
      </c>
      <c r="U283">
        <v>4140</v>
      </c>
      <c r="V283">
        <v>3456</v>
      </c>
      <c r="W283">
        <v>3204</v>
      </c>
      <c r="X283">
        <v>2520</v>
      </c>
      <c r="Y283">
        <v>2160</v>
      </c>
      <c r="Z283">
        <v>2160</v>
      </c>
      <c r="AA283">
        <v>2412</v>
      </c>
      <c r="AB283">
        <v>2520</v>
      </c>
      <c r="AC283">
        <v>2628</v>
      </c>
      <c r="AD283">
        <v>2880</v>
      </c>
      <c r="AE283">
        <v>3600</v>
      </c>
      <c r="AF283" s="927" t="s">
        <v>1189</v>
      </c>
      <c r="AG283" s="927"/>
      <c r="AH283" s="717"/>
      <c r="AK283" s="927"/>
      <c r="AO283" s="927"/>
      <c r="AP283" s="927"/>
      <c r="AQ283" s="927" t="s">
        <v>4061</v>
      </c>
    </row>
    <row r="284" spans="1:43">
      <c r="A284" s="927" t="s">
        <v>4062</v>
      </c>
      <c r="B284" s="927" t="s">
        <v>4063</v>
      </c>
      <c r="C284" s="927" t="s">
        <v>4064</v>
      </c>
      <c r="D284" s="927" t="s">
        <v>4020</v>
      </c>
      <c r="E284" s="717">
        <v>45530</v>
      </c>
      <c r="F284" s="927"/>
      <c r="G284" s="927"/>
      <c r="I284" s="927"/>
      <c r="J284" s="131"/>
      <c r="K284" s="927" t="s">
        <v>4065</v>
      </c>
      <c r="L284" t="s">
        <v>4066</v>
      </c>
      <c r="M284" s="927" t="s">
        <v>320</v>
      </c>
      <c r="N284" s="927" t="s">
        <v>1346</v>
      </c>
      <c r="O284" s="927" t="s">
        <v>3895</v>
      </c>
      <c r="P284" s="927" t="s">
        <v>322</v>
      </c>
      <c r="Q284" s="927"/>
      <c r="R284" s="927" t="s">
        <v>324</v>
      </c>
      <c r="T284">
        <v>440</v>
      </c>
      <c r="U284">
        <v>435</v>
      </c>
      <c r="V284">
        <v>479</v>
      </c>
      <c r="W284">
        <v>387</v>
      </c>
      <c r="X284">
        <v>538</v>
      </c>
      <c r="Y284">
        <v>410</v>
      </c>
      <c r="Z284">
        <v>384</v>
      </c>
      <c r="AA284">
        <v>310</v>
      </c>
      <c r="AB284">
        <v>263</v>
      </c>
      <c r="AC284">
        <v>436</v>
      </c>
      <c r="AD284">
        <v>370</v>
      </c>
      <c r="AE284">
        <v>517</v>
      </c>
      <c r="AF284" s="927" t="s">
        <v>4067</v>
      </c>
      <c r="AG284" s="927" t="s">
        <v>1189</v>
      </c>
      <c r="AH284" s="717"/>
      <c r="AI284">
        <v>9.1199999999999992</v>
      </c>
      <c r="AJ284">
        <v>32940</v>
      </c>
      <c r="AK284" s="927"/>
      <c r="AL284">
        <v>16</v>
      </c>
      <c r="AM284">
        <v>570</v>
      </c>
      <c r="AO284" s="927"/>
      <c r="AP284" s="927"/>
      <c r="AQ284" s="927" t="s">
        <v>4068</v>
      </c>
    </row>
    <row r="285" spans="1:43">
      <c r="A285" s="927" t="s">
        <v>4069</v>
      </c>
      <c r="B285" s="927" t="s">
        <v>4070</v>
      </c>
      <c r="C285" s="927" t="s">
        <v>4071</v>
      </c>
      <c r="D285" s="927" t="s">
        <v>1371</v>
      </c>
      <c r="E285" s="717">
        <v>45530</v>
      </c>
      <c r="F285" s="927"/>
      <c r="G285" s="927"/>
      <c r="I285" s="927"/>
      <c r="J285" s="131"/>
      <c r="K285" s="927" t="s">
        <v>4072</v>
      </c>
      <c r="L285" t="s">
        <v>4073</v>
      </c>
      <c r="M285" s="927" t="s">
        <v>320</v>
      </c>
      <c r="N285" s="927" t="s">
        <v>1346</v>
      </c>
      <c r="O285" s="927" t="s">
        <v>3876</v>
      </c>
      <c r="P285" s="927" t="s">
        <v>322</v>
      </c>
      <c r="Q285" s="927"/>
      <c r="R285" s="927" t="s">
        <v>324</v>
      </c>
      <c r="T285">
        <v>260</v>
      </c>
      <c r="U285">
        <v>380</v>
      </c>
      <c r="V285">
        <v>390</v>
      </c>
      <c r="W285">
        <v>250</v>
      </c>
      <c r="X285">
        <v>290</v>
      </c>
      <c r="Y285">
        <v>230</v>
      </c>
      <c r="Z285">
        <v>330</v>
      </c>
      <c r="AA285">
        <v>210</v>
      </c>
      <c r="AB285">
        <v>230</v>
      </c>
      <c r="AC285">
        <v>320</v>
      </c>
      <c r="AD285">
        <v>330</v>
      </c>
      <c r="AE285">
        <v>370</v>
      </c>
      <c r="AF285" s="927" t="s">
        <v>1189</v>
      </c>
      <c r="AG285" s="927" t="s">
        <v>1189</v>
      </c>
      <c r="AH285" s="717"/>
      <c r="AI285">
        <v>4.5999999999999996</v>
      </c>
      <c r="AJ285">
        <v>16900</v>
      </c>
      <c r="AK285" s="927"/>
      <c r="AL285">
        <v>8</v>
      </c>
      <c r="AM285">
        <v>575</v>
      </c>
      <c r="AO285" s="927"/>
      <c r="AP285" s="927"/>
      <c r="AQ285" s="927" t="s">
        <v>4074</v>
      </c>
    </row>
    <row r="286" spans="1:43">
      <c r="A286" s="927" t="s">
        <v>4075</v>
      </c>
      <c r="B286" s="927" t="s">
        <v>4076</v>
      </c>
      <c r="C286" s="927" t="s">
        <v>4077</v>
      </c>
      <c r="D286" s="927" t="s">
        <v>4078</v>
      </c>
      <c r="E286" s="717">
        <v>45531</v>
      </c>
      <c r="F286" s="927"/>
      <c r="G286" s="927"/>
      <c r="I286" s="927"/>
      <c r="J286" s="131"/>
      <c r="K286" s="927" t="s">
        <v>306</v>
      </c>
      <c r="M286" s="927" t="s">
        <v>306</v>
      </c>
      <c r="N286" s="927" t="s">
        <v>306</v>
      </c>
      <c r="O286" s="927" t="s">
        <v>306</v>
      </c>
      <c r="P286" s="927" t="s">
        <v>322</v>
      </c>
      <c r="Q286" s="927"/>
      <c r="R286" s="927" t="s">
        <v>324</v>
      </c>
      <c r="T286">
        <v>451</v>
      </c>
      <c r="U286">
        <v>496</v>
      </c>
      <c r="V286">
        <v>595</v>
      </c>
      <c r="W286">
        <v>653</v>
      </c>
      <c r="X286">
        <v>389</v>
      </c>
      <c r="Y286">
        <v>306</v>
      </c>
      <c r="Z286">
        <v>319</v>
      </c>
      <c r="AA286">
        <v>330</v>
      </c>
      <c r="AB286">
        <v>361</v>
      </c>
      <c r="AC286">
        <v>384</v>
      </c>
      <c r="AD286">
        <v>351</v>
      </c>
      <c r="AE286">
        <v>401</v>
      </c>
      <c r="AF286" s="927"/>
      <c r="AG286" s="927"/>
      <c r="AH286" s="717"/>
      <c r="AI286">
        <v>5.75</v>
      </c>
      <c r="AJ286">
        <v>19750</v>
      </c>
      <c r="AK286" s="927"/>
      <c r="AL286">
        <v>10</v>
      </c>
      <c r="AM286">
        <v>575</v>
      </c>
      <c r="AO286" s="927"/>
      <c r="AP286" s="927"/>
      <c r="AQ286" s="927" t="s">
        <v>4079</v>
      </c>
    </row>
    <row r="287" spans="1:43">
      <c r="A287" s="927" t="s">
        <v>4080</v>
      </c>
      <c r="B287" s="927" t="s">
        <v>4081</v>
      </c>
      <c r="C287" s="927" t="s">
        <v>4082</v>
      </c>
      <c r="D287" s="927" t="s">
        <v>4020</v>
      </c>
      <c r="E287" s="717">
        <v>45530</v>
      </c>
      <c r="F287" s="927"/>
      <c r="G287" s="927"/>
      <c r="I287" s="927"/>
      <c r="J287" s="131"/>
      <c r="K287" s="927" t="s">
        <v>4088</v>
      </c>
      <c r="L287" t="s">
        <v>4089</v>
      </c>
      <c r="M287" s="927" t="s">
        <v>320</v>
      </c>
      <c r="N287" s="927" t="s">
        <v>1346</v>
      </c>
      <c r="O287" s="927" t="s">
        <v>4090</v>
      </c>
      <c r="P287" s="927" t="s">
        <v>322</v>
      </c>
      <c r="Q287" s="927"/>
      <c r="R287" s="927"/>
      <c r="T287">
        <v>1152</v>
      </c>
      <c r="U287">
        <v>1104</v>
      </c>
      <c r="V287">
        <v>922</v>
      </c>
      <c r="W287">
        <v>854</v>
      </c>
      <c r="X287">
        <v>672</v>
      </c>
      <c r="Y287">
        <v>576</v>
      </c>
      <c r="Z287">
        <v>576</v>
      </c>
      <c r="AA287">
        <v>643</v>
      </c>
      <c r="AB287">
        <v>672</v>
      </c>
      <c r="AC287">
        <v>701</v>
      </c>
      <c r="AD287">
        <v>768</v>
      </c>
      <c r="AE287">
        <v>960</v>
      </c>
      <c r="AF287" s="927" t="s">
        <v>1189</v>
      </c>
      <c r="AG287" s="927" t="s">
        <v>1189</v>
      </c>
      <c r="AH287" s="717"/>
      <c r="AI287">
        <v>7.98</v>
      </c>
      <c r="AJ287">
        <v>30240</v>
      </c>
      <c r="AK287" s="927"/>
      <c r="AL287">
        <v>14</v>
      </c>
      <c r="AM287">
        <v>570</v>
      </c>
      <c r="AO287" s="927"/>
      <c r="AP287" s="927"/>
      <c r="AQ287" s="927" t="s">
        <v>4083</v>
      </c>
    </row>
    <row r="288" spans="1:43">
      <c r="A288" s="927" t="s">
        <v>4084</v>
      </c>
      <c r="B288" s="927" t="s">
        <v>4085</v>
      </c>
      <c r="C288" s="927" t="s">
        <v>4086</v>
      </c>
      <c r="D288" s="927" t="s">
        <v>4020</v>
      </c>
      <c r="E288" s="717">
        <v>45531</v>
      </c>
      <c r="F288" s="927"/>
      <c r="G288" s="927"/>
      <c r="I288" s="927"/>
      <c r="J288" s="131"/>
      <c r="K288" s="927" t="s">
        <v>4087</v>
      </c>
      <c r="L288" t="s">
        <v>3853</v>
      </c>
      <c r="M288" s="927" t="s">
        <v>320</v>
      </c>
      <c r="N288" s="927" t="s">
        <v>1346</v>
      </c>
      <c r="O288" s="927" t="s">
        <v>1522</v>
      </c>
      <c r="P288" s="927" t="s">
        <v>322</v>
      </c>
      <c r="Q288" s="927"/>
      <c r="R288" s="927"/>
      <c r="T288">
        <v>1080</v>
      </c>
      <c r="U288">
        <v>1035</v>
      </c>
      <c r="V288">
        <v>864</v>
      </c>
      <c r="W288">
        <v>801</v>
      </c>
      <c r="X288">
        <v>630</v>
      </c>
      <c r="Y288">
        <v>540</v>
      </c>
      <c r="Z288">
        <v>540</v>
      </c>
      <c r="AA288">
        <v>603</v>
      </c>
      <c r="AB288">
        <v>630</v>
      </c>
      <c r="AC288">
        <v>657</v>
      </c>
      <c r="AD288">
        <v>720</v>
      </c>
      <c r="AE288">
        <v>900</v>
      </c>
      <c r="AF288" s="927" t="s">
        <v>1189</v>
      </c>
      <c r="AG288" s="927" t="s">
        <v>1189</v>
      </c>
      <c r="AH288" s="717"/>
      <c r="AI288">
        <v>7.98</v>
      </c>
      <c r="AJ288">
        <v>30240</v>
      </c>
      <c r="AK288" s="927"/>
      <c r="AL288">
        <v>14</v>
      </c>
      <c r="AM288">
        <v>570</v>
      </c>
      <c r="AO288" s="927"/>
      <c r="AP288" s="927"/>
      <c r="AQ288" s="927" t="s">
        <v>4091</v>
      </c>
    </row>
    <row r="289" spans="1:43">
      <c r="A289" s="927" t="s">
        <v>4092</v>
      </c>
      <c r="B289" s="927" t="s">
        <v>4093</v>
      </c>
      <c r="C289" s="927" t="s">
        <v>4094</v>
      </c>
      <c r="D289" s="927" t="s">
        <v>1187</v>
      </c>
      <c r="E289" s="717">
        <v>45537</v>
      </c>
      <c r="F289" s="927"/>
      <c r="G289" s="927"/>
      <c r="I289" s="927"/>
      <c r="J289" s="131"/>
      <c r="K289" s="927" t="s">
        <v>306</v>
      </c>
      <c r="M289" s="927" t="s">
        <v>306</v>
      </c>
      <c r="N289" s="927" t="s">
        <v>306</v>
      </c>
      <c r="O289" s="927" t="s">
        <v>306</v>
      </c>
      <c r="P289" s="927"/>
      <c r="Q289" s="927"/>
      <c r="R289" s="927"/>
      <c r="AF289" s="927" t="s">
        <v>1189</v>
      </c>
      <c r="AG289" s="927" t="s">
        <v>1189</v>
      </c>
      <c r="AH289" s="717"/>
      <c r="AI289">
        <v>13.8</v>
      </c>
      <c r="AJ289">
        <v>48816</v>
      </c>
      <c r="AK289" s="927"/>
      <c r="AL289">
        <v>24</v>
      </c>
      <c r="AM289">
        <v>575</v>
      </c>
      <c r="AO289" s="927"/>
      <c r="AP289" s="927"/>
      <c r="AQ289" s="927" t="s">
        <v>4095</v>
      </c>
    </row>
    <row r="290" spans="1:43">
      <c r="A290" s="927" t="s">
        <v>4257</v>
      </c>
      <c r="B290" s="927" t="s">
        <v>4096</v>
      </c>
      <c r="C290" s="927" t="s">
        <v>4258</v>
      </c>
      <c r="D290" s="927" t="s">
        <v>4020</v>
      </c>
      <c r="E290" s="717">
        <v>45537</v>
      </c>
      <c r="F290" s="927"/>
      <c r="G290" s="927"/>
      <c r="H290" t="s">
        <v>4259</v>
      </c>
      <c r="I290" s="927"/>
      <c r="J290" s="131"/>
      <c r="K290" s="927" t="s">
        <v>306</v>
      </c>
      <c r="M290" s="927" t="s">
        <v>306</v>
      </c>
      <c r="N290" s="927" t="s">
        <v>306</v>
      </c>
      <c r="O290" s="927" t="s">
        <v>306</v>
      </c>
      <c r="P290" s="927" t="s">
        <v>322</v>
      </c>
      <c r="Q290" s="927"/>
      <c r="R290" s="927"/>
      <c r="T290">
        <v>1296</v>
      </c>
      <c r="U290">
        <v>1242</v>
      </c>
      <c r="V290">
        <v>1037</v>
      </c>
      <c r="W290">
        <v>961</v>
      </c>
      <c r="X290">
        <v>702</v>
      </c>
      <c r="Y290">
        <v>648</v>
      </c>
      <c r="Z290">
        <v>691</v>
      </c>
      <c r="AA290">
        <v>724</v>
      </c>
      <c r="AB290">
        <v>756</v>
      </c>
      <c r="AC290">
        <v>788</v>
      </c>
      <c r="AD290">
        <v>864</v>
      </c>
      <c r="AE290">
        <v>1080</v>
      </c>
      <c r="AF290" s="927"/>
      <c r="AG290" s="927" t="s">
        <v>1189</v>
      </c>
      <c r="AH290" s="717"/>
      <c r="AI290">
        <v>8.625</v>
      </c>
      <c r="AJ290">
        <v>27854</v>
      </c>
      <c r="AK290" s="927"/>
      <c r="AL290">
        <v>15</v>
      </c>
      <c r="AM290">
        <v>575</v>
      </c>
      <c r="AO290" s="927"/>
      <c r="AP290" s="927"/>
      <c r="AQ290" s="927" t="s">
        <v>4097</v>
      </c>
    </row>
    <row r="291" spans="1:43">
      <c r="A291" s="927" t="s">
        <v>4221</v>
      </c>
      <c r="B291" s="927" t="s">
        <v>4098</v>
      </c>
      <c r="C291" s="927" t="s">
        <v>4222</v>
      </c>
      <c r="D291" s="927" t="s">
        <v>1187</v>
      </c>
      <c r="E291" s="717">
        <v>45541</v>
      </c>
      <c r="F291" s="927"/>
      <c r="G291" s="927"/>
      <c r="I291" s="927"/>
      <c r="J291" s="131"/>
      <c r="K291" s="927" t="s">
        <v>4099</v>
      </c>
      <c r="L291" t="s">
        <v>4100</v>
      </c>
      <c r="M291" s="927" t="s">
        <v>320</v>
      </c>
      <c r="N291" s="927" t="s">
        <v>1346</v>
      </c>
      <c r="O291" s="927" t="s">
        <v>3996</v>
      </c>
      <c r="P291" s="927" t="s">
        <v>322</v>
      </c>
      <c r="Q291" s="927"/>
      <c r="R291" s="927" t="s">
        <v>324</v>
      </c>
      <c r="T291">
        <v>907</v>
      </c>
      <c r="U291">
        <v>882</v>
      </c>
      <c r="V291">
        <v>563</v>
      </c>
      <c r="W291">
        <v>246</v>
      </c>
      <c r="X291">
        <v>252</v>
      </c>
      <c r="Y291">
        <v>225</v>
      </c>
      <c r="Z291">
        <v>211</v>
      </c>
      <c r="AA291">
        <v>208</v>
      </c>
      <c r="AB291">
        <v>185</v>
      </c>
      <c r="AC291">
        <v>193</v>
      </c>
      <c r="AD291">
        <v>556</v>
      </c>
      <c r="AE291">
        <v>913</v>
      </c>
      <c r="AF291" s="927" t="s">
        <v>1189</v>
      </c>
      <c r="AG291" s="927"/>
      <c r="AH291" s="717"/>
      <c r="AJ291">
        <v>16848</v>
      </c>
      <c r="AK291" s="927"/>
      <c r="AO291" s="927"/>
      <c r="AP291" s="927"/>
      <c r="AQ291" s="927" t="s">
        <v>4101</v>
      </c>
    </row>
    <row r="292" spans="1:43">
      <c r="A292" s="927" t="s">
        <v>4104</v>
      </c>
      <c r="B292" s="927" t="s">
        <v>4105</v>
      </c>
      <c r="C292" s="927" t="s">
        <v>4106</v>
      </c>
      <c r="D292" s="927" t="s">
        <v>3613</v>
      </c>
      <c r="E292" s="717">
        <v>45544</v>
      </c>
      <c r="F292" s="927"/>
      <c r="G292" s="927"/>
      <c r="I292" s="927"/>
      <c r="J292" s="131"/>
      <c r="K292" s="927" t="s">
        <v>4107</v>
      </c>
      <c r="L292" t="s">
        <v>4108</v>
      </c>
      <c r="M292" s="927" t="s">
        <v>320</v>
      </c>
      <c r="N292" s="927" t="s">
        <v>1346</v>
      </c>
      <c r="O292" s="927" t="s">
        <v>82</v>
      </c>
      <c r="P292" s="927" t="s">
        <v>322</v>
      </c>
      <c r="Q292" s="927"/>
      <c r="R292" s="927" t="s">
        <v>324</v>
      </c>
      <c r="T292">
        <v>2954</v>
      </c>
      <c r="U292">
        <v>3414</v>
      </c>
      <c r="V292">
        <v>3902</v>
      </c>
      <c r="W292">
        <v>4092</v>
      </c>
      <c r="X292">
        <v>3956</v>
      </c>
      <c r="Y292">
        <v>3484</v>
      </c>
      <c r="Z292">
        <v>2619</v>
      </c>
      <c r="AA292">
        <v>1596</v>
      </c>
      <c r="AB292">
        <v>1919</v>
      </c>
      <c r="AC292">
        <v>2606</v>
      </c>
      <c r="AD292">
        <v>2626</v>
      </c>
      <c r="AE292">
        <v>3445</v>
      </c>
      <c r="AF292" s="927" t="s">
        <v>1189</v>
      </c>
      <c r="AG292" s="927" t="s">
        <v>1420</v>
      </c>
      <c r="AH292" s="717"/>
      <c r="AI292">
        <v>29.64</v>
      </c>
      <c r="AJ292">
        <v>127680</v>
      </c>
      <c r="AK292" s="927"/>
      <c r="AL292">
        <v>52</v>
      </c>
      <c r="AM292">
        <v>570</v>
      </c>
      <c r="AO292" s="927"/>
      <c r="AP292" s="927"/>
      <c r="AQ292" s="927"/>
    </row>
    <row r="293" spans="1:43">
      <c r="A293" s="927" t="s">
        <v>5747</v>
      </c>
      <c r="B293" s="927" t="s">
        <v>4110</v>
      </c>
      <c r="C293" s="927" t="s">
        <v>5748</v>
      </c>
      <c r="D293" s="927" t="s">
        <v>4020</v>
      </c>
      <c r="E293" s="717">
        <v>45545</v>
      </c>
      <c r="F293" s="927"/>
      <c r="G293" s="927"/>
      <c r="I293" s="927"/>
      <c r="J293" s="131"/>
      <c r="K293" s="927" t="s">
        <v>306</v>
      </c>
      <c r="M293" s="927" t="s">
        <v>306</v>
      </c>
      <c r="N293" s="927" t="s">
        <v>306</v>
      </c>
      <c r="O293" s="927" t="s">
        <v>306</v>
      </c>
      <c r="P293" s="927"/>
      <c r="Q293" s="927"/>
      <c r="R293" s="927"/>
      <c r="T293" s="729"/>
      <c r="U293" s="729"/>
      <c r="V293" s="729"/>
      <c r="W293" s="729"/>
      <c r="X293" s="729"/>
      <c r="Y293" s="729"/>
      <c r="Z293" s="729"/>
      <c r="AA293" s="729"/>
      <c r="AB293" s="729"/>
      <c r="AC293" s="729"/>
      <c r="AD293" s="729"/>
      <c r="AE293" s="729"/>
      <c r="AF293" s="927" t="s">
        <v>1189</v>
      </c>
      <c r="AG293" s="927"/>
      <c r="AH293" s="717"/>
      <c r="AI293">
        <v>3.42</v>
      </c>
      <c r="AJ293">
        <v>13600</v>
      </c>
      <c r="AK293" s="927"/>
      <c r="AL293">
        <v>6</v>
      </c>
      <c r="AM293">
        <v>570</v>
      </c>
      <c r="AO293" s="927"/>
      <c r="AP293" s="927"/>
      <c r="AQ293" s="927" t="s">
        <v>4111</v>
      </c>
    </row>
    <row r="294" spans="1:43">
      <c r="A294" s="927" t="s">
        <v>4112</v>
      </c>
      <c r="B294" s="927" t="s">
        <v>4113</v>
      </c>
      <c r="C294" s="927" t="s">
        <v>4114</v>
      </c>
      <c r="D294" s="927" t="s">
        <v>4209</v>
      </c>
      <c r="E294" s="717">
        <v>45541</v>
      </c>
      <c r="F294" s="927"/>
      <c r="G294" s="927"/>
      <c r="H294" t="s">
        <v>4408</v>
      </c>
      <c r="I294" s="927"/>
      <c r="J294" s="131"/>
      <c r="K294" s="927" t="s">
        <v>4115</v>
      </c>
      <c r="L294" t="s">
        <v>4116</v>
      </c>
      <c r="M294" s="927" t="s">
        <v>320</v>
      </c>
      <c r="N294" s="927" t="s">
        <v>1346</v>
      </c>
      <c r="O294" s="927" t="s">
        <v>4117</v>
      </c>
      <c r="P294" s="927" t="s">
        <v>322</v>
      </c>
      <c r="Q294" s="927"/>
      <c r="R294" s="927" t="s">
        <v>555</v>
      </c>
      <c r="AF294" s="927" t="s">
        <v>1189</v>
      </c>
      <c r="AG294" s="927" t="s">
        <v>1189</v>
      </c>
      <c r="AH294" s="717"/>
      <c r="AK294" s="927"/>
      <c r="AO294" s="927"/>
      <c r="AP294" s="927"/>
      <c r="AQ294" s="927" t="s">
        <v>4118</v>
      </c>
    </row>
    <row r="295" spans="1:43">
      <c r="A295" s="927" t="s">
        <v>4119</v>
      </c>
      <c r="B295" s="927" t="s">
        <v>4120</v>
      </c>
      <c r="C295" s="927" t="s">
        <v>4121</v>
      </c>
      <c r="D295" s="927" t="s">
        <v>3613</v>
      </c>
      <c r="E295" s="717">
        <v>45545</v>
      </c>
      <c r="F295" s="927"/>
      <c r="G295" s="927"/>
      <c r="I295" s="927"/>
      <c r="J295" s="131"/>
      <c r="K295" s="927" t="s">
        <v>4122</v>
      </c>
      <c r="L295" t="s">
        <v>4123</v>
      </c>
      <c r="M295" s="927" t="s">
        <v>320</v>
      </c>
      <c r="N295" s="927" t="s">
        <v>3655</v>
      </c>
      <c r="O295" s="927" t="s">
        <v>1487</v>
      </c>
      <c r="P295" s="927" t="s">
        <v>379</v>
      </c>
      <c r="Q295" s="927"/>
      <c r="R295" s="927" t="s">
        <v>324</v>
      </c>
      <c r="T295">
        <v>324</v>
      </c>
      <c r="U295">
        <v>294</v>
      </c>
      <c r="V295">
        <v>299</v>
      </c>
      <c r="W295">
        <v>285</v>
      </c>
      <c r="X295">
        <v>300</v>
      </c>
      <c r="Y295">
        <v>304</v>
      </c>
      <c r="Z295">
        <v>271</v>
      </c>
      <c r="AA295">
        <v>304</v>
      </c>
      <c r="AB295">
        <v>327</v>
      </c>
      <c r="AC295">
        <v>335</v>
      </c>
      <c r="AD295">
        <v>310</v>
      </c>
      <c r="AE295">
        <v>328</v>
      </c>
      <c r="AF295" s="927" t="s">
        <v>1189</v>
      </c>
      <c r="AG295" s="927" t="s">
        <v>1189</v>
      </c>
      <c r="AH295" s="717"/>
      <c r="AK295" s="927"/>
      <c r="AO295" s="927"/>
      <c r="AP295" s="927"/>
      <c r="AQ295" s="927" t="s">
        <v>4124</v>
      </c>
    </row>
    <row r="296" spans="1:43">
      <c r="A296" s="927" t="s">
        <v>4125</v>
      </c>
      <c r="B296" s="927" t="s">
        <v>4126</v>
      </c>
      <c r="C296" s="927" t="s">
        <v>4127</v>
      </c>
      <c r="D296" s="927" t="s">
        <v>3613</v>
      </c>
      <c r="E296" s="717">
        <v>45546</v>
      </c>
      <c r="F296" s="927"/>
      <c r="G296" s="927"/>
      <c r="H296" t="s">
        <v>4128</v>
      </c>
      <c r="I296" s="927"/>
      <c r="J296" s="131"/>
      <c r="K296" s="927" t="s">
        <v>4129</v>
      </c>
      <c r="L296" t="s">
        <v>4130</v>
      </c>
      <c r="M296" s="927" t="s">
        <v>320</v>
      </c>
      <c r="N296" s="927" t="s">
        <v>1346</v>
      </c>
      <c r="O296" s="927" t="s">
        <v>3712</v>
      </c>
      <c r="P296" s="927" t="s">
        <v>322</v>
      </c>
      <c r="Q296" s="927"/>
      <c r="R296" s="927" t="s">
        <v>324</v>
      </c>
      <c r="T296">
        <v>1345</v>
      </c>
      <c r="U296">
        <v>2027</v>
      </c>
      <c r="V296">
        <v>3140</v>
      </c>
      <c r="W296">
        <v>2559</v>
      </c>
      <c r="X296">
        <v>2715</v>
      </c>
      <c r="Y296">
        <v>2101</v>
      </c>
      <c r="Z296">
        <v>1718</v>
      </c>
      <c r="AA296">
        <v>2043</v>
      </c>
      <c r="AB296">
        <v>2772</v>
      </c>
      <c r="AC296">
        <v>2706</v>
      </c>
      <c r="AD296">
        <v>3409</v>
      </c>
      <c r="AE296">
        <v>3000</v>
      </c>
      <c r="AF296" s="927" t="s">
        <v>1189</v>
      </c>
      <c r="AG296" s="927" t="s">
        <v>1420</v>
      </c>
      <c r="AH296" s="717"/>
      <c r="AI296">
        <v>23.94</v>
      </c>
      <c r="AJ296">
        <v>101360</v>
      </c>
      <c r="AK296" s="927"/>
      <c r="AL296">
        <v>42</v>
      </c>
      <c r="AM296">
        <v>570</v>
      </c>
      <c r="AO296" s="927"/>
      <c r="AP296" s="927"/>
      <c r="AQ296" s="927" t="s">
        <v>4131</v>
      </c>
    </row>
    <row r="297" spans="1:43">
      <c r="A297" s="927" t="s">
        <v>4132</v>
      </c>
      <c r="B297" s="927" t="s">
        <v>4133</v>
      </c>
      <c r="C297" s="927" t="s">
        <v>4134</v>
      </c>
      <c r="D297" s="927" t="s">
        <v>3613</v>
      </c>
      <c r="E297" s="717">
        <v>45544</v>
      </c>
      <c r="F297" s="927"/>
      <c r="G297" s="927"/>
      <c r="I297" s="927"/>
      <c r="J297" s="131"/>
      <c r="K297" s="927" t="s">
        <v>4149</v>
      </c>
      <c r="L297" t="s">
        <v>4150</v>
      </c>
      <c r="M297" s="927" t="s">
        <v>320</v>
      </c>
      <c r="N297" s="927" t="s">
        <v>1346</v>
      </c>
      <c r="O297" s="927" t="s">
        <v>4151</v>
      </c>
      <c r="P297" s="927" t="s">
        <v>322</v>
      </c>
      <c r="Q297" s="927"/>
      <c r="R297" s="927" t="s">
        <v>324</v>
      </c>
      <c r="T297">
        <v>481</v>
      </c>
      <c r="U297">
        <v>446</v>
      </c>
      <c r="V297">
        <v>533</v>
      </c>
      <c r="W297">
        <v>400</v>
      </c>
      <c r="X297">
        <v>487</v>
      </c>
      <c r="Y297">
        <v>390</v>
      </c>
      <c r="Z297">
        <v>327</v>
      </c>
      <c r="AA297">
        <v>258</v>
      </c>
      <c r="AB297">
        <v>289</v>
      </c>
      <c r="AC297">
        <v>444</v>
      </c>
      <c r="AD297">
        <v>397</v>
      </c>
      <c r="AE297">
        <v>658</v>
      </c>
      <c r="AF297" s="927"/>
      <c r="AG297" s="927"/>
      <c r="AH297" s="717"/>
      <c r="AI297">
        <v>7.41</v>
      </c>
      <c r="AJ297">
        <v>26568</v>
      </c>
      <c r="AK297" s="927"/>
      <c r="AL297">
        <v>13</v>
      </c>
      <c r="AM297">
        <v>570</v>
      </c>
      <c r="AO297" s="927"/>
      <c r="AP297" s="927"/>
      <c r="AQ297" s="927" t="s">
        <v>4152</v>
      </c>
    </row>
    <row r="298" spans="1:43">
      <c r="A298" s="927" t="s">
        <v>4135</v>
      </c>
      <c r="B298" s="927" t="s">
        <v>4136</v>
      </c>
      <c r="C298" s="927" t="s">
        <v>4137</v>
      </c>
      <c r="D298" s="927" t="s">
        <v>4020</v>
      </c>
      <c r="E298" s="717">
        <v>45547</v>
      </c>
      <c r="F298" s="927"/>
      <c r="G298" s="927"/>
      <c r="I298" s="927"/>
      <c r="J298" s="131"/>
      <c r="K298" s="927" t="s">
        <v>4138</v>
      </c>
      <c r="L298" t="s">
        <v>4139</v>
      </c>
      <c r="M298" s="927" t="s">
        <v>320</v>
      </c>
      <c r="N298" s="927" t="s">
        <v>4140</v>
      </c>
      <c r="O298" s="927" t="s">
        <v>4141</v>
      </c>
      <c r="P298" s="927" t="s">
        <v>379</v>
      </c>
      <c r="Q298" s="927"/>
      <c r="R298" s="927" t="s">
        <v>555</v>
      </c>
      <c r="T298">
        <v>295</v>
      </c>
      <c r="U298">
        <v>267</v>
      </c>
      <c r="V298">
        <v>266</v>
      </c>
      <c r="W298">
        <v>265</v>
      </c>
      <c r="X298">
        <v>194</v>
      </c>
      <c r="Y298">
        <v>241</v>
      </c>
      <c r="Z298">
        <v>195</v>
      </c>
      <c r="AA298">
        <v>230</v>
      </c>
      <c r="AB298">
        <v>209</v>
      </c>
      <c r="AC298">
        <v>239</v>
      </c>
      <c r="AD298">
        <v>259</v>
      </c>
      <c r="AE298">
        <v>258</v>
      </c>
      <c r="AF298" s="927" t="s">
        <v>1189</v>
      </c>
      <c r="AG298" s="927" t="s">
        <v>1189</v>
      </c>
      <c r="AH298" s="717"/>
      <c r="AI298">
        <v>3.99</v>
      </c>
      <c r="AJ298">
        <v>15200</v>
      </c>
      <c r="AK298" s="927"/>
      <c r="AL298">
        <v>7</v>
      </c>
      <c r="AM298">
        <v>570</v>
      </c>
      <c r="AO298" s="927"/>
      <c r="AP298" s="927"/>
      <c r="AQ298" s="927" t="s">
        <v>4153</v>
      </c>
    </row>
    <row r="299" spans="1:43">
      <c r="A299" s="927" t="s">
        <v>4154</v>
      </c>
      <c r="B299" s="927" t="s">
        <v>4143</v>
      </c>
      <c r="C299" s="927" t="s">
        <v>4155</v>
      </c>
      <c r="D299" s="927" t="s">
        <v>4144</v>
      </c>
      <c r="E299" s="717">
        <v>45547</v>
      </c>
      <c r="F299" s="927"/>
      <c r="G299" s="927"/>
      <c r="I299" s="927"/>
      <c r="J299" s="131"/>
      <c r="K299" s="927" t="s">
        <v>4145</v>
      </c>
      <c r="L299" t="s">
        <v>4146</v>
      </c>
      <c r="M299" s="927" t="s">
        <v>320</v>
      </c>
      <c r="N299" s="927" t="s">
        <v>4145</v>
      </c>
      <c r="O299" s="927" t="s">
        <v>4147</v>
      </c>
      <c r="P299" s="927" t="s">
        <v>379</v>
      </c>
      <c r="Q299" s="927"/>
      <c r="R299" s="927" t="s">
        <v>555</v>
      </c>
      <c r="T299">
        <v>1757</v>
      </c>
      <c r="U299">
        <v>1684</v>
      </c>
      <c r="V299">
        <v>1405</v>
      </c>
      <c r="W299">
        <v>1303</v>
      </c>
      <c r="X299">
        <v>1025</v>
      </c>
      <c r="Y299">
        <v>878</v>
      </c>
      <c r="Z299">
        <v>878</v>
      </c>
      <c r="AA299">
        <v>981</v>
      </c>
      <c r="AB299">
        <v>1025</v>
      </c>
      <c r="AC299">
        <v>1069</v>
      </c>
      <c r="AD299">
        <v>1171</v>
      </c>
      <c r="AE299">
        <v>1464</v>
      </c>
      <c r="AF299" s="927" t="s">
        <v>1189</v>
      </c>
      <c r="AG299" s="927" t="s">
        <v>1189</v>
      </c>
      <c r="AH299" s="717"/>
      <c r="AI299">
        <v>13.11</v>
      </c>
      <c r="AJ299">
        <v>41580</v>
      </c>
      <c r="AK299" s="927"/>
      <c r="AL299">
        <v>23</v>
      </c>
      <c r="AM299">
        <v>570</v>
      </c>
      <c r="AO299" s="927"/>
      <c r="AP299" s="927"/>
      <c r="AQ299" s="927" t="s">
        <v>4148</v>
      </c>
    </row>
    <row r="300" spans="1:43">
      <c r="A300" s="927" t="s">
        <v>4156</v>
      </c>
      <c r="B300" s="927" t="s">
        <v>4157</v>
      </c>
      <c r="C300" s="927" t="s">
        <v>4158</v>
      </c>
      <c r="D300" s="927" t="s">
        <v>3613</v>
      </c>
      <c r="E300" s="717">
        <v>45548</v>
      </c>
      <c r="F300" s="927"/>
      <c r="G300" s="927"/>
      <c r="I300" s="927"/>
      <c r="J300" s="131"/>
      <c r="K300" s="927" t="s">
        <v>4159</v>
      </c>
      <c r="L300" t="s">
        <v>4160</v>
      </c>
      <c r="M300" s="927" t="s">
        <v>320</v>
      </c>
      <c r="N300" s="927" t="s">
        <v>1346</v>
      </c>
      <c r="O300" s="927" t="s">
        <v>3961</v>
      </c>
      <c r="P300" s="927" t="s">
        <v>322</v>
      </c>
      <c r="Q300" s="927"/>
      <c r="R300" s="927" t="s">
        <v>324</v>
      </c>
      <c r="T300">
        <v>645</v>
      </c>
      <c r="U300">
        <v>614</v>
      </c>
      <c r="V300">
        <v>586</v>
      </c>
      <c r="W300">
        <v>584</v>
      </c>
      <c r="X300">
        <v>573</v>
      </c>
      <c r="Y300">
        <v>422</v>
      </c>
      <c r="Z300">
        <v>463</v>
      </c>
      <c r="AA300">
        <v>392</v>
      </c>
      <c r="AB300">
        <v>539</v>
      </c>
      <c r="AC300">
        <v>479</v>
      </c>
      <c r="AD300">
        <v>497</v>
      </c>
      <c r="AE300">
        <v>586</v>
      </c>
      <c r="AF300" s="927" t="s">
        <v>1189</v>
      </c>
      <c r="AG300" s="927" t="s">
        <v>1189</v>
      </c>
      <c r="AH300" s="717"/>
      <c r="AK300" s="927"/>
      <c r="AO300" s="927"/>
      <c r="AP300" s="927"/>
      <c r="AQ300" s="927" t="s">
        <v>4161</v>
      </c>
    </row>
    <row r="301" spans="1:43">
      <c r="A301" s="927" t="s">
        <v>4164</v>
      </c>
      <c r="B301" s="927" t="s">
        <v>4165</v>
      </c>
      <c r="C301" s="927" t="s">
        <v>4166</v>
      </c>
      <c r="D301" s="927" t="s">
        <v>4020</v>
      </c>
      <c r="E301" s="717">
        <v>45548</v>
      </c>
      <c r="F301" s="927"/>
      <c r="G301" s="927"/>
      <c r="I301" s="927"/>
      <c r="J301" s="131"/>
      <c r="K301" s="927" t="s">
        <v>4167</v>
      </c>
      <c r="L301" t="s">
        <v>4168</v>
      </c>
      <c r="M301" s="927" t="s">
        <v>320</v>
      </c>
      <c r="N301" s="927" t="s">
        <v>4167</v>
      </c>
      <c r="O301" s="927" t="s">
        <v>4169</v>
      </c>
      <c r="P301" s="927" t="s">
        <v>379</v>
      </c>
      <c r="Q301" s="927"/>
      <c r="R301" s="927"/>
      <c r="T301">
        <v>1070</v>
      </c>
      <c r="U301">
        <v>1025</v>
      </c>
      <c r="V301">
        <v>856</v>
      </c>
      <c r="W301">
        <v>794</v>
      </c>
      <c r="X301">
        <v>580</v>
      </c>
      <c r="Y301">
        <v>535</v>
      </c>
      <c r="Z301">
        <v>571</v>
      </c>
      <c r="AA301">
        <v>597</v>
      </c>
      <c r="AB301">
        <v>624</v>
      </c>
      <c r="AC301">
        <v>651</v>
      </c>
      <c r="AD301">
        <v>613</v>
      </c>
      <c r="AE301">
        <v>892</v>
      </c>
      <c r="AF301" s="927" t="s">
        <v>1189</v>
      </c>
      <c r="AG301" s="927" t="s">
        <v>1189</v>
      </c>
      <c r="AH301" s="717"/>
      <c r="AI301">
        <v>7.98</v>
      </c>
      <c r="AJ301">
        <v>30888</v>
      </c>
      <c r="AK301" s="927"/>
      <c r="AL301">
        <v>14</v>
      </c>
      <c r="AM301">
        <v>570</v>
      </c>
      <c r="AO301" s="927"/>
      <c r="AP301" s="927"/>
      <c r="AQ301" s="927" t="s">
        <v>4170</v>
      </c>
    </row>
    <row r="302" spans="1:43">
      <c r="A302" s="927" t="s">
        <v>4171</v>
      </c>
      <c r="B302" s="927" t="s">
        <v>4172</v>
      </c>
      <c r="C302" s="927" t="s">
        <v>4173</v>
      </c>
      <c r="D302" s="927" t="s">
        <v>4020</v>
      </c>
      <c r="E302" s="717">
        <v>45551</v>
      </c>
      <c r="F302" s="927"/>
      <c r="G302" s="927"/>
      <c r="I302" s="927"/>
      <c r="J302" s="131"/>
      <c r="K302" s="927" t="s">
        <v>4174</v>
      </c>
      <c r="L302" t="s">
        <v>4175</v>
      </c>
      <c r="M302" s="927" t="s">
        <v>320</v>
      </c>
      <c r="N302" s="927" t="s">
        <v>3694</v>
      </c>
      <c r="O302" s="927" t="s">
        <v>4176</v>
      </c>
      <c r="P302" s="927" t="s">
        <v>322</v>
      </c>
      <c r="Q302" s="927"/>
      <c r="R302" s="927" t="s">
        <v>324</v>
      </c>
      <c r="T302">
        <v>350</v>
      </c>
      <c r="U302">
        <v>371</v>
      </c>
      <c r="V302">
        <v>413</v>
      </c>
      <c r="W302">
        <v>377</v>
      </c>
      <c r="X302">
        <v>423</v>
      </c>
      <c r="Y302">
        <v>295</v>
      </c>
      <c r="Z302">
        <v>266</v>
      </c>
      <c r="AA302">
        <v>286</v>
      </c>
      <c r="AB302">
        <v>319</v>
      </c>
      <c r="AC302">
        <v>313</v>
      </c>
      <c r="AD302">
        <v>329</v>
      </c>
      <c r="AE302">
        <v>570</v>
      </c>
      <c r="AF302" s="927" t="s">
        <v>1189</v>
      </c>
      <c r="AG302" s="927" t="s">
        <v>1189</v>
      </c>
      <c r="AH302" s="717"/>
      <c r="AI302">
        <v>3.99</v>
      </c>
      <c r="AJ302">
        <v>16416</v>
      </c>
      <c r="AK302" s="927"/>
      <c r="AL302">
        <v>7</v>
      </c>
      <c r="AM302">
        <v>570</v>
      </c>
      <c r="AO302" s="927"/>
      <c r="AP302" s="927"/>
      <c r="AQ302" s="927" t="s">
        <v>4177</v>
      </c>
    </row>
    <row r="303" spans="1:43">
      <c r="A303" s="927" t="s">
        <v>4178</v>
      </c>
      <c r="B303" s="927" t="s">
        <v>4179</v>
      </c>
      <c r="C303" s="927" t="s">
        <v>4180</v>
      </c>
      <c r="D303" s="927" t="s">
        <v>3613</v>
      </c>
      <c r="E303" s="717">
        <v>45548</v>
      </c>
      <c r="F303" s="927"/>
      <c r="G303" s="927"/>
      <c r="I303" s="927"/>
      <c r="J303" s="131"/>
      <c r="K303" s="927" t="s">
        <v>4182</v>
      </c>
      <c r="L303" t="s">
        <v>4183</v>
      </c>
      <c r="M303" s="927" t="s">
        <v>320</v>
      </c>
      <c r="N303" s="927" t="s">
        <v>1346</v>
      </c>
      <c r="O303" s="927" t="s">
        <v>3961</v>
      </c>
      <c r="P303" s="927" t="s">
        <v>322</v>
      </c>
      <c r="Q303" s="927"/>
      <c r="R303" s="927" t="s">
        <v>324</v>
      </c>
      <c r="T303">
        <v>500</v>
      </c>
      <c r="U303">
        <v>517</v>
      </c>
      <c r="V303">
        <v>451</v>
      </c>
      <c r="W303">
        <v>444</v>
      </c>
      <c r="X303">
        <v>457</v>
      </c>
      <c r="Y303">
        <v>359</v>
      </c>
      <c r="Z303">
        <v>333</v>
      </c>
      <c r="AA303">
        <v>392</v>
      </c>
      <c r="AB303">
        <v>429</v>
      </c>
      <c r="AC303">
        <v>423</v>
      </c>
      <c r="AD303">
        <v>408</v>
      </c>
      <c r="AE303">
        <v>427</v>
      </c>
      <c r="AF303" s="927" t="s">
        <v>1189</v>
      </c>
      <c r="AG303" s="927" t="s">
        <v>1189</v>
      </c>
      <c r="AH303" s="717"/>
      <c r="AK303" s="927"/>
      <c r="AO303" s="927"/>
      <c r="AP303" s="927"/>
      <c r="AQ303" s="927" t="s">
        <v>4181</v>
      </c>
    </row>
    <row r="304" spans="1:43">
      <c r="A304" s="927" t="s">
        <v>4184</v>
      </c>
      <c r="B304" s="927" t="s">
        <v>4185</v>
      </c>
      <c r="C304" s="927" t="s">
        <v>4186</v>
      </c>
      <c r="D304" s="927" t="s">
        <v>4144</v>
      </c>
      <c r="E304" s="717">
        <v>45551</v>
      </c>
      <c r="F304" s="927"/>
      <c r="G304" s="927"/>
      <c r="I304" s="927"/>
      <c r="J304" s="131"/>
      <c r="K304" s="927" t="s">
        <v>4187</v>
      </c>
      <c r="L304" t="s">
        <v>4188</v>
      </c>
      <c r="M304" s="927" t="s">
        <v>320</v>
      </c>
      <c r="N304" s="927" t="s">
        <v>4189</v>
      </c>
      <c r="O304" s="927" t="s">
        <v>4190</v>
      </c>
      <c r="P304" s="927" t="s">
        <v>322</v>
      </c>
      <c r="Q304" s="927"/>
      <c r="R304" s="927" t="s">
        <v>438</v>
      </c>
      <c r="T304">
        <v>282</v>
      </c>
      <c r="U304">
        <v>248</v>
      </c>
      <c r="V304">
        <v>252</v>
      </c>
      <c r="W304">
        <v>246</v>
      </c>
      <c r="X304">
        <v>271</v>
      </c>
      <c r="Y304">
        <v>201</v>
      </c>
      <c r="Z304">
        <v>273</v>
      </c>
      <c r="AA304">
        <v>198</v>
      </c>
      <c r="AB304">
        <v>252</v>
      </c>
      <c r="AC304">
        <v>216</v>
      </c>
      <c r="AD304">
        <v>291</v>
      </c>
      <c r="AE304">
        <v>277</v>
      </c>
      <c r="AF304" s="927" t="s">
        <v>1189</v>
      </c>
      <c r="AG304" s="927" t="s">
        <v>1189</v>
      </c>
      <c r="AH304" s="717"/>
      <c r="AK304" s="927"/>
      <c r="AO304" s="927"/>
      <c r="AP304" s="927"/>
      <c r="AQ304" s="927" t="s">
        <v>4191</v>
      </c>
    </row>
    <row r="305" spans="1:43">
      <c r="A305" s="927" t="s">
        <v>4192</v>
      </c>
      <c r="B305" s="927" t="s">
        <v>4193</v>
      </c>
      <c r="C305" s="927" t="s">
        <v>4194</v>
      </c>
      <c r="D305" s="927" t="s">
        <v>4195</v>
      </c>
      <c r="E305" s="717">
        <v>45544</v>
      </c>
      <c r="F305" s="927"/>
      <c r="G305" s="927"/>
      <c r="I305" s="927"/>
      <c r="J305" s="131"/>
      <c r="K305" s="927" t="s">
        <v>4196</v>
      </c>
      <c r="L305" t="s">
        <v>4197</v>
      </c>
      <c r="M305" s="927" t="s">
        <v>320</v>
      </c>
      <c r="N305" s="927" t="s">
        <v>3913</v>
      </c>
      <c r="O305" s="927" t="s">
        <v>3914</v>
      </c>
      <c r="P305" s="927" t="s">
        <v>379</v>
      </c>
      <c r="Q305" s="927"/>
      <c r="R305" s="927" t="s">
        <v>324</v>
      </c>
      <c r="T305">
        <v>962</v>
      </c>
      <c r="U305">
        <v>771</v>
      </c>
      <c r="V305">
        <v>589</v>
      </c>
      <c r="W305">
        <v>769</v>
      </c>
      <c r="X305">
        <v>1512</v>
      </c>
      <c r="Y305">
        <v>529</v>
      </c>
      <c r="Z305">
        <v>435</v>
      </c>
      <c r="AA305">
        <v>622</v>
      </c>
      <c r="AB305">
        <v>712</v>
      </c>
      <c r="AC305">
        <v>603</v>
      </c>
      <c r="AD305">
        <v>585</v>
      </c>
      <c r="AE305">
        <v>643</v>
      </c>
      <c r="AF305" s="927" t="s">
        <v>1189</v>
      </c>
      <c r="AG305" s="927"/>
      <c r="AH305" s="717"/>
      <c r="AK305" s="927"/>
      <c r="AO305" s="927"/>
      <c r="AP305" s="927"/>
      <c r="AQ305" s="927" t="s">
        <v>4198</v>
      </c>
    </row>
    <row r="306" spans="1:43">
      <c r="A306" s="927" t="s">
        <v>5749</v>
      </c>
      <c r="B306" s="927" t="s">
        <v>4201</v>
      </c>
      <c r="C306" s="927" t="s">
        <v>5750</v>
      </c>
      <c r="D306" s="927" t="s">
        <v>3613</v>
      </c>
      <c r="E306" s="717">
        <v>45548</v>
      </c>
      <c r="F306" s="927"/>
      <c r="G306" s="927"/>
      <c r="I306" s="927"/>
      <c r="J306" s="131"/>
      <c r="K306" s="927" t="s">
        <v>4202</v>
      </c>
      <c r="L306" t="s">
        <v>4203</v>
      </c>
      <c r="M306" s="927" t="s">
        <v>320</v>
      </c>
      <c r="N306" s="927" t="s">
        <v>1346</v>
      </c>
      <c r="O306" s="927" t="s">
        <v>4204</v>
      </c>
      <c r="P306" s="927" t="s">
        <v>322</v>
      </c>
      <c r="Q306" s="927"/>
      <c r="R306" s="927" t="s">
        <v>438</v>
      </c>
      <c r="T306">
        <v>576</v>
      </c>
      <c r="U306">
        <v>552</v>
      </c>
      <c r="V306">
        <v>461</v>
      </c>
      <c r="W306">
        <v>427</v>
      </c>
      <c r="X306">
        <v>312</v>
      </c>
      <c r="Y306">
        <v>255</v>
      </c>
      <c r="Z306">
        <v>295</v>
      </c>
      <c r="AA306">
        <v>327</v>
      </c>
      <c r="AB306">
        <v>357</v>
      </c>
      <c r="AC306">
        <v>317</v>
      </c>
      <c r="AD306">
        <v>384</v>
      </c>
      <c r="AE306">
        <v>480</v>
      </c>
      <c r="AF306" s="927" t="s">
        <v>1189</v>
      </c>
      <c r="AG306" s="927" t="s">
        <v>1189</v>
      </c>
      <c r="AH306" s="717"/>
      <c r="AK306" s="927"/>
      <c r="AO306" s="927"/>
      <c r="AP306" s="927"/>
      <c r="AQ306" s="927" t="s">
        <v>4205</v>
      </c>
    </row>
    <row r="307" spans="1:43">
      <c r="A307" s="927" t="s">
        <v>5178</v>
      </c>
      <c r="B307" s="927" t="s">
        <v>4207</v>
      </c>
      <c r="C307" s="927" t="s">
        <v>5179</v>
      </c>
      <c r="D307" s="927" t="s">
        <v>1371</v>
      </c>
      <c r="E307" s="717">
        <v>45552</v>
      </c>
      <c r="F307" s="927"/>
      <c r="G307" s="927"/>
      <c r="H307" t="s">
        <v>5180</v>
      </c>
      <c r="I307" s="927"/>
      <c r="J307" s="131">
        <v>31853</v>
      </c>
      <c r="K307" s="927" t="s">
        <v>1419</v>
      </c>
      <c r="L307" t="s">
        <v>3833</v>
      </c>
      <c r="M307" s="927" t="s">
        <v>320</v>
      </c>
      <c r="N307" s="927" t="s">
        <v>1346</v>
      </c>
      <c r="O307" s="927" t="s">
        <v>3653</v>
      </c>
      <c r="P307" s="927" t="s">
        <v>322</v>
      </c>
      <c r="Q307" s="927"/>
      <c r="R307" s="927" t="s">
        <v>324</v>
      </c>
      <c r="T307">
        <v>651</v>
      </c>
      <c r="U307">
        <v>607</v>
      </c>
      <c r="V307">
        <v>658</v>
      </c>
      <c r="W307">
        <v>503</v>
      </c>
      <c r="X307">
        <v>582</v>
      </c>
      <c r="Y307">
        <v>482</v>
      </c>
      <c r="Z307">
        <v>437</v>
      </c>
      <c r="AA307">
        <v>348</v>
      </c>
      <c r="AB307">
        <v>398</v>
      </c>
      <c r="AC307">
        <v>652</v>
      </c>
      <c r="AD307">
        <v>549</v>
      </c>
      <c r="AE307">
        <v>812</v>
      </c>
      <c r="AF307" s="927" t="s">
        <v>1420</v>
      </c>
      <c r="AG307" s="927" t="s">
        <v>1189</v>
      </c>
      <c r="AH307" s="717"/>
      <c r="AI307">
        <v>9.1199999999999992</v>
      </c>
      <c r="AJ307">
        <v>28188</v>
      </c>
      <c r="AK307" s="927"/>
      <c r="AL307">
        <v>16</v>
      </c>
      <c r="AM307">
        <v>570</v>
      </c>
      <c r="AO307" s="927"/>
      <c r="AP307" s="927"/>
      <c r="AQ307" s="927" t="s">
        <v>5181</v>
      </c>
    </row>
    <row r="308" spans="1:43">
      <c r="A308" s="927" t="s">
        <v>5161</v>
      </c>
      <c r="B308" s="927" t="s">
        <v>4208</v>
      </c>
      <c r="C308" s="927" t="s">
        <v>5162</v>
      </c>
      <c r="D308" s="927" t="s">
        <v>1371</v>
      </c>
      <c r="E308" s="717">
        <v>45554</v>
      </c>
      <c r="F308" s="927"/>
      <c r="G308" s="927"/>
      <c r="H308" t="s">
        <v>5163</v>
      </c>
      <c r="I308" s="927"/>
      <c r="J308" s="131">
        <v>20656</v>
      </c>
      <c r="K308" s="927" t="s">
        <v>4210</v>
      </c>
      <c r="L308" t="s">
        <v>4211</v>
      </c>
      <c r="M308" s="927" t="s">
        <v>320</v>
      </c>
      <c r="N308" s="927" t="s">
        <v>1346</v>
      </c>
      <c r="O308" s="927" t="s">
        <v>4212</v>
      </c>
      <c r="P308" s="927" t="s">
        <v>322</v>
      </c>
      <c r="Q308" s="927"/>
      <c r="R308" s="927" t="s">
        <v>324</v>
      </c>
      <c r="T308">
        <v>580</v>
      </c>
      <c r="U308">
        <v>480</v>
      </c>
      <c r="V308">
        <v>390</v>
      </c>
      <c r="W308">
        <v>452</v>
      </c>
      <c r="X308">
        <v>320</v>
      </c>
      <c r="Y308">
        <v>440</v>
      </c>
      <c r="Z308">
        <v>580</v>
      </c>
      <c r="AA308">
        <v>370</v>
      </c>
      <c r="AB308">
        <v>350</v>
      </c>
      <c r="AC308">
        <v>330</v>
      </c>
      <c r="AD308">
        <v>520</v>
      </c>
      <c r="AE308">
        <v>340</v>
      </c>
      <c r="AF308" s="927" t="s">
        <v>1189</v>
      </c>
      <c r="AG308" s="927" t="s">
        <v>1189</v>
      </c>
      <c r="AH308" s="717"/>
      <c r="AI308">
        <v>18.72</v>
      </c>
      <c r="AJ308">
        <v>61000</v>
      </c>
      <c r="AK308" s="927"/>
      <c r="AL308">
        <v>32</v>
      </c>
      <c r="AM308">
        <v>585</v>
      </c>
      <c r="AO308" s="927"/>
      <c r="AP308" s="927"/>
      <c r="AQ308" s="927" t="s">
        <v>4213</v>
      </c>
    </row>
    <row r="309" spans="1:43">
      <c r="A309" s="927" t="s">
        <v>4214</v>
      </c>
      <c r="B309" s="927" t="s">
        <v>4215</v>
      </c>
      <c r="C309" s="927" t="s">
        <v>4216</v>
      </c>
      <c r="D309" s="927" t="s">
        <v>3613</v>
      </c>
      <c r="E309" s="717">
        <v>45554</v>
      </c>
      <c r="F309" s="927"/>
      <c r="G309" s="927"/>
      <c r="I309" s="927"/>
      <c r="J309" s="131"/>
      <c r="K309" s="927" t="s">
        <v>4217</v>
      </c>
      <c r="L309" t="s">
        <v>4218</v>
      </c>
      <c r="M309" s="927" t="s">
        <v>320</v>
      </c>
      <c r="N309" s="927" t="s">
        <v>1346</v>
      </c>
      <c r="O309" s="927" t="s">
        <v>4219</v>
      </c>
      <c r="P309" s="927" t="s">
        <v>322</v>
      </c>
      <c r="Q309" s="927"/>
      <c r="R309" s="927" t="s">
        <v>438</v>
      </c>
      <c r="T309">
        <v>509</v>
      </c>
      <c r="U309">
        <v>309</v>
      </c>
      <c r="V309">
        <v>312</v>
      </c>
      <c r="W309">
        <v>241</v>
      </c>
      <c r="X309">
        <v>278</v>
      </c>
      <c r="Y309">
        <v>237</v>
      </c>
      <c r="Z309">
        <v>278</v>
      </c>
      <c r="AA309">
        <v>265</v>
      </c>
      <c r="AB309">
        <v>208</v>
      </c>
      <c r="AC309">
        <v>218</v>
      </c>
      <c r="AD309">
        <v>218</v>
      </c>
      <c r="AE309">
        <v>188</v>
      </c>
      <c r="AF309" s="927" t="s">
        <v>1189</v>
      </c>
      <c r="AG309" s="927" t="s">
        <v>1189</v>
      </c>
      <c r="AH309" s="717"/>
      <c r="AI309">
        <v>3.45</v>
      </c>
      <c r="AJ309">
        <v>14904</v>
      </c>
      <c r="AK309" s="927"/>
      <c r="AL309">
        <v>6</v>
      </c>
      <c r="AM309">
        <v>575</v>
      </c>
      <c r="AO309" s="927"/>
      <c r="AP309" s="927"/>
      <c r="AQ309" s="927" t="s">
        <v>4220</v>
      </c>
    </row>
    <row r="310" spans="1:43">
      <c r="A310" s="927" t="s">
        <v>4223</v>
      </c>
      <c r="B310" s="927" t="s">
        <v>4224</v>
      </c>
      <c r="C310" s="927" t="s">
        <v>4225</v>
      </c>
      <c r="D310" s="927" t="s">
        <v>4144</v>
      </c>
      <c r="E310" s="717">
        <v>45553</v>
      </c>
      <c r="F310" s="927"/>
      <c r="G310" s="927"/>
      <c r="I310" s="927"/>
      <c r="J310" s="131"/>
      <c r="K310" s="927" t="s">
        <v>4226</v>
      </c>
      <c r="L310" t="s">
        <v>4227</v>
      </c>
      <c r="M310" s="927" t="s">
        <v>320</v>
      </c>
      <c r="N310" s="927" t="s">
        <v>1346</v>
      </c>
      <c r="O310" s="927" t="s">
        <v>3961</v>
      </c>
      <c r="P310" s="927" t="s">
        <v>322</v>
      </c>
      <c r="Q310" s="927"/>
      <c r="R310" s="927" t="s">
        <v>324</v>
      </c>
      <c r="T310">
        <v>736</v>
      </c>
      <c r="U310">
        <v>686</v>
      </c>
      <c r="V310">
        <v>703</v>
      </c>
      <c r="W310">
        <v>752</v>
      </c>
      <c r="X310">
        <v>704</v>
      </c>
      <c r="Y310">
        <v>366</v>
      </c>
      <c r="Z310">
        <v>398</v>
      </c>
      <c r="AA310">
        <v>394</v>
      </c>
      <c r="AB310">
        <v>557</v>
      </c>
      <c r="AC310">
        <v>508</v>
      </c>
      <c r="AD310">
        <v>602</v>
      </c>
      <c r="AE310">
        <v>512</v>
      </c>
      <c r="AF310" s="927" t="s">
        <v>1189</v>
      </c>
      <c r="AG310" s="927" t="s">
        <v>1189</v>
      </c>
      <c r="AH310" s="717"/>
      <c r="AK310" s="927"/>
      <c r="AO310" s="927"/>
      <c r="AP310" s="927"/>
      <c r="AQ310" s="927" t="s">
        <v>4228</v>
      </c>
    </row>
    <row r="311" spans="1:43">
      <c r="A311" s="927" t="s">
        <v>4229</v>
      </c>
      <c r="B311" s="927" t="s">
        <v>4230</v>
      </c>
      <c r="C311" s="927" t="s">
        <v>4231</v>
      </c>
      <c r="D311" s="927" t="s">
        <v>4144</v>
      </c>
      <c r="E311" s="717">
        <v>45554</v>
      </c>
      <c r="F311" s="927"/>
      <c r="G311" s="927"/>
      <c r="I311" s="927"/>
      <c r="J311" s="131"/>
      <c r="K311" s="927" t="s">
        <v>4232</v>
      </c>
      <c r="L311" t="s">
        <v>4233</v>
      </c>
      <c r="M311" s="927" t="s">
        <v>4234</v>
      </c>
      <c r="N311" s="927" t="s">
        <v>4235</v>
      </c>
      <c r="O311" s="927" t="s">
        <v>4234</v>
      </c>
      <c r="P311" s="927" t="s">
        <v>379</v>
      </c>
      <c r="Q311" s="927"/>
      <c r="R311" s="927" t="s">
        <v>555</v>
      </c>
      <c r="T311">
        <v>559</v>
      </c>
      <c r="U311">
        <v>599</v>
      </c>
      <c r="V311">
        <v>739</v>
      </c>
      <c r="W311">
        <v>598</v>
      </c>
      <c r="X311">
        <v>483</v>
      </c>
      <c r="Y311">
        <v>322</v>
      </c>
      <c r="Z311">
        <v>366</v>
      </c>
      <c r="AA311">
        <v>345</v>
      </c>
      <c r="AB311">
        <v>496</v>
      </c>
      <c r="AC311">
        <v>546</v>
      </c>
      <c r="AD311">
        <v>531</v>
      </c>
      <c r="AE311">
        <v>455</v>
      </c>
      <c r="AF311" s="927" t="s">
        <v>1189</v>
      </c>
      <c r="AG311" s="927" t="s">
        <v>1189</v>
      </c>
      <c r="AH311" s="717"/>
      <c r="AK311" s="927"/>
      <c r="AO311" s="927"/>
      <c r="AP311" s="927"/>
      <c r="AQ311" s="927" t="s">
        <v>4236</v>
      </c>
    </row>
    <row r="312" spans="1:43">
      <c r="A312" s="927" t="s">
        <v>4237</v>
      </c>
      <c r="B312" s="927" t="s">
        <v>4238</v>
      </c>
      <c r="C312" s="927" t="s">
        <v>4239</v>
      </c>
      <c r="D312" s="927" t="s">
        <v>4144</v>
      </c>
      <c r="E312" s="717">
        <v>45552</v>
      </c>
      <c r="F312" s="927"/>
      <c r="G312" s="927"/>
      <c r="I312" s="927"/>
      <c r="J312" s="131"/>
      <c r="K312" s="927" t="s">
        <v>4240</v>
      </c>
      <c r="L312" t="s">
        <v>4241</v>
      </c>
      <c r="M312" s="927" t="s">
        <v>3655</v>
      </c>
      <c r="N312" s="927" t="s">
        <v>4240</v>
      </c>
      <c r="O312" s="927" t="s">
        <v>3655</v>
      </c>
      <c r="P312" s="927" t="s">
        <v>379</v>
      </c>
      <c r="Q312" s="927"/>
      <c r="R312" s="927"/>
      <c r="T312">
        <v>1872</v>
      </c>
      <c r="U312">
        <v>1794</v>
      </c>
      <c r="V312">
        <v>1498</v>
      </c>
      <c r="W312">
        <v>1388</v>
      </c>
      <c r="X312">
        <v>1014</v>
      </c>
      <c r="Y312">
        <v>936</v>
      </c>
      <c r="Z312">
        <v>998</v>
      </c>
      <c r="AA312">
        <v>1045</v>
      </c>
      <c r="AB312">
        <v>1092</v>
      </c>
      <c r="AC312">
        <v>1139</v>
      </c>
      <c r="AD312">
        <v>1248</v>
      </c>
      <c r="AE312">
        <v>1560</v>
      </c>
      <c r="AF312" s="927"/>
      <c r="AG312" s="927"/>
      <c r="AH312" s="717"/>
      <c r="AK312" s="927"/>
      <c r="AO312" s="927"/>
      <c r="AP312" s="927"/>
      <c r="AQ312" s="927" t="s">
        <v>4242</v>
      </c>
    </row>
    <row r="313" spans="1:43">
      <c r="A313" s="927" t="s">
        <v>4252</v>
      </c>
      <c r="B313" s="927" t="s">
        <v>4253</v>
      </c>
      <c r="C313" s="927" t="s">
        <v>4254</v>
      </c>
      <c r="D313" s="927" t="s">
        <v>3613</v>
      </c>
      <c r="E313" s="717">
        <v>45558</v>
      </c>
      <c r="F313" s="927"/>
      <c r="G313" s="927"/>
      <c r="I313" s="927"/>
      <c r="J313" s="131"/>
      <c r="K313" s="927" t="s">
        <v>4255</v>
      </c>
      <c r="L313" t="s">
        <v>3851</v>
      </c>
      <c r="M313" s="927" t="s">
        <v>320</v>
      </c>
      <c r="N313" s="927" t="s">
        <v>1346</v>
      </c>
      <c r="O313" s="927" t="s">
        <v>3895</v>
      </c>
      <c r="P313" s="927" t="s">
        <v>322</v>
      </c>
      <c r="Q313" s="927"/>
      <c r="R313" s="927" t="s">
        <v>324</v>
      </c>
      <c r="T313">
        <v>380</v>
      </c>
      <c r="U313">
        <v>624</v>
      </c>
      <c r="V313">
        <v>630</v>
      </c>
      <c r="W313">
        <v>426</v>
      </c>
      <c r="X313">
        <v>332</v>
      </c>
      <c r="Y313">
        <v>360</v>
      </c>
      <c r="Z313">
        <v>333</v>
      </c>
      <c r="AA313">
        <v>362</v>
      </c>
      <c r="AB313">
        <v>384</v>
      </c>
      <c r="AC313">
        <v>387</v>
      </c>
      <c r="AD313">
        <v>548</v>
      </c>
      <c r="AE313">
        <v>376</v>
      </c>
      <c r="AF313" s="927" t="s">
        <v>1189</v>
      </c>
      <c r="AG313" s="927" t="s">
        <v>1189</v>
      </c>
      <c r="AH313" s="717"/>
      <c r="AK313" s="927"/>
      <c r="AO313" s="927"/>
      <c r="AP313" s="927"/>
      <c r="AQ313" s="927" t="s">
        <v>4256</v>
      </c>
    </row>
    <row r="314" spans="1:43">
      <c r="A314" s="927" t="s">
        <v>4260</v>
      </c>
      <c r="B314" s="927" t="s">
        <v>4261</v>
      </c>
      <c r="C314" s="927" t="s">
        <v>4262</v>
      </c>
      <c r="D314" s="927" t="s">
        <v>4209</v>
      </c>
      <c r="E314" s="717">
        <v>45558</v>
      </c>
      <c r="F314" s="927"/>
      <c r="G314" s="927"/>
      <c r="I314" s="927"/>
      <c r="J314" s="131"/>
      <c r="K314" s="927" t="s">
        <v>4263</v>
      </c>
      <c r="L314" t="s">
        <v>3858</v>
      </c>
      <c r="M314" s="927" t="s">
        <v>320</v>
      </c>
      <c r="N314" s="927" t="s">
        <v>4263</v>
      </c>
      <c r="O314" s="927" t="s">
        <v>4264</v>
      </c>
      <c r="P314" s="927" t="s">
        <v>322</v>
      </c>
      <c r="Q314" s="927"/>
      <c r="R314" s="927"/>
      <c r="T314">
        <v>1440</v>
      </c>
      <c r="U314">
        <v>1380</v>
      </c>
      <c r="V314">
        <v>1152</v>
      </c>
      <c r="W314">
        <v>1068</v>
      </c>
      <c r="X314">
        <v>780</v>
      </c>
      <c r="Y314">
        <v>720</v>
      </c>
      <c r="Z314">
        <v>768</v>
      </c>
      <c r="AA314">
        <v>804</v>
      </c>
      <c r="AB314">
        <v>840</v>
      </c>
      <c r="AC314">
        <v>876</v>
      </c>
      <c r="AD314">
        <v>960</v>
      </c>
      <c r="AE314">
        <v>1212</v>
      </c>
      <c r="AF314" s="927" t="s">
        <v>1189</v>
      </c>
      <c r="AG314" s="927" t="s">
        <v>1189</v>
      </c>
      <c r="AH314" s="717"/>
      <c r="AI314">
        <v>10.35</v>
      </c>
      <c r="AJ314">
        <v>31860</v>
      </c>
      <c r="AK314" s="927"/>
      <c r="AL314">
        <v>18</v>
      </c>
      <c r="AM314">
        <v>575</v>
      </c>
      <c r="AO314" s="927"/>
      <c r="AP314" s="927"/>
      <c r="AQ314" s="927" t="s">
        <v>4265</v>
      </c>
    </row>
    <row r="315" spans="1:43">
      <c r="A315" s="927" t="s">
        <v>4266</v>
      </c>
      <c r="B315" s="927" t="s">
        <v>4267</v>
      </c>
      <c r="C315" s="927" t="s">
        <v>4268</v>
      </c>
      <c r="D315" s="927" t="s">
        <v>3613</v>
      </c>
      <c r="E315" s="717">
        <v>45559</v>
      </c>
      <c r="F315" s="927"/>
      <c r="G315" s="927"/>
      <c r="I315" s="927"/>
      <c r="J315" s="131"/>
      <c r="K315" s="927" t="s">
        <v>4269</v>
      </c>
      <c r="L315" t="s">
        <v>3858</v>
      </c>
      <c r="M315" s="927" t="s">
        <v>320</v>
      </c>
      <c r="N315" s="927" t="s">
        <v>4269</v>
      </c>
      <c r="O315" s="927" t="s">
        <v>3666</v>
      </c>
      <c r="P315" s="927" t="s">
        <v>322</v>
      </c>
      <c r="Q315" s="927"/>
      <c r="R315" s="927"/>
      <c r="T315">
        <v>1008</v>
      </c>
      <c r="U315">
        <v>966</v>
      </c>
      <c r="V315">
        <v>806</v>
      </c>
      <c r="W315">
        <v>748</v>
      </c>
      <c r="X315">
        <v>546</v>
      </c>
      <c r="Y315">
        <v>504</v>
      </c>
      <c r="Z315">
        <v>538</v>
      </c>
      <c r="AA315">
        <v>563</v>
      </c>
      <c r="AB315">
        <v>588</v>
      </c>
      <c r="AC315">
        <v>813</v>
      </c>
      <c r="AD315">
        <v>672</v>
      </c>
      <c r="AE315">
        <v>840</v>
      </c>
      <c r="AF315" s="927"/>
      <c r="AG315" s="927"/>
      <c r="AH315" s="717"/>
      <c r="AK315" s="927"/>
      <c r="AO315" s="927"/>
      <c r="AP315" s="927"/>
      <c r="AQ315" s="927" t="s">
        <v>4270</v>
      </c>
    </row>
    <row r="316" spans="1:43">
      <c r="A316" s="927" t="s">
        <v>4271</v>
      </c>
      <c r="B316" s="927" t="s">
        <v>4272</v>
      </c>
      <c r="C316" s="927" t="s">
        <v>4273</v>
      </c>
      <c r="D316" s="927" t="s">
        <v>4020</v>
      </c>
      <c r="E316" s="717">
        <v>45553</v>
      </c>
      <c r="F316" s="927"/>
      <c r="G316" s="927"/>
      <c r="I316" s="927"/>
      <c r="J316" s="131"/>
      <c r="K316" s="927" t="s">
        <v>4274</v>
      </c>
      <c r="L316" t="s">
        <v>4275</v>
      </c>
      <c r="M316" s="927" t="s">
        <v>320</v>
      </c>
      <c r="N316" s="927" t="s">
        <v>1346</v>
      </c>
      <c r="O316" s="927" t="s">
        <v>4276</v>
      </c>
      <c r="P316" s="927" t="s">
        <v>322</v>
      </c>
      <c r="Q316" s="927"/>
      <c r="R316" s="927" t="s">
        <v>324</v>
      </c>
      <c r="T316">
        <v>508</v>
      </c>
      <c r="U316">
        <v>507</v>
      </c>
      <c r="V316">
        <v>100</v>
      </c>
      <c r="W316">
        <v>1038</v>
      </c>
      <c r="X316">
        <v>558</v>
      </c>
      <c r="Y316">
        <v>401</v>
      </c>
      <c r="Z316">
        <v>369</v>
      </c>
      <c r="AA316">
        <v>337</v>
      </c>
      <c r="AB316">
        <v>373</v>
      </c>
      <c r="AC316">
        <v>408</v>
      </c>
      <c r="AD316">
        <v>409</v>
      </c>
      <c r="AE316">
        <v>515</v>
      </c>
      <c r="AF316" s="927" t="s">
        <v>1189</v>
      </c>
      <c r="AG316" s="927" t="s">
        <v>1189</v>
      </c>
      <c r="AH316" s="717"/>
      <c r="AI316">
        <v>4.5999999999999996</v>
      </c>
      <c r="AJ316">
        <v>16000</v>
      </c>
      <c r="AK316" s="927"/>
      <c r="AL316">
        <v>8</v>
      </c>
      <c r="AM316">
        <v>575</v>
      </c>
      <c r="AO316" s="927"/>
      <c r="AP316" s="927"/>
      <c r="AQ316" s="927" t="s">
        <v>4277</v>
      </c>
    </row>
    <row r="317" spans="1:43">
      <c r="A317" s="927" t="s">
        <v>4278</v>
      </c>
      <c r="B317" s="927" t="s">
        <v>4279</v>
      </c>
      <c r="C317" s="927" t="s">
        <v>4280</v>
      </c>
      <c r="D317" s="927" t="s">
        <v>4020</v>
      </c>
      <c r="E317" s="717">
        <v>45559</v>
      </c>
      <c r="F317" s="927"/>
      <c r="G317" s="927"/>
      <c r="I317" s="927"/>
      <c r="J317" s="131"/>
      <c r="K317" s="927" t="s">
        <v>4281</v>
      </c>
      <c r="L317" t="s">
        <v>3858</v>
      </c>
      <c r="M317" s="927" t="s">
        <v>320</v>
      </c>
      <c r="N317" s="927" t="s">
        <v>4281</v>
      </c>
      <c r="O317" s="927" t="s">
        <v>4282</v>
      </c>
      <c r="P317" s="927" t="s">
        <v>322</v>
      </c>
      <c r="Q317" s="927"/>
      <c r="R317" s="927"/>
      <c r="T317">
        <v>612</v>
      </c>
      <c r="U317">
        <v>499</v>
      </c>
      <c r="V317">
        <v>552</v>
      </c>
      <c r="W317">
        <v>361</v>
      </c>
      <c r="X317">
        <v>377</v>
      </c>
      <c r="Y317">
        <v>324</v>
      </c>
      <c r="Z317">
        <v>346</v>
      </c>
      <c r="AA317">
        <v>362</v>
      </c>
      <c r="AB317">
        <v>378</v>
      </c>
      <c r="AC317">
        <v>394</v>
      </c>
      <c r="AD317">
        <v>538</v>
      </c>
      <c r="AE317">
        <v>542</v>
      </c>
      <c r="AF317" s="927" t="s">
        <v>1189</v>
      </c>
      <c r="AG317" s="927" t="s">
        <v>1189</v>
      </c>
      <c r="AH317" s="717"/>
      <c r="AI317">
        <v>6.9</v>
      </c>
      <c r="AJ317">
        <v>30660</v>
      </c>
      <c r="AK317" s="927"/>
      <c r="AL317">
        <v>12</v>
      </c>
      <c r="AM317">
        <v>575</v>
      </c>
      <c r="AO317" s="927"/>
      <c r="AP317" s="927"/>
      <c r="AQ317" s="927" t="s">
        <v>4283</v>
      </c>
    </row>
    <row r="318" spans="1:43">
      <c r="A318" s="927" t="s">
        <v>4284</v>
      </c>
      <c r="B318" s="927" t="s">
        <v>4285</v>
      </c>
      <c r="C318" s="927" t="s">
        <v>4286</v>
      </c>
      <c r="D318" s="927" t="s">
        <v>3613</v>
      </c>
      <c r="E318" s="717">
        <v>45560</v>
      </c>
      <c r="F318" s="927"/>
      <c r="G318" s="927"/>
      <c r="I318" s="927"/>
      <c r="J318" s="131"/>
      <c r="K318" s="927" t="s">
        <v>4287</v>
      </c>
      <c r="L318" t="s">
        <v>4288</v>
      </c>
      <c r="M318" s="927" t="s">
        <v>320</v>
      </c>
      <c r="N318" s="927" t="s">
        <v>1346</v>
      </c>
      <c r="O318" s="927" t="s">
        <v>4289</v>
      </c>
      <c r="P318" s="927" t="s">
        <v>322</v>
      </c>
      <c r="Q318" s="927"/>
      <c r="R318" s="927" t="s">
        <v>324</v>
      </c>
      <c r="T318">
        <v>201</v>
      </c>
      <c r="U318">
        <v>299</v>
      </c>
      <c r="V318">
        <v>283</v>
      </c>
      <c r="W318">
        <v>351</v>
      </c>
      <c r="X318">
        <v>364</v>
      </c>
      <c r="Y318">
        <v>343</v>
      </c>
      <c r="Z318">
        <v>454</v>
      </c>
      <c r="AA318">
        <v>568</v>
      </c>
      <c r="AB318">
        <v>581</v>
      </c>
      <c r="AC318">
        <v>620</v>
      </c>
      <c r="AD318">
        <v>539</v>
      </c>
      <c r="AE318">
        <v>499</v>
      </c>
      <c r="AF318" s="927" t="s">
        <v>1189</v>
      </c>
      <c r="AG318" s="927" t="s">
        <v>1189</v>
      </c>
      <c r="AH318" s="717"/>
      <c r="AK318" s="927"/>
      <c r="AO318" s="927"/>
      <c r="AP318" s="927"/>
      <c r="AQ318" s="927" t="s">
        <v>4290</v>
      </c>
    </row>
    <row r="319" spans="1:43">
      <c r="A319" s="927" t="s">
        <v>4292</v>
      </c>
      <c r="B319" s="927" t="s">
        <v>4293</v>
      </c>
      <c r="C319" s="927" t="s">
        <v>4294</v>
      </c>
      <c r="D319" s="927" t="s">
        <v>3613</v>
      </c>
      <c r="E319" s="717">
        <v>45551</v>
      </c>
      <c r="F319" s="927"/>
      <c r="G319" s="927"/>
      <c r="I319" s="927"/>
      <c r="J319" s="131"/>
      <c r="K319" s="927" t="s">
        <v>4295</v>
      </c>
      <c r="L319" t="s">
        <v>4296</v>
      </c>
      <c r="M319" s="927" t="s">
        <v>320</v>
      </c>
      <c r="N319" s="927" t="s">
        <v>1346</v>
      </c>
      <c r="O319" s="927" t="s">
        <v>3996</v>
      </c>
      <c r="P319" s="927" t="s">
        <v>322</v>
      </c>
      <c r="Q319" s="927"/>
      <c r="R319" s="927" t="s">
        <v>438</v>
      </c>
      <c r="T319">
        <v>407</v>
      </c>
      <c r="U319">
        <v>641</v>
      </c>
      <c r="V319">
        <v>560</v>
      </c>
      <c r="W319">
        <v>137</v>
      </c>
      <c r="X319">
        <v>342</v>
      </c>
      <c r="Y319">
        <v>394</v>
      </c>
      <c r="Z319">
        <v>370</v>
      </c>
      <c r="AA319">
        <v>359</v>
      </c>
      <c r="AB319">
        <v>316</v>
      </c>
      <c r="AC319">
        <v>527</v>
      </c>
      <c r="AD319">
        <v>541</v>
      </c>
      <c r="AE319">
        <v>395</v>
      </c>
      <c r="AF319" s="927" t="s">
        <v>1189</v>
      </c>
      <c r="AG319" s="927" t="s">
        <v>1189</v>
      </c>
      <c r="AH319" s="717"/>
      <c r="AK319" s="927"/>
      <c r="AO319" s="927"/>
      <c r="AP319" s="927"/>
      <c r="AQ319" s="927" t="s">
        <v>4297</v>
      </c>
    </row>
    <row r="320" spans="1:43">
      <c r="A320" s="927" t="s">
        <v>4299</v>
      </c>
      <c r="B320" s="927" t="s">
        <v>4298</v>
      </c>
      <c r="C320" s="927" t="s">
        <v>4300</v>
      </c>
      <c r="D320" s="927" t="s">
        <v>3613</v>
      </c>
      <c r="E320" s="717">
        <v>45565</v>
      </c>
      <c r="F320" s="927"/>
      <c r="G320" s="927"/>
      <c r="I320" s="927"/>
      <c r="J320" s="131"/>
      <c r="K320" s="927" t="s">
        <v>4302</v>
      </c>
      <c r="L320" t="s">
        <v>4303</v>
      </c>
      <c r="M320" s="927" t="s">
        <v>320</v>
      </c>
      <c r="N320" s="927" t="s">
        <v>1346</v>
      </c>
      <c r="O320" s="927" t="s">
        <v>3653</v>
      </c>
      <c r="P320" s="927" t="s">
        <v>322</v>
      </c>
      <c r="Q320" s="927"/>
      <c r="R320" s="927" t="s">
        <v>324</v>
      </c>
      <c r="T320">
        <v>532</v>
      </c>
      <c r="U320">
        <v>433</v>
      </c>
      <c r="V320">
        <v>500</v>
      </c>
      <c r="W320">
        <v>623</v>
      </c>
      <c r="X320">
        <v>544</v>
      </c>
      <c r="Y320">
        <v>428</v>
      </c>
      <c r="Z320">
        <v>364</v>
      </c>
      <c r="AA320">
        <v>279</v>
      </c>
      <c r="AB320">
        <v>341</v>
      </c>
      <c r="AC320">
        <v>289</v>
      </c>
      <c r="AD320">
        <v>437</v>
      </c>
      <c r="AE320">
        <v>587</v>
      </c>
      <c r="AF320" s="927" t="s">
        <v>1189</v>
      </c>
      <c r="AG320" s="927" t="s">
        <v>1189</v>
      </c>
      <c r="AH320" s="717"/>
      <c r="AI320">
        <v>5.75</v>
      </c>
      <c r="AJ320">
        <v>24852</v>
      </c>
      <c r="AK320" s="927"/>
      <c r="AL320">
        <v>10</v>
      </c>
      <c r="AM320">
        <v>575</v>
      </c>
      <c r="AO320" s="927"/>
      <c r="AP320" s="927"/>
      <c r="AQ320" s="927" t="s">
        <v>4414</v>
      </c>
    </row>
    <row r="321" spans="1:43">
      <c r="A321" s="927" t="s">
        <v>4304</v>
      </c>
      <c r="B321" s="927" t="s">
        <v>4305</v>
      </c>
      <c r="C321" s="927" t="s">
        <v>4306</v>
      </c>
      <c r="D321" s="927" t="s">
        <v>4301</v>
      </c>
      <c r="E321" s="717">
        <v>45566</v>
      </c>
      <c r="F321" s="927"/>
      <c r="G321" s="927"/>
      <c r="I321" s="927"/>
      <c r="J321" s="131"/>
      <c r="K321" s="927" t="s">
        <v>4307</v>
      </c>
      <c r="L321" t="s">
        <v>4308</v>
      </c>
      <c r="M321" s="927" t="s">
        <v>320</v>
      </c>
      <c r="N321" s="927" t="s">
        <v>1346</v>
      </c>
      <c r="O321" s="927" t="s">
        <v>4309</v>
      </c>
      <c r="P321" s="927" t="s">
        <v>322</v>
      </c>
      <c r="Q321" s="927"/>
      <c r="R321" s="927" t="s">
        <v>324</v>
      </c>
      <c r="T321">
        <v>317</v>
      </c>
      <c r="U321">
        <v>379</v>
      </c>
      <c r="V321">
        <v>353</v>
      </c>
      <c r="W321">
        <v>336</v>
      </c>
      <c r="X321">
        <v>397</v>
      </c>
      <c r="Y321">
        <v>318</v>
      </c>
      <c r="Z321">
        <v>277</v>
      </c>
      <c r="AA321">
        <v>313</v>
      </c>
      <c r="AB321">
        <v>349</v>
      </c>
      <c r="AC321">
        <v>307</v>
      </c>
      <c r="AD321">
        <v>404</v>
      </c>
      <c r="AE321">
        <v>419</v>
      </c>
      <c r="AF321" s="927" t="s">
        <v>1189</v>
      </c>
      <c r="AG321" s="927"/>
      <c r="AH321" s="717"/>
      <c r="AK321" s="927"/>
      <c r="AO321" s="927"/>
      <c r="AP321" s="927"/>
      <c r="AQ321" s="927" t="s">
        <v>4310</v>
      </c>
    </row>
    <row r="322" spans="1:43">
      <c r="A322" s="927" t="s">
        <v>5751</v>
      </c>
      <c r="B322" s="927" t="s">
        <v>4311</v>
      </c>
      <c r="C322" s="927" t="s">
        <v>5752</v>
      </c>
      <c r="D322" s="927" t="s">
        <v>3613</v>
      </c>
      <c r="E322" s="717">
        <v>45565</v>
      </c>
      <c r="F322" s="927"/>
      <c r="G322" s="927"/>
      <c r="I322" s="927"/>
      <c r="J322" s="131"/>
      <c r="K322" s="927" t="s">
        <v>4312</v>
      </c>
      <c r="L322" t="s">
        <v>4313</v>
      </c>
      <c r="M322" s="927" t="s">
        <v>320</v>
      </c>
      <c r="N322" s="927" t="s">
        <v>1346</v>
      </c>
      <c r="O322" s="927" t="s">
        <v>4314</v>
      </c>
      <c r="P322" s="927" t="s">
        <v>322</v>
      </c>
      <c r="Q322" s="927"/>
      <c r="R322" s="927" t="s">
        <v>324</v>
      </c>
      <c r="T322">
        <v>370</v>
      </c>
      <c r="U322">
        <v>360</v>
      </c>
      <c r="V322">
        <v>370</v>
      </c>
      <c r="W322">
        <v>370</v>
      </c>
      <c r="X322">
        <v>430</v>
      </c>
      <c r="Y322">
        <v>360</v>
      </c>
      <c r="Z322">
        <v>390</v>
      </c>
      <c r="AA322">
        <v>360</v>
      </c>
      <c r="AB322">
        <v>340</v>
      </c>
      <c r="AC322">
        <v>380</v>
      </c>
      <c r="AD322">
        <v>330</v>
      </c>
      <c r="AE322">
        <v>320</v>
      </c>
      <c r="AF322" s="927" t="s">
        <v>1189</v>
      </c>
      <c r="AG322" s="927"/>
      <c r="AH322" s="717"/>
      <c r="AK322" s="927"/>
      <c r="AO322" s="927"/>
      <c r="AP322" s="927"/>
      <c r="AQ322" s="927" t="s">
        <v>4315</v>
      </c>
    </row>
    <row r="323" spans="1:43">
      <c r="A323" s="927" t="s">
        <v>4316</v>
      </c>
      <c r="B323" s="927" t="s">
        <v>4317</v>
      </c>
      <c r="C323" s="927" t="s">
        <v>4318</v>
      </c>
      <c r="D323" s="927" t="s">
        <v>4301</v>
      </c>
      <c r="E323" s="717">
        <v>45547</v>
      </c>
      <c r="F323" s="927"/>
      <c r="G323" s="927"/>
      <c r="I323" s="927"/>
      <c r="J323" s="131"/>
      <c r="K323" s="927" t="s">
        <v>4319</v>
      </c>
      <c r="L323" t="s">
        <v>3839</v>
      </c>
      <c r="M323" s="927" t="s">
        <v>320</v>
      </c>
      <c r="N323" s="927" t="s">
        <v>3655</v>
      </c>
      <c r="O323" s="927" t="s">
        <v>4320</v>
      </c>
      <c r="P323" s="927" t="s">
        <v>379</v>
      </c>
      <c r="Q323" s="927"/>
      <c r="R323" s="927" t="s">
        <v>555</v>
      </c>
      <c r="T323">
        <v>250</v>
      </c>
      <c r="U323">
        <v>470</v>
      </c>
      <c r="V323">
        <v>186</v>
      </c>
      <c r="W323">
        <v>182</v>
      </c>
      <c r="X323">
        <v>195</v>
      </c>
      <c r="Y323">
        <v>190</v>
      </c>
      <c r="Z323">
        <v>187</v>
      </c>
      <c r="AA323">
        <v>212</v>
      </c>
      <c r="AB323">
        <v>177</v>
      </c>
      <c r="AC323">
        <v>177</v>
      </c>
      <c r="AD323">
        <v>229</v>
      </c>
      <c r="AE323">
        <v>250</v>
      </c>
      <c r="AF323" s="927" t="s">
        <v>1189</v>
      </c>
      <c r="AG323" s="927" t="s">
        <v>1189</v>
      </c>
      <c r="AH323" s="717"/>
      <c r="AK323" s="927"/>
      <c r="AO323" s="927"/>
      <c r="AP323" s="927"/>
      <c r="AQ323" s="927"/>
    </row>
    <row r="324" spans="1:43">
      <c r="A324" s="927" t="s">
        <v>4321</v>
      </c>
      <c r="B324" s="927" t="s">
        <v>4322</v>
      </c>
      <c r="C324" s="927" t="s">
        <v>4323</v>
      </c>
      <c r="D324" s="927" t="s">
        <v>4209</v>
      </c>
      <c r="E324" s="717">
        <v>45530</v>
      </c>
      <c r="F324" s="927"/>
      <c r="G324" s="927"/>
      <c r="I324" s="927"/>
      <c r="J324" s="131"/>
      <c r="K324" s="927" t="s">
        <v>4423</v>
      </c>
      <c r="L324" t="s">
        <v>4424</v>
      </c>
      <c r="M324" s="927" t="s">
        <v>320</v>
      </c>
      <c r="N324" s="927" t="s">
        <v>1346</v>
      </c>
      <c r="O324" s="927" t="s">
        <v>3923</v>
      </c>
      <c r="P324" s="927" t="s">
        <v>322</v>
      </c>
      <c r="Q324" s="927"/>
      <c r="R324" s="927" t="s">
        <v>324</v>
      </c>
      <c r="T324">
        <v>32800</v>
      </c>
      <c r="U324">
        <v>32800</v>
      </c>
      <c r="V324">
        <v>20720</v>
      </c>
      <c r="W324">
        <v>800</v>
      </c>
      <c r="X324">
        <v>1520</v>
      </c>
      <c r="Y324">
        <v>14720</v>
      </c>
      <c r="Z324">
        <v>26720</v>
      </c>
      <c r="AA324">
        <v>31440</v>
      </c>
      <c r="AB324">
        <v>30960</v>
      </c>
      <c r="AC324">
        <v>27520</v>
      </c>
      <c r="AD324">
        <v>32720</v>
      </c>
      <c r="AE324">
        <v>35200</v>
      </c>
      <c r="AF324" s="927" t="s">
        <v>1189</v>
      </c>
      <c r="AG324" s="927" t="s">
        <v>1420</v>
      </c>
      <c r="AH324" s="717"/>
      <c r="AI324">
        <v>142.5</v>
      </c>
      <c r="AJ324">
        <v>485800</v>
      </c>
      <c r="AK324" s="927"/>
      <c r="AL324">
        <v>250</v>
      </c>
      <c r="AM324">
        <v>570</v>
      </c>
      <c r="AO324" s="927"/>
      <c r="AP324" s="927"/>
      <c r="AQ324" s="927" t="s">
        <v>4518</v>
      </c>
    </row>
    <row r="325" spans="1:43">
      <c r="A325" s="927" t="s">
        <v>4324</v>
      </c>
      <c r="B325" s="927" t="s">
        <v>4325</v>
      </c>
      <c r="C325" s="927" t="s">
        <v>4326</v>
      </c>
      <c r="D325" s="927" t="s">
        <v>1187</v>
      </c>
      <c r="E325" s="717">
        <v>45568</v>
      </c>
      <c r="F325" s="927"/>
      <c r="G325" s="927"/>
      <c r="I325" s="927"/>
      <c r="J325" s="131"/>
      <c r="K325" s="927" t="s">
        <v>4327</v>
      </c>
      <c r="L325" t="s">
        <v>4328</v>
      </c>
      <c r="M325" s="927" t="s">
        <v>320</v>
      </c>
      <c r="N325" s="927" t="s">
        <v>1346</v>
      </c>
      <c r="O325" s="927" t="s">
        <v>1347</v>
      </c>
      <c r="P325" s="927" t="s">
        <v>322</v>
      </c>
      <c r="Q325" s="927"/>
      <c r="R325" s="927"/>
      <c r="T325">
        <v>1152</v>
      </c>
      <c r="U325">
        <v>1104</v>
      </c>
      <c r="V325">
        <v>922</v>
      </c>
      <c r="W325">
        <v>854</v>
      </c>
      <c r="X325">
        <v>624</v>
      </c>
      <c r="Y325">
        <v>576</v>
      </c>
      <c r="Z325">
        <v>614</v>
      </c>
      <c r="AA325">
        <v>643</v>
      </c>
      <c r="AB325">
        <v>672</v>
      </c>
      <c r="AC325">
        <v>711</v>
      </c>
      <c r="AD325">
        <v>768</v>
      </c>
      <c r="AE325">
        <v>960</v>
      </c>
      <c r="AF325" s="927"/>
      <c r="AG325" s="927"/>
      <c r="AH325" s="717"/>
      <c r="AI325">
        <v>7.98</v>
      </c>
      <c r="AK325" s="927"/>
      <c r="AL325">
        <v>14</v>
      </c>
      <c r="AM325">
        <v>570</v>
      </c>
      <c r="AO325" s="927"/>
      <c r="AP325" s="927"/>
      <c r="AQ325" s="927" t="s">
        <v>4329</v>
      </c>
    </row>
    <row r="326" spans="1:43">
      <c r="A326" s="927" t="s">
        <v>4330</v>
      </c>
      <c r="B326" s="927" t="s">
        <v>4331</v>
      </c>
      <c r="C326" s="927" t="s">
        <v>4332</v>
      </c>
      <c r="D326" s="927" t="s">
        <v>4301</v>
      </c>
      <c r="E326" s="717">
        <v>45566</v>
      </c>
      <c r="F326" s="927"/>
      <c r="G326" s="927"/>
      <c r="I326" s="927"/>
      <c r="J326" s="131"/>
      <c r="K326" s="927" t="s">
        <v>1419</v>
      </c>
      <c r="L326" t="s">
        <v>3833</v>
      </c>
      <c r="M326" s="927" t="s">
        <v>320</v>
      </c>
      <c r="N326" s="927" t="s">
        <v>1346</v>
      </c>
      <c r="O326" s="927" t="s">
        <v>3653</v>
      </c>
      <c r="P326" s="927" t="s">
        <v>322</v>
      </c>
      <c r="Q326" s="927"/>
      <c r="R326" s="927" t="s">
        <v>324</v>
      </c>
      <c r="T326">
        <v>639</v>
      </c>
      <c r="U326">
        <v>721</v>
      </c>
      <c r="V326">
        <v>608</v>
      </c>
      <c r="W326">
        <v>588</v>
      </c>
      <c r="X326">
        <v>318</v>
      </c>
      <c r="Y326">
        <v>779</v>
      </c>
      <c r="Z326">
        <v>474</v>
      </c>
      <c r="AA326">
        <v>441</v>
      </c>
      <c r="AB326">
        <v>514</v>
      </c>
      <c r="AC326">
        <v>564</v>
      </c>
      <c r="AD326">
        <v>487</v>
      </c>
      <c r="AE326">
        <v>717</v>
      </c>
      <c r="AF326" s="927" t="s">
        <v>1189</v>
      </c>
      <c r="AG326" s="927" t="s">
        <v>1189</v>
      </c>
      <c r="AH326" s="717"/>
      <c r="AK326" s="927"/>
      <c r="AO326" s="927"/>
      <c r="AP326" s="927"/>
      <c r="AQ326" s="927" t="s">
        <v>4333</v>
      </c>
    </row>
    <row r="327" spans="1:43">
      <c r="A327" s="927" t="s">
        <v>4334</v>
      </c>
      <c r="B327" s="927" t="s">
        <v>4335</v>
      </c>
      <c r="C327" s="927" t="s">
        <v>4336</v>
      </c>
      <c r="D327" s="927" t="s">
        <v>3613</v>
      </c>
      <c r="E327" s="717">
        <v>45573</v>
      </c>
      <c r="F327" s="927"/>
      <c r="G327" s="927"/>
      <c r="I327" s="927"/>
      <c r="J327" s="131"/>
      <c r="K327" s="927" t="s">
        <v>4337</v>
      </c>
      <c r="L327" t="s">
        <v>4338</v>
      </c>
      <c r="M327" s="927" t="s">
        <v>320</v>
      </c>
      <c r="N327" s="927" t="s">
        <v>4140</v>
      </c>
      <c r="O327" s="927" t="s">
        <v>4339</v>
      </c>
      <c r="P327" s="927" t="s">
        <v>379</v>
      </c>
      <c r="Q327" s="927"/>
      <c r="R327" s="927" t="s">
        <v>555</v>
      </c>
      <c r="T327">
        <v>274</v>
      </c>
      <c r="U327">
        <v>253</v>
      </c>
      <c r="V327">
        <v>227</v>
      </c>
      <c r="W327">
        <v>223</v>
      </c>
      <c r="X327">
        <v>224</v>
      </c>
      <c r="Y327">
        <v>245</v>
      </c>
      <c r="Z327">
        <v>234</v>
      </c>
      <c r="AA327">
        <v>291</v>
      </c>
      <c r="AB327">
        <v>259</v>
      </c>
      <c r="AC327">
        <v>332</v>
      </c>
      <c r="AD327">
        <v>174</v>
      </c>
      <c r="AE327">
        <v>165</v>
      </c>
      <c r="AF327" s="927" t="s">
        <v>1189</v>
      </c>
      <c r="AG327" s="927" t="s">
        <v>1189</v>
      </c>
      <c r="AH327" s="717"/>
      <c r="AK327" s="927"/>
      <c r="AO327" s="927"/>
      <c r="AP327" s="927"/>
      <c r="AQ327" s="927" t="s">
        <v>4340</v>
      </c>
    </row>
    <row r="328" spans="1:43">
      <c r="A328" s="927" t="s">
        <v>4341</v>
      </c>
      <c r="B328" s="927" t="s">
        <v>4342</v>
      </c>
      <c r="C328" s="927" t="s">
        <v>4343</v>
      </c>
      <c r="D328" s="927" t="s">
        <v>3613</v>
      </c>
      <c r="E328" s="717">
        <v>45573</v>
      </c>
      <c r="F328" s="927"/>
      <c r="G328" s="927"/>
      <c r="I328" s="927"/>
      <c r="J328" s="131"/>
      <c r="K328" s="927" t="s">
        <v>4344</v>
      </c>
      <c r="L328" t="s">
        <v>3839</v>
      </c>
      <c r="M328" s="927" t="s">
        <v>320</v>
      </c>
      <c r="N328" s="927" t="s">
        <v>3655</v>
      </c>
      <c r="O328" s="927" t="s">
        <v>1487</v>
      </c>
      <c r="P328" s="927" t="s">
        <v>379</v>
      </c>
      <c r="Q328" s="927"/>
      <c r="R328" s="927" t="s">
        <v>555</v>
      </c>
      <c r="T328">
        <v>585</v>
      </c>
      <c r="U328">
        <v>813</v>
      </c>
      <c r="V328">
        <v>487</v>
      </c>
      <c r="W328">
        <v>780</v>
      </c>
      <c r="X328">
        <v>766</v>
      </c>
      <c r="Y328">
        <v>534</v>
      </c>
      <c r="Z328">
        <v>668</v>
      </c>
      <c r="AA328">
        <v>559</v>
      </c>
      <c r="AB328">
        <v>649</v>
      </c>
      <c r="AC328">
        <v>568</v>
      </c>
      <c r="AD328">
        <v>537</v>
      </c>
      <c r="AE328">
        <v>667</v>
      </c>
      <c r="AF328" s="927" t="s">
        <v>1189</v>
      </c>
      <c r="AG328" s="927" t="s">
        <v>1420</v>
      </c>
      <c r="AH328" s="717"/>
      <c r="AK328" s="927"/>
      <c r="AO328" s="927"/>
      <c r="AP328" s="927"/>
      <c r="AQ328" s="927" t="s">
        <v>4345</v>
      </c>
    </row>
    <row r="329" spans="1:43">
      <c r="A329" s="927" t="s">
        <v>4348</v>
      </c>
      <c r="B329" s="927" t="s">
        <v>4349</v>
      </c>
      <c r="C329" s="927" t="s">
        <v>4350</v>
      </c>
      <c r="D329" s="927" t="s">
        <v>3613</v>
      </c>
      <c r="E329" s="717">
        <v>45575</v>
      </c>
      <c r="F329" s="927"/>
      <c r="G329" s="927"/>
      <c r="I329" s="927"/>
      <c r="J329" s="131"/>
      <c r="K329" s="927" t="s">
        <v>4351</v>
      </c>
      <c r="L329" t="s">
        <v>4352</v>
      </c>
      <c r="M329" s="927" t="s">
        <v>320</v>
      </c>
      <c r="N329" s="927" t="s">
        <v>1346</v>
      </c>
      <c r="O329" s="927" t="s">
        <v>82</v>
      </c>
      <c r="P329" s="927" t="s">
        <v>322</v>
      </c>
      <c r="Q329" s="927"/>
      <c r="R329" s="927"/>
      <c r="T329">
        <v>1541</v>
      </c>
      <c r="U329">
        <v>1477</v>
      </c>
      <c r="V329">
        <v>1233</v>
      </c>
      <c r="W329">
        <v>1143</v>
      </c>
      <c r="X329">
        <v>835</v>
      </c>
      <c r="Y329">
        <v>770</v>
      </c>
      <c r="Z329">
        <v>822</v>
      </c>
      <c r="AA329">
        <v>860</v>
      </c>
      <c r="AB329">
        <v>899</v>
      </c>
      <c r="AC329">
        <v>937</v>
      </c>
      <c r="AD329">
        <v>1027</v>
      </c>
      <c r="AE329">
        <v>1284</v>
      </c>
      <c r="AF329" s="927" t="s">
        <v>1189</v>
      </c>
      <c r="AG329" s="927" t="s">
        <v>1189</v>
      </c>
      <c r="AH329" s="717"/>
      <c r="AK329" s="927"/>
      <c r="AO329" s="927"/>
      <c r="AP329" s="927"/>
      <c r="AQ329" s="927" t="s">
        <v>4353</v>
      </c>
    </row>
    <row r="330" spans="1:43">
      <c r="A330" s="927" t="s">
        <v>4354</v>
      </c>
      <c r="B330" s="927" t="s">
        <v>4355</v>
      </c>
      <c r="C330" s="927" t="s">
        <v>4356</v>
      </c>
      <c r="D330" s="927" t="s">
        <v>3613</v>
      </c>
      <c r="E330" s="717">
        <v>45580</v>
      </c>
      <c r="F330" s="927"/>
      <c r="G330" s="927"/>
      <c r="I330" s="927"/>
      <c r="J330" s="131"/>
      <c r="K330" s="927" t="s">
        <v>4357</v>
      </c>
      <c r="L330" t="s">
        <v>4358</v>
      </c>
      <c r="M330" s="927" t="s">
        <v>320</v>
      </c>
      <c r="N330" s="927" t="s">
        <v>1346</v>
      </c>
      <c r="O330" s="927" t="s">
        <v>4359</v>
      </c>
      <c r="P330" s="927" t="s">
        <v>322</v>
      </c>
      <c r="Q330" s="927"/>
      <c r="R330" s="927"/>
      <c r="T330">
        <v>23000</v>
      </c>
      <c r="U330">
        <v>23000</v>
      </c>
      <c r="V330">
        <v>23000</v>
      </c>
      <c r="W330">
        <v>21000</v>
      </c>
      <c r="X330">
        <v>20000</v>
      </c>
      <c r="Y330">
        <v>17000</v>
      </c>
      <c r="Z330">
        <v>17000</v>
      </c>
      <c r="AA330">
        <v>18000</v>
      </c>
      <c r="AB330">
        <v>19000</v>
      </c>
      <c r="AC330">
        <v>20000</v>
      </c>
      <c r="AD330">
        <v>20000</v>
      </c>
      <c r="AE330">
        <v>21000</v>
      </c>
      <c r="AF330" s="927"/>
      <c r="AG330" s="927"/>
      <c r="AH330" s="717"/>
      <c r="AK330" s="927"/>
      <c r="AO330" s="927"/>
      <c r="AP330" s="927"/>
      <c r="AQ330" s="927" t="s">
        <v>4360</v>
      </c>
    </row>
    <row r="331" spans="1:43">
      <c r="A331" s="927" t="s">
        <v>4361</v>
      </c>
      <c r="B331" s="927" t="s">
        <v>4362</v>
      </c>
      <c r="C331" s="927" t="s">
        <v>4363</v>
      </c>
      <c r="D331" s="927" t="s">
        <v>3613</v>
      </c>
      <c r="E331" s="717">
        <v>45579</v>
      </c>
      <c r="F331" s="927"/>
      <c r="G331" s="927"/>
      <c r="I331" s="927"/>
      <c r="J331" s="131"/>
      <c r="K331" s="927" t="s">
        <v>4364</v>
      </c>
      <c r="L331" t="s">
        <v>4365</v>
      </c>
      <c r="M331" s="927" t="s">
        <v>320</v>
      </c>
      <c r="N331" s="927" t="s">
        <v>4364</v>
      </c>
      <c r="O331" s="927" t="s">
        <v>4366</v>
      </c>
      <c r="P331" s="927" t="s">
        <v>379</v>
      </c>
      <c r="Q331" s="927"/>
      <c r="R331" s="927"/>
      <c r="T331">
        <v>618</v>
      </c>
      <c r="U331">
        <v>559</v>
      </c>
      <c r="V331">
        <v>712</v>
      </c>
      <c r="W331">
        <v>568</v>
      </c>
      <c r="X331">
        <v>546</v>
      </c>
      <c r="Y331">
        <v>452</v>
      </c>
      <c r="Z331">
        <v>411</v>
      </c>
      <c r="AA331">
        <v>411</v>
      </c>
      <c r="AB331">
        <v>485</v>
      </c>
      <c r="AC331">
        <v>531</v>
      </c>
      <c r="AD331">
        <v>366</v>
      </c>
      <c r="AE331">
        <v>594</v>
      </c>
      <c r="AF331" s="927"/>
      <c r="AG331" s="927" t="s">
        <v>1189</v>
      </c>
      <c r="AH331" s="717"/>
      <c r="AK331" s="927"/>
      <c r="AO331" s="927"/>
      <c r="AP331" s="927"/>
      <c r="AQ331" s="927" t="s">
        <v>4367</v>
      </c>
    </row>
    <row r="332" spans="1:43">
      <c r="A332" s="927" t="s">
        <v>5753</v>
      </c>
      <c r="B332" s="927" t="s">
        <v>4372</v>
      </c>
      <c r="C332" s="927" t="s">
        <v>5754</v>
      </c>
      <c r="D332" s="927" t="s">
        <v>3613</v>
      </c>
      <c r="E332" s="717">
        <v>45580</v>
      </c>
      <c r="F332" s="927"/>
      <c r="G332" s="927"/>
      <c r="H332" t="s">
        <v>4373</v>
      </c>
      <c r="I332" s="927"/>
      <c r="J332" s="131"/>
      <c r="K332" s="927" t="s">
        <v>306</v>
      </c>
      <c r="M332" s="927" t="s">
        <v>306</v>
      </c>
      <c r="N332" s="927" t="s">
        <v>306</v>
      </c>
      <c r="O332" s="927" t="s">
        <v>306</v>
      </c>
      <c r="P332" s="927" t="s">
        <v>379</v>
      </c>
      <c r="Q332" s="927"/>
      <c r="R332" s="927" t="s">
        <v>324</v>
      </c>
      <c r="T332">
        <v>3312</v>
      </c>
      <c r="U332">
        <v>3174</v>
      </c>
      <c r="V332">
        <v>2650</v>
      </c>
      <c r="W332">
        <v>2456</v>
      </c>
      <c r="X332">
        <v>1794</v>
      </c>
      <c r="Y332">
        <v>1656</v>
      </c>
      <c r="Z332">
        <v>1766</v>
      </c>
      <c r="AA332">
        <v>1849</v>
      </c>
      <c r="AB332">
        <v>1932</v>
      </c>
      <c r="AC332">
        <v>2015</v>
      </c>
      <c r="AD332">
        <v>2208</v>
      </c>
      <c r="AE332">
        <v>2760</v>
      </c>
      <c r="AF332" s="927"/>
      <c r="AG332" s="927" t="s">
        <v>1420</v>
      </c>
      <c r="AH332" s="717"/>
      <c r="AK332" s="927"/>
      <c r="AO332" s="927"/>
      <c r="AP332" s="927"/>
      <c r="AQ332" s="927" t="s">
        <v>4374</v>
      </c>
    </row>
    <row r="333" spans="1:43">
      <c r="A333" s="927" t="s">
        <v>4368</v>
      </c>
      <c r="B333" s="927" t="s">
        <v>4369</v>
      </c>
      <c r="C333" s="927" t="s">
        <v>4370</v>
      </c>
      <c r="D333" s="927" t="s">
        <v>3613</v>
      </c>
      <c r="E333" s="717">
        <v>45581</v>
      </c>
      <c r="F333" s="927"/>
      <c r="G333" s="927"/>
      <c r="I333" s="927"/>
      <c r="J333" s="131"/>
      <c r="K333" s="927" t="s">
        <v>4364</v>
      </c>
      <c r="L333" t="s">
        <v>4365</v>
      </c>
      <c r="M333" s="927" t="s">
        <v>320</v>
      </c>
      <c r="N333" s="927" t="s">
        <v>4364</v>
      </c>
      <c r="O333" s="927" t="s">
        <v>4366</v>
      </c>
      <c r="P333" s="927" t="s">
        <v>379</v>
      </c>
      <c r="Q333" s="927"/>
      <c r="R333" s="927"/>
      <c r="AF333" s="927"/>
      <c r="AG333" s="927"/>
      <c r="AH333" s="717"/>
      <c r="AK333" s="927"/>
      <c r="AO333" s="927"/>
      <c r="AP333" s="927"/>
      <c r="AQ333" s="927" t="s">
        <v>4371</v>
      </c>
    </row>
    <row r="334" spans="1:43">
      <c r="A334" s="927" t="s">
        <v>4375</v>
      </c>
      <c r="B334" s="927" t="s">
        <v>4376</v>
      </c>
      <c r="C334" s="927" t="s">
        <v>4377</v>
      </c>
      <c r="D334" s="927" t="s">
        <v>3613</v>
      </c>
      <c r="E334" s="717">
        <v>45498</v>
      </c>
      <c r="F334" s="927"/>
      <c r="G334" s="927"/>
      <c r="H334" t="s">
        <v>4378</v>
      </c>
      <c r="I334" s="927"/>
      <c r="J334" s="131"/>
      <c r="K334" s="927" t="s">
        <v>4379</v>
      </c>
      <c r="L334" t="s">
        <v>4380</v>
      </c>
      <c r="M334" s="927" t="s">
        <v>320</v>
      </c>
      <c r="N334" s="927" t="s">
        <v>1346</v>
      </c>
      <c r="O334" s="927" t="s">
        <v>1481</v>
      </c>
      <c r="P334" s="927" t="s">
        <v>322</v>
      </c>
      <c r="Q334" s="927"/>
      <c r="R334" s="927"/>
      <c r="T334">
        <v>4320</v>
      </c>
      <c r="U334">
        <v>3754</v>
      </c>
      <c r="V334">
        <v>3273</v>
      </c>
      <c r="W334">
        <v>2793</v>
      </c>
      <c r="X334">
        <v>2325</v>
      </c>
      <c r="Y334">
        <v>2143</v>
      </c>
      <c r="Z334">
        <v>2157</v>
      </c>
      <c r="AA334">
        <v>2412</v>
      </c>
      <c r="AB334">
        <v>2520</v>
      </c>
      <c r="AC334">
        <v>2628</v>
      </c>
      <c r="AD334">
        <v>2880</v>
      </c>
      <c r="AE334">
        <v>3600</v>
      </c>
      <c r="AF334" s="927" t="s">
        <v>1420</v>
      </c>
      <c r="AG334" s="927"/>
      <c r="AH334" s="717"/>
      <c r="AK334" s="927"/>
      <c r="AO334" s="927"/>
      <c r="AP334" s="927"/>
      <c r="AQ334" s="927" t="s">
        <v>4381</v>
      </c>
    </row>
    <row r="335" spans="1:43">
      <c r="A335" s="927" t="s">
        <v>4382</v>
      </c>
      <c r="B335" s="927" t="s">
        <v>4383</v>
      </c>
      <c r="C335" s="927" t="s">
        <v>4384</v>
      </c>
      <c r="D335" s="927" t="s">
        <v>3613</v>
      </c>
      <c r="E335" s="717">
        <v>45561</v>
      </c>
      <c r="F335" s="927"/>
      <c r="G335" s="927"/>
      <c r="H335" t="s">
        <v>4385</v>
      </c>
      <c r="I335" s="927"/>
      <c r="J335" s="131"/>
      <c r="K335" s="927" t="s">
        <v>4386</v>
      </c>
      <c r="L335" t="s">
        <v>4387</v>
      </c>
      <c r="M335" s="927" t="s">
        <v>320</v>
      </c>
      <c r="N335" s="927" t="s">
        <v>1346</v>
      </c>
      <c r="O335" s="927" t="s">
        <v>4388</v>
      </c>
      <c r="P335" s="927" t="s">
        <v>322</v>
      </c>
      <c r="Q335" s="927"/>
      <c r="R335" s="927"/>
      <c r="T335">
        <v>684</v>
      </c>
      <c r="U335">
        <v>684</v>
      </c>
      <c r="V335">
        <v>648</v>
      </c>
      <c r="W335">
        <v>576</v>
      </c>
      <c r="X335">
        <v>540</v>
      </c>
      <c r="Y335">
        <v>504</v>
      </c>
      <c r="Z335">
        <v>504</v>
      </c>
      <c r="AA335">
        <v>540</v>
      </c>
      <c r="AB335">
        <v>540</v>
      </c>
      <c r="AC335">
        <v>612</v>
      </c>
      <c r="AD335">
        <v>648</v>
      </c>
      <c r="AE335">
        <v>684</v>
      </c>
      <c r="AF335" s="927" t="s">
        <v>1189</v>
      </c>
      <c r="AG335" s="927" t="s">
        <v>1189</v>
      </c>
      <c r="AH335" s="717"/>
      <c r="AK335" s="927"/>
      <c r="AO335" s="927"/>
      <c r="AP335" s="927"/>
      <c r="AQ335" s="927" t="s">
        <v>4389</v>
      </c>
    </row>
    <row r="336" spans="1:43">
      <c r="A336" s="927" t="s">
        <v>4390</v>
      </c>
      <c r="B336" s="927" t="s">
        <v>4391</v>
      </c>
      <c r="C336" s="927" t="s">
        <v>4392</v>
      </c>
      <c r="D336" s="927" t="s">
        <v>3613</v>
      </c>
      <c r="E336" s="717">
        <v>45569</v>
      </c>
      <c r="F336" s="927"/>
      <c r="G336" s="927"/>
      <c r="I336" s="927"/>
      <c r="J336" s="131"/>
      <c r="K336" s="927" t="s">
        <v>4393</v>
      </c>
      <c r="L336" t="s">
        <v>4146</v>
      </c>
      <c r="M336" s="927" t="s">
        <v>320</v>
      </c>
      <c r="N336" s="927" t="s">
        <v>4393</v>
      </c>
      <c r="O336" s="927" t="s">
        <v>4394</v>
      </c>
      <c r="P336" s="927" t="s">
        <v>379</v>
      </c>
      <c r="Q336" s="927"/>
      <c r="R336" s="927"/>
      <c r="T336">
        <v>792</v>
      </c>
      <c r="U336">
        <v>792</v>
      </c>
      <c r="V336">
        <v>660</v>
      </c>
      <c r="W336">
        <v>594</v>
      </c>
      <c r="X336">
        <v>341</v>
      </c>
      <c r="Y336">
        <v>312</v>
      </c>
      <c r="Z336">
        <v>258</v>
      </c>
      <c r="AA336">
        <v>299</v>
      </c>
      <c r="AB336">
        <v>462</v>
      </c>
      <c r="AC336">
        <v>462</v>
      </c>
      <c r="AD336">
        <v>528</v>
      </c>
      <c r="AE336">
        <v>600</v>
      </c>
      <c r="AF336" s="927" t="s">
        <v>1189</v>
      </c>
      <c r="AG336" s="927" t="s">
        <v>1189</v>
      </c>
      <c r="AH336" s="717"/>
      <c r="AK336" s="927"/>
      <c r="AO336" s="927"/>
      <c r="AP336" s="927"/>
      <c r="AQ336" s="927" t="s">
        <v>4395</v>
      </c>
    </row>
    <row r="337" spans="1:43">
      <c r="A337" s="927" t="s">
        <v>4396</v>
      </c>
      <c r="B337" s="927" t="s">
        <v>4397</v>
      </c>
      <c r="C337" s="927" t="s">
        <v>4398</v>
      </c>
      <c r="D337" s="927" t="s">
        <v>1187</v>
      </c>
      <c r="E337" s="717">
        <v>45579</v>
      </c>
      <c r="F337" s="927"/>
      <c r="G337" s="927"/>
      <c r="I337" s="927"/>
      <c r="J337" s="131"/>
      <c r="K337" s="927" t="s">
        <v>877</v>
      </c>
      <c r="L337" t="s">
        <v>4399</v>
      </c>
      <c r="M337" s="927" t="s">
        <v>320</v>
      </c>
      <c r="N337" s="927" t="s">
        <v>1346</v>
      </c>
      <c r="O337" s="927" t="s">
        <v>3895</v>
      </c>
      <c r="P337" s="927" t="s">
        <v>322</v>
      </c>
      <c r="Q337" s="927"/>
      <c r="R337" s="927"/>
      <c r="T337">
        <v>1440</v>
      </c>
      <c r="U337">
        <v>1380</v>
      </c>
      <c r="V337">
        <v>1152</v>
      </c>
      <c r="W337">
        <v>1068</v>
      </c>
      <c r="X337">
        <v>780</v>
      </c>
      <c r="Y337">
        <v>720</v>
      </c>
      <c r="Z337">
        <v>768</v>
      </c>
      <c r="AA337">
        <v>804</v>
      </c>
      <c r="AB337">
        <v>840</v>
      </c>
      <c r="AC337">
        <v>876</v>
      </c>
      <c r="AD337">
        <v>960</v>
      </c>
      <c r="AE337">
        <v>1200</v>
      </c>
      <c r="AF337" s="927" t="s">
        <v>1420</v>
      </c>
      <c r="AG337" s="927"/>
      <c r="AH337" s="717"/>
      <c r="AI337">
        <v>11.4</v>
      </c>
      <c r="AK337" s="927"/>
      <c r="AL337">
        <v>20</v>
      </c>
      <c r="AM337">
        <v>570</v>
      </c>
      <c r="AO337" s="927"/>
      <c r="AP337" s="927"/>
      <c r="AQ337" s="927" t="s">
        <v>4400</v>
      </c>
    </row>
    <row r="338" spans="1:43">
      <c r="A338" s="927" t="s">
        <v>4401</v>
      </c>
      <c r="B338" s="927" t="s">
        <v>4402</v>
      </c>
      <c r="C338" s="927" t="s">
        <v>4403</v>
      </c>
      <c r="D338" s="927" t="s">
        <v>4209</v>
      </c>
      <c r="E338" s="717">
        <v>45583</v>
      </c>
      <c r="F338" s="927"/>
      <c r="G338" s="927"/>
      <c r="I338" s="927"/>
      <c r="J338" s="131"/>
      <c r="K338" s="927" t="s">
        <v>4404</v>
      </c>
      <c r="L338" t="s">
        <v>4405</v>
      </c>
      <c r="M338" s="927" t="s">
        <v>320</v>
      </c>
      <c r="N338" s="927" t="s">
        <v>1346</v>
      </c>
      <c r="O338" s="927" t="s">
        <v>4406</v>
      </c>
      <c r="P338" s="927" t="s">
        <v>322</v>
      </c>
      <c r="Q338" s="927"/>
      <c r="R338" s="927" t="s">
        <v>324</v>
      </c>
      <c r="T338">
        <v>958</v>
      </c>
      <c r="U338">
        <v>929</v>
      </c>
      <c r="V338">
        <v>1044</v>
      </c>
      <c r="W338">
        <v>864</v>
      </c>
      <c r="X338">
        <v>1064</v>
      </c>
      <c r="Y338">
        <v>756</v>
      </c>
      <c r="Z338">
        <v>677</v>
      </c>
      <c r="AA338">
        <v>714</v>
      </c>
      <c r="AB338">
        <v>815</v>
      </c>
      <c r="AC338">
        <v>704</v>
      </c>
      <c r="AD338">
        <v>907</v>
      </c>
      <c r="AE338">
        <v>872</v>
      </c>
      <c r="AF338" s="927" t="s">
        <v>1189</v>
      </c>
      <c r="AG338" s="927" t="s">
        <v>1189</v>
      </c>
      <c r="AH338" s="717"/>
      <c r="AK338" s="927"/>
      <c r="AO338" s="927"/>
      <c r="AP338" s="927"/>
      <c r="AQ338" s="927" t="s">
        <v>4407</v>
      </c>
    </row>
    <row r="339" spans="1:43">
      <c r="A339" s="927" t="s">
        <v>4415</v>
      </c>
      <c r="B339" s="927" t="s">
        <v>4416</v>
      </c>
      <c r="C339" s="927" t="s">
        <v>4417</v>
      </c>
      <c r="D339" s="927" t="s">
        <v>3613</v>
      </c>
      <c r="E339" s="717">
        <v>45583</v>
      </c>
      <c r="F339" s="927"/>
      <c r="G339" s="927"/>
      <c r="H339" t="s">
        <v>4418</v>
      </c>
      <c r="I339" s="927"/>
      <c r="J339" s="131"/>
      <c r="K339" s="927" t="s">
        <v>306</v>
      </c>
      <c r="M339" s="927" t="s">
        <v>306</v>
      </c>
      <c r="N339" s="927" t="s">
        <v>306</v>
      </c>
      <c r="O339" s="927" t="s">
        <v>306</v>
      </c>
      <c r="P339" s="927" t="s">
        <v>322</v>
      </c>
      <c r="Q339" s="927"/>
      <c r="R339" s="927" t="s">
        <v>438</v>
      </c>
      <c r="T339">
        <v>757</v>
      </c>
      <c r="U339">
        <v>806</v>
      </c>
      <c r="V339">
        <v>654</v>
      </c>
      <c r="W339">
        <v>859</v>
      </c>
      <c r="X339">
        <v>793</v>
      </c>
      <c r="Y339">
        <v>931</v>
      </c>
      <c r="Z339">
        <v>749</v>
      </c>
      <c r="AA339">
        <v>881</v>
      </c>
      <c r="AB339">
        <v>754</v>
      </c>
      <c r="AC339">
        <v>646</v>
      </c>
      <c r="AD339">
        <v>609</v>
      </c>
      <c r="AE339">
        <v>896</v>
      </c>
      <c r="AF339" s="927" t="s">
        <v>1189</v>
      </c>
      <c r="AG339" s="927" t="s">
        <v>1420</v>
      </c>
      <c r="AH339" s="717"/>
      <c r="AK339" s="927"/>
      <c r="AO339" s="927"/>
      <c r="AP339" s="927"/>
      <c r="AQ339" s="927" t="s">
        <v>4419</v>
      </c>
    </row>
    <row r="340" spans="1:43">
      <c r="A340" s="927" t="s">
        <v>4425</v>
      </c>
      <c r="B340" s="927" t="s">
        <v>4426</v>
      </c>
      <c r="C340" s="927" t="s">
        <v>4427</v>
      </c>
      <c r="D340" s="927" t="s">
        <v>3613</v>
      </c>
      <c r="E340" s="717">
        <v>45580</v>
      </c>
      <c r="F340" s="927"/>
      <c r="G340" s="927"/>
      <c r="I340" s="927"/>
      <c r="J340" s="131"/>
      <c r="K340" s="927" t="s">
        <v>306</v>
      </c>
      <c r="M340" s="927" t="s">
        <v>306</v>
      </c>
      <c r="N340" s="927" t="s">
        <v>306</v>
      </c>
      <c r="O340" s="927" t="s">
        <v>306</v>
      </c>
      <c r="P340" s="927"/>
      <c r="Q340" s="927"/>
      <c r="R340" s="927"/>
      <c r="T340">
        <v>691</v>
      </c>
      <c r="U340">
        <v>691</v>
      </c>
      <c r="V340">
        <v>576</v>
      </c>
      <c r="W340">
        <v>518</v>
      </c>
      <c r="X340">
        <v>403</v>
      </c>
      <c r="Y340">
        <v>346</v>
      </c>
      <c r="Z340">
        <v>346</v>
      </c>
      <c r="AA340">
        <v>403</v>
      </c>
      <c r="AB340">
        <v>403</v>
      </c>
      <c r="AC340">
        <v>403</v>
      </c>
      <c r="AD340">
        <v>461</v>
      </c>
      <c r="AE340">
        <v>576</v>
      </c>
      <c r="AF340" s="927" t="s">
        <v>1189</v>
      </c>
      <c r="AG340" s="927"/>
      <c r="AH340" s="717"/>
      <c r="AK340" s="927"/>
      <c r="AO340" s="927"/>
      <c r="AP340" s="927"/>
      <c r="AQ340" s="927" t="s">
        <v>4428</v>
      </c>
    </row>
    <row r="341" spans="1:43">
      <c r="A341" s="927" t="s">
        <v>4420</v>
      </c>
      <c r="B341" s="927" t="s">
        <v>4421</v>
      </c>
      <c r="C341" s="927" t="s">
        <v>4422</v>
      </c>
      <c r="D341" s="927" t="s">
        <v>4209</v>
      </c>
      <c r="E341" s="717">
        <v>45579</v>
      </c>
      <c r="F341" s="927"/>
      <c r="G341" s="927"/>
      <c r="I341" s="927"/>
      <c r="J341" s="131"/>
      <c r="K341" s="927" t="s">
        <v>4519</v>
      </c>
      <c r="L341" t="s">
        <v>4424</v>
      </c>
      <c r="M341" s="927" t="s">
        <v>320</v>
      </c>
      <c r="N341" s="927" t="s">
        <v>1346</v>
      </c>
      <c r="O341" s="927" t="s">
        <v>3923</v>
      </c>
      <c r="P341" s="927" t="s">
        <v>322</v>
      </c>
      <c r="Q341" s="927"/>
      <c r="R341" s="927" t="s">
        <v>324</v>
      </c>
      <c r="T341">
        <v>31704</v>
      </c>
      <c r="U341">
        <v>37020</v>
      </c>
      <c r="V341">
        <v>49472</v>
      </c>
      <c r="W341">
        <v>53200</v>
      </c>
      <c r="X341">
        <v>63191</v>
      </c>
      <c r="Y341">
        <v>28683</v>
      </c>
      <c r="Z341">
        <v>18414</v>
      </c>
      <c r="AA341">
        <v>22635</v>
      </c>
      <c r="AB341">
        <v>29612</v>
      </c>
      <c r="AC341">
        <v>24211</v>
      </c>
      <c r="AD341">
        <v>32220</v>
      </c>
      <c r="AE341">
        <v>37748</v>
      </c>
      <c r="AF341" s="927" t="s">
        <v>1189</v>
      </c>
      <c r="AG341" s="927" t="s">
        <v>1420</v>
      </c>
      <c r="AH341" s="717"/>
      <c r="AI341">
        <v>159.6</v>
      </c>
      <c r="AJ341">
        <v>511830</v>
      </c>
      <c r="AK341" s="927"/>
      <c r="AL341">
        <v>280</v>
      </c>
      <c r="AM341">
        <v>570</v>
      </c>
      <c r="AO341" s="927"/>
      <c r="AP341" s="927"/>
      <c r="AQ341" s="927" t="s">
        <v>4520</v>
      </c>
    </row>
    <row r="342" spans="1:43">
      <c r="A342" s="927" t="s">
        <v>4429</v>
      </c>
      <c r="B342" s="927" t="s">
        <v>4430</v>
      </c>
      <c r="C342" s="927" t="s">
        <v>4431</v>
      </c>
      <c r="D342" s="927" t="s">
        <v>1187</v>
      </c>
      <c r="E342" s="717">
        <v>45587</v>
      </c>
      <c r="F342" s="927"/>
      <c r="G342" s="927"/>
      <c r="I342" s="927"/>
      <c r="J342" s="131"/>
      <c r="K342" s="927" t="s">
        <v>4432</v>
      </c>
      <c r="L342" t="s">
        <v>3851</v>
      </c>
      <c r="M342" s="927" t="s">
        <v>320</v>
      </c>
      <c r="N342" s="927" t="s">
        <v>1346</v>
      </c>
      <c r="O342" s="927" t="s">
        <v>1511</v>
      </c>
      <c r="P342" s="927" t="s">
        <v>322</v>
      </c>
      <c r="Q342" s="927"/>
      <c r="R342" s="927" t="s">
        <v>324</v>
      </c>
      <c r="T342">
        <v>1597</v>
      </c>
      <c r="U342">
        <v>1728</v>
      </c>
      <c r="V342">
        <v>1567</v>
      </c>
      <c r="W342">
        <v>1747</v>
      </c>
      <c r="X342">
        <v>1493</v>
      </c>
      <c r="Y342">
        <v>1275</v>
      </c>
      <c r="Z342">
        <v>1029</v>
      </c>
      <c r="AA342">
        <v>1300</v>
      </c>
      <c r="AB342">
        <v>1300</v>
      </c>
      <c r="AC342">
        <v>1373</v>
      </c>
      <c r="AD342">
        <v>1323</v>
      </c>
      <c r="AE342">
        <v>1761</v>
      </c>
      <c r="AF342" s="927" t="s">
        <v>1189</v>
      </c>
      <c r="AG342" s="927"/>
      <c r="AH342" s="717"/>
      <c r="AK342" s="927"/>
      <c r="AO342" s="927"/>
      <c r="AP342" s="927"/>
      <c r="AQ342" s="927" t="s">
        <v>4433</v>
      </c>
    </row>
    <row r="343" spans="1:43">
      <c r="A343" s="927" t="s">
        <v>4434</v>
      </c>
      <c r="B343" s="927" t="s">
        <v>4435</v>
      </c>
      <c r="C343" s="927" t="s">
        <v>4436</v>
      </c>
      <c r="D343" s="927" t="s">
        <v>3613</v>
      </c>
      <c r="E343" s="717">
        <v>45580</v>
      </c>
      <c r="F343" s="927"/>
      <c r="G343" s="927"/>
      <c r="I343" s="927"/>
      <c r="J343" s="131"/>
      <c r="K343" s="927" t="s">
        <v>4437</v>
      </c>
      <c r="L343" t="s">
        <v>4438</v>
      </c>
      <c r="M343" s="927" t="s">
        <v>320</v>
      </c>
      <c r="N343" s="927" t="s">
        <v>1346</v>
      </c>
      <c r="O343" s="927" t="s">
        <v>2071</v>
      </c>
      <c r="P343" s="927" t="s">
        <v>322</v>
      </c>
      <c r="Q343" s="927"/>
      <c r="R343" s="927" t="s">
        <v>324</v>
      </c>
      <c r="T343">
        <v>581</v>
      </c>
      <c r="U343">
        <v>520</v>
      </c>
      <c r="V343">
        <v>595</v>
      </c>
      <c r="W343">
        <v>520</v>
      </c>
      <c r="X343">
        <v>622</v>
      </c>
      <c r="Y343">
        <v>445</v>
      </c>
      <c r="Z343">
        <v>442</v>
      </c>
      <c r="AA343">
        <v>383</v>
      </c>
      <c r="AB343">
        <v>304</v>
      </c>
      <c r="AC343">
        <v>412</v>
      </c>
      <c r="AD343">
        <v>540</v>
      </c>
      <c r="AE343">
        <v>642</v>
      </c>
      <c r="AF343" s="927" t="s">
        <v>1189</v>
      </c>
      <c r="AG343" s="927" t="s">
        <v>1189</v>
      </c>
      <c r="AH343" s="717"/>
      <c r="AK343" s="927"/>
      <c r="AO343" s="927"/>
      <c r="AP343" s="927"/>
      <c r="AQ343" s="927" t="s">
        <v>4439</v>
      </c>
    </row>
    <row r="344" spans="1:43">
      <c r="A344" s="927" t="s">
        <v>4448</v>
      </c>
      <c r="B344" s="927" t="s">
        <v>4445</v>
      </c>
      <c r="C344" s="927" t="s">
        <v>4449</v>
      </c>
      <c r="D344" s="927" t="s">
        <v>1187</v>
      </c>
      <c r="E344" s="717">
        <v>45588</v>
      </c>
      <c r="F344" s="927"/>
      <c r="G344" s="927"/>
      <c r="H344" t="s">
        <v>4446</v>
      </c>
      <c r="I344" s="927"/>
      <c r="J344" s="131"/>
      <c r="K344" s="927" t="s">
        <v>1409</v>
      </c>
      <c r="L344" t="s">
        <v>3894</v>
      </c>
      <c r="M344" s="927" t="s">
        <v>320</v>
      </c>
      <c r="N344" s="927" t="s">
        <v>1346</v>
      </c>
      <c r="O344" s="927" t="s">
        <v>3895</v>
      </c>
      <c r="P344" s="927" t="s">
        <v>322</v>
      </c>
      <c r="Q344" s="927"/>
      <c r="R344" s="927" t="s">
        <v>324</v>
      </c>
      <c r="T344">
        <v>330</v>
      </c>
      <c r="U344">
        <v>319</v>
      </c>
      <c r="V344">
        <v>287</v>
      </c>
      <c r="W344">
        <v>319</v>
      </c>
      <c r="X344">
        <v>340</v>
      </c>
      <c r="Y344">
        <v>458</v>
      </c>
      <c r="Z344">
        <v>417</v>
      </c>
      <c r="AA344">
        <v>296</v>
      </c>
      <c r="AB344">
        <v>398</v>
      </c>
      <c r="AC344">
        <v>569</v>
      </c>
      <c r="AD344">
        <v>330</v>
      </c>
      <c r="AE344">
        <v>309</v>
      </c>
      <c r="AF344" s="927" t="s">
        <v>1189</v>
      </c>
      <c r="AG344" s="927" t="s">
        <v>1189</v>
      </c>
      <c r="AH344" s="717"/>
      <c r="AI344">
        <v>8.5500000000000007</v>
      </c>
      <c r="AJ344">
        <v>25470</v>
      </c>
      <c r="AK344" s="927"/>
      <c r="AL344">
        <v>15</v>
      </c>
      <c r="AM344">
        <v>570</v>
      </c>
      <c r="AO344" s="927"/>
      <c r="AP344" s="927"/>
      <c r="AQ344" s="927" t="s">
        <v>4447</v>
      </c>
    </row>
    <row r="345" spans="1:43">
      <c r="A345" s="927" t="s">
        <v>4444</v>
      </c>
      <c r="B345" s="927" t="s">
        <v>4443</v>
      </c>
      <c r="C345" s="927" t="s">
        <v>4440</v>
      </c>
      <c r="D345" s="927" t="s">
        <v>3613</v>
      </c>
      <c r="E345" s="717">
        <v>45579</v>
      </c>
      <c r="F345" s="927"/>
      <c r="G345" s="927"/>
      <c r="H345" t="s">
        <v>4441</v>
      </c>
      <c r="I345" s="927"/>
      <c r="J345" s="131"/>
      <c r="K345" s="927" t="s">
        <v>306</v>
      </c>
      <c r="M345" s="927" t="s">
        <v>306</v>
      </c>
      <c r="N345" s="927" t="s">
        <v>306</v>
      </c>
      <c r="O345" s="927" t="s">
        <v>306</v>
      </c>
      <c r="P345" s="927" t="s">
        <v>322</v>
      </c>
      <c r="Q345" s="927"/>
      <c r="R345" s="927"/>
      <c r="T345">
        <v>691</v>
      </c>
      <c r="U345">
        <v>691</v>
      </c>
      <c r="V345">
        <v>576</v>
      </c>
      <c r="W345">
        <v>518</v>
      </c>
      <c r="X345">
        <v>403</v>
      </c>
      <c r="Y345">
        <v>346</v>
      </c>
      <c r="Z345">
        <v>346</v>
      </c>
      <c r="AA345">
        <v>403</v>
      </c>
      <c r="AB345">
        <v>403</v>
      </c>
      <c r="AC345">
        <v>403</v>
      </c>
      <c r="AD345">
        <v>461</v>
      </c>
      <c r="AE345">
        <v>576</v>
      </c>
      <c r="AF345" s="927"/>
      <c r="AG345" s="927" t="s">
        <v>1189</v>
      </c>
      <c r="AH345" s="717"/>
      <c r="AK345" s="927"/>
      <c r="AO345" s="927"/>
      <c r="AP345" s="927"/>
      <c r="AQ345" s="927" t="s">
        <v>4442</v>
      </c>
    </row>
    <row r="346" spans="1:43">
      <c r="A346" s="927" t="s">
        <v>4456</v>
      </c>
      <c r="B346" s="927" t="s">
        <v>4457</v>
      </c>
      <c r="C346" s="927" t="s">
        <v>4458</v>
      </c>
      <c r="D346" s="927" t="s">
        <v>3613</v>
      </c>
      <c r="E346" s="717">
        <v>45573</v>
      </c>
      <c r="F346" s="927"/>
      <c r="G346" s="927"/>
      <c r="I346" s="927"/>
      <c r="J346" s="131"/>
      <c r="K346" s="927" t="s">
        <v>4459</v>
      </c>
      <c r="L346" t="s">
        <v>4460</v>
      </c>
      <c r="M346" s="927" t="s">
        <v>320</v>
      </c>
      <c r="N346" s="927" t="s">
        <v>3655</v>
      </c>
      <c r="O346" s="927" t="s">
        <v>4461</v>
      </c>
      <c r="P346" s="927" t="s">
        <v>379</v>
      </c>
      <c r="Q346" s="927"/>
      <c r="R346" s="927"/>
      <c r="T346">
        <v>3990</v>
      </c>
      <c r="U346">
        <v>3990</v>
      </c>
      <c r="V346">
        <v>3780</v>
      </c>
      <c r="W346">
        <v>3360</v>
      </c>
      <c r="X346">
        <v>3150</v>
      </c>
      <c r="Y346">
        <v>2940</v>
      </c>
      <c r="Z346">
        <v>3150</v>
      </c>
      <c r="AA346">
        <v>3150</v>
      </c>
      <c r="AB346">
        <v>3360</v>
      </c>
      <c r="AC346">
        <v>3570</v>
      </c>
      <c r="AD346">
        <v>3780</v>
      </c>
      <c r="AE346">
        <v>3990</v>
      </c>
      <c r="AF346" s="927"/>
      <c r="AG346" s="927" t="s">
        <v>1189</v>
      </c>
      <c r="AH346" s="717"/>
      <c r="AK346" s="927"/>
      <c r="AO346" s="927"/>
      <c r="AP346" s="927"/>
      <c r="AQ346" s="927" t="s">
        <v>4462</v>
      </c>
    </row>
    <row r="347" spans="1:43">
      <c r="A347" s="927" t="s">
        <v>4450</v>
      </c>
      <c r="B347" s="927" t="s">
        <v>4451</v>
      </c>
      <c r="C347" s="927" t="s">
        <v>4452</v>
      </c>
      <c r="D347" s="927" t="s">
        <v>3613</v>
      </c>
      <c r="E347" s="717">
        <v>45552</v>
      </c>
      <c r="F347" s="927"/>
      <c r="G347" s="927"/>
      <c r="I347" s="927"/>
      <c r="J347" s="131"/>
      <c r="K347" s="927" t="s">
        <v>4240</v>
      </c>
      <c r="L347" t="s">
        <v>4241</v>
      </c>
      <c r="M347" s="927" t="s">
        <v>3655</v>
      </c>
      <c r="N347" s="927" t="s">
        <v>4240</v>
      </c>
      <c r="O347" s="927" t="s">
        <v>3655</v>
      </c>
      <c r="P347" s="927" t="s">
        <v>379</v>
      </c>
      <c r="Q347" s="927"/>
      <c r="R347" s="927"/>
      <c r="T347">
        <v>1872</v>
      </c>
      <c r="U347">
        <v>1794</v>
      </c>
      <c r="V347">
        <v>1498</v>
      </c>
      <c r="W347">
        <v>1299</v>
      </c>
      <c r="X347">
        <v>1380</v>
      </c>
      <c r="Y347">
        <v>1239</v>
      </c>
      <c r="Z347">
        <v>1222</v>
      </c>
      <c r="AA347">
        <v>1191</v>
      </c>
      <c r="AB347">
        <v>1092</v>
      </c>
      <c r="AC347">
        <v>1359</v>
      </c>
      <c r="AD347">
        <v>1280</v>
      </c>
      <c r="AE347">
        <v>1560</v>
      </c>
      <c r="AF347" s="927"/>
      <c r="AG347" s="927" t="s">
        <v>1189</v>
      </c>
      <c r="AH347" s="717"/>
      <c r="AI347">
        <v>14.82</v>
      </c>
      <c r="AJ347">
        <v>44820</v>
      </c>
      <c r="AK347" s="927"/>
      <c r="AL347">
        <v>26</v>
      </c>
      <c r="AM347">
        <v>570</v>
      </c>
      <c r="AO347" s="927"/>
      <c r="AP347" s="927"/>
      <c r="AQ347" s="927" t="s">
        <v>4453</v>
      </c>
    </row>
    <row r="348" spans="1:43">
      <c r="A348" s="927" t="s">
        <v>4468</v>
      </c>
      <c r="B348" s="927" t="s">
        <v>4469</v>
      </c>
      <c r="C348" s="927" t="s">
        <v>4470</v>
      </c>
      <c r="D348" s="927" t="s">
        <v>3613</v>
      </c>
      <c r="E348" s="717">
        <v>45588</v>
      </c>
      <c r="F348" s="927"/>
      <c r="G348" s="927"/>
      <c r="I348" s="927"/>
      <c r="J348" s="131"/>
      <c r="K348" s="927" t="s">
        <v>3939</v>
      </c>
      <c r="L348" t="s">
        <v>4471</v>
      </c>
      <c r="M348" s="927" t="s">
        <v>320</v>
      </c>
      <c r="N348" s="927" t="s">
        <v>1346</v>
      </c>
      <c r="O348" s="927" t="s">
        <v>3923</v>
      </c>
      <c r="P348" s="927" t="s">
        <v>322</v>
      </c>
      <c r="Q348" s="927"/>
      <c r="R348" s="927" t="s">
        <v>324</v>
      </c>
      <c r="T348">
        <v>720</v>
      </c>
      <c r="U348">
        <v>720</v>
      </c>
      <c r="V348">
        <v>600</v>
      </c>
      <c r="W348">
        <v>540</v>
      </c>
      <c r="X348">
        <v>420</v>
      </c>
      <c r="Y348">
        <v>360</v>
      </c>
      <c r="Z348">
        <v>360</v>
      </c>
      <c r="AA348">
        <v>420</v>
      </c>
      <c r="AB348">
        <v>420</v>
      </c>
      <c r="AC348">
        <v>420</v>
      </c>
      <c r="AD348">
        <v>480</v>
      </c>
      <c r="AE348">
        <v>600</v>
      </c>
      <c r="AF348" s="927" t="s">
        <v>1189</v>
      </c>
      <c r="AG348" s="927" t="s">
        <v>1189</v>
      </c>
      <c r="AH348" s="717"/>
      <c r="AK348" s="927"/>
      <c r="AO348" s="927"/>
      <c r="AP348" s="927"/>
      <c r="AQ348" s="927" t="s">
        <v>4472</v>
      </c>
    </row>
    <row r="349" spans="1:43">
      <c r="A349" s="927" t="s">
        <v>5544</v>
      </c>
      <c r="B349" s="927" t="s">
        <v>5529</v>
      </c>
      <c r="C349" s="927" t="s">
        <v>5545</v>
      </c>
      <c r="D349" s="927" t="s">
        <v>3613</v>
      </c>
      <c r="E349" s="717">
        <v>45590</v>
      </c>
      <c r="F349" s="927"/>
      <c r="G349" s="927"/>
      <c r="I349" s="927"/>
      <c r="J349" s="131"/>
      <c r="K349" s="927" t="s">
        <v>5530</v>
      </c>
      <c r="L349" t="s">
        <v>5531</v>
      </c>
      <c r="M349" s="927" t="s">
        <v>320</v>
      </c>
      <c r="N349" s="927" t="s">
        <v>1346</v>
      </c>
      <c r="O349" s="927" t="s">
        <v>4212</v>
      </c>
      <c r="P349" s="927" t="s">
        <v>322</v>
      </c>
      <c r="Q349" s="927"/>
      <c r="R349" s="927"/>
      <c r="T349">
        <v>4325</v>
      </c>
      <c r="U349">
        <v>17621</v>
      </c>
      <c r="V349">
        <v>12992</v>
      </c>
      <c r="W349">
        <v>10445</v>
      </c>
      <c r="X349">
        <v>10316</v>
      </c>
      <c r="Y349">
        <v>7006</v>
      </c>
      <c r="Z349">
        <v>4800</v>
      </c>
      <c r="AA349">
        <v>5381</v>
      </c>
      <c r="AB349">
        <v>8126</v>
      </c>
      <c r="AC349">
        <v>11413</v>
      </c>
      <c r="AD349">
        <v>8632</v>
      </c>
      <c r="AE349">
        <v>10287</v>
      </c>
      <c r="AF349" s="927"/>
      <c r="AG349" s="927"/>
      <c r="AH349" s="717"/>
      <c r="AK349" s="927"/>
      <c r="AO349" s="927"/>
      <c r="AP349" s="927"/>
      <c r="AQ349" s="927" t="s">
        <v>5532</v>
      </c>
    </row>
    <row r="350" spans="1:43">
      <c r="A350" s="927" t="s">
        <v>4578</v>
      </c>
      <c r="B350" s="927" t="s">
        <v>4579</v>
      </c>
      <c r="C350" s="927" t="s">
        <v>4580</v>
      </c>
      <c r="D350" s="927" t="s">
        <v>3613</v>
      </c>
      <c r="E350" s="717">
        <v>45592</v>
      </c>
      <c r="F350" s="927"/>
      <c r="G350" s="927"/>
      <c r="I350" s="927"/>
      <c r="J350" s="131"/>
      <c r="K350" s="927" t="s">
        <v>4581</v>
      </c>
      <c r="L350" t="s">
        <v>4582</v>
      </c>
      <c r="M350" s="927" t="s">
        <v>320</v>
      </c>
      <c r="N350" s="927" t="s">
        <v>1346</v>
      </c>
      <c r="O350" s="927" t="s">
        <v>4583</v>
      </c>
      <c r="P350" s="927" t="s">
        <v>322</v>
      </c>
      <c r="Q350" s="927"/>
      <c r="R350" s="927" t="s">
        <v>324</v>
      </c>
      <c r="T350">
        <v>2280</v>
      </c>
      <c r="U350">
        <v>2280</v>
      </c>
      <c r="V350">
        <v>2160</v>
      </c>
      <c r="W350">
        <v>1920</v>
      </c>
      <c r="X350">
        <v>1800</v>
      </c>
      <c r="Y350">
        <v>1680</v>
      </c>
      <c r="Z350">
        <v>1800</v>
      </c>
      <c r="AA350">
        <v>1800</v>
      </c>
      <c r="AB350">
        <v>1920</v>
      </c>
      <c r="AC350">
        <v>2040</v>
      </c>
      <c r="AD350">
        <v>2160</v>
      </c>
      <c r="AE350">
        <v>2280</v>
      </c>
      <c r="AF350" s="927" t="s">
        <v>1189</v>
      </c>
      <c r="AG350" s="927"/>
      <c r="AH350" s="717"/>
      <c r="AK350" s="927"/>
      <c r="AO350" s="927"/>
      <c r="AP350" s="927"/>
      <c r="AQ350" s="927" t="s">
        <v>4584</v>
      </c>
    </row>
    <row r="351" spans="1:43">
      <c r="A351" s="927" t="s">
        <v>4564</v>
      </c>
      <c r="B351" s="927" t="s">
        <v>4474</v>
      </c>
      <c r="C351" s="927" t="s">
        <v>4565</v>
      </c>
      <c r="D351" s="927" t="s">
        <v>1187</v>
      </c>
      <c r="E351" s="717">
        <v>45593</v>
      </c>
      <c r="F351" s="927"/>
      <c r="G351" s="927"/>
      <c r="H351" t="s">
        <v>4517</v>
      </c>
      <c r="I351" s="927"/>
      <c r="J351" s="131"/>
      <c r="K351" s="927" t="s">
        <v>4475</v>
      </c>
      <c r="L351" t="s">
        <v>4476</v>
      </c>
      <c r="M351" s="927" t="s">
        <v>320</v>
      </c>
      <c r="N351" s="927" t="s">
        <v>4477</v>
      </c>
      <c r="O351" s="927" t="s">
        <v>4478</v>
      </c>
      <c r="P351" s="927" t="s">
        <v>379</v>
      </c>
      <c r="Q351" s="927"/>
      <c r="R351" s="927" t="s">
        <v>324</v>
      </c>
      <c r="T351">
        <v>662</v>
      </c>
      <c r="U351">
        <v>662</v>
      </c>
      <c r="V351">
        <v>552</v>
      </c>
      <c r="W351">
        <v>497</v>
      </c>
      <c r="X351">
        <v>386</v>
      </c>
      <c r="Y351">
        <v>331</v>
      </c>
      <c r="Z351">
        <v>331</v>
      </c>
      <c r="AA351">
        <v>386</v>
      </c>
      <c r="AB351">
        <v>386</v>
      </c>
      <c r="AC351">
        <v>386</v>
      </c>
      <c r="AD351">
        <v>442</v>
      </c>
      <c r="AE351">
        <v>552</v>
      </c>
      <c r="AF351" s="927" t="s">
        <v>1189</v>
      </c>
      <c r="AG351" s="927" t="s">
        <v>1420</v>
      </c>
      <c r="AH351" s="717"/>
      <c r="AI351">
        <v>8.5500000000000007</v>
      </c>
      <c r="AJ351">
        <v>26730</v>
      </c>
      <c r="AK351" s="927"/>
      <c r="AL351">
        <v>15</v>
      </c>
      <c r="AM351">
        <v>570</v>
      </c>
      <c r="AO351" s="927"/>
      <c r="AP351" s="927"/>
      <c r="AQ351" s="927" t="s">
        <v>4479</v>
      </c>
    </row>
    <row r="352" spans="1:43">
      <c r="A352" s="927" t="s">
        <v>4499</v>
      </c>
      <c r="B352" s="927" t="s">
        <v>4500</v>
      </c>
      <c r="C352" s="927" t="s">
        <v>4501</v>
      </c>
      <c r="D352" s="927" t="s">
        <v>3613</v>
      </c>
      <c r="E352" s="717">
        <v>45585</v>
      </c>
      <c r="F352" s="927"/>
      <c r="G352" s="927"/>
      <c r="H352" t="s">
        <v>4502</v>
      </c>
      <c r="I352" s="927"/>
      <c r="J352" s="131"/>
      <c r="K352" s="927" t="s">
        <v>4503</v>
      </c>
      <c r="L352" t="s">
        <v>4504</v>
      </c>
      <c r="M352" s="927" t="s">
        <v>320</v>
      </c>
      <c r="N352" s="927" t="s">
        <v>1346</v>
      </c>
      <c r="O352" s="927" t="s">
        <v>3895</v>
      </c>
      <c r="P352" s="927" t="s">
        <v>322</v>
      </c>
      <c r="Q352" s="927"/>
      <c r="R352" s="927"/>
      <c r="T352">
        <v>2280</v>
      </c>
      <c r="U352">
        <v>2280</v>
      </c>
      <c r="V352">
        <v>2400</v>
      </c>
      <c r="W352">
        <v>2160</v>
      </c>
      <c r="X352">
        <v>1680</v>
      </c>
      <c r="Y352">
        <v>1440</v>
      </c>
      <c r="Z352">
        <v>1440</v>
      </c>
      <c r="AA352">
        <v>1680</v>
      </c>
      <c r="AB352">
        <v>1680</v>
      </c>
      <c r="AC352">
        <v>1680</v>
      </c>
      <c r="AD352">
        <v>1920</v>
      </c>
      <c r="AE352">
        <v>2400</v>
      </c>
      <c r="AF352" s="927"/>
      <c r="AG352" s="927" t="s">
        <v>1189</v>
      </c>
      <c r="AH352" s="717"/>
      <c r="AK352" s="927"/>
      <c r="AO352" s="927"/>
      <c r="AP352" s="927"/>
      <c r="AQ352" s="927" t="s">
        <v>4505</v>
      </c>
    </row>
    <row r="353" spans="1:43">
      <c r="A353" s="927" t="s">
        <v>4480</v>
      </c>
      <c r="B353" s="927" t="s">
        <v>4481</v>
      </c>
      <c r="C353" s="927" t="s">
        <v>4482</v>
      </c>
      <c r="D353" s="927" t="s">
        <v>4209</v>
      </c>
      <c r="E353" s="717">
        <v>45593</v>
      </c>
      <c r="F353" s="927"/>
      <c r="G353" s="927"/>
      <c r="I353" s="927"/>
      <c r="J353" s="131"/>
      <c r="K353" s="927" t="s">
        <v>4497</v>
      </c>
      <c r="L353" t="s">
        <v>4498</v>
      </c>
      <c r="M353" s="927" t="s">
        <v>320</v>
      </c>
      <c r="N353" s="927" t="s">
        <v>1346</v>
      </c>
      <c r="O353" s="927" t="s">
        <v>4483</v>
      </c>
      <c r="P353" s="927" t="s">
        <v>322</v>
      </c>
      <c r="Q353" s="927"/>
      <c r="R353" s="927" t="s">
        <v>438</v>
      </c>
      <c r="T353">
        <v>361</v>
      </c>
      <c r="U353">
        <v>331</v>
      </c>
      <c r="V353">
        <v>397</v>
      </c>
      <c r="W353">
        <v>314</v>
      </c>
      <c r="X353">
        <v>362</v>
      </c>
      <c r="Y353">
        <v>264</v>
      </c>
      <c r="Z353">
        <v>201</v>
      </c>
      <c r="AA353">
        <v>174</v>
      </c>
      <c r="AB353">
        <v>200</v>
      </c>
      <c r="AC353">
        <v>294</v>
      </c>
      <c r="AD353">
        <v>305</v>
      </c>
      <c r="AE353">
        <v>362</v>
      </c>
      <c r="AF353" s="927" t="s">
        <v>1189</v>
      </c>
      <c r="AG353" s="927" t="s">
        <v>1189</v>
      </c>
      <c r="AH353" s="717"/>
      <c r="AI353">
        <v>3.99</v>
      </c>
      <c r="AJ353">
        <v>20880</v>
      </c>
      <c r="AK353" s="927"/>
      <c r="AL353">
        <v>7</v>
      </c>
      <c r="AM353">
        <v>570</v>
      </c>
      <c r="AO353" s="927"/>
      <c r="AP353" s="927"/>
      <c r="AQ353" s="927" t="s">
        <v>4484</v>
      </c>
    </row>
    <row r="354" spans="1:43">
      <c r="A354" s="927" t="s">
        <v>4485</v>
      </c>
      <c r="B354" s="927" t="s">
        <v>4486</v>
      </c>
      <c r="C354" s="927" t="s">
        <v>4487</v>
      </c>
      <c r="D354" s="927" t="s">
        <v>4209</v>
      </c>
      <c r="E354" s="717">
        <v>45594</v>
      </c>
      <c r="F354" s="927"/>
      <c r="G354" s="927"/>
      <c r="H354" t="s">
        <v>4488</v>
      </c>
      <c r="I354" s="927"/>
      <c r="J354" s="131"/>
      <c r="K354" s="927" t="s">
        <v>4558</v>
      </c>
      <c r="L354" t="s">
        <v>4559</v>
      </c>
      <c r="M354" s="927" t="s">
        <v>320</v>
      </c>
      <c r="N354" s="927" t="s">
        <v>1346</v>
      </c>
      <c r="O354" s="927" t="s">
        <v>3886</v>
      </c>
      <c r="P354" s="927" t="s">
        <v>322</v>
      </c>
      <c r="Q354" s="927"/>
      <c r="R354" s="927" t="s">
        <v>324</v>
      </c>
      <c r="T354">
        <v>907</v>
      </c>
      <c r="U354">
        <v>907</v>
      </c>
      <c r="V354">
        <v>756</v>
      </c>
      <c r="W354">
        <v>680</v>
      </c>
      <c r="X354">
        <v>529</v>
      </c>
      <c r="Y354">
        <v>454</v>
      </c>
      <c r="Z354">
        <v>454</v>
      </c>
      <c r="AA354">
        <v>529</v>
      </c>
      <c r="AB354">
        <v>529</v>
      </c>
      <c r="AC354">
        <v>529</v>
      </c>
      <c r="AD354">
        <v>605</v>
      </c>
      <c r="AE354">
        <v>756</v>
      </c>
      <c r="AF354" s="927" t="s">
        <v>1189</v>
      </c>
      <c r="AG354" s="927" t="s">
        <v>1189</v>
      </c>
      <c r="AH354" s="717"/>
      <c r="AI354">
        <v>7.98</v>
      </c>
      <c r="AJ354">
        <v>20480</v>
      </c>
      <c r="AK354" s="927"/>
      <c r="AL354">
        <v>14</v>
      </c>
      <c r="AM354">
        <v>570</v>
      </c>
      <c r="AO354" s="927"/>
      <c r="AP354" s="927"/>
      <c r="AQ354" s="927" t="s">
        <v>4571</v>
      </c>
    </row>
    <row r="355" spans="1:43">
      <c r="A355" s="927" t="s">
        <v>4493</v>
      </c>
      <c r="B355" s="927" t="s">
        <v>4494</v>
      </c>
      <c r="C355" s="927" t="s">
        <v>4495</v>
      </c>
      <c r="D355" s="927" t="s">
        <v>4209</v>
      </c>
      <c r="E355" s="717">
        <v>45590</v>
      </c>
      <c r="F355" s="927"/>
      <c r="G355" s="927"/>
      <c r="H355" t="s">
        <v>4496</v>
      </c>
      <c r="I355" s="927"/>
      <c r="J355" s="131"/>
      <c r="K355" s="927" t="s">
        <v>4552</v>
      </c>
      <c r="L355" t="s">
        <v>4553</v>
      </c>
      <c r="M355" s="927" t="s">
        <v>320</v>
      </c>
      <c r="N355" s="927" t="s">
        <v>1346</v>
      </c>
      <c r="O355" s="927" t="s">
        <v>3712</v>
      </c>
      <c r="P355" s="927" t="s">
        <v>322</v>
      </c>
      <c r="Q355" s="927"/>
      <c r="R355" s="927" t="s">
        <v>324</v>
      </c>
      <c r="T355">
        <v>330</v>
      </c>
      <c r="U355">
        <v>319</v>
      </c>
      <c r="V355">
        <v>287</v>
      </c>
      <c r="W355">
        <v>518</v>
      </c>
      <c r="X355">
        <v>403</v>
      </c>
      <c r="Y355">
        <v>346</v>
      </c>
      <c r="Z355">
        <v>346</v>
      </c>
      <c r="AA355">
        <v>403</v>
      </c>
      <c r="AB355">
        <v>403</v>
      </c>
      <c r="AC355">
        <v>403</v>
      </c>
      <c r="AD355">
        <v>461</v>
      </c>
      <c r="AE355">
        <v>576</v>
      </c>
      <c r="AF355" s="927" t="s">
        <v>1189</v>
      </c>
      <c r="AG355" s="927" t="s">
        <v>1189</v>
      </c>
      <c r="AH355" s="717"/>
      <c r="AI355">
        <v>5.13</v>
      </c>
      <c r="AJ355">
        <v>16650</v>
      </c>
      <c r="AK355" s="927"/>
      <c r="AL355">
        <v>9</v>
      </c>
      <c r="AM355">
        <v>570</v>
      </c>
      <c r="AO355" s="927"/>
      <c r="AP355" s="927"/>
      <c r="AQ355" s="927" t="s">
        <v>4570</v>
      </c>
    </row>
    <row r="356" spans="1:43">
      <c r="A356" s="927" t="s">
        <v>4489</v>
      </c>
      <c r="B356" s="927" t="s">
        <v>4490</v>
      </c>
      <c r="C356" s="927" t="s">
        <v>4491</v>
      </c>
      <c r="D356" s="927" t="s">
        <v>3613</v>
      </c>
      <c r="E356" s="717">
        <v>45594</v>
      </c>
      <c r="F356" s="927"/>
      <c r="G356" s="927"/>
      <c r="I356" s="927"/>
      <c r="J356" s="131"/>
      <c r="K356" s="927" t="s">
        <v>306</v>
      </c>
      <c r="M356" s="927" t="s">
        <v>306</v>
      </c>
      <c r="N356" s="927" t="s">
        <v>306</v>
      </c>
      <c r="O356" s="927" t="s">
        <v>306</v>
      </c>
      <c r="P356" s="927" t="s">
        <v>322</v>
      </c>
      <c r="Q356" s="927"/>
      <c r="R356" s="927"/>
      <c r="T356">
        <v>1152</v>
      </c>
      <c r="U356">
        <v>1152</v>
      </c>
      <c r="V356">
        <v>960</v>
      </c>
      <c r="W356">
        <v>864</v>
      </c>
      <c r="X356">
        <v>672</v>
      </c>
      <c r="Y356">
        <v>576</v>
      </c>
      <c r="Z356">
        <v>576</v>
      </c>
      <c r="AA356">
        <v>672</v>
      </c>
      <c r="AB356">
        <v>672</v>
      </c>
      <c r="AC356">
        <v>672</v>
      </c>
      <c r="AD356">
        <v>768</v>
      </c>
      <c r="AE356">
        <v>960</v>
      </c>
      <c r="AF356" s="927" t="s">
        <v>1189</v>
      </c>
      <c r="AG356" s="927" t="s">
        <v>1189</v>
      </c>
      <c r="AH356" s="717"/>
      <c r="AI356">
        <v>7.98</v>
      </c>
      <c r="AJ356">
        <v>24930</v>
      </c>
      <c r="AK356" s="927"/>
      <c r="AL356">
        <v>14</v>
      </c>
      <c r="AM356">
        <v>570</v>
      </c>
      <c r="AO356" s="927"/>
      <c r="AP356" s="927"/>
      <c r="AQ356" s="927" t="s">
        <v>4492</v>
      </c>
    </row>
    <row r="357" spans="1:43">
      <c r="A357" s="927" t="s">
        <v>4512</v>
      </c>
      <c r="B357" s="927" t="s">
        <v>4513</v>
      </c>
      <c r="C357" s="927" t="s">
        <v>4514</v>
      </c>
      <c r="D357" s="927" t="s">
        <v>3613</v>
      </c>
      <c r="E357" s="717">
        <v>45589</v>
      </c>
      <c r="F357" s="927"/>
      <c r="G357" s="927"/>
      <c r="H357" t="s">
        <v>4515</v>
      </c>
      <c r="I357" s="927"/>
      <c r="J357" s="131"/>
      <c r="K357" s="927" t="s">
        <v>306</v>
      </c>
      <c r="M357" s="927" t="s">
        <v>306</v>
      </c>
      <c r="N357" s="927" t="s">
        <v>306</v>
      </c>
      <c r="O357" s="927" t="s">
        <v>306</v>
      </c>
      <c r="P357" s="927" t="s">
        <v>322</v>
      </c>
      <c r="Q357" s="927"/>
      <c r="R357" s="927"/>
      <c r="T357">
        <v>1325</v>
      </c>
      <c r="U357">
        <v>1325</v>
      </c>
      <c r="V357">
        <v>1104</v>
      </c>
      <c r="W357">
        <v>994</v>
      </c>
      <c r="X357">
        <v>773</v>
      </c>
      <c r="Y357">
        <v>662</v>
      </c>
      <c r="Z357">
        <v>662</v>
      </c>
      <c r="AA357">
        <v>773</v>
      </c>
      <c r="AB357">
        <v>773</v>
      </c>
      <c r="AC357">
        <v>773</v>
      </c>
      <c r="AD357">
        <v>883</v>
      </c>
      <c r="AE357">
        <v>1104</v>
      </c>
      <c r="AF357" s="927" t="s">
        <v>1189</v>
      </c>
      <c r="AG357" s="927" t="s">
        <v>1189</v>
      </c>
      <c r="AH357" s="717"/>
      <c r="AK357" s="927"/>
      <c r="AO357" s="927"/>
      <c r="AP357" s="927"/>
      <c r="AQ357" s="927" t="s">
        <v>4516</v>
      </c>
    </row>
    <row r="358" spans="1:43">
      <c r="A358" s="927" t="s">
        <v>4521</v>
      </c>
      <c r="B358" s="927" t="s">
        <v>4522</v>
      </c>
      <c r="C358" s="927" t="s">
        <v>4523</v>
      </c>
      <c r="D358" s="927" t="s">
        <v>1418</v>
      </c>
      <c r="E358" s="717">
        <v>45574</v>
      </c>
      <c r="F358" s="927"/>
      <c r="G358" s="927" t="s">
        <v>5739</v>
      </c>
      <c r="H358" t="s">
        <v>4790</v>
      </c>
      <c r="I358" s="927"/>
      <c r="J358" s="131">
        <v>24048</v>
      </c>
      <c r="K358" s="927" t="s">
        <v>4952</v>
      </c>
      <c r="L358" t="s">
        <v>3849</v>
      </c>
      <c r="M358" s="927" t="s">
        <v>320</v>
      </c>
      <c r="N358" s="927" t="s">
        <v>1346</v>
      </c>
      <c r="O358" s="927" t="s">
        <v>1347</v>
      </c>
      <c r="P358" s="927" t="s">
        <v>322</v>
      </c>
      <c r="Q358" s="927"/>
      <c r="R358" s="927" t="s">
        <v>324</v>
      </c>
      <c r="T358">
        <v>2733</v>
      </c>
      <c r="U358">
        <v>2738</v>
      </c>
      <c r="V358">
        <v>2427</v>
      </c>
      <c r="W358">
        <v>2774</v>
      </c>
      <c r="X358">
        <v>2852</v>
      </c>
      <c r="Y358">
        <v>2605</v>
      </c>
      <c r="Z358">
        <v>2924</v>
      </c>
      <c r="AA358">
        <v>2561</v>
      </c>
      <c r="AB358">
        <v>2669</v>
      </c>
      <c r="AC358">
        <v>2685</v>
      </c>
      <c r="AD358">
        <v>2467</v>
      </c>
      <c r="AE358">
        <v>2283</v>
      </c>
      <c r="AF358" s="927" t="s">
        <v>1189</v>
      </c>
      <c r="AG358" s="927" t="s">
        <v>1189</v>
      </c>
      <c r="AH358" s="717"/>
      <c r="AI358">
        <v>25.08</v>
      </c>
      <c r="AJ358">
        <v>63440</v>
      </c>
      <c r="AK358" s="927"/>
      <c r="AL358">
        <v>44</v>
      </c>
      <c r="AM358">
        <v>570</v>
      </c>
      <c r="AO358" s="927"/>
      <c r="AP358" s="927"/>
      <c r="AQ358" s="927" t="s">
        <v>4524</v>
      </c>
    </row>
    <row r="359" spans="1:43">
      <c r="A359" s="927" t="s">
        <v>5755</v>
      </c>
      <c r="B359" s="927" t="s">
        <v>4526</v>
      </c>
      <c r="C359" s="927" t="s">
        <v>5756</v>
      </c>
      <c r="D359" s="927" t="s">
        <v>3613</v>
      </c>
      <c r="E359" s="717">
        <v>45601</v>
      </c>
      <c r="F359" s="927"/>
      <c r="G359" s="927" t="s">
        <v>5739</v>
      </c>
      <c r="I359" s="927"/>
      <c r="J359" s="131"/>
      <c r="K359" s="927" t="s">
        <v>4527</v>
      </c>
      <c r="L359" t="s">
        <v>4146</v>
      </c>
      <c r="M359" s="927" t="s">
        <v>320</v>
      </c>
      <c r="N359" s="927" t="s">
        <v>4527</v>
      </c>
      <c r="O359" s="927" t="s">
        <v>1487</v>
      </c>
      <c r="P359" s="927" t="s">
        <v>379</v>
      </c>
      <c r="Q359" s="927"/>
      <c r="R359" s="927" t="s">
        <v>555</v>
      </c>
      <c r="T359">
        <v>918</v>
      </c>
      <c r="U359">
        <v>978</v>
      </c>
      <c r="V359">
        <v>887</v>
      </c>
      <c r="W359">
        <v>898</v>
      </c>
      <c r="X359">
        <v>746</v>
      </c>
      <c r="Y359">
        <v>687</v>
      </c>
      <c r="Z359">
        <v>608</v>
      </c>
      <c r="AA359">
        <v>612</v>
      </c>
      <c r="AB359">
        <v>719</v>
      </c>
      <c r="AC359">
        <v>701</v>
      </c>
      <c r="AD359">
        <v>715</v>
      </c>
      <c r="AE359">
        <v>797</v>
      </c>
      <c r="AF359" s="927" t="s">
        <v>1189</v>
      </c>
      <c r="AG359" s="927" t="s">
        <v>1189</v>
      </c>
      <c r="AH359" s="717"/>
      <c r="AK359" s="927"/>
      <c r="AO359" s="927"/>
      <c r="AP359" s="927"/>
      <c r="AQ359" s="927" t="s">
        <v>4528</v>
      </c>
    </row>
    <row r="360" spans="1:43">
      <c r="A360" s="927" t="s">
        <v>4529</v>
      </c>
      <c r="B360" s="927" t="s">
        <v>4530</v>
      </c>
      <c r="C360" s="927" t="s">
        <v>4531</v>
      </c>
      <c r="D360" s="927" t="s">
        <v>3613</v>
      </c>
      <c r="E360" s="717">
        <v>45591</v>
      </c>
      <c r="F360" s="927"/>
      <c r="G360" s="927"/>
      <c r="I360" s="927"/>
      <c r="J360" s="131"/>
      <c r="K360" s="927" t="s">
        <v>4532</v>
      </c>
      <c r="L360" t="s">
        <v>4533</v>
      </c>
      <c r="M360" s="927" t="s">
        <v>320</v>
      </c>
      <c r="N360" s="927" t="s">
        <v>4532</v>
      </c>
      <c r="O360" s="927" t="s">
        <v>4534</v>
      </c>
      <c r="P360" s="927" t="s">
        <v>322</v>
      </c>
      <c r="Q360" s="927"/>
      <c r="R360" s="927" t="s">
        <v>555</v>
      </c>
      <c r="T360">
        <v>515</v>
      </c>
      <c r="U360">
        <v>482</v>
      </c>
      <c r="V360">
        <v>622</v>
      </c>
      <c r="W360">
        <v>511</v>
      </c>
      <c r="X360">
        <v>606</v>
      </c>
      <c r="Y360">
        <v>434</v>
      </c>
      <c r="Z360">
        <v>451</v>
      </c>
      <c r="AA360">
        <v>323</v>
      </c>
      <c r="AB360">
        <v>420</v>
      </c>
      <c r="AC360">
        <v>381</v>
      </c>
      <c r="AD360">
        <v>369</v>
      </c>
      <c r="AE360">
        <v>574</v>
      </c>
      <c r="AF360" s="927" t="s">
        <v>1189</v>
      </c>
      <c r="AG360" s="927" t="s">
        <v>1189</v>
      </c>
      <c r="AH360" s="717"/>
      <c r="AK360" s="927"/>
      <c r="AO360" s="927"/>
      <c r="AP360" s="927"/>
      <c r="AQ360" s="927" t="s">
        <v>4535</v>
      </c>
    </row>
    <row r="361" spans="1:43">
      <c r="A361" s="927" t="s">
        <v>4536</v>
      </c>
      <c r="B361" s="927" t="s">
        <v>4537</v>
      </c>
      <c r="C361" s="927" t="s">
        <v>4538</v>
      </c>
      <c r="D361" s="927" t="s">
        <v>3613</v>
      </c>
      <c r="E361" s="717">
        <v>45588</v>
      </c>
      <c r="F361" s="927"/>
      <c r="G361" s="927" t="s">
        <v>5739</v>
      </c>
      <c r="I361" s="927"/>
      <c r="J361" s="131"/>
      <c r="K361" s="927" t="s">
        <v>306</v>
      </c>
      <c r="M361" s="927" t="s">
        <v>306</v>
      </c>
      <c r="N361" s="927" t="s">
        <v>306</v>
      </c>
      <c r="O361" s="927" t="s">
        <v>306</v>
      </c>
      <c r="P361" s="927" t="s">
        <v>322</v>
      </c>
      <c r="Q361" s="927"/>
      <c r="R361" s="927"/>
      <c r="T361">
        <v>432</v>
      </c>
      <c r="U361">
        <v>432</v>
      </c>
      <c r="V361">
        <v>360</v>
      </c>
      <c r="W361">
        <v>324</v>
      </c>
      <c r="X361">
        <v>252</v>
      </c>
      <c r="Y361">
        <v>216</v>
      </c>
      <c r="Z361">
        <v>216</v>
      </c>
      <c r="AA361">
        <v>252</v>
      </c>
      <c r="AB361">
        <v>252</v>
      </c>
      <c r="AC361">
        <v>252</v>
      </c>
      <c r="AD361">
        <v>288</v>
      </c>
      <c r="AE361">
        <v>360</v>
      </c>
      <c r="AF361" s="927" t="s">
        <v>1189</v>
      </c>
      <c r="AG361" s="927"/>
      <c r="AH361" s="717"/>
      <c r="AK361" s="927"/>
      <c r="AO361" s="927"/>
      <c r="AP361" s="927"/>
      <c r="AQ361" s="927" t="s">
        <v>4539</v>
      </c>
    </row>
    <row r="362" spans="1:43">
      <c r="A362" s="927" t="s">
        <v>4540</v>
      </c>
      <c r="B362" s="927" t="s">
        <v>4541</v>
      </c>
      <c r="C362" s="927" t="s">
        <v>4542</v>
      </c>
      <c r="D362" s="927" t="s">
        <v>4301</v>
      </c>
      <c r="E362" s="717">
        <v>45589</v>
      </c>
      <c r="F362" s="927"/>
      <c r="G362" s="927" t="s">
        <v>5739</v>
      </c>
      <c r="H362" t="s">
        <v>4543</v>
      </c>
      <c r="I362" s="927"/>
      <c r="J362" s="131"/>
      <c r="K362" s="927" t="s">
        <v>4544</v>
      </c>
      <c r="L362" t="s">
        <v>4545</v>
      </c>
      <c r="M362" s="927" t="s">
        <v>4140</v>
      </c>
      <c r="N362" s="927" t="s">
        <v>4544</v>
      </c>
      <c r="O362" s="927" t="s">
        <v>4140</v>
      </c>
      <c r="P362" s="927" t="s">
        <v>379</v>
      </c>
      <c r="Q362" s="927"/>
      <c r="R362" s="927"/>
      <c r="T362">
        <v>1296</v>
      </c>
      <c r="U362">
        <v>1296</v>
      </c>
      <c r="V362">
        <v>1080</v>
      </c>
      <c r="W362">
        <v>972</v>
      </c>
      <c r="X362">
        <v>756</v>
      </c>
      <c r="Y362">
        <v>648</v>
      </c>
      <c r="Z362">
        <v>648</v>
      </c>
      <c r="AA362">
        <v>756</v>
      </c>
      <c r="AB362">
        <v>756</v>
      </c>
      <c r="AC362">
        <v>756</v>
      </c>
      <c r="AD362">
        <v>864</v>
      </c>
      <c r="AE362">
        <v>1080</v>
      </c>
      <c r="AF362" s="927" t="s">
        <v>1189</v>
      </c>
      <c r="AG362" s="927" t="s">
        <v>1189</v>
      </c>
      <c r="AH362" s="717"/>
      <c r="AK362" s="927"/>
      <c r="AO362" s="927"/>
      <c r="AP362" s="927"/>
      <c r="AQ362" s="927" t="s">
        <v>4546</v>
      </c>
    </row>
    <row r="363" spans="1:43">
      <c r="A363" s="927" t="s">
        <v>4547</v>
      </c>
      <c r="B363" s="927" t="s">
        <v>4548</v>
      </c>
      <c r="C363" s="927" t="s">
        <v>4549</v>
      </c>
      <c r="D363" s="927" t="s">
        <v>4301</v>
      </c>
      <c r="E363" s="717">
        <v>45585</v>
      </c>
      <c r="F363" s="927"/>
      <c r="G363" s="927"/>
      <c r="I363" s="927"/>
      <c r="J363" s="131"/>
      <c r="K363" s="927" t="s">
        <v>4550</v>
      </c>
      <c r="L363" t="s">
        <v>3858</v>
      </c>
      <c r="M363" s="927" t="s">
        <v>320</v>
      </c>
      <c r="N363" s="927" t="s">
        <v>4550</v>
      </c>
      <c r="O363" s="927" t="s">
        <v>3996</v>
      </c>
      <c r="P363" s="927" t="s">
        <v>379</v>
      </c>
      <c r="Q363" s="927"/>
      <c r="R363" s="927"/>
      <c r="T363">
        <v>504</v>
      </c>
      <c r="U363">
        <v>504</v>
      </c>
      <c r="V363">
        <v>420</v>
      </c>
      <c r="W363">
        <v>378</v>
      </c>
      <c r="X363">
        <v>294</v>
      </c>
      <c r="Y363">
        <v>252</v>
      </c>
      <c r="Z363">
        <v>252</v>
      </c>
      <c r="AA363">
        <v>294</v>
      </c>
      <c r="AB363">
        <v>294</v>
      </c>
      <c r="AC363">
        <v>294</v>
      </c>
      <c r="AD363">
        <v>336</v>
      </c>
      <c r="AE363">
        <v>420</v>
      </c>
      <c r="AF363" s="927" t="s">
        <v>1189</v>
      </c>
      <c r="AG363" s="927" t="s">
        <v>1189</v>
      </c>
      <c r="AH363" s="717"/>
      <c r="AK363" s="927"/>
      <c r="AO363" s="927"/>
      <c r="AP363" s="927"/>
      <c r="AQ363" s="927" t="s">
        <v>4551</v>
      </c>
    </row>
    <row r="364" spans="1:43">
      <c r="A364" s="927" t="s">
        <v>4566</v>
      </c>
      <c r="B364" s="927" t="s">
        <v>4567</v>
      </c>
      <c r="C364" s="927" t="s">
        <v>4568</v>
      </c>
      <c r="D364" s="927" t="s">
        <v>3613</v>
      </c>
      <c r="E364" s="717">
        <v>45608</v>
      </c>
      <c r="F364" s="927"/>
      <c r="G364" s="927" t="s">
        <v>5739</v>
      </c>
      <c r="I364" s="927"/>
      <c r="J364" s="131"/>
      <c r="K364" s="927" t="s">
        <v>4386</v>
      </c>
      <c r="L364" t="s">
        <v>4387</v>
      </c>
      <c r="M364" s="927" t="s">
        <v>320</v>
      </c>
      <c r="N364" s="927" t="s">
        <v>1346</v>
      </c>
      <c r="O364" s="927" t="s">
        <v>4388</v>
      </c>
      <c r="P364" s="927" t="s">
        <v>322</v>
      </c>
      <c r="Q364" s="927"/>
      <c r="R364" s="927"/>
      <c r="T364">
        <v>393</v>
      </c>
      <c r="U364">
        <v>415</v>
      </c>
      <c r="V364">
        <v>482</v>
      </c>
      <c r="W364">
        <v>395</v>
      </c>
      <c r="X364">
        <v>428</v>
      </c>
      <c r="Y364">
        <v>447</v>
      </c>
      <c r="Z364">
        <v>436</v>
      </c>
      <c r="AA364">
        <v>453</v>
      </c>
      <c r="AB364">
        <v>511</v>
      </c>
      <c r="AC364">
        <v>573</v>
      </c>
      <c r="AD364">
        <v>632</v>
      </c>
      <c r="AE364">
        <v>740</v>
      </c>
      <c r="AF364" s="927"/>
      <c r="AG364" s="927"/>
      <c r="AH364" s="717"/>
      <c r="AK364" s="927"/>
      <c r="AO364" s="927"/>
      <c r="AP364" s="927"/>
      <c r="AQ364" s="927" t="s">
        <v>4569</v>
      </c>
    </row>
    <row r="365" spans="1:43">
      <c r="A365" s="927" t="s">
        <v>4572</v>
      </c>
      <c r="B365" s="927" t="s">
        <v>4573</v>
      </c>
      <c r="C365" s="927" t="s">
        <v>4574</v>
      </c>
      <c r="D365" s="927" t="s">
        <v>3613</v>
      </c>
      <c r="E365" s="717">
        <v>45597</v>
      </c>
      <c r="F365" s="927"/>
      <c r="G365" s="927" t="s">
        <v>5739</v>
      </c>
      <c r="H365" t="s">
        <v>4575</v>
      </c>
      <c r="I365" s="927"/>
      <c r="J365" s="131"/>
      <c r="K365" s="927" t="s">
        <v>4576</v>
      </c>
      <c r="L365" t="s">
        <v>3858</v>
      </c>
      <c r="M365" s="927" t="s">
        <v>320</v>
      </c>
      <c r="N365" s="927" t="s">
        <v>4576</v>
      </c>
      <c r="O365" s="927" t="s">
        <v>4577</v>
      </c>
      <c r="P365" s="927" t="s">
        <v>322</v>
      </c>
      <c r="Q365" s="927"/>
      <c r="R365" s="927"/>
      <c r="T365">
        <v>1728</v>
      </c>
      <c r="U365">
        <v>1728</v>
      </c>
      <c r="V365">
        <v>1440</v>
      </c>
      <c r="W365">
        <v>1296</v>
      </c>
      <c r="X365">
        <v>1008</v>
      </c>
      <c r="Y365">
        <v>864</v>
      </c>
      <c r="Z365">
        <v>864</v>
      </c>
      <c r="AA365">
        <v>1008</v>
      </c>
      <c r="AB365">
        <v>1008</v>
      </c>
      <c r="AC365">
        <v>1008</v>
      </c>
      <c r="AD365">
        <v>1152</v>
      </c>
      <c r="AE365">
        <v>1440</v>
      </c>
      <c r="AF365" s="927" t="s">
        <v>1189</v>
      </c>
      <c r="AG365" s="927" t="s">
        <v>1189</v>
      </c>
      <c r="AH365" s="717"/>
      <c r="AK365" s="927"/>
      <c r="AO365" s="927"/>
      <c r="AP365" s="927"/>
      <c r="AQ365" s="927" t="s">
        <v>4592</v>
      </c>
    </row>
    <row r="366" spans="1:43">
      <c r="A366" s="927" t="s">
        <v>4590</v>
      </c>
      <c r="B366" s="927" t="s">
        <v>4591</v>
      </c>
      <c r="C366" s="927" t="s">
        <v>4586</v>
      </c>
      <c r="D366" s="927" t="s">
        <v>3613</v>
      </c>
      <c r="E366" s="717">
        <v>45611</v>
      </c>
      <c r="F366" s="927"/>
      <c r="G366" s="927" t="s">
        <v>5739</v>
      </c>
      <c r="I366" s="927"/>
      <c r="J366" s="131"/>
      <c r="K366" s="927" t="s">
        <v>4587</v>
      </c>
      <c r="L366" t="s">
        <v>4588</v>
      </c>
      <c r="M366" s="927" t="s">
        <v>320</v>
      </c>
      <c r="N366" s="927" t="s">
        <v>1346</v>
      </c>
      <c r="O366" s="927" t="s">
        <v>3653</v>
      </c>
      <c r="P366" s="927" t="s">
        <v>322</v>
      </c>
      <c r="Q366" s="927"/>
      <c r="R366" s="927" t="s">
        <v>324</v>
      </c>
      <c r="T366">
        <v>320</v>
      </c>
      <c r="U366">
        <v>1264</v>
      </c>
      <c r="V366">
        <v>978</v>
      </c>
      <c r="W366">
        <v>559</v>
      </c>
      <c r="X366">
        <v>977</v>
      </c>
      <c r="Y366">
        <v>702</v>
      </c>
      <c r="Z366">
        <v>252</v>
      </c>
      <c r="AA366">
        <v>250</v>
      </c>
      <c r="AB366">
        <v>250</v>
      </c>
      <c r="AC366">
        <v>324</v>
      </c>
      <c r="AD366">
        <v>600</v>
      </c>
      <c r="AE366">
        <v>600</v>
      </c>
      <c r="AF366" s="927" t="s">
        <v>1189</v>
      </c>
      <c r="AG366" s="927"/>
      <c r="AH366" s="717"/>
      <c r="AI366">
        <v>8.8000000000000007</v>
      </c>
      <c r="AJ366">
        <v>35500</v>
      </c>
      <c r="AK366" s="927"/>
      <c r="AL366">
        <v>16</v>
      </c>
      <c r="AM366">
        <v>550</v>
      </c>
      <c r="AO366" s="927"/>
      <c r="AP366" s="927"/>
      <c r="AQ366" s="927" t="s">
        <v>4589</v>
      </c>
    </row>
    <row r="367" spans="1:43">
      <c r="A367" s="927" t="s">
        <v>4593</v>
      </c>
      <c r="B367" s="927" t="s">
        <v>4594</v>
      </c>
      <c r="C367" s="927" t="s">
        <v>4595</v>
      </c>
      <c r="D367" s="927" t="s">
        <v>3613</v>
      </c>
      <c r="E367" s="717">
        <v>45614</v>
      </c>
      <c r="F367" s="927"/>
      <c r="G367" s="927" t="s">
        <v>5739</v>
      </c>
      <c r="H367" t="s">
        <v>4596</v>
      </c>
      <c r="I367" s="927"/>
      <c r="J367" s="131"/>
      <c r="K367" s="927" t="s">
        <v>4550</v>
      </c>
      <c r="L367" t="s">
        <v>3858</v>
      </c>
      <c r="M367" s="927" t="s">
        <v>320</v>
      </c>
      <c r="N367" s="927" t="s">
        <v>4550</v>
      </c>
      <c r="O367" s="927" t="s">
        <v>3996</v>
      </c>
      <c r="P367" s="927" t="s">
        <v>322</v>
      </c>
      <c r="Q367" s="927"/>
      <c r="R367" s="927"/>
      <c r="T367">
        <v>547</v>
      </c>
      <c r="U367">
        <v>547</v>
      </c>
      <c r="V367">
        <v>456</v>
      </c>
      <c r="W367">
        <v>410</v>
      </c>
      <c r="X367">
        <v>319</v>
      </c>
      <c r="Y367">
        <v>274</v>
      </c>
      <c r="Z367">
        <v>274</v>
      </c>
      <c r="AA367">
        <v>319</v>
      </c>
      <c r="AB367">
        <v>319</v>
      </c>
      <c r="AC367">
        <v>319</v>
      </c>
      <c r="AD367">
        <v>365</v>
      </c>
      <c r="AE367">
        <v>456</v>
      </c>
      <c r="AF367" s="927" t="s">
        <v>1189</v>
      </c>
      <c r="AG367" s="927" t="s">
        <v>1189</v>
      </c>
      <c r="AH367" s="717"/>
      <c r="AK367" s="927"/>
      <c r="AO367" s="927"/>
      <c r="AP367" s="927"/>
      <c r="AQ367" s="927" t="s">
        <v>4597</v>
      </c>
    </row>
    <row r="368" spans="1:43">
      <c r="A368" s="927" t="s">
        <v>4602</v>
      </c>
      <c r="B368" s="927" t="s">
        <v>4603</v>
      </c>
      <c r="C368" s="927" t="s">
        <v>4600</v>
      </c>
      <c r="D368" s="927" t="s">
        <v>3613</v>
      </c>
      <c r="E368" s="717">
        <v>45408</v>
      </c>
      <c r="F368" s="927"/>
      <c r="G368" s="927" t="s">
        <v>5739</v>
      </c>
      <c r="H368" t="s">
        <v>5533</v>
      </c>
      <c r="I368" s="927"/>
      <c r="J368" s="131"/>
      <c r="K368" s="927" t="s">
        <v>5534</v>
      </c>
      <c r="L368" t="s">
        <v>5535</v>
      </c>
      <c r="M368" s="927" t="s">
        <v>320</v>
      </c>
      <c r="N368" s="927" t="s">
        <v>1346</v>
      </c>
      <c r="O368" s="927" t="s">
        <v>82</v>
      </c>
      <c r="P368" s="927" t="s">
        <v>322</v>
      </c>
      <c r="Q368" s="927"/>
      <c r="R368" s="927"/>
      <c r="T368">
        <v>1123</v>
      </c>
      <c r="U368">
        <v>1076</v>
      </c>
      <c r="V368">
        <v>899</v>
      </c>
      <c r="W368">
        <v>833</v>
      </c>
      <c r="X368">
        <v>655</v>
      </c>
      <c r="Y368">
        <v>562</v>
      </c>
      <c r="Z368">
        <v>562</v>
      </c>
      <c r="AA368">
        <v>627</v>
      </c>
      <c r="AB368">
        <v>655</v>
      </c>
      <c r="AC368">
        <v>683</v>
      </c>
      <c r="AD368">
        <v>749</v>
      </c>
      <c r="AE368">
        <v>936</v>
      </c>
      <c r="AF368" s="927"/>
      <c r="AG368" s="927" t="s">
        <v>1189</v>
      </c>
      <c r="AH368" s="717"/>
      <c r="AK368" s="927"/>
      <c r="AO368" s="927"/>
      <c r="AP368" s="927"/>
      <c r="AQ368" s="927" t="s">
        <v>5536</v>
      </c>
    </row>
    <row r="369" spans="1:43">
      <c r="A369" s="927" t="s">
        <v>4604</v>
      </c>
      <c r="B369" s="927" t="s">
        <v>4605</v>
      </c>
      <c r="C369" s="927" t="s">
        <v>4606</v>
      </c>
      <c r="D369" s="927" t="s">
        <v>3613</v>
      </c>
      <c r="E369" s="717">
        <v>45590</v>
      </c>
      <c r="F369" s="927"/>
      <c r="G369" s="927"/>
      <c r="I369" s="927"/>
      <c r="J369" s="131"/>
      <c r="K369" s="927" t="s">
        <v>306</v>
      </c>
      <c r="M369" s="927" t="s">
        <v>306</v>
      </c>
      <c r="N369" s="927" t="s">
        <v>306</v>
      </c>
      <c r="O369" s="927" t="s">
        <v>306</v>
      </c>
      <c r="P369" s="927" t="s">
        <v>322</v>
      </c>
      <c r="Q369" s="927"/>
      <c r="R369" s="927"/>
      <c r="T369">
        <v>3420</v>
      </c>
      <c r="U369">
        <v>3420</v>
      </c>
      <c r="V369">
        <v>3240</v>
      </c>
      <c r="W369">
        <v>2880</v>
      </c>
      <c r="X369">
        <v>2700</v>
      </c>
      <c r="Y369">
        <v>2520</v>
      </c>
      <c r="Z369">
        <v>2700</v>
      </c>
      <c r="AA369">
        <v>2700</v>
      </c>
      <c r="AB369">
        <v>2880</v>
      </c>
      <c r="AC369">
        <v>3060</v>
      </c>
      <c r="AD369">
        <v>3240</v>
      </c>
      <c r="AE369">
        <v>3420</v>
      </c>
      <c r="AF369" s="927"/>
      <c r="AG369" s="927"/>
      <c r="AH369" s="717"/>
      <c r="AK369" s="927"/>
      <c r="AO369" s="927"/>
      <c r="AP369" s="927"/>
      <c r="AQ369" s="927" t="s">
        <v>4607</v>
      </c>
    </row>
    <row r="370" spans="1:43">
      <c r="A370" s="927" t="s">
        <v>4608</v>
      </c>
      <c r="B370" s="927" t="s">
        <v>4609</v>
      </c>
      <c r="C370" s="927" t="s">
        <v>4610</v>
      </c>
      <c r="D370" s="927" t="s">
        <v>3613</v>
      </c>
      <c r="E370" s="717">
        <v>45617</v>
      </c>
      <c r="F370" s="927"/>
      <c r="G370" s="927" t="s">
        <v>5739</v>
      </c>
      <c r="I370" s="927"/>
      <c r="J370" s="131"/>
      <c r="K370" s="927" t="s">
        <v>4611</v>
      </c>
      <c r="L370" t="s">
        <v>3858</v>
      </c>
      <c r="M370" s="927" t="s">
        <v>320</v>
      </c>
      <c r="N370" s="927" t="s">
        <v>4611</v>
      </c>
      <c r="O370" s="927" t="s">
        <v>3876</v>
      </c>
      <c r="P370" s="927" t="s">
        <v>322</v>
      </c>
      <c r="Q370" s="927"/>
      <c r="R370" s="927"/>
      <c r="T370">
        <v>1512</v>
      </c>
      <c r="U370">
        <v>1512</v>
      </c>
      <c r="V370">
        <v>1260</v>
      </c>
      <c r="W370">
        <v>1134</v>
      </c>
      <c r="X370">
        <v>882</v>
      </c>
      <c r="Y370">
        <v>756</v>
      </c>
      <c r="Z370">
        <v>756</v>
      </c>
      <c r="AA370">
        <v>882</v>
      </c>
      <c r="AB370">
        <v>882</v>
      </c>
      <c r="AC370">
        <v>882</v>
      </c>
      <c r="AD370">
        <v>1008</v>
      </c>
      <c r="AE370">
        <v>1260</v>
      </c>
      <c r="AF370" s="927" t="s">
        <v>1189</v>
      </c>
      <c r="AG370" s="927"/>
      <c r="AH370" s="717"/>
      <c r="AK370" s="927"/>
      <c r="AO370" s="927"/>
      <c r="AP370" s="927"/>
      <c r="AQ370" s="927" t="s">
        <v>4612</v>
      </c>
    </row>
    <row r="371" spans="1:43">
      <c r="A371" s="927" t="s">
        <v>4613</v>
      </c>
      <c r="B371" s="927" t="s">
        <v>4614</v>
      </c>
      <c r="C371" s="927" t="s">
        <v>4615</v>
      </c>
      <c r="D371" s="927" t="s">
        <v>3613</v>
      </c>
      <c r="E371" s="717">
        <v>45615</v>
      </c>
      <c r="F371" s="927"/>
      <c r="G371" s="927" t="s">
        <v>5739</v>
      </c>
      <c r="H371" t="s">
        <v>4616</v>
      </c>
      <c r="I371" s="927"/>
      <c r="J371" s="131"/>
      <c r="K371" s="927" t="s">
        <v>306</v>
      </c>
      <c r="M371" s="927" t="s">
        <v>306</v>
      </c>
      <c r="N371" s="927" t="s">
        <v>306</v>
      </c>
      <c r="O371" s="927" t="s">
        <v>306</v>
      </c>
      <c r="P371" s="927" t="s">
        <v>322</v>
      </c>
      <c r="Q371" s="927"/>
      <c r="R371" s="927"/>
      <c r="T371">
        <v>1109</v>
      </c>
      <c r="U371">
        <v>1109</v>
      </c>
      <c r="V371">
        <v>924</v>
      </c>
      <c r="W371">
        <v>832</v>
      </c>
      <c r="X371">
        <v>647</v>
      </c>
      <c r="Y371">
        <v>554</v>
      </c>
      <c r="Z371">
        <v>554</v>
      </c>
      <c r="AA371">
        <v>647</v>
      </c>
      <c r="AB371">
        <v>647</v>
      </c>
      <c r="AC371">
        <v>647</v>
      </c>
      <c r="AD371">
        <v>739</v>
      </c>
      <c r="AE371">
        <v>924</v>
      </c>
      <c r="AF371" s="927" t="s">
        <v>1189</v>
      </c>
      <c r="AG371" s="927" t="s">
        <v>1189</v>
      </c>
      <c r="AH371" s="717"/>
      <c r="AK371" s="927"/>
      <c r="AO371" s="927"/>
      <c r="AP371" s="927"/>
      <c r="AQ371" s="927" t="s">
        <v>4617</v>
      </c>
    </row>
    <row r="372" spans="1:43">
      <c r="A372" s="927" t="s">
        <v>4618</v>
      </c>
      <c r="B372" s="927" t="s">
        <v>4619</v>
      </c>
      <c r="C372" s="927" t="s">
        <v>4620</v>
      </c>
      <c r="D372" s="927" t="s">
        <v>3613</v>
      </c>
      <c r="E372" s="717">
        <v>45586</v>
      </c>
      <c r="F372" s="927"/>
      <c r="G372" s="927" t="s">
        <v>5739</v>
      </c>
      <c r="H372" t="s">
        <v>4621</v>
      </c>
      <c r="I372" s="927"/>
      <c r="J372" s="131"/>
      <c r="K372" s="927" t="s">
        <v>4622</v>
      </c>
      <c r="L372" t="s">
        <v>4623</v>
      </c>
      <c r="M372" s="927" t="s">
        <v>4624</v>
      </c>
      <c r="N372" s="927" t="s">
        <v>4622</v>
      </c>
      <c r="O372" s="927" t="s">
        <v>4624</v>
      </c>
      <c r="P372" s="927" t="s">
        <v>322</v>
      </c>
      <c r="Q372" s="927"/>
      <c r="R372" s="927"/>
      <c r="T372">
        <v>792</v>
      </c>
      <c r="U372">
        <v>792</v>
      </c>
      <c r="V372">
        <v>660</v>
      </c>
      <c r="W372">
        <v>594</v>
      </c>
      <c r="X372">
        <v>462</v>
      </c>
      <c r="Y372">
        <v>396</v>
      </c>
      <c r="Z372">
        <v>396</v>
      </c>
      <c r="AA372">
        <v>462</v>
      </c>
      <c r="AB372">
        <v>462</v>
      </c>
      <c r="AC372">
        <v>462</v>
      </c>
      <c r="AD372">
        <v>528</v>
      </c>
      <c r="AE372">
        <v>660</v>
      </c>
      <c r="AF372" s="927" t="s">
        <v>1189</v>
      </c>
      <c r="AG372" s="927" t="s">
        <v>4067</v>
      </c>
      <c r="AH372" s="717"/>
      <c r="AK372" s="927"/>
      <c r="AO372" s="927"/>
      <c r="AP372" s="927"/>
      <c r="AQ372" s="927" t="s">
        <v>4625</v>
      </c>
    </row>
    <row r="373" spans="1:43">
      <c r="A373" s="927" t="s">
        <v>4626</v>
      </c>
      <c r="B373" s="927" t="s">
        <v>4627</v>
      </c>
      <c r="C373" s="927" t="s">
        <v>4628</v>
      </c>
      <c r="D373" s="927" t="s">
        <v>3613</v>
      </c>
      <c r="E373" s="717">
        <v>45618</v>
      </c>
      <c r="F373" s="927"/>
      <c r="G373" s="927" t="s">
        <v>5739</v>
      </c>
      <c r="H373" t="s">
        <v>4629</v>
      </c>
      <c r="I373" s="927"/>
      <c r="J373" s="131"/>
      <c r="K373" s="927" t="s">
        <v>4630</v>
      </c>
      <c r="L373" t="s">
        <v>4631</v>
      </c>
      <c r="M373" s="927" t="s">
        <v>320</v>
      </c>
      <c r="N373" s="927" t="s">
        <v>1346</v>
      </c>
      <c r="O373" s="927" t="s">
        <v>4510</v>
      </c>
      <c r="P373" s="927" t="s">
        <v>322</v>
      </c>
      <c r="Q373" s="927"/>
      <c r="R373" s="927"/>
      <c r="T373">
        <v>1440</v>
      </c>
      <c r="U373">
        <v>1440</v>
      </c>
      <c r="V373">
        <v>1200</v>
      </c>
      <c r="W373">
        <v>1080</v>
      </c>
      <c r="X373">
        <v>840</v>
      </c>
      <c r="Y373">
        <v>720</v>
      </c>
      <c r="Z373">
        <v>720</v>
      </c>
      <c r="AA373">
        <v>840</v>
      </c>
      <c r="AB373">
        <v>840</v>
      </c>
      <c r="AC373">
        <v>840</v>
      </c>
      <c r="AD373">
        <v>960</v>
      </c>
      <c r="AE373">
        <v>1200</v>
      </c>
      <c r="AF373" s="927"/>
      <c r="AG373" s="927" t="s">
        <v>1189</v>
      </c>
      <c r="AH373" s="717"/>
      <c r="AK373" s="927"/>
      <c r="AO373" s="927"/>
      <c r="AP373" s="927"/>
      <c r="AQ373" s="927" t="s">
        <v>4632</v>
      </c>
    </row>
    <row r="374" spans="1:43">
      <c r="A374" s="927" t="s">
        <v>4633</v>
      </c>
      <c r="B374" s="927" t="s">
        <v>4634</v>
      </c>
      <c r="C374" s="927" t="s">
        <v>4635</v>
      </c>
      <c r="D374" s="927" t="s">
        <v>4209</v>
      </c>
      <c r="E374" s="717">
        <v>45616</v>
      </c>
      <c r="F374" s="927"/>
      <c r="G374" s="927" t="s">
        <v>5739</v>
      </c>
      <c r="I374" s="927"/>
      <c r="J374" s="131"/>
      <c r="K374" s="927" t="s">
        <v>4669</v>
      </c>
      <c r="L374" t="s">
        <v>4670</v>
      </c>
      <c r="M374" s="927" t="s">
        <v>320</v>
      </c>
      <c r="N374" s="927" t="s">
        <v>1346</v>
      </c>
      <c r="O374" s="927" t="s">
        <v>4671</v>
      </c>
      <c r="P374" s="927" t="s">
        <v>322</v>
      </c>
      <c r="Q374" s="927"/>
      <c r="R374" s="927"/>
      <c r="T374">
        <v>2736</v>
      </c>
      <c r="U374">
        <v>2736</v>
      </c>
      <c r="V374">
        <v>2280</v>
      </c>
      <c r="W374">
        <v>2052</v>
      </c>
      <c r="X374">
        <v>1596</v>
      </c>
      <c r="Y374">
        <v>1368</v>
      </c>
      <c r="Z374">
        <v>1368</v>
      </c>
      <c r="AA374">
        <v>1596</v>
      </c>
      <c r="AB374">
        <v>1596</v>
      </c>
      <c r="AC374">
        <v>1596</v>
      </c>
      <c r="AD374">
        <v>1824</v>
      </c>
      <c r="AE374">
        <v>2280</v>
      </c>
      <c r="AF374" s="927"/>
      <c r="AG374" s="927" t="s">
        <v>1189</v>
      </c>
      <c r="AH374" s="717"/>
      <c r="AI374">
        <v>19.38</v>
      </c>
      <c r="AJ374">
        <v>54080</v>
      </c>
      <c r="AK374" s="927"/>
      <c r="AL374">
        <v>34</v>
      </c>
      <c r="AM374">
        <v>570</v>
      </c>
      <c r="AO374" s="927"/>
      <c r="AP374" s="927"/>
      <c r="AQ374" s="927" t="s">
        <v>4679</v>
      </c>
    </row>
    <row r="375" spans="1:43">
      <c r="A375" s="927" t="s">
        <v>4636</v>
      </c>
      <c r="B375" s="927" t="s">
        <v>4637</v>
      </c>
      <c r="C375" s="927" t="s">
        <v>4638</v>
      </c>
      <c r="D375" s="927" t="s">
        <v>4301</v>
      </c>
      <c r="E375" s="717">
        <v>45614</v>
      </c>
      <c r="F375" s="927"/>
      <c r="G375" s="927" t="s">
        <v>5739</v>
      </c>
      <c r="I375" s="927"/>
      <c r="J375" s="131"/>
      <c r="K375" s="927" t="s">
        <v>306</v>
      </c>
      <c r="M375" s="927" t="s">
        <v>306</v>
      </c>
      <c r="N375" s="927" t="s">
        <v>306</v>
      </c>
      <c r="O375" s="927" t="s">
        <v>306</v>
      </c>
      <c r="P375" s="927"/>
      <c r="Q375" s="927"/>
      <c r="R375" s="927"/>
      <c r="AF375" s="927"/>
      <c r="AG375" s="927"/>
      <c r="AH375" s="717"/>
      <c r="AK375" s="927"/>
      <c r="AO375" s="927"/>
      <c r="AP375" s="927"/>
      <c r="AQ375" s="927" t="s">
        <v>4639</v>
      </c>
    </row>
    <row r="376" spans="1:43">
      <c r="A376" s="927" t="s">
        <v>4642</v>
      </c>
      <c r="B376" s="927" t="s">
        <v>4643</v>
      </c>
      <c r="C376" s="927" t="s">
        <v>4644</v>
      </c>
      <c r="D376" s="927" t="s">
        <v>3613</v>
      </c>
      <c r="E376" s="717">
        <v>45620</v>
      </c>
      <c r="F376" s="927"/>
      <c r="G376" s="927" t="s">
        <v>5739</v>
      </c>
      <c r="H376" t="s">
        <v>4645</v>
      </c>
      <c r="I376" s="927"/>
      <c r="J376" s="131"/>
      <c r="K376" s="927" t="s">
        <v>4646</v>
      </c>
      <c r="L376" t="s">
        <v>3858</v>
      </c>
      <c r="M376" s="927" t="s">
        <v>320</v>
      </c>
      <c r="N376" s="927" t="s">
        <v>4646</v>
      </c>
      <c r="O376" s="927" t="s">
        <v>3712</v>
      </c>
      <c r="P376" s="927" t="s">
        <v>322</v>
      </c>
      <c r="Q376" s="927"/>
      <c r="R376" s="927" t="s">
        <v>324</v>
      </c>
      <c r="T376">
        <v>792</v>
      </c>
      <c r="U376">
        <v>792</v>
      </c>
      <c r="V376">
        <v>660</v>
      </c>
      <c r="W376">
        <v>594</v>
      </c>
      <c r="X376">
        <v>492</v>
      </c>
      <c r="Y376">
        <v>396</v>
      </c>
      <c r="Z376">
        <v>396</v>
      </c>
      <c r="AA376">
        <v>462</v>
      </c>
      <c r="AB376">
        <v>462</v>
      </c>
      <c r="AC376">
        <v>462</v>
      </c>
      <c r="AD376">
        <v>528</v>
      </c>
      <c r="AE376">
        <v>660</v>
      </c>
      <c r="AF376" s="927" t="s">
        <v>1189</v>
      </c>
      <c r="AG376" s="927" t="s">
        <v>1189</v>
      </c>
      <c r="AH376" s="717"/>
      <c r="AK376" s="927"/>
      <c r="AO376" s="927"/>
      <c r="AP376" s="927"/>
      <c r="AQ376" s="927" t="s">
        <v>4647</v>
      </c>
    </row>
    <row r="377" spans="1:43">
      <c r="A377" s="927" t="s">
        <v>4649</v>
      </c>
      <c r="B377" s="927" t="s">
        <v>4650</v>
      </c>
      <c r="C377" s="927" t="s">
        <v>4651</v>
      </c>
      <c r="D377" s="927" t="s">
        <v>3613</v>
      </c>
      <c r="E377" s="717">
        <v>45596</v>
      </c>
      <c r="F377" s="927"/>
      <c r="G377" s="927"/>
      <c r="I377" s="927"/>
      <c r="J377" s="131"/>
      <c r="K377" s="927" t="s">
        <v>306</v>
      </c>
      <c r="M377" s="927" t="s">
        <v>306</v>
      </c>
      <c r="N377" s="927" t="s">
        <v>306</v>
      </c>
      <c r="O377" s="927" t="s">
        <v>306</v>
      </c>
      <c r="P377" s="927" t="s">
        <v>322</v>
      </c>
      <c r="Q377" s="927"/>
      <c r="R377" s="927"/>
      <c r="T377">
        <v>1440</v>
      </c>
      <c r="U377">
        <v>1440</v>
      </c>
      <c r="V377">
        <v>1200</v>
      </c>
      <c r="W377">
        <v>1080</v>
      </c>
      <c r="X377">
        <v>840</v>
      </c>
      <c r="Y377">
        <v>720</v>
      </c>
      <c r="Z377">
        <v>720</v>
      </c>
      <c r="AA377">
        <v>840</v>
      </c>
      <c r="AB377">
        <v>840</v>
      </c>
      <c r="AC377">
        <v>840</v>
      </c>
      <c r="AD377">
        <v>960</v>
      </c>
      <c r="AE377">
        <v>1200</v>
      </c>
      <c r="AF377" s="927"/>
      <c r="AG377" s="927" t="s">
        <v>1189</v>
      </c>
      <c r="AH377" s="717"/>
      <c r="AK377" s="927"/>
      <c r="AO377" s="927"/>
      <c r="AP377" s="927"/>
      <c r="AQ377" s="927" t="s">
        <v>4652</v>
      </c>
    </row>
    <row r="378" spans="1:43">
      <c r="A378" s="927" t="s">
        <v>5757</v>
      </c>
      <c r="B378" s="927" t="s">
        <v>4653</v>
      </c>
      <c r="C378" s="927" t="s">
        <v>5758</v>
      </c>
      <c r="D378" s="927" t="s">
        <v>3613</v>
      </c>
      <c r="E378" s="717">
        <v>45617</v>
      </c>
      <c r="F378" s="927"/>
      <c r="G378" s="927" t="s">
        <v>5739</v>
      </c>
      <c r="H378" t="s">
        <v>4654</v>
      </c>
      <c r="I378" s="927"/>
      <c r="J378" s="131"/>
      <c r="K378" s="927" t="s">
        <v>4646</v>
      </c>
      <c r="L378" t="s">
        <v>3858</v>
      </c>
      <c r="M378" s="927" t="s">
        <v>320</v>
      </c>
      <c r="N378" s="927" t="s">
        <v>4646</v>
      </c>
      <c r="O378" s="927" t="s">
        <v>3712</v>
      </c>
      <c r="P378" s="927" t="s">
        <v>322</v>
      </c>
      <c r="Q378" s="927"/>
      <c r="R378" s="927"/>
      <c r="T378">
        <v>547</v>
      </c>
      <c r="U378">
        <v>547</v>
      </c>
      <c r="V378">
        <v>456</v>
      </c>
      <c r="W378">
        <v>410</v>
      </c>
      <c r="X378">
        <v>319</v>
      </c>
      <c r="Y378">
        <v>274</v>
      </c>
      <c r="Z378">
        <v>274</v>
      </c>
      <c r="AA378">
        <v>319</v>
      </c>
      <c r="AB378">
        <v>319</v>
      </c>
      <c r="AC378">
        <v>319</v>
      </c>
      <c r="AD378">
        <v>365</v>
      </c>
      <c r="AE378">
        <v>456</v>
      </c>
      <c r="AF378" s="927" t="s">
        <v>1189</v>
      </c>
      <c r="AG378" s="927" t="s">
        <v>1189</v>
      </c>
      <c r="AH378" s="717"/>
      <c r="AK378" s="927"/>
      <c r="AO378" s="927"/>
      <c r="AP378" s="927"/>
      <c r="AQ378" s="927" t="s">
        <v>4655</v>
      </c>
    </row>
    <row r="379" spans="1:43">
      <c r="A379" s="927" t="s">
        <v>4658</v>
      </c>
      <c r="B379" s="927" t="s">
        <v>4659</v>
      </c>
      <c r="C379" s="927" t="s">
        <v>4660</v>
      </c>
      <c r="D379" s="927" t="s">
        <v>3613</v>
      </c>
      <c r="E379" s="717">
        <v>45627</v>
      </c>
      <c r="F379" s="927"/>
      <c r="G379" s="927" t="s">
        <v>5739</v>
      </c>
      <c r="I379" s="927"/>
      <c r="J379" s="131"/>
      <c r="K379" s="927" t="s">
        <v>4661</v>
      </c>
      <c r="L379" t="s">
        <v>3858</v>
      </c>
      <c r="M379" s="927" t="s">
        <v>320</v>
      </c>
      <c r="N379" s="927" t="s">
        <v>4661</v>
      </c>
      <c r="O379" s="927" t="s">
        <v>4662</v>
      </c>
      <c r="P379" s="927" t="s">
        <v>322</v>
      </c>
      <c r="Q379" s="927"/>
      <c r="R379" s="927" t="s">
        <v>324</v>
      </c>
      <c r="T379">
        <v>562</v>
      </c>
      <c r="U379">
        <v>562</v>
      </c>
      <c r="V379">
        <v>468</v>
      </c>
      <c r="W379">
        <v>421</v>
      </c>
      <c r="X379">
        <v>328</v>
      </c>
      <c r="Y379">
        <v>281</v>
      </c>
      <c r="Z379">
        <v>281</v>
      </c>
      <c r="AA379">
        <v>328</v>
      </c>
      <c r="AB379">
        <v>328</v>
      </c>
      <c r="AC379">
        <v>328</v>
      </c>
      <c r="AD379">
        <v>374</v>
      </c>
      <c r="AE379">
        <v>468</v>
      </c>
      <c r="AF379" s="927" t="s">
        <v>1189</v>
      </c>
      <c r="AG379" s="927" t="s">
        <v>1189</v>
      </c>
      <c r="AH379" s="717"/>
      <c r="AK379" s="927"/>
      <c r="AO379" s="927"/>
      <c r="AP379" s="927"/>
      <c r="AQ379" s="927" t="s">
        <v>4663</v>
      </c>
    </row>
    <row r="380" spans="1:43">
      <c r="A380" s="927" t="s">
        <v>4664</v>
      </c>
      <c r="B380" s="927" t="s">
        <v>4665</v>
      </c>
      <c r="C380" s="927" t="s">
        <v>4666</v>
      </c>
      <c r="D380" s="927" t="s">
        <v>4301</v>
      </c>
      <c r="E380" s="717">
        <v>45618</v>
      </c>
      <c r="F380" s="927"/>
      <c r="G380" s="927" t="s">
        <v>5739</v>
      </c>
      <c r="I380" s="927"/>
      <c r="J380" s="131"/>
      <c r="K380" s="927" t="s">
        <v>306</v>
      </c>
      <c r="M380" s="927" t="s">
        <v>306</v>
      </c>
      <c r="N380" s="927" t="s">
        <v>306</v>
      </c>
      <c r="O380" s="927" t="s">
        <v>306</v>
      </c>
      <c r="P380" s="927" t="s">
        <v>322</v>
      </c>
      <c r="Q380" s="927"/>
      <c r="R380" s="927" t="s">
        <v>324</v>
      </c>
      <c r="T380">
        <v>6270</v>
      </c>
      <c r="U380">
        <v>6270</v>
      </c>
      <c r="V380">
        <v>5940</v>
      </c>
      <c r="W380">
        <v>5280</v>
      </c>
      <c r="X380">
        <v>4950</v>
      </c>
      <c r="Y380">
        <v>4620</v>
      </c>
      <c r="Z380">
        <v>4950</v>
      </c>
      <c r="AA380">
        <v>4950</v>
      </c>
      <c r="AB380">
        <v>5295</v>
      </c>
      <c r="AC380">
        <v>5555</v>
      </c>
      <c r="AD380">
        <v>5886</v>
      </c>
      <c r="AE380">
        <v>6270</v>
      </c>
      <c r="AF380" s="927" t="s">
        <v>1189</v>
      </c>
      <c r="AG380" s="927" t="s">
        <v>1420</v>
      </c>
      <c r="AH380" s="717"/>
      <c r="AK380" s="927"/>
      <c r="AO380" s="927"/>
      <c r="AP380" s="927"/>
      <c r="AQ380" s="927" t="s">
        <v>4667</v>
      </c>
    </row>
    <row r="381" spans="1:43">
      <c r="A381" s="927" t="s">
        <v>4672</v>
      </c>
      <c r="B381" s="927" t="s">
        <v>4673</v>
      </c>
      <c r="C381" s="927" t="s">
        <v>4674</v>
      </c>
      <c r="D381" s="927" t="s">
        <v>3613</v>
      </c>
      <c r="E381" s="717">
        <v>45627</v>
      </c>
      <c r="F381" s="927"/>
      <c r="G381" s="927" t="s">
        <v>5739</v>
      </c>
      <c r="H381" t="s">
        <v>4675</v>
      </c>
      <c r="I381" s="927"/>
      <c r="J381" s="131"/>
      <c r="K381" s="927" t="s">
        <v>4676</v>
      </c>
      <c r="L381" t="s">
        <v>3858</v>
      </c>
      <c r="M381" s="927" t="s">
        <v>320</v>
      </c>
      <c r="N381" s="927" t="s">
        <v>4676</v>
      </c>
      <c r="O381" s="927" t="s">
        <v>4677</v>
      </c>
      <c r="P381" s="927"/>
      <c r="Q381" s="927"/>
      <c r="R381" s="927"/>
      <c r="T381">
        <v>2592</v>
      </c>
      <c r="U381">
        <v>2592</v>
      </c>
      <c r="V381">
        <v>2160</v>
      </c>
      <c r="W381">
        <v>1944</v>
      </c>
      <c r="X381">
        <v>1512</v>
      </c>
      <c r="Y381">
        <v>1296</v>
      </c>
      <c r="Z381">
        <v>1296</v>
      </c>
      <c r="AA381">
        <v>1512</v>
      </c>
      <c r="AB381">
        <v>1512</v>
      </c>
      <c r="AC381">
        <v>1512</v>
      </c>
      <c r="AD381">
        <v>1728</v>
      </c>
      <c r="AE381">
        <v>2160</v>
      </c>
      <c r="AF381" s="927"/>
      <c r="AG381" s="927" t="s">
        <v>1189</v>
      </c>
      <c r="AH381" s="717"/>
      <c r="AK381" s="927"/>
      <c r="AO381" s="927"/>
      <c r="AP381" s="927"/>
      <c r="AQ381" s="927" t="s">
        <v>4678</v>
      </c>
    </row>
    <row r="382" spans="1:43">
      <c r="A382" s="927" t="s">
        <v>4680</v>
      </c>
      <c r="B382" s="927" t="s">
        <v>4681</v>
      </c>
      <c r="C382" s="927" t="s">
        <v>4682</v>
      </c>
      <c r="D382" s="927" t="s">
        <v>3613</v>
      </c>
      <c r="E382" s="717">
        <v>45481</v>
      </c>
      <c r="F382" s="927"/>
      <c r="G382" s="927" t="s">
        <v>5739</v>
      </c>
      <c r="H382" t="s">
        <v>4683</v>
      </c>
      <c r="I382" s="927"/>
      <c r="J382" s="131"/>
      <c r="K382" s="927" t="s">
        <v>4684</v>
      </c>
      <c r="L382" t="s">
        <v>4685</v>
      </c>
      <c r="M382" s="927" t="s">
        <v>320</v>
      </c>
      <c r="N382" s="927" t="s">
        <v>1346</v>
      </c>
      <c r="O382" s="927" t="s">
        <v>3631</v>
      </c>
      <c r="P382" s="927" t="s">
        <v>322</v>
      </c>
      <c r="Q382" s="927"/>
      <c r="R382" s="927"/>
      <c r="T382">
        <v>1368</v>
      </c>
      <c r="U382">
        <v>1368</v>
      </c>
      <c r="V382">
        <v>1296</v>
      </c>
      <c r="W382">
        <v>1152</v>
      </c>
      <c r="X382">
        <v>1080</v>
      </c>
      <c r="Y382">
        <v>1008</v>
      </c>
      <c r="Z382">
        <v>1080</v>
      </c>
      <c r="AA382">
        <v>1080</v>
      </c>
      <c r="AB382">
        <v>1152</v>
      </c>
      <c r="AC382">
        <v>1224</v>
      </c>
      <c r="AD382">
        <v>1296</v>
      </c>
      <c r="AE382">
        <v>1368</v>
      </c>
      <c r="AF382" s="927"/>
      <c r="AG382" s="927" t="s">
        <v>1420</v>
      </c>
      <c r="AH382" s="717"/>
      <c r="AK382" s="927"/>
      <c r="AO382" s="927"/>
      <c r="AP382" s="927"/>
      <c r="AQ382" s="927" t="s">
        <v>4686</v>
      </c>
    </row>
    <row r="383" spans="1:43">
      <c r="A383" s="927" t="s">
        <v>4687</v>
      </c>
      <c r="B383" s="927" t="s">
        <v>4688</v>
      </c>
      <c r="C383" s="927" t="s">
        <v>4689</v>
      </c>
      <c r="D383" s="927" t="s">
        <v>3613</v>
      </c>
      <c r="E383" s="717">
        <v>45630</v>
      </c>
      <c r="F383" s="927"/>
      <c r="G383" s="927" t="s">
        <v>5739</v>
      </c>
      <c r="I383" s="927"/>
      <c r="J383" s="131"/>
      <c r="K383" s="927" t="s">
        <v>4708</v>
      </c>
      <c r="L383" t="s">
        <v>3858</v>
      </c>
      <c r="M383" s="927" t="s">
        <v>320</v>
      </c>
      <c r="N383" s="927" t="s">
        <v>4708</v>
      </c>
      <c r="O383" s="927" t="s">
        <v>4212</v>
      </c>
      <c r="P383" s="927" t="s">
        <v>322</v>
      </c>
      <c r="Q383" s="927"/>
      <c r="R383" s="927"/>
      <c r="T383">
        <v>547</v>
      </c>
      <c r="U383">
        <v>547</v>
      </c>
      <c r="V383">
        <v>456</v>
      </c>
      <c r="W383">
        <v>410</v>
      </c>
      <c r="X383">
        <v>319</v>
      </c>
      <c r="Y383">
        <v>374</v>
      </c>
      <c r="Z383">
        <v>374</v>
      </c>
      <c r="AA383">
        <v>319</v>
      </c>
      <c r="AB383">
        <v>319</v>
      </c>
      <c r="AC383">
        <v>319</v>
      </c>
      <c r="AD383">
        <v>365</v>
      </c>
      <c r="AE383">
        <v>456</v>
      </c>
      <c r="AF383" s="927"/>
      <c r="AG383" s="927" t="s">
        <v>1189</v>
      </c>
      <c r="AH383" s="717"/>
      <c r="AK383" s="927"/>
      <c r="AO383" s="927"/>
      <c r="AP383" s="927"/>
      <c r="AQ383" s="927" t="s">
        <v>4709</v>
      </c>
    </row>
    <row r="384" spans="1:43">
      <c r="A384" s="927" t="s">
        <v>4690</v>
      </c>
      <c r="B384" s="927" t="s">
        <v>4691</v>
      </c>
      <c r="C384" s="927" t="s">
        <v>4692</v>
      </c>
      <c r="D384" s="927" t="s">
        <v>3613</v>
      </c>
      <c r="E384" s="717">
        <v>45631</v>
      </c>
      <c r="F384" s="927"/>
      <c r="G384" s="927" t="s">
        <v>5739</v>
      </c>
      <c r="I384" s="927"/>
      <c r="J384" s="131"/>
      <c r="K384" s="927" t="s">
        <v>4693</v>
      </c>
      <c r="L384" t="s">
        <v>3858</v>
      </c>
      <c r="M384" s="927" t="s">
        <v>320</v>
      </c>
      <c r="N384" s="927" t="s">
        <v>4693</v>
      </c>
      <c r="O384" s="927" t="s">
        <v>3906</v>
      </c>
      <c r="P384" s="927" t="s">
        <v>322</v>
      </c>
      <c r="Q384" s="927"/>
      <c r="R384" s="927"/>
      <c r="T384">
        <v>720</v>
      </c>
      <c r="U384">
        <v>720</v>
      </c>
      <c r="V384">
        <v>600</v>
      </c>
      <c r="W384">
        <v>540</v>
      </c>
      <c r="X384">
        <v>420</v>
      </c>
      <c r="Y384">
        <v>360</v>
      </c>
      <c r="Z384">
        <v>360</v>
      </c>
      <c r="AA384">
        <v>420</v>
      </c>
      <c r="AB384">
        <v>420</v>
      </c>
      <c r="AC384">
        <v>420</v>
      </c>
      <c r="AD384">
        <v>480</v>
      </c>
      <c r="AE384">
        <v>600</v>
      </c>
      <c r="AF384" s="927" t="s">
        <v>1189</v>
      </c>
      <c r="AG384" s="927" t="s">
        <v>1189</v>
      </c>
      <c r="AH384" s="717"/>
      <c r="AK384" s="927"/>
      <c r="AO384" s="927"/>
      <c r="AP384" s="927"/>
      <c r="AQ384" s="927" t="s">
        <v>4694</v>
      </c>
    </row>
    <row r="385" spans="1:43">
      <c r="A385" s="927" t="s">
        <v>4695</v>
      </c>
      <c r="B385" s="927" t="s">
        <v>4696</v>
      </c>
      <c r="C385" s="927" t="s">
        <v>4697</v>
      </c>
      <c r="D385" s="927" t="s">
        <v>3613</v>
      </c>
      <c r="E385" s="717">
        <v>45613</v>
      </c>
      <c r="F385" s="927"/>
      <c r="G385" s="927" t="s">
        <v>5739</v>
      </c>
      <c r="I385" s="927"/>
      <c r="J385" s="131"/>
      <c r="K385" s="927" t="s">
        <v>4698</v>
      </c>
      <c r="L385" t="s">
        <v>3858</v>
      </c>
      <c r="M385" s="927" t="s">
        <v>320</v>
      </c>
      <c r="N385" s="927" t="s">
        <v>4698</v>
      </c>
      <c r="O385" s="927" t="s">
        <v>4699</v>
      </c>
      <c r="P385" s="927" t="s">
        <v>322</v>
      </c>
      <c r="Q385" s="927"/>
      <c r="R385" s="927"/>
      <c r="T385">
        <v>547</v>
      </c>
      <c r="U385">
        <v>547</v>
      </c>
      <c r="V385">
        <v>456</v>
      </c>
      <c r="W385">
        <v>410</v>
      </c>
      <c r="X385">
        <v>319</v>
      </c>
      <c r="Y385">
        <v>274</v>
      </c>
      <c r="Z385">
        <v>274</v>
      </c>
      <c r="AA385">
        <v>319</v>
      </c>
      <c r="AB385">
        <v>319</v>
      </c>
      <c r="AC385">
        <v>319</v>
      </c>
      <c r="AD385">
        <v>365</v>
      </c>
      <c r="AE385">
        <v>456</v>
      </c>
      <c r="AF385" s="927"/>
      <c r="AG385" s="927"/>
      <c r="AH385" s="717"/>
      <c r="AK385" s="927"/>
      <c r="AO385" s="927"/>
      <c r="AP385" s="927"/>
      <c r="AQ385" s="927" t="s">
        <v>4700</v>
      </c>
    </row>
    <row r="386" spans="1:43">
      <c r="A386" s="927" t="s">
        <v>4701</v>
      </c>
      <c r="B386" s="927" t="s">
        <v>4702</v>
      </c>
      <c r="C386" s="927" t="s">
        <v>4703</v>
      </c>
      <c r="D386" s="927" t="s">
        <v>1418</v>
      </c>
      <c r="E386" s="717">
        <v>45617</v>
      </c>
      <c r="F386" s="927"/>
      <c r="G386" s="927"/>
      <c r="H386" t="s">
        <v>5058</v>
      </c>
      <c r="I386" s="927"/>
      <c r="J386" s="131"/>
      <c r="K386" s="927" t="s">
        <v>5059</v>
      </c>
      <c r="L386" t="s">
        <v>4089</v>
      </c>
      <c r="M386" s="927" t="s">
        <v>320</v>
      </c>
      <c r="N386" s="927" t="s">
        <v>1346</v>
      </c>
      <c r="O386" s="927" t="s">
        <v>4090</v>
      </c>
      <c r="P386" s="927" t="s">
        <v>322</v>
      </c>
      <c r="Q386" s="927"/>
      <c r="R386" s="927" t="s">
        <v>324</v>
      </c>
      <c r="T386">
        <v>540</v>
      </c>
      <c r="U386">
        <v>372</v>
      </c>
      <c r="V386">
        <v>433</v>
      </c>
      <c r="W386">
        <v>320</v>
      </c>
      <c r="X386">
        <v>266</v>
      </c>
      <c r="Y386">
        <v>281</v>
      </c>
      <c r="Z386">
        <v>195</v>
      </c>
      <c r="AA386">
        <v>171</v>
      </c>
      <c r="AB386">
        <v>287</v>
      </c>
      <c r="AC386">
        <v>332</v>
      </c>
      <c r="AD386">
        <v>345</v>
      </c>
      <c r="AE386">
        <v>471</v>
      </c>
      <c r="AF386" s="927" t="s">
        <v>1420</v>
      </c>
      <c r="AG386" s="927" t="s">
        <v>1189</v>
      </c>
      <c r="AH386" s="717"/>
      <c r="AI386">
        <v>5.85</v>
      </c>
      <c r="AJ386">
        <v>18000</v>
      </c>
      <c r="AK386" s="927"/>
      <c r="AL386">
        <v>10</v>
      </c>
      <c r="AM386">
        <v>585</v>
      </c>
      <c r="AO386" s="927"/>
      <c r="AP386" s="927"/>
      <c r="AQ386" s="927" t="s">
        <v>5060</v>
      </c>
    </row>
    <row r="387" spans="1:43">
      <c r="A387" s="927" t="s">
        <v>4704</v>
      </c>
      <c r="B387" s="927" t="s">
        <v>4705</v>
      </c>
      <c r="C387" s="927" t="s">
        <v>4706</v>
      </c>
      <c r="D387" s="927" t="s">
        <v>4209</v>
      </c>
      <c r="E387" s="717">
        <v>45634</v>
      </c>
      <c r="F387" s="927"/>
      <c r="G387" s="927" t="s">
        <v>5739</v>
      </c>
      <c r="I387" s="927"/>
      <c r="J387" s="131"/>
      <c r="K387" s="927" t="s">
        <v>4827</v>
      </c>
      <c r="L387" t="s">
        <v>4828</v>
      </c>
      <c r="M387" s="927" t="s">
        <v>320</v>
      </c>
      <c r="N387" s="927" t="s">
        <v>1346</v>
      </c>
      <c r="O387" s="927" t="s">
        <v>4829</v>
      </c>
      <c r="P387" s="927" t="s">
        <v>322</v>
      </c>
      <c r="Q387" s="927"/>
      <c r="R387" s="927" t="s">
        <v>324</v>
      </c>
      <c r="T387">
        <v>775</v>
      </c>
      <c r="U387">
        <v>550</v>
      </c>
      <c r="V387">
        <v>453</v>
      </c>
      <c r="W387">
        <v>364</v>
      </c>
      <c r="X387">
        <v>412</v>
      </c>
      <c r="Y387">
        <v>343</v>
      </c>
      <c r="Z387">
        <v>291</v>
      </c>
      <c r="AA387">
        <v>282</v>
      </c>
      <c r="AB387">
        <v>334</v>
      </c>
      <c r="AC387">
        <v>385</v>
      </c>
      <c r="AD387">
        <v>322</v>
      </c>
      <c r="AE387">
        <v>647</v>
      </c>
      <c r="AF387" s="927"/>
      <c r="AG387" s="927"/>
      <c r="AH387" s="717"/>
      <c r="AK387" s="927"/>
      <c r="AO387" s="927"/>
      <c r="AP387" s="927"/>
      <c r="AQ387" s="927" t="s">
        <v>4707</v>
      </c>
    </row>
    <row r="388" spans="1:43">
      <c r="A388" s="927" t="s">
        <v>4710</v>
      </c>
      <c r="B388" s="927" t="s">
        <v>4711</v>
      </c>
      <c r="C388" s="927" t="s">
        <v>4712</v>
      </c>
      <c r="D388" s="927" t="s">
        <v>3613</v>
      </c>
      <c r="E388" s="717">
        <v>45630</v>
      </c>
      <c r="F388" s="927"/>
      <c r="G388" s="927" t="s">
        <v>5739</v>
      </c>
      <c r="I388" s="927"/>
      <c r="J388" s="131"/>
      <c r="K388" s="927" t="s">
        <v>4713</v>
      </c>
      <c r="L388" t="s">
        <v>3858</v>
      </c>
      <c r="M388" s="927" t="s">
        <v>320</v>
      </c>
      <c r="N388" s="927" t="s">
        <v>4713</v>
      </c>
      <c r="O388" s="927" t="s">
        <v>4714</v>
      </c>
      <c r="P388" s="927"/>
      <c r="Q388" s="927"/>
      <c r="R388" s="927"/>
      <c r="AF388" s="927"/>
      <c r="AG388" s="927"/>
      <c r="AH388" s="717"/>
      <c r="AK388" s="927"/>
      <c r="AO388" s="927"/>
      <c r="AP388" s="927"/>
      <c r="AQ388" s="927" t="s">
        <v>4715</v>
      </c>
    </row>
    <row r="389" spans="1:43">
      <c r="A389" s="927" t="s">
        <v>4716</v>
      </c>
      <c r="B389" s="927" t="s">
        <v>4717</v>
      </c>
      <c r="C389" s="927" t="s">
        <v>4718</v>
      </c>
      <c r="D389" s="927" t="s">
        <v>3613</v>
      </c>
      <c r="E389" s="717">
        <v>45481</v>
      </c>
      <c r="F389" s="927"/>
      <c r="G389" s="927" t="s">
        <v>5739</v>
      </c>
      <c r="I389" s="927"/>
      <c r="J389" s="131"/>
      <c r="K389" s="927" t="s">
        <v>4719</v>
      </c>
      <c r="L389" t="s">
        <v>4720</v>
      </c>
      <c r="M389" s="927" t="s">
        <v>320</v>
      </c>
      <c r="N389" s="927" t="s">
        <v>1346</v>
      </c>
      <c r="O389" s="927" t="s">
        <v>4721</v>
      </c>
      <c r="P389" s="927" t="s">
        <v>322</v>
      </c>
      <c r="Q389" s="927"/>
      <c r="R389" s="927"/>
      <c r="T389">
        <v>21660</v>
      </c>
      <c r="U389">
        <v>21660</v>
      </c>
      <c r="V389">
        <v>20520</v>
      </c>
      <c r="W389">
        <v>18240</v>
      </c>
      <c r="X389">
        <v>17100</v>
      </c>
      <c r="Y389">
        <v>15960</v>
      </c>
      <c r="Z389">
        <v>17100</v>
      </c>
      <c r="AA389">
        <v>17100</v>
      </c>
      <c r="AB389">
        <v>18240</v>
      </c>
      <c r="AC389">
        <v>19380</v>
      </c>
      <c r="AD389">
        <v>20520</v>
      </c>
      <c r="AE389">
        <v>21660</v>
      </c>
      <c r="AF389" s="927"/>
      <c r="AG389" s="927" t="s">
        <v>1420</v>
      </c>
      <c r="AH389" s="717"/>
      <c r="AK389" s="927"/>
      <c r="AO389" s="927"/>
      <c r="AP389" s="927"/>
      <c r="AQ389" s="927" t="s">
        <v>4722</v>
      </c>
    </row>
    <row r="390" spans="1:43">
      <c r="A390" s="927" t="s">
        <v>4723</v>
      </c>
      <c r="B390" s="927" t="s">
        <v>4724</v>
      </c>
      <c r="C390" s="927" t="s">
        <v>4725</v>
      </c>
      <c r="D390" s="927" t="s">
        <v>3613</v>
      </c>
      <c r="E390" s="717">
        <v>45498</v>
      </c>
      <c r="F390" s="927"/>
      <c r="G390" s="927" t="s">
        <v>5739</v>
      </c>
      <c r="H390" t="s">
        <v>4726</v>
      </c>
      <c r="I390" s="927"/>
      <c r="J390" s="131"/>
      <c r="K390" s="927" t="s">
        <v>4727</v>
      </c>
      <c r="L390" t="s">
        <v>4728</v>
      </c>
      <c r="M390" s="927" t="s">
        <v>320</v>
      </c>
      <c r="N390" s="927" t="s">
        <v>1346</v>
      </c>
      <c r="O390" s="927" t="s">
        <v>4729</v>
      </c>
      <c r="P390" s="927"/>
      <c r="Q390" s="927"/>
      <c r="R390" s="927"/>
      <c r="T390">
        <v>22230</v>
      </c>
      <c r="U390">
        <v>22230</v>
      </c>
      <c r="V390">
        <v>21060</v>
      </c>
      <c r="W390">
        <v>18720</v>
      </c>
      <c r="X390">
        <v>17550</v>
      </c>
      <c r="Y390">
        <v>16380</v>
      </c>
      <c r="Z390">
        <v>17550</v>
      </c>
      <c r="AA390">
        <v>17550</v>
      </c>
      <c r="AB390">
        <v>18720</v>
      </c>
      <c r="AC390">
        <v>19890</v>
      </c>
      <c r="AD390">
        <v>21060</v>
      </c>
      <c r="AE390">
        <v>22230</v>
      </c>
      <c r="AF390" s="927"/>
      <c r="AG390" s="927" t="s">
        <v>1420</v>
      </c>
      <c r="AH390" s="717"/>
      <c r="AK390" s="927"/>
      <c r="AO390" s="927"/>
      <c r="AP390" s="927"/>
      <c r="AQ390" s="927" t="s">
        <v>4730</v>
      </c>
    </row>
    <row r="391" spans="1:43">
      <c r="A391" s="927" t="s">
        <v>4731</v>
      </c>
      <c r="B391" s="927" t="s">
        <v>4732</v>
      </c>
      <c r="C391" s="927" t="s">
        <v>4733</v>
      </c>
      <c r="D391" s="927" t="s">
        <v>3613</v>
      </c>
      <c r="E391" s="717">
        <v>45641</v>
      </c>
      <c r="F391" s="927"/>
      <c r="G391" s="927" t="s">
        <v>5739</v>
      </c>
      <c r="I391" s="927"/>
      <c r="J391" s="131"/>
      <c r="K391" s="927" t="s">
        <v>4734</v>
      </c>
      <c r="L391" t="s">
        <v>3858</v>
      </c>
      <c r="M391" s="927" t="s">
        <v>320</v>
      </c>
      <c r="N391" s="927" t="s">
        <v>4734</v>
      </c>
      <c r="O391" s="927" t="s">
        <v>4510</v>
      </c>
      <c r="P391" s="927"/>
      <c r="Q391" s="927"/>
      <c r="R391" s="927"/>
      <c r="AF391" s="927"/>
      <c r="AG391" s="927"/>
      <c r="AH391" s="717"/>
      <c r="AK391" s="927"/>
      <c r="AO391" s="927"/>
      <c r="AP391" s="927"/>
      <c r="AQ391" s="927" t="s">
        <v>4735</v>
      </c>
    </row>
    <row r="392" spans="1:43">
      <c r="A392" s="927" t="s">
        <v>4736</v>
      </c>
      <c r="B392" s="927" t="s">
        <v>4737</v>
      </c>
      <c r="C392" s="927" t="s">
        <v>4738</v>
      </c>
      <c r="D392" s="927" t="s">
        <v>3613</v>
      </c>
      <c r="E392" s="717">
        <v>45643</v>
      </c>
      <c r="F392" s="927"/>
      <c r="G392" s="927" t="s">
        <v>5739</v>
      </c>
      <c r="I392" s="927"/>
      <c r="J392" s="131"/>
      <c r="K392" s="927" t="s">
        <v>4708</v>
      </c>
      <c r="L392" t="s">
        <v>3858</v>
      </c>
      <c r="M392" s="927" t="s">
        <v>320</v>
      </c>
      <c r="N392" s="927" t="s">
        <v>4708</v>
      </c>
      <c r="O392" s="927" t="s">
        <v>4212</v>
      </c>
      <c r="P392" s="927"/>
      <c r="Q392" s="927"/>
      <c r="R392" s="927"/>
      <c r="T392">
        <v>1109</v>
      </c>
      <c r="U392">
        <v>1109</v>
      </c>
      <c r="V392">
        <v>924</v>
      </c>
      <c r="W392">
        <v>832</v>
      </c>
      <c r="X392">
        <v>647</v>
      </c>
      <c r="Y392">
        <v>554</v>
      </c>
      <c r="Z392">
        <v>554</v>
      </c>
      <c r="AA392">
        <v>647</v>
      </c>
      <c r="AB392">
        <v>647</v>
      </c>
      <c r="AC392">
        <v>647</v>
      </c>
      <c r="AD392">
        <v>739</v>
      </c>
      <c r="AE392">
        <v>924</v>
      </c>
      <c r="AF392" s="927"/>
      <c r="AG392" s="927"/>
      <c r="AH392" s="717"/>
      <c r="AK392" s="927"/>
      <c r="AO392" s="927"/>
      <c r="AP392" s="927"/>
      <c r="AQ392" s="927" t="s">
        <v>4739</v>
      </c>
    </row>
    <row r="393" spans="1:43">
      <c r="A393" s="927" t="s">
        <v>4740</v>
      </c>
      <c r="B393" s="927" t="s">
        <v>4741</v>
      </c>
      <c r="C393" s="927" t="s">
        <v>4742</v>
      </c>
      <c r="D393" s="927" t="s">
        <v>1187</v>
      </c>
      <c r="E393" s="717">
        <v>45642</v>
      </c>
      <c r="F393" s="927"/>
      <c r="G393" s="927" t="s">
        <v>5739</v>
      </c>
      <c r="I393" s="927"/>
      <c r="J393" s="131"/>
      <c r="K393" s="927" t="s">
        <v>4743</v>
      </c>
      <c r="L393" t="s">
        <v>4744</v>
      </c>
      <c r="M393" s="927" t="s">
        <v>320</v>
      </c>
      <c r="N393" s="927" t="s">
        <v>1346</v>
      </c>
      <c r="O393" s="927" t="s">
        <v>3653</v>
      </c>
      <c r="P393" s="927"/>
      <c r="Q393" s="927"/>
      <c r="R393" s="927"/>
      <c r="T393">
        <v>720</v>
      </c>
      <c r="U393">
        <v>720</v>
      </c>
      <c r="V393">
        <v>600</v>
      </c>
      <c r="W393">
        <v>540</v>
      </c>
      <c r="X393">
        <v>420</v>
      </c>
      <c r="Y393">
        <v>360</v>
      </c>
      <c r="Z393">
        <v>360</v>
      </c>
      <c r="AA393">
        <v>420</v>
      </c>
      <c r="AB393">
        <v>420</v>
      </c>
      <c r="AC393">
        <v>420</v>
      </c>
      <c r="AD393">
        <v>480</v>
      </c>
      <c r="AE393">
        <v>600</v>
      </c>
      <c r="AF393" s="927"/>
      <c r="AG393" s="927"/>
      <c r="AH393" s="717"/>
      <c r="AK393" s="927"/>
      <c r="AO393" s="927"/>
      <c r="AP393" s="927"/>
      <c r="AQ393" s="927" t="s">
        <v>4765</v>
      </c>
    </row>
    <row r="394" spans="1:43">
      <c r="A394" s="927" t="s">
        <v>4745</v>
      </c>
      <c r="B394" s="927" t="s">
        <v>4746</v>
      </c>
      <c r="C394" s="927" t="s">
        <v>4747</v>
      </c>
      <c r="D394" s="927" t="s">
        <v>3613</v>
      </c>
      <c r="E394" s="717">
        <v>45643</v>
      </c>
      <c r="F394" s="927"/>
      <c r="G394" s="927" t="s">
        <v>5739</v>
      </c>
      <c r="I394" s="927"/>
      <c r="J394" s="131"/>
      <c r="K394" s="927" t="s">
        <v>306</v>
      </c>
      <c r="M394" s="927" t="s">
        <v>306</v>
      </c>
      <c r="N394" s="927" t="s">
        <v>306</v>
      </c>
      <c r="O394" s="927" t="s">
        <v>306</v>
      </c>
      <c r="P394" s="927"/>
      <c r="Q394" s="927"/>
      <c r="R394" s="927"/>
      <c r="T394">
        <v>1094</v>
      </c>
      <c r="U394">
        <v>1094</v>
      </c>
      <c r="V394">
        <v>912</v>
      </c>
      <c r="W394">
        <v>821</v>
      </c>
      <c r="X394">
        <v>638</v>
      </c>
      <c r="Y394">
        <v>547</v>
      </c>
      <c r="Z394">
        <v>547</v>
      </c>
      <c r="AA394">
        <v>638</v>
      </c>
      <c r="AB394">
        <v>638</v>
      </c>
      <c r="AC394">
        <v>638</v>
      </c>
      <c r="AD394">
        <v>730</v>
      </c>
      <c r="AE394">
        <v>912</v>
      </c>
      <c r="AF394" s="927"/>
      <c r="AG394" s="927"/>
      <c r="AH394" s="717"/>
      <c r="AK394" s="927"/>
      <c r="AO394" s="927"/>
      <c r="AP394" s="927"/>
      <c r="AQ394" s="927" t="s">
        <v>4748</v>
      </c>
    </row>
    <row r="395" spans="1:43">
      <c r="A395" s="927" t="s">
        <v>4749</v>
      </c>
      <c r="B395" s="927" t="s">
        <v>4750</v>
      </c>
      <c r="C395" s="927" t="s">
        <v>4751</v>
      </c>
      <c r="D395" s="927" t="s">
        <v>3613</v>
      </c>
      <c r="E395" s="717">
        <v>45644</v>
      </c>
      <c r="F395" s="927"/>
      <c r="G395" s="927" t="s">
        <v>5739</v>
      </c>
      <c r="H395" t="s">
        <v>4752</v>
      </c>
      <c r="I395" s="927"/>
      <c r="J395" s="131"/>
      <c r="K395" s="927" t="s">
        <v>4753</v>
      </c>
      <c r="L395" t="s">
        <v>4754</v>
      </c>
      <c r="M395" s="927" t="s">
        <v>320</v>
      </c>
      <c r="N395" s="927" t="s">
        <v>1346</v>
      </c>
      <c r="O395" s="927" t="s">
        <v>3653</v>
      </c>
      <c r="P395" s="927" t="s">
        <v>322</v>
      </c>
      <c r="Q395" s="927"/>
      <c r="R395" s="927"/>
      <c r="T395">
        <v>1094</v>
      </c>
      <c r="U395">
        <v>1094</v>
      </c>
      <c r="V395">
        <v>912</v>
      </c>
      <c r="W395">
        <v>821</v>
      </c>
      <c r="X395">
        <v>638</v>
      </c>
      <c r="Y395">
        <v>547</v>
      </c>
      <c r="Z395">
        <v>547</v>
      </c>
      <c r="AA395">
        <v>638</v>
      </c>
      <c r="AB395">
        <v>638</v>
      </c>
      <c r="AC395">
        <v>638</v>
      </c>
      <c r="AD395">
        <v>730</v>
      </c>
      <c r="AE395">
        <v>912</v>
      </c>
      <c r="AF395" s="927"/>
      <c r="AG395" s="927" t="s">
        <v>1189</v>
      </c>
      <c r="AH395" s="717"/>
      <c r="AK395" s="927"/>
      <c r="AO395" s="927"/>
      <c r="AP395" s="927"/>
      <c r="AQ395" s="927" t="s">
        <v>4755</v>
      </c>
    </row>
    <row r="396" spans="1:43">
      <c r="A396" s="927" t="s">
        <v>4756</v>
      </c>
      <c r="B396" s="927" t="s">
        <v>4757</v>
      </c>
      <c r="C396" s="927" t="s">
        <v>4758</v>
      </c>
      <c r="D396" s="927" t="s">
        <v>3613</v>
      </c>
      <c r="E396" s="717">
        <v>45643</v>
      </c>
      <c r="F396" s="927"/>
      <c r="G396" s="927" t="s">
        <v>5739</v>
      </c>
      <c r="H396" t="s">
        <v>4759</v>
      </c>
      <c r="I396" s="927"/>
      <c r="J396" s="131"/>
      <c r="K396" s="927" t="s">
        <v>306</v>
      </c>
      <c r="M396" s="927" t="s">
        <v>306</v>
      </c>
      <c r="N396" s="927" t="s">
        <v>306</v>
      </c>
      <c r="O396" s="927" t="s">
        <v>306</v>
      </c>
      <c r="P396" s="927" t="s">
        <v>322</v>
      </c>
      <c r="Q396" s="927"/>
      <c r="R396" s="927"/>
      <c r="T396">
        <v>792</v>
      </c>
      <c r="U396">
        <v>792</v>
      </c>
      <c r="V396">
        <v>660</v>
      </c>
      <c r="W396">
        <v>594</v>
      </c>
      <c r="X396">
        <v>462</v>
      </c>
      <c r="Y396">
        <v>396</v>
      </c>
      <c r="Z396">
        <v>396</v>
      </c>
      <c r="AA396">
        <v>462</v>
      </c>
      <c r="AB396">
        <v>462</v>
      </c>
      <c r="AC396">
        <v>462</v>
      </c>
      <c r="AD396">
        <v>528</v>
      </c>
      <c r="AE396">
        <v>660</v>
      </c>
      <c r="AF396" s="927"/>
      <c r="AG396" s="927"/>
      <c r="AH396" s="717"/>
      <c r="AK396" s="927"/>
      <c r="AO396" s="927"/>
      <c r="AP396" s="927"/>
      <c r="AQ396" s="927" t="s">
        <v>4760</v>
      </c>
    </row>
    <row r="397" spans="1:43">
      <c r="A397" s="927" t="s">
        <v>4766</v>
      </c>
      <c r="B397" s="927" t="s">
        <v>4767</v>
      </c>
      <c r="C397" s="927" t="s">
        <v>4768</v>
      </c>
      <c r="D397" s="927" t="s">
        <v>3613</v>
      </c>
      <c r="E397" s="717">
        <v>45645</v>
      </c>
      <c r="F397" s="927"/>
      <c r="G397" s="927" t="s">
        <v>5739</v>
      </c>
      <c r="H397" t="s">
        <v>4769</v>
      </c>
      <c r="I397" s="927"/>
      <c r="J397" s="131"/>
      <c r="K397" s="927" t="s">
        <v>4708</v>
      </c>
      <c r="L397" t="s">
        <v>3858</v>
      </c>
      <c r="M397" s="927" t="s">
        <v>320</v>
      </c>
      <c r="N397" s="927" t="s">
        <v>4708</v>
      </c>
      <c r="O397" s="927" t="s">
        <v>4212</v>
      </c>
      <c r="P397" s="927" t="s">
        <v>322</v>
      </c>
      <c r="Q397" s="927"/>
      <c r="R397" s="927"/>
      <c r="T397">
        <v>792</v>
      </c>
      <c r="U397">
        <v>792</v>
      </c>
      <c r="V397">
        <v>660</v>
      </c>
      <c r="W397">
        <v>594</v>
      </c>
      <c r="X397">
        <v>462</v>
      </c>
      <c r="Y397">
        <v>396</v>
      </c>
      <c r="Z397">
        <v>396</v>
      </c>
      <c r="AA397">
        <v>462</v>
      </c>
      <c r="AB397">
        <v>462</v>
      </c>
      <c r="AC397">
        <v>462</v>
      </c>
      <c r="AD397">
        <v>528</v>
      </c>
      <c r="AE397">
        <v>660</v>
      </c>
      <c r="AF397" s="927"/>
      <c r="AG397" s="927" t="s">
        <v>1189</v>
      </c>
      <c r="AH397" s="717"/>
      <c r="AK397" s="927"/>
      <c r="AO397" s="927"/>
      <c r="AP397" s="927"/>
      <c r="AQ397" s="927" t="s">
        <v>4770</v>
      </c>
    </row>
    <row r="398" spans="1:43">
      <c r="A398" s="927" t="s">
        <v>4771</v>
      </c>
      <c r="B398" s="927" t="s">
        <v>4772</v>
      </c>
      <c r="C398" s="927" t="s">
        <v>4773</v>
      </c>
      <c r="D398" s="927" t="s">
        <v>3613</v>
      </c>
      <c r="E398" s="717">
        <v>45649</v>
      </c>
      <c r="F398" s="927"/>
      <c r="G398" s="927" t="s">
        <v>5739</v>
      </c>
      <c r="H398" t="s">
        <v>4774</v>
      </c>
      <c r="I398" s="927"/>
      <c r="J398" s="131"/>
      <c r="K398" s="927" t="s">
        <v>306</v>
      </c>
      <c r="M398" s="927" t="s">
        <v>306</v>
      </c>
      <c r="N398" s="927" t="s">
        <v>306</v>
      </c>
      <c r="O398" s="927" t="s">
        <v>306</v>
      </c>
      <c r="P398" s="927" t="s">
        <v>322</v>
      </c>
      <c r="Q398" s="927"/>
      <c r="R398" s="927"/>
      <c r="T398">
        <v>3888</v>
      </c>
      <c r="U398">
        <v>3888</v>
      </c>
      <c r="V398">
        <v>3240</v>
      </c>
      <c r="W398">
        <v>2916</v>
      </c>
      <c r="X398">
        <v>2268</v>
      </c>
      <c r="Y398">
        <v>1944</v>
      </c>
      <c r="Z398">
        <v>1944</v>
      </c>
      <c r="AA398">
        <v>2268</v>
      </c>
      <c r="AB398">
        <v>2268</v>
      </c>
      <c r="AC398">
        <v>2268</v>
      </c>
      <c r="AD398">
        <v>2592</v>
      </c>
      <c r="AE398">
        <v>3240</v>
      </c>
      <c r="AF398" s="927"/>
      <c r="AG398" s="927" t="s">
        <v>1420</v>
      </c>
      <c r="AH398" s="717"/>
      <c r="AK398" s="927"/>
      <c r="AO398" s="927"/>
      <c r="AP398" s="927"/>
      <c r="AQ398" s="927" t="s">
        <v>4775</v>
      </c>
    </row>
    <row r="399" spans="1:43">
      <c r="A399" s="927" t="s">
        <v>4776</v>
      </c>
      <c r="B399" s="927" t="s">
        <v>4777</v>
      </c>
      <c r="C399" s="927" t="s">
        <v>4778</v>
      </c>
      <c r="D399" s="927" t="s">
        <v>3613</v>
      </c>
      <c r="E399" s="717">
        <v>45649</v>
      </c>
      <c r="F399" s="927"/>
      <c r="G399" s="927" t="s">
        <v>5739</v>
      </c>
      <c r="I399" s="927"/>
      <c r="J399" s="131"/>
      <c r="K399" s="927" t="s">
        <v>4646</v>
      </c>
      <c r="L399" t="s">
        <v>3858</v>
      </c>
      <c r="M399" s="927" t="s">
        <v>320</v>
      </c>
      <c r="N399" s="927" t="s">
        <v>4646</v>
      </c>
      <c r="O399" s="927" t="s">
        <v>3712</v>
      </c>
      <c r="P399" s="927"/>
      <c r="Q399" s="927"/>
      <c r="R399" s="927"/>
      <c r="T399">
        <v>720</v>
      </c>
      <c r="U399">
        <v>720</v>
      </c>
      <c r="V399">
        <v>600</v>
      </c>
      <c r="W399">
        <v>540</v>
      </c>
      <c r="X399">
        <v>420</v>
      </c>
      <c r="Y399">
        <v>360</v>
      </c>
      <c r="Z399">
        <v>360</v>
      </c>
      <c r="AA399">
        <v>420</v>
      </c>
      <c r="AB399">
        <v>420</v>
      </c>
      <c r="AC399">
        <v>420</v>
      </c>
      <c r="AD399">
        <v>480</v>
      </c>
      <c r="AE399">
        <v>600</v>
      </c>
      <c r="AF399" s="927"/>
      <c r="AG399" s="927"/>
      <c r="AH399" s="717"/>
      <c r="AK399" s="927"/>
      <c r="AO399" s="927"/>
      <c r="AP399" s="927"/>
      <c r="AQ399" s="927" t="s">
        <v>4779</v>
      </c>
    </row>
    <row r="400" spans="1:43">
      <c r="A400" s="927" t="s">
        <v>4780</v>
      </c>
      <c r="B400" s="927" t="s">
        <v>4781</v>
      </c>
      <c r="C400" s="927" t="s">
        <v>4782</v>
      </c>
      <c r="D400" s="927" t="s">
        <v>3613</v>
      </c>
      <c r="E400" s="717">
        <v>45645</v>
      </c>
      <c r="F400" s="927"/>
      <c r="G400" s="927" t="s">
        <v>5739</v>
      </c>
      <c r="H400" t="s">
        <v>4783</v>
      </c>
      <c r="I400" s="927"/>
      <c r="J400" s="131"/>
      <c r="K400" s="927" t="s">
        <v>4646</v>
      </c>
      <c r="L400" t="s">
        <v>3858</v>
      </c>
      <c r="M400" s="927" t="s">
        <v>320</v>
      </c>
      <c r="N400" s="927" t="s">
        <v>4646</v>
      </c>
      <c r="O400" s="927" t="s">
        <v>3712</v>
      </c>
      <c r="P400" s="927"/>
      <c r="Q400" s="927"/>
      <c r="R400" s="927"/>
      <c r="AF400" s="927"/>
      <c r="AG400" s="927"/>
      <c r="AH400" s="717"/>
      <c r="AK400" s="927"/>
      <c r="AO400" s="927"/>
      <c r="AP400" s="927"/>
      <c r="AQ400" s="927" t="s">
        <v>4784</v>
      </c>
    </row>
    <row r="401" spans="1:43">
      <c r="A401" s="927" t="s">
        <v>4785</v>
      </c>
      <c r="B401" s="927" t="s">
        <v>4786</v>
      </c>
      <c r="C401" s="927" t="s">
        <v>4787</v>
      </c>
      <c r="D401" s="927" t="s">
        <v>3613</v>
      </c>
      <c r="E401" s="717">
        <v>45649</v>
      </c>
      <c r="F401" s="927"/>
      <c r="G401" s="927"/>
      <c r="H401" t="s">
        <v>4788</v>
      </c>
      <c r="I401" s="927"/>
      <c r="J401" s="131"/>
      <c r="K401" s="927" t="s">
        <v>306</v>
      </c>
      <c r="M401" s="927" t="s">
        <v>306</v>
      </c>
      <c r="N401" s="927" t="s">
        <v>306</v>
      </c>
      <c r="O401" s="927" t="s">
        <v>306</v>
      </c>
      <c r="P401" s="927"/>
      <c r="Q401" s="927"/>
      <c r="R401" s="927"/>
      <c r="T401">
        <v>1440</v>
      </c>
      <c r="U401">
        <v>1440</v>
      </c>
      <c r="V401">
        <v>1200</v>
      </c>
      <c r="W401">
        <v>1080</v>
      </c>
      <c r="X401">
        <v>840</v>
      </c>
      <c r="Y401">
        <v>720</v>
      </c>
      <c r="Z401">
        <v>720</v>
      </c>
      <c r="AA401">
        <v>840</v>
      </c>
      <c r="AB401">
        <v>840</v>
      </c>
      <c r="AC401">
        <v>840</v>
      </c>
      <c r="AD401">
        <v>960</v>
      </c>
      <c r="AE401">
        <v>1200</v>
      </c>
      <c r="AF401" s="927"/>
      <c r="AG401" s="927"/>
      <c r="AH401" s="717"/>
      <c r="AK401" s="927"/>
      <c r="AO401" s="927"/>
      <c r="AP401" s="927"/>
      <c r="AQ401" s="927" t="s">
        <v>4789</v>
      </c>
    </row>
    <row r="402" spans="1:43">
      <c r="A402" s="927" t="s">
        <v>4796</v>
      </c>
      <c r="B402" s="927" t="s">
        <v>4791</v>
      </c>
      <c r="C402" s="927" t="s">
        <v>4797</v>
      </c>
      <c r="D402" s="927" t="s">
        <v>3613</v>
      </c>
      <c r="E402" s="717">
        <v>45652</v>
      </c>
      <c r="F402" s="927"/>
      <c r="G402" s="927" t="s">
        <v>5739</v>
      </c>
      <c r="H402" t="s">
        <v>4792</v>
      </c>
      <c r="I402" s="927"/>
      <c r="J402" s="131"/>
      <c r="K402" s="927" t="s">
        <v>4793</v>
      </c>
      <c r="L402" t="s">
        <v>4794</v>
      </c>
      <c r="M402" s="927" t="s">
        <v>320</v>
      </c>
      <c r="N402" s="927" t="s">
        <v>1346</v>
      </c>
      <c r="O402" s="927" t="s">
        <v>3988</v>
      </c>
      <c r="P402" s="927" t="s">
        <v>322</v>
      </c>
      <c r="Q402" s="927"/>
      <c r="R402" s="927"/>
      <c r="T402">
        <v>13110</v>
      </c>
      <c r="U402">
        <v>13110</v>
      </c>
      <c r="V402">
        <v>12420</v>
      </c>
      <c r="W402">
        <v>11040</v>
      </c>
      <c r="X402">
        <v>10350</v>
      </c>
      <c r="Y402">
        <v>9660</v>
      </c>
      <c r="Z402">
        <v>10350</v>
      </c>
      <c r="AA402">
        <v>10350</v>
      </c>
      <c r="AB402">
        <v>11040</v>
      </c>
      <c r="AC402">
        <v>11730</v>
      </c>
      <c r="AD402">
        <v>12420</v>
      </c>
      <c r="AE402">
        <v>13110</v>
      </c>
      <c r="AF402" s="927"/>
      <c r="AG402" s="927"/>
      <c r="AH402" s="717"/>
      <c r="AK402" s="927"/>
      <c r="AO402" s="927"/>
      <c r="AP402" s="927"/>
      <c r="AQ402" s="927" t="s">
        <v>4795</v>
      </c>
    </row>
    <row r="403" spans="1:43">
      <c r="A403" s="927" t="s">
        <v>4800</v>
      </c>
      <c r="B403" s="927" t="s">
        <v>4801</v>
      </c>
      <c r="C403" s="927" t="s">
        <v>4802</v>
      </c>
      <c r="D403" s="927" t="s">
        <v>3613</v>
      </c>
      <c r="E403" s="717">
        <v>45653</v>
      </c>
      <c r="F403" s="927"/>
      <c r="G403" s="927"/>
      <c r="I403" s="927"/>
      <c r="J403" s="131"/>
      <c r="K403" s="927" t="s">
        <v>306</v>
      </c>
      <c r="M403" s="927" t="s">
        <v>306</v>
      </c>
      <c r="N403" s="927" t="s">
        <v>306</v>
      </c>
      <c r="O403" s="927" t="s">
        <v>306</v>
      </c>
      <c r="P403" s="927"/>
      <c r="Q403" s="927"/>
      <c r="R403" s="927"/>
      <c r="T403">
        <v>576</v>
      </c>
      <c r="U403">
        <v>576</v>
      </c>
      <c r="V403">
        <v>480</v>
      </c>
      <c r="W403">
        <v>432</v>
      </c>
      <c r="X403">
        <v>336</v>
      </c>
      <c r="Y403">
        <v>288</v>
      </c>
      <c r="Z403">
        <v>288</v>
      </c>
      <c r="AA403">
        <v>336</v>
      </c>
      <c r="AB403">
        <v>336</v>
      </c>
      <c r="AC403">
        <v>336</v>
      </c>
      <c r="AD403">
        <v>384</v>
      </c>
      <c r="AE403">
        <v>480</v>
      </c>
      <c r="AF403" s="927"/>
      <c r="AG403" s="927"/>
      <c r="AH403" s="717"/>
      <c r="AK403" s="927"/>
      <c r="AO403" s="927"/>
      <c r="AP403" s="927"/>
      <c r="AQ403" s="927" t="s">
        <v>4803</v>
      </c>
    </row>
    <row r="404" spans="1:43">
      <c r="A404" s="927" t="s">
        <v>4807</v>
      </c>
      <c r="B404" s="927" t="s">
        <v>4808</v>
      </c>
      <c r="C404" s="927" t="s">
        <v>4805</v>
      </c>
      <c r="D404" s="927" t="s">
        <v>4301</v>
      </c>
      <c r="E404" s="717">
        <v>45663</v>
      </c>
      <c r="F404" s="927"/>
      <c r="G404" s="927" t="s">
        <v>5739</v>
      </c>
      <c r="I404" s="927"/>
      <c r="J404" s="131"/>
      <c r="K404" s="927" t="s">
        <v>559</v>
      </c>
      <c r="L404" t="s">
        <v>4806</v>
      </c>
      <c r="M404" s="927" t="s">
        <v>320</v>
      </c>
      <c r="N404" s="927" t="s">
        <v>1346</v>
      </c>
      <c r="O404" s="927" t="s">
        <v>560</v>
      </c>
      <c r="P404" s="927" t="s">
        <v>322</v>
      </c>
      <c r="Q404" s="927"/>
      <c r="R404" s="927" t="s">
        <v>324</v>
      </c>
      <c r="T404">
        <v>1168</v>
      </c>
      <c r="U404">
        <v>2856</v>
      </c>
      <c r="V404">
        <v>5211</v>
      </c>
      <c r="W404">
        <v>4001</v>
      </c>
      <c r="X404">
        <v>2972</v>
      </c>
      <c r="Y404">
        <v>1813</v>
      </c>
      <c r="Z404">
        <v>1286</v>
      </c>
      <c r="AA404">
        <v>1000</v>
      </c>
      <c r="AB404">
        <v>1300</v>
      </c>
      <c r="AC404">
        <v>1300</v>
      </c>
      <c r="AD404">
        <v>1237</v>
      </c>
      <c r="AE404">
        <v>1386</v>
      </c>
      <c r="AF404" s="927"/>
      <c r="AG404" s="927"/>
      <c r="AH404" s="717"/>
      <c r="AI404">
        <v>31.92</v>
      </c>
      <c r="AJ404">
        <v>110000</v>
      </c>
      <c r="AK404" s="927"/>
      <c r="AL404">
        <v>48</v>
      </c>
      <c r="AM404">
        <v>665</v>
      </c>
      <c r="AO404" s="927"/>
      <c r="AP404" s="927"/>
      <c r="AQ404" s="927" t="s">
        <v>562</v>
      </c>
    </row>
    <row r="405" spans="1:43">
      <c r="A405" s="927" t="s">
        <v>5759</v>
      </c>
      <c r="B405" s="927" t="s">
        <v>4809</v>
      </c>
      <c r="C405" s="927" t="s">
        <v>5760</v>
      </c>
      <c r="D405" s="927" t="s">
        <v>3613</v>
      </c>
      <c r="E405" s="717">
        <v>45657</v>
      </c>
      <c r="F405" s="927"/>
      <c r="G405" s="927" t="s">
        <v>5739</v>
      </c>
      <c r="H405" t="s">
        <v>4810</v>
      </c>
      <c r="I405" s="927"/>
      <c r="J405" s="131"/>
      <c r="K405" s="927" t="s">
        <v>4811</v>
      </c>
      <c r="L405" t="s">
        <v>4812</v>
      </c>
      <c r="M405" s="927" t="s">
        <v>320</v>
      </c>
      <c r="N405" s="927" t="s">
        <v>1346</v>
      </c>
      <c r="O405" s="927" t="s">
        <v>4212</v>
      </c>
      <c r="P405" s="927"/>
      <c r="Q405" s="927"/>
      <c r="R405" s="927"/>
      <c r="T405">
        <v>864</v>
      </c>
      <c r="U405">
        <v>864</v>
      </c>
      <c r="V405">
        <v>720</v>
      </c>
      <c r="W405">
        <v>648</v>
      </c>
      <c r="X405">
        <v>504</v>
      </c>
      <c r="Y405">
        <v>432</v>
      </c>
      <c r="Z405">
        <v>432</v>
      </c>
      <c r="AA405">
        <v>504</v>
      </c>
      <c r="AB405">
        <v>504</v>
      </c>
      <c r="AC405">
        <v>504</v>
      </c>
      <c r="AD405">
        <v>576</v>
      </c>
      <c r="AE405">
        <v>720</v>
      </c>
      <c r="AF405" s="927"/>
      <c r="AG405" s="927"/>
      <c r="AH405" s="717"/>
      <c r="AK405" s="927"/>
      <c r="AO405" s="927"/>
      <c r="AP405" s="927"/>
      <c r="AQ405" s="927" t="s">
        <v>4813</v>
      </c>
    </row>
    <row r="406" spans="1:43">
      <c r="A406" s="927" t="s">
        <v>4814</v>
      </c>
      <c r="B406" s="927" t="s">
        <v>4815</v>
      </c>
      <c r="C406" s="927" t="s">
        <v>4816</v>
      </c>
      <c r="D406" s="927" t="s">
        <v>3613</v>
      </c>
      <c r="E406" s="717">
        <v>45665</v>
      </c>
      <c r="F406" s="927"/>
      <c r="G406" s="927" t="s">
        <v>5739</v>
      </c>
      <c r="H406" t="s">
        <v>4817</v>
      </c>
      <c r="I406" s="927"/>
      <c r="J406" s="131"/>
      <c r="K406" s="927" t="s">
        <v>4818</v>
      </c>
      <c r="L406" t="s">
        <v>3858</v>
      </c>
      <c r="M406" s="927" t="s">
        <v>320</v>
      </c>
      <c r="N406" s="927" t="s">
        <v>4818</v>
      </c>
      <c r="O406" s="927" t="s">
        <v>82</v>
      </c>
      <c r="P406" s="927"/>
      <c r="Q406" s="927"/>
      <c r="R406" s="927"/>
      <c r="T406">
        <v>1728</v>
      </c>
      <c r="U406">
        <v>1728</v>
      </c>
      <c r="V406">
        <v>1440</v>
      </c>
      <c r="W406">
        <v>1296</v>
      </c>
      <c r="X406">
        <v>1008</v>
      </c>
      <c r="Y406">
        <v>864</v>
      </c>
      <c r="Z406">
        <v>864</v>
      </c>
      <c r="AA406">
        <v>1008</v>
      </c>
      <c r="AB406">
        <v>1008</v>
      </c>
      <c r="AC406">
        <v>1008</v>
      </c>
      <c r="AD406">
        <v>1152</v>
      </c>
      <c r="AE406">
        <v>1440</v>
      </c>
      <c r="AF406" s="927"/>
      <c r="AG406" s="927"/>
      <c r="AH406" s="717"/>
      <c r="AK406" s="927"/>
      <c r="AO406" s="927"/>
      <c r="AP406" s="927"/>
      <c r="AQ406" s="927" t="s">
        <v>4819</v>
      </c>
    </row>
    <row r="407" spans="1:43">
      <c r="A407" s="927" t="s">
        <v>4820</v>
      </c>
      <c r="B407" s="927" t="s">
        <v>4821</v>
      </c>
      <c r="C407" s="927" t="s">
        <v>4822</v>
      </c>
      <c r="D407" s="927" t="s">
        <v>3613</v>
      </c>
      <c r="E407" s="717">
        <v>45645</v>
      </c>
      <c r="F407" s="927"/>
      <c r="G407" s="927"/>
      <c r="H407" t="s">
        <v>5445</v>
      </c>
      <c r="I407" s="927"/>
      <c r="J407" s="131"/>
      <c r="K407" s="927" t="s">
        <v>5138</v>
      </c>
      <c r="L407" t="s">
        <v>3858</v>
      </c>
      <c r="M407" s="927" t="s">
        <v>320</v>
      </c>
      <c r="N407" s="927" t="s">
        <v>5138</v>
      </c>
      <c r="O407" s="927" t="s">
        <v>3961</v>
      </c>
      <c r="P407" s="927"/>
      <c r="Q407" s="927"/>
      <c r="R407" s="927"/>
      <c r="T407">
        <v>662</v>
      </c>
      <c r="U407">
        <v>662</v>
      </c>
      <c r="V407">
        <v>552</v>
      </c>
      <c r="W407">
        <v>497</v>
      </c>
      <c r="X407">
        <v>386</v>
      </c>
      <c r="Y407">
        <v>331</v>
      </c>
      <c r="Z407">
        <v>331</v>
      </c>
      <c r="AA407">
        <v>386</v>
      </c>
      <c r="AB407">
        <v>386</v>
      </c>
      <c r="AC407">
        <v>386</v>
      </c>
      <c r="AD407">
        <v>442</v>
      </c>
      <c r="AE407">
        <v>552</v>
      </c>
      <c r="AF407" s="927"/>
      <c r="AG407" s="927"/>
      <c r="AH407" s="717"/>
      <c r="AK407" s="927"/>
      <c r="AO407" s="927"/>
      <c r="AP407" s="927"/>
      <c r="AQ407" s="927" t="s">
        <v>5446</v>
      </c>
    </row>
    <row r="408" spans="1:43">
      <c r="A408" s="927" t="s">
        <v>4823</v>
      </c>
      <c r="B408" s="927" t="s">
        <v>4824</v>
      </c>
      <c r="C408" s="927" t="s">
        <v>4825</v>
      </c>
      <c r="D408" s="927" t="s">
        <v>3613</v>
      </c>
      <c r="E408" s="717">
        <v>45635</v>
      </c>
      <c r="F408" s="927"/>
      <c r="G408" s="927"/>
      <c r="I408" s="927"/>
      <c r="J408" s="131">
        <v>45931</v>
      </c>
      <c r="K408" s="927" t="s">
        <v>306</v>
      </c>
      <c r="M408" s="927" t="s">
        <v>306</v>
      </c>
      <c r="N408" s="927" t="s">
        <v>306</v>
      </c>
      <c r="O408" s="927" t="s">
        <v>306</v>
      </c>
      <c r="P408" s="927"/>
      <c r="Q408" s="927"/>
      <c r="R408" s="927"/>
      <c r="T408">
        <v>1152</v>
      </c>
      <c r="U408">
        <v>1152</v>
      </c>
      <c r="V408">
        <v>960</v>
      </c>
      <c r="W408">
        <v>864</v>
      </c>
      <c r="X408">
        <v>672</v>
      </c>
      <c r="Y408">
        <v>576</v>
      </c>
      <c r="Z408">
        <v>576</v>
      </c>
      <c r="AA408">
        <v>672</v>
      </c>
      <c r="AB408">
        <v>672</v>
      </c>
      <c r="AC408">
        <v>672</v>
      </c>
      <c r="AD408">
        <v>768</v>
      </c>
      <c r="AE408">
        <v>960</v>
      </c>
      <c r="AF408" s="927"/>
      <c r="AG408" s="927"/>
      <c r="AH408" s="717"/>
      <c r="AK408" s="927"/>
      <c r="AO408" s="927"/>
      <c r="AP408" s="927"/>
      <c r="AQ408" s="927" t="s">
        <v>4826</v>
      </c>
    </row>
    <row r="409" spans="1:43">
      <c r="A409" s="927" t="s">
        <v>4830</v>
      </c>
      <c r="B409" s="927" t="s">
        <v>4831</v>
      </c>
      <c r="C409" s="927" t="s">
        <v>4832</v>
      </c>
      <c r="D409" s="927" t="s">
        <v>4209</v>
      </c>
      <c r="E409" s="717">
        <v>45655</v>
      </c>
      <c r="F409" s="927"/>
      <c r="G409" s="927" t="s">
        <v>5739</v>
      </c>
      <c r="I409" s="927"/>
      <c r="J409" s="131"/>
      <c r="K409" s="927" t="s">
        <v>5425</v>
      </c>
      <c r="L409" t="s">
        <v>5426</v>
      </c>
      <c r="M409" s="927" t="s">
        <v>320</v>
      </c>
      <c r="N409" s="927" t="s">
        <v>1346</v>
      </c>
      <c r="O409" s="927" t="s">
        <v>5427</v>
      </c>
      <c r="P409" s="927"/>
      <c r="Q409" s="927"/>
      <c r="R409" s="927"/>
      <c r="T409">
        <v>7080</v>
      </c>
      <c r="U409">
        <v>9800</v>
      </c>
      <c r="V409">
        <v>10480</v>
      </c>
      <c r="W409">
        <v>14960</v>
      </c>
      <c r="X409">
        <v>18400</v>
      </c>
      <c r="Y409">
        <v>17000</v>
      </c>
      <c r="Z409">
        <v>13640</v>
      </c>
      <c r="AA409">
        <v>17200</v>
      </c>
      <c r="AB409">
        <v>16040</v>
      </c>
      <c r="AC409">
        <v>17880</v>
      </c>
      <c r="AD409">
        <v>16160</v>
      </c>
      <c r="AE409">
        <v>16160</v>
      </c>
      <c r="AF409" s="927"/>
      <c r="AG409" s="927" t="s">
        <v>1420</v>
      </c>
      <c r="AH409" s="717"/>
      <c r="AK409" s="927"/>
      <c r="AO409" s="927"/>
      <c r="AP409" s="927"/>
      <c r="AQ409" s="927" t="s">
        <v>5428</v>
      </c>
    </row>
    <row r="410" spans="1:43">
      <c r="A410" s="927" t="s">
        <v>4833</v>
      </c>
      <c r="B410" s="927" t="s">
        <v>4834</v>
      </c>
      <c r="C410" s="927" t="s">
        <v>4835</v>
      </c>
      <c r="D410" s="927" t="s">
        <v>3613</v>
      </c>
      <c r="E410" s="717">
        <v>45657</v>
      </c>
      <c r="F410" s="927"/>
      <c r="G410" s="927"/>
      <c r="I410" s="927"/>
      <c r="J410" s="131"/>
      <c r="K410" s="927" t="s">
        <v>306</v>
      </c>
      <c r="M410" s="927" t="s">
        <v>306</v>
      </c>
      <c r="N410" s="927" t="s">
        <v>306</v>
      </c>
      <c r="O410" s="927" t="s">
        <v>306</v>
      </c>
      <c r="P410" s="927"/>
      <c r="Q410" s="927"/>
      <c r="R410" s="927"/>
      <c r="T410">
        <v>4464</v>
      </c>
      <c r="U410">
        <v>4464</v>
      </c>
      <c r="V410">
        <v>3720</v>
      </c>
      <c r="W410">
        <v>3348</v>
      </c>
      <c r="X410">
        <v>2604</v>
      </c>
      <c r="Y410">
        <v>2232</v>
      </c>
      <c r="Z410">
        <v>2232</v>
      </c>
      <c r="AA410">
        <v>2604</v>
      </c>
      <c r="AB410">
        <v>2604</v>
      </c>
      <c r="AC410">
        <v>2604</v>
      </c>
      <c r="AD410">
        <v>2976</v>
      </c>
      <c r="AE410">
        <v>3720</v>
      </c>
      <c r="AF410" s="927"/>
      <c r="AG410" s="927"/>
      <c r="AH410" s="717"/>
      <c r="AK410" s="927"/>
      <c r="AO410" s="927"/>
      <c r="AP410" s="927"/>
      <c r="AQ410" s="927" t="s">
        <v>4836</v>
      </c>
    </row>
    <row r="411" spans="1:43">
      <c r="A411" s="927" t="s">
        <v>4837</v>
      </c>
      <c r="B411" s="927" t="s">
        <v>4838</v>
      </c>
      <c r="C411" s="927" t="s">
        <v>4839</v>
      </c>
      <c r="D411" s="927" t="s">
        <v>3613</v>
      </c>
      <c r="E411" s="717">
        <v>45642</v>
      </c>
      <c r="F411" s="927"/>
      <c r="G411" s="927" t="s">
        <v>5739</v>
      </c>
      <c r="I411" s="927"/>
      <c r="J411" s="131"/>
      <c r="K411" s="927" t="s">
        <v>4840</v>
      </c>
      <c r="L411" t="s">
        <v>3858</v>
      </c>
      <c r="M411" s="927" t="s">
        <v>320</v>
      </c>
      <c r="N411" s="927" t="s">
        <v>4840</v>
      </c>
      <c r="O411" s="927" t="s">
        <v>3701</v>
      </c>
      <c r="P411" s="927"/>
      <c r="Q411" s="927"/>
      <c r="R411" s="927"/>
      <c r="T411">
        <v>778</v>
      </c>
      <c r="U411">
        <v>778</v>
      </c>
      <c r="V411">
        <v>648</v>
      </c>
      <c r="W411">
        <v>583</v>
      </c>
      <c r="X411">
        <v>454</v>
      </c>
      <c r="Y411">
        <v>389</v>
      </c>
      <c r="Z411">
        <v>389</v>
      </c>
      <c r="AA411">
        <v>454</v>
      </c>
      <c r="AB411">
        <v>454</v>
      </c>
      <c r="AC411">
        <v>454</v>
      </c>
      <c r="AD411">
        <v>518</v>
      </c>
      <c r="AE411">
        <v>648</v>
      </c>
      <c r="AF411" s="927"/>
      <c r="AG411" s="927"/>
      <c r="AH411" s="717"/>
      <c r="AK411" s="927"/>
      <c r="AO411" s="927"/>
      <c r="AP411" s="927"/>
      <c r="AQ411" s="927" t="s">
        <v>4841</v>
      </c>
    </row>
    <row r="412" spans="1:43">
      <c r="A412" s="927" t="s">
        <v>4843</v>
      </c>
      <c r="B412" s="927" t="s">
        <v>4844</v>
      </c>
      <c r="C412" s="927" t="s">
        <v>4845</v>
      </c>
      <c r="D412" s="927" t="s">
        <v>3613</v>
      </c>
      <c r="E412" s="717">
        <v>45654</v>
      </c>
      <c r="F412" s="927"/>
      <c r="G412" s="927" t="s">
        <v>5739</v>
      </c>
      <c r="I412" s="927"/>
      <c r="J412" s="131"/>
      <c r="K412" s="927" t="s">
        <v>306</v>
      </c>
      <c r="M412" s="927" t="s">
        <v>306</v>
      </c>
      <c r="N412" s="927" t="s">
        <v>306</v>
      </c>
      <c r="O412" s="927" t="s">
        <v>306</v>
      </c>
      <c r="P412" s="927" t="s">
        <v>322</v>
      </c>
      <c r="Q412" s="927"/>
      <c r="R412" s="927"/>
      <c r="T412">
        <v>893</v>
      </c>
      <c r="U412">
        <v>893</v>
      </c>
      <c r="V412">
        <v>744</v>
      </c>
      <c r="W412">
        <v>670</v>
      </c>
      <c r="X412">
        <v>521</v>
      </c>
      <c r="Y412">
        <v>446</v>
      </c>
      <c r="Z412">
        <v>446</v>
      </c>
      <c r="AA412">
        <v>521</v>
      </c>
      <c r="AB412">
        <v>521</v>
      </c>
      <c r="AC412">
        <v>521</v>
      </c>
      <c r="AD412">
        <v>595</v>
      </c>
      <c r="AE412">
        <v>744</v>
      </c>
      <c r="AF412" s="927"/>
      <c r="AG412" s="927"/>
      <c r="AH412" s="717"/>
      <c r="AK412" s="927"/>
      <c r="AO412" s="927"/>
      <c r="AP412" s="927"/>
      <c r="AQ412" s="927" t="s">
        <v>4846</v>
      </c>
    </row>
    <row r="413" spans="1:43">
      <c r="A413" s="927" t="s">
        <v>4847</v>
      </c>
      <c r="B413" s="927" t="s">
        <v>4848</v>
      </c>
      <c r="C413" s="927" t="s">
        <v>4849</v>
      </c>
      <c r="D413" s="927" t="s">
        <v>3613</v>
      </c>
      <c r="E413" s="717">
        <v>45672</v>
      </c>
      <c r="F413" s="927"/>
      <c r="G413" s="927" t="s">
        <v>5739</v>
      </c>
      <c r="H413" t="s">
        <v>4850</v>
      </c>
      <c r="I413" s="927"/>
      <c r="J413" s="131"/>
      <c r="K413" s="927" t="s">
        <v>4550</v>
      </c>
      <c r="L413" t="s">
        <v>3858</v>
      </c>
      <c r="M413" s="927" t="s">
        <v>320</v>
      </c>
      <c r="N413" s="927" t="s">
        <v>4550</v>
      </c>
      <c r="O413" s="927" t="s">
        <v>3996</v>
      </c>
      <c r="P413" s="927" t="s">
        <v>322</v>
      </c>
      <c r="Q413" s="927"/>
      <c r="R413" s="927"/>
      <c r="T413">
        <v>1325</v>
      </c>
      <c r="U413">
        <v>1325</v>
      </c>
      <c r="V413">
        <v>1104</v>
      </c>
      <c r="W413">
        <v>994</v>
      </c>
      <c r="X413">
        <v>773</v>
      </c>
      <c r="Y413">
        <v>662</v>
      </c>
      <c r="Z413">
        <v>662</v>
      </c>
      <c r="AA413">
        <v>773</v>
      </c>
      <c r="AB413">
        <v>773</v>
      </c>
      <c r="AC413">
        <v>773</v>
      </c>
      <c r="AD413">
        <v>883</v>
      </c>
      <c r="AE413">
        <v>1104</v>
      </c>
      <c r="AF413" s="927"/>
      <c r="AG413" s="927" t="s">
        <v>1189</v>
      </c>
      <c r="AH413" s="717"/>
      <c r="AK413" s="927"/>
      <c r="AO413" s="927"/>
      <c r="AP413" s="927"/>
      <c r="AQ413" s="927" t="s">
        <v>4851</v>
      </c>
    </row>
    <row r="414" spans="1:43">
      <c r="A414" s="927" t="s">
        <v>4852</v>
      </c>
      <c r="B414" s="927" t="s">
        <v>4853</v>
      </c>
      <c r="C414" s="927" t="s">
        <v>4854</v>
      </c>
      <c r="D414" s="927" t="s">
        <v>4301</v>
      </c>
      <c r="E414" s="717">
        <v>45662</v>
      </c>
      <c r="F414" s="927"/>
      <c r="G414" s="927" t="s">
        <v>5739</v>
      </c>
      <c r="I414" s="927"/>
      <c r="J414" s="131"/>
      <c r="K414" s="927" t="s">
        <v>4855</v>
      </c>
      <c r="L414" t="s">
        <v>4856</v>
      </c>
      <c r="M414" s="927" t="s">
        <v>320</v>
      </c>
      <c r="N414" s="927" t="s">
        <v>1346</v>
      </c>
      <c r="O414" s="927" t="s">
        <v>4212</v>
      </c>
      <c r="P414" s="927"/>
      <c r="Q414" s="927"/>
      <c r="R414" s="927"/>
      <c r="T414">
        <v>1049</v>
      </c>
      <c r="U414">
        <v>1049</v>
      </c>
      <c r="V414">
        <v>994</v>
      </c>
      <c r="W414">
        <v>883</v>
      </c>
      <c r="X414">
        <v>828</v>
      </c>
      <c r="Y414">
        <v>773</v>
      </c>
      <c r="Z414">
        <v>828</v>
      </c>
      <c r="AA414">
        <v>828</v>
      </c>
      <c r="AB414">
        <v>883</v>
      </c>
      <c r="AC414">
        <v>938</v>
      </c>
      <c r="AD414">
        <v>994</v>
      </c>
      <c r="AE414">
        <v>1049</v>
      </c>
      <c r="AF414" s="927"/>
      <c r="AG414" s="927"/>
      <c r="AH414" s="717"/>
      <c r="AK414" s="927"/>
      <c r="AO414" s="927"/>
      <c r="AP414" s="927"/>
      <c r="AQ414" s="927" t="s">
        <v>4857</v>
      </c>
    </row>
    <row r="415" spans="1:43">
      <c r="A415" s="927" t="s">
        <v>4858</v>
      </c>
      <c r="B415" s="927" t="s">
        <v>4859</v>
      </c>
      <c r="C415" s="927" t="s">
        <v>4860</v>
      </c>
      <c r="D415" s="927" t="s">
        <v>3613</v>
      </c>
      <c r="E415" s="717">
        <v>45588</v>
      </c>
      <c r="F415" s="927"/>
      <c r="G415" s="927" t="s">
        <v>5739</v>
      </c>
      <c r="H415" t="s">
        <v>4861</v>
      </c>
      <c r="I415" s="927"/>
      <c r="J415" s="131"/>
      <c r="K415" s="927" t="s">
        <v>4862</v>
      </c>
      <c r="L415" t="s">
        <v>3858</v>
      </c>
      <c r="M415" s="927" t="s">
        <v>320</v>
      </c>
      <c r="N415" s="927" t="s">
        <v>4862</v>
      </c>
      <c r="O415" s="927" t="s">
        <v>3682</v>
      </c>
      <c r="P415" s="927" t="s">
        <v>322</v>
      </c>
      <c r="Q415" s="927"/>
      <c r="R415" s="927"/>
      <c r="T415">
        <v>1800</v>
      </c>
      <c r="U415">
        <v>1800</v>
      </c>
      <c r="V415">
        <v>1500</v>
      </c>
      <c r="W415">
        <v>1350</v>
      </c>
      <c r="X415">
        <v>1050</v>
      </c>
      <c r="Y415">
        <v>900</v>
      </c>
      <c r="Z415">
        <v>900</v>
      </c>
      <c r="AA415">
        <v>1050</v>
      </c>
      <c r="AB415">
        <v>1050</v>
      </c>
      <c r="AC415">
        <v>1050</v>
      </c>
      <c r="AD415">
        <v>1200</v>
      </c>
      <c r="AE415">
        <v>1500</v>
      </c>
      <c r="AF415" s="927"/>
      <c r="AG415" s="927"/>
      <c r="AH415" s="717"/>
      <c r="AK415" s="927"/>
      <c r="AO415" s="927"/>
      <c r="AP415" s="927"/>
      <c r="AQ415" s="927" t="s">
        <v>4863</v>
      </c>
    </row>
    <row r="416" spans="1:43">
      <c r="A416" s="927" t="s">
        <v>4864</v>
      </c>
      <c r="B416" s="927" t="s">
        <v>4865</v>
      </c>
      <c r="C416" s="927" t="s">
        <v>4866</v>
      </c>
      <c r="D416" s="927" t="s">
        <v>3613</v>
      </c>
      <c r="E416" s="717">
        <v>45677</v>
      </c>
      <c r="F416" s="927"/>
      <c r="G416" s="927"/>
      <c r="I416" s="927"/>
      <c r="J416" s="131"/>
      <c r="K416" s="927" t="s">
        <v>306</v>
      </c>
      <c r="M416" s="927" t="s">
        <v>306</v>
      </c>
      <c r="N416" s="927" t="s">
        <v>306</v>
      </c>
      <c r="O416" s="927" t="s">
        <v>306</v>
      </c>
      <c r="P416" s="927"/>
      <c r="Q416" s="927"/>
      <c r="R416" s="927"/>
      <c r="T416">
        <v>1440</v>
      </c>
      <c r="U416">
        <v>1440</v>
      </c>
      <c r="V416">
        <v>1200</v>
      </c>
      <c r="W416">
        <v>1080</v>
      </c>
      <c r="X416">
        <v>840</v>
      </c>
      <c r="Y416">
        <v>720</v>
      </c>
      <c r="Z416">
        <v>720</v>
      </c>
      <c r="AA416">
        <v>840</v>
      </c>
      <c r="AB416">
        <v>840</v>
      </c>
      <c r="AC416">
        <v>840</v>
      </c>
      <c r="AD416">
        <v>960</v>
      </c>
      <c r="AE416">
        <v>1200</v>
      </c>
      <c r="AF416" s="927"/>
      <c r="AG416" s="927"/>
      <c r="AH416" s="717"/>
      <c r="AK416" s="927"/>
      <c r="AO416" s="927"/>
      <c r="AP416" s="927"/>
      <c r="AQ416" s="927" t="s">
        <v>4867</v>
      </c>
    </row>
    <row r="417" spans="1:43">
      <c r="A417" s="927" t="s">
        <v>4868</v>
      </c>
      <c r="B417" s="927" t="s">
        <v>4869</v>
      </c>
      <c r="C417" s="927" t="s">
        <v>4870</v>
      </c>
      <c r="D417" s="927" t="s">
        <v>3613</v>
      </c>
      <c r="E417" s="717">
        <v>45650</v>
      </c>
      <c r="F417" s="927"/>
      <c r="G417" s="927" t="s">
        <v>5739</v>
      </c>
      <c r="H417" t="s">
        <v>4871</v>
      </c>
      <c r="I417" s="927"/>
      <c r="J417" s="131"/>
      <c r="K417" s="927" t="s">
        <v>4646</v>
      </c>
      <c r="L417" t="s">
        <v>3858</v>
      </c>
      <c r="M417" s="927" t="s">
        <v>320</v>
      </c>
      <c r="N417" s="927" t="s">
        <v>4646</v>
      </c>
      <c r="O417" s="927" t="s">
        <v>3712</v>
      </c>
      <c r="P417" s="927" t="s">
        <v>322</v>
      </c>
      <c r="Q417" s="927"/>
      <c r="R417" s="927"/>
      <c r="T417">
        <v>778</v>
      </c>
      <c r="U417">
        <v>778</v>
      </c>
      <c r="V417">
        <v>648</v>
      </c>
      <c r="W417">
        <v>583</v>
      </c>
      <c r="X417">
        <v>454</v>
      </c>
      <c r="Y417">
        <v>389</v>
      </c>
      <c r="Z417">
        <v>389</v>
      </c>
      <c r="AA417">
        <v>454</v>
      </c>
      <c r="AB417">
        <v>454</v>
      </c>
      <c r="AC417">
        <v>454</v>
      </c>
      <c r="AD417">
        <v>518</v>
      </c>
      <c r="AE417">
        <v>648</v>
      </c>
      <c r="AF417" s="927" t="s">
        <v>1189</v>
      </c>
      <c r="AG417" s="927" t="s">
        <v>1189</v>
      </c>
      <c r="AH417" s="717"/>
      <c r="AK417" s="927"/>
      <c r="AO417" s="927"/>
      <c r="AP417" s="927"/>
      <c r="AQ417" s="927" t="s">
        <v>4872</v>
      </c>
    </row>
    <row r="418" spans="1:43">
      <c r="A418" s="927" t="s">
        <v>4873</v>
      </c>
      <c r="B418" s="927" t="s">
        <v>4874</v>
      </c>
      <c r="C418" s="927" t="s">
        <v>4875</v>
      </c>
      <c r="D418" s="927" t="s">
        <v>4020</v>
      </c>
      <c r="E418" s="717">
        <v>45648</v>
      </c>
      <c r="F418" s="927"/>
      <c r="G418" s="927"/>
      <c r="I418" s="927"/>
      <c r="J418" s="131"/>
      <c r="K418" s="927" t="s">
        <v>306</v>
      </c>
      <c r="M418" s="927" t="s">
        <v>306</v>
      </c>
      <c r="N418" s="927" t="s">
        <v>306</v>
      </c>
      <c r="O418" s="927" t="s">
        <v>306</v>
      </c>
      <c r="P418" s="927"/>
      <c r="Q418" s="927"/>
      <c r="R418" s="927"/>
      <c r="T418">
        <v>1123</v>
      </c>
      <c r="U418">
        <v>1123</v>
      </c>
      <c r="V418">
        <v>936</v>
      </c>
      <c r="W418">
        <v>842</v>
      </c>
      <c r="X418">
        <v>655</v>
      </c>
      <c r="Y418">
        <v>562</v>
      </c>
      <c r="Z418">
        <v>562</v>
      </c>
      <c r="AA418">
        <v>655</v>
      </c>
      <c r="AB418">
        <v>655</v>
      </c>
      <c r="AC418">
        <v>655</v>
      </c>
      <c r="AD418">
        <v>749</v>
      </c>
      <c r="AE418">
        <v>936</v>
      </c>
      <c r="AF418" s="927"/>
      <c r="AG418" s="927"/>
      <c r="AH418" s="717"/>
      <c r="AI418">
        <v>7.02</v>
      </c>
      <c r="AJ418">
        <v>21280</v>
      </c>
      <c r="AK418" s="927"/>
      <c r="AL418">
        <v>12</v>
      </c>
      <c r="AM418">
        <v>585</v>
      </c>
      <c r="AO418" s="927"/>
      <c r="AP418" s="927"/>
      <c r="AQ418" s="927" t="s">
        <v>4887</v>
      </c>
    </row>
    <row r="419" spans="1:43">
      <c r="A419" s="927" t="s">
        <v>4876</v>
      </c>
      <c r="B419" s="927" t="s">
        <v>4877</v>
      </c>
      <c r="C419" s="927" t="s">
        <v>4878</v>
      </c>
      <c r="D419" s="927" t="s">
        <v>4301</v>
      </c>
      <c r="E419" s="717">
        <v>45652</v>
      </c>
      <c r="F419" s="927"/>
      <c r="G419" s="927"/>
      <c r="I419" s="927"/>
      <c r="J419" s="131"/>
      <c r="K419" s="927" t="s">
        <v>306</v>
      </c>
      <c r="M419" s="927" t="s">
        <v>306</v>
      </c>
      <c r="N419" s="927" t="s">
        <v>306</v>
      </c>
      <c r="O419" s="927" t="s">
        <v>306</v>
      </c>
      <c r="P419" s="927"/>
      <c r="Q419" s="927"/>
      <c r="R419" s="927"/>
      <c r="T419">
        <v>2880</v>
      </c>
      <c r="U419">
        <v>2880</v>
      </c>
      <c r="V419">
        <v>2400</v>
      </c>
      <c r="W419">
        <v>2160</v>
      </c>
      <c r="X419">
        <v>1680</v>
      </c>
      <c r="Y419">
        <v>1440</v>
      </c>
      <c r="Z419">
        <v>1440</v>
      </c>
      <c r="AA419">
        <v>1680</v>
      </c>
      <c r="AB419">
        <v>1680</v>
      </c>
      <c r="AC419">
        <v>1680</v>
      </c>
      <c r="AD419">
        <v>1920</v>
      </c>
      <c r="AE419">
        <v>2400</v>
      </c>
      <c r="AF419" s="927"/>
      <c r="AG419" s="927"/>
      <c r="AH419" s="717"/>
      <c r="AK419" s="927"/>
      <c r="AO419" s="927"/>
      <c r="AP419" s="927"/>
      <c r="AQ419" s="927" t="s">
        <v>4879</v>
      </c>
    </row>
    <row r="420" spans="1:43">
      <c r="A420" s="927" t="s">
        <v>4880</v>
      </c>
      <c r="B420" s="927" t="s">
        <v>4881</v>
      </c>
      <c r="C420" s="927" t="s">
        <v>4882</v>
      </c>
      <c r="D420" s="927" t="s">
        <v>3613</v>
      </c>
      <c r="E420" s="717">
        <v>45653</v>
      </c>
      <c r="F420" s="927"/>
      <c r="G420" s="927" t="s">
        <v>5739</v>
      </c>
      <c r="H420" t="s">
        <v>4883</v>
      </c>
      <c r="I420" s="927"/>
      <c r="J420" s="131"/>
      <c r="K420" s="927" t="s">
        <v>1168</v>
      </c>
      <c r="L420" t="s">
        <v>4884</v>
      </c>
      <c r="M420" s="927" t="s">
        <v>320</v>
      </c>
      <c r="N420" s="927" t="s">
        <v>1168</v>
      </c>
      <c r="O420" s="927" t="s">
        <v>4885</v>
      </c>
      <c r="P420" s="927" t="s">
        <v>322</v>
      </c>
      <c r="Q420" s="927"/>
      <c r="R420" s="927"/>
      <c r="T420">
        <v>4332</v>
      </c>
      <c r="U420">
        <v>4332</v>
      </c>
      <c r="V420">
        <v>4104</v>
      </c>
      <c r="W420">
        <v>3648</v>
      </c>
      <c r="X420">
        <v>3420</v>
      </c>
      <c r="Y420">
        <v>3192</v>
      </c>
      <c r="Z420">
        <v>3420</v>
      </c>
      <c r="AA420">
        <v>3420</v>
      </c>
      <c r="AB420">
        <v>3648</v>
      </c>
      <c r="AC420">
        <v>3876</v>
      </c>
      <c r="AD420">
        <v>4104</v>
      </c>
      <c r="AE420">
        <v>4332</v>
      </c>
      <c r="AF420" s="927"/>
      <c r="AG420" s="927" t="s">
        <v>1420</v>
      </c>
      <c r="AH420" s="717"/>
      <c r="AK420" s="927"/>
      <c r="AO420" s="927"/>
      <c r="AP420" s="927"/>
      <c r="AQ420" s="927" t="s">
        <v>4886</v>
      </c>
    </row>
    <row r="421" spans="1:43">
      <c r="A421" s="927" t="s">
        <v>4888</v>
      </c>
      <c r="B421" s="927" t="s">
        <v>4889</v>
      </c>
      <c r="C421" s="927" t="s">
        <v>4890</v>
      </c>
      <c r="D421" s="927" t="s">
        <v>3613</v>
      </c>
      <c r="E421" s="717">
        <v>45481</v>
      </c>
      <c r="F421" s="927"/>
      <c r="G421" s="927" t="s">
        <v>5739</v>
      </c>
      <c r="I421" s="927"/>
      <c r="J421" s="131"/>
      <c r="K421" s="927" t="s">
        <v>4891</v>
      </c>
      <c r="L421" t="s">
        <v>4892</v>
      </c>
      <c r="M421" s="927" t="s">
        <v>320</v>
      </c>
      <c r="N421" s="927" t="s">
        <v>1346</v>
      </c>
      <c r="O421" s="927" t="s">
        <v>4510</v>
      </c>
      <c r="P421" s="927" t="s">
        <v>322</v>
      </c>
      <c r="Q421" s="927"/>
      <c r="R421" s="927" t="s">
        <v>324</v>
      </c>
      <c r="T421">
        <v>3534</v>
      </c>
      <c r="U421">
        <v>3534</v>
      </c>
      <c r="V421">
        <v>3348</v>
      </c>
      <c r="W421">
        <v>2976</v>
      </c>
      <c r="X421">
        <v>2790</v>
      </c>
      <c r="Y421">
        <v>2604</v>
      </c>
      <c r="Z421">
        <v>2790</v>
      </c>
      <c r="AA421">
        <v>2790</v>
      </c>
      <c r="AB421">
        <v>2976</v>
      </c>
      <c r="AC421">
        <v>3162</v>
      </c>
      <c r="AD421">
        <v>3348</v>
      </c>
      <c r="AE421">
        <v>3534</v>
      </c>
      <c r="AF421" s="927"/>
      <c r="AG421" s="927"/>
      <c r="AH421" s="717"/>
      <c r="AK421" s="927"/>
      <c r="AO421" s="927"/>
      <c r="AP421" s="927"/>
      <c r="AQ421" s="927" t="s">
        <v>4893</v>
      </c>
    </row>
    <row r="422" spans="1:43">
      <c r="A422" s="927" t="s">
        <v>4894</v>
      </c>
      <c r="B422" s="927" t="s">
        <v>4895</v>
      </c>
      <c r="C422" s="927" t="s">
        <v>4896</v>
      </c>
      <c r="D422" s="927" t="s">
        <v>3613</v>
      </c>
      <c r="E422" s="717">
        <v>45646</v>
      </c>
      <c r="F422" s="927"/>
      <c r="G422" s="927" t="s">
        <v>5739</v>
      </c>
      <c r="H422" t="s">
        <v>4897</v>
      </c>
      <c r="I422" s="927"/>
      <c r="J422" s="131"/>
      <c r="K422" s="927" t="s">
        <v>4924</v>
      </c>
      <c r="L422" t="s">
        <v>4925</v>
      </c>
      <c r="M422" s="927" t="s">
        <v>320</v>
      </c>
      <c r="N422" s="927" t="s">
        <v>1346</v>
      </c>
      <c r="O422" s="927" t="s">
        <v>3895</v>
      </c>
      <c r="P422" s="927" t="s">
        <v>322</v>
      </c>
      <c r="Q422" s="927"/>
      <c r="R422" s="927"/>
      <c r="T422">
        <v>2880</v>
      </c>
      <c r="U422">
        <v>2880</v>
      </c>
      <c r="V422">
        <v>2400</v>
      </c>
      <c r="W422">
        <v>2160</v>
      </c>
      <c r="X422">
        <v>1680</v>
      </c>
      <c r="Y422">
        <v>1440</v>
      </c>
      <c r="Z422">
        <v>1440</v>
      </c>
      <c r="AA422">
        <v>1680</v>
      </c>
      <c r="AB422">
        <v>1680</v>
      </c>
      <c r="AC422">
        <v>1680</v>
      </c>
      <c r="AD422">
        <v>1920</v>
      </c>
      <c r="AE422">
        <v>2400</v>
      </c>
      <c r="AF422" s="927"/>
      <c r="AG422" s="927"/>
      <c r="AH422" s="717"/>
      <c r="AK422" s="927"/>
      <c r="AO422" s="927"/>
      <c r="AP422" s="927"/>
      <c r="AQ422" s="927" t="s">
        <v>4898</v>
      </c>
    </row>
    <row r="423" spans="1:43">
      <c r="A423" s="927" t="s">
        <v>4899</v>
      </c>
      <c r="B423" s="927" t="s">
        <v>4900</v>
      </c>
      <c r="C423" s="927" t="s">
        <v>4901</v>
      </c>
      <c r="D423" s="927" t="s">
        <v>3613</v>
      </c>
      <c r="E423" s="717">
        <v>45681</v>
      </c>
      <c r="F423" s="927"/>
      <c r="G423" s="927" t="s">
        <v>5739</v>
      </c>
      <c r="H423" t="s">
        <v>4902</v>
      </c>
      <c r="I423" s="927"/>
      <c r="J423" s="131"/>
      <c r="K423" s="927" t="s">
        <v>4903</v>
      </c>
      <c r="L423" t="s">
        <v>4904</v>
      </c>
      <c r="M423" s="927" t="s">
        <v>320</v>
      </c>
      <c r="N423" s="927" t="s">
        <v>1346</v>
      </c>
      <c r="O423" s="927" t="s">
        <v>4905</v>
      </c>
      <c r="P423" s="927" t="s">
        <v>322</v>
      </c>
      <c r="Q423" s="927"/>
      <c r="R423" s="927" t="s">
        <v>438</v>
      </c>
      <c r="T423">
        <v>677</v>
      </c>
      <c r="U423">
        <v>677</v>
      </c>
      <c r="V423">
        <v>564</v>
      </c>
      <c r="W423">
        <v>508</v>
      </c>
      <c r="X423">
        <v>395</v>
      </c>
      <c r="Y423">
        <v>338</v>
      </c>
      <c r="Z423">
        <v>338</v>
      </c>
      <c r="AA423">
        <v>395</v>
      </c>
      <c r="AB423">
        <v>395</v>
      </c>
      <c r="AC423">
        <v>395</v>
      </c>
      <c r="AD423">
        <v>451</v>
      </c>
      <c r="AE423">
        <v>564</v>
      </c>
      <c r="AF423" s="927" t="s">
        <v>1189</v>
      </c>
      <c r="AG423" s="927" t="s">
        <v>1189</v>
      </c>
      <c r="AH423" s="717"/>
      <c r="AK423" s="927"/>
      <c r="AO423" s="927"/>
      <c r="AP423" s="927"/>
      <c r="AQ423" s="927" t="s">
        <v>4906</v>
      </c>
    </row>
    <row r="424" spans="1:43">
      <c r="A424" s="927" t="s">
        <v>4907</v>
      </c>
      <c r="B424" s="927" t="s">
        <v>4908</v>
      </c>
      <c r="C424" s="927" t="s">
        <v>4909</v>
      </c>
      <c r="D424" s="927" t="s">
        <v>4301</v>
      </c>
      <c r="E424" s="717">
        <v>45655</v>
      </c>
      <c r="F424" s="927"/>
      <c r="G424" s="927" t="s">
        <v>5739</v>
      </c>
      <c r="I424" s="927"/>
      <c r="J424" s="131"/>
      <c r="K424" s="927" t="s">
        <v>4910</v>
      </c>
      <c r="L424" t="s">
        <v>3858</v>
      </c>
      <c r="M424" s="927" t="s">
        <v>320</v>
      </c>
      <c r="N424" s="927" t="s">
        <v>4910</v>
      </c>
      <c r="O424" s="927" t="s">
        <v>1511</v>
      </c>
      <c r="P424" s="927"/>
      <c r="Q424" s="927"/>
      <c r="R424" s="927"/>
      <c r="T424">
        <v>1123</v>
      </c>
      <c r="U424">
        <v>1123</v>
      </c>
      <c r="V424">
        <v>936</v>
      </c>
      <c r="W424">
        <v>842</v>
      </c>
      <c r="X424">
        <v>655</v>
      </c>
      <c r="Y424">
        <v>562</v>
      </c>
      <c r="Z424">
        <v>562</v>
      </c>
      <c r="AA424">
        <v>655</v>
      </c>
      <c r="AB424">
        <v>655</v>
      </c>
      <c r="AC424">
        <v>655</v>
      </c>
      <c r="AD424">
        <v>749</v>
      </c>
      <c r="AE424">
        <v>936</v>
      </c>
      <c r="AF424" s="927"/>
      <c r="AG424" s="927"/>
      <c r="AH424" s="717"/>
      <c r="AK424" s="927"/>
      <c r="AO424" s="927"/>
      <c r="AP424" s="927"/>
      <c r="AQ424" s="927" t="s">
        <v>4911</v>
      </c>
    </row>
    <row r="425" spans="1:43">
      <c r="A425" s="927" t="s">
        <v>4912</v>
      </c>
      <c r="B425" s="927" t="s">
        <v>4913</v>
      </c>
      <c r="C425" s="927" t="s">
        <v>4914</v>
      </c>
      <c r="D425" s="927" t="s">
        <v>3613</v>
      </c>
      <c r="E425" s="717">
        <v>45683</v>
      </c>
      <c r="F425" s="927"/>
      <c r="G425" s="927" t="s">
        <v>5739</v>
      </c>
      <c r="I425" s="927"/>
      <c r="J425" s="131"/>
      <c r="K425" s="927" t="s">
        <v>4915</v>
      </c>
      <c r="L425" t="s">
        <v>4916</v>
      </c>
      <c r="M425" s="927" t="s">
        <v>320</v>
      </c>
      <c r="N425" s="927" t="s">
        <v>4915</v>
      </c>
      <c r="O425" s="927" t="s">
        <v>4917</v>
      </c>
      <c r="P425" s="927"/>
      <c r="Q425" s="927"/>
      <c r="R425" s="927"/>
      <c r="T425">
        <v>677</v>
      </c>
      <c r="U425">
        <v>677</v>
      </c>
      <c r="V425">
        <v>564</v>
      </c>
      <c r="W425">
        <v>508</v>
      </c>
      <c r="X425">
        <v>395</v>
      </c>
      <c r="Y425">
        <v>338</v>
      </c>
      <c r="Z425">
        <v>338</v>
      </c>
      <c r="AA425">
        <v>395</v>
      </c>
      <c r="AB425">
        <v>395</v>
      </c>
      <c r="AC425">
        <v>395</v>
      </c>
      <c r="AD425">
        <v>451</v>
      </c>
      <c r="AE425">
        <v>564</v>
      </c>
      <c r="AF425" s="927"/>
      <c r="AG425" s="927"/>
      <c r="AH425" s="717"/>
      <c r="AK425" s="927"/>
      <c r="AO425" s="927"/>
      <c r="AP425" s="927"/>
      <c r="AQ425" s="927" t="s">
        <v>4918</v>
      </c>
    </row>
    <row r="426" spans="1:43">
      <c r="A426" s="927" t="s">
        <v>4919</v>
      </c>
      <c r="B426" s="927" t="s">
        <v>4920</v>
      </c>
      <c r="C426" s="927" t="s">
        <v>4921</v>
      </c>
      <c r="D426" s="927" t="s">
        <v>4301</v>
      </c>
      <c r="E426" s="717">
        <v>45680</v>
      </c>
      <c r="F426" s="927"/>
      <c r="G426" s="927" t="s">
        <v>5739</v>
      </c>
      <c r="I426" s="927"/>
      <c r="J426" s="131"/>
      <c r="K426" s="927" t="s">
        <v>4922</v>
      </c>
      <c r="L426" t="s">
        <v>4670</v>
      </c>
      <c r="M426" s="927" t="s">
        <v>320</v>
      </c>
      <c r="N426" s="927" t="s">
        <v>1346</v>
      </c>
      <c r="O426" s="927" t="s">
        <v>4671</v>
      </c>
      <c r="P426" s="927"/>
      <c r="Q426" s="927"/>
      <c r="R426" s="927"/>
      <c r="T426">
        <v>1348</v>
      </c>
      <c r="U426">
        <v>1348</v>
      </c>
      <c r="V426">
        <v>1123</v>
      </c>
      <c r="W426">
        <v>1011</v>
      </c>
      <c r="X426">
        <v>786</v>
      </c>
      <c r="Y426">
        <v>674</v>
      </c>
      <c r="Z426">
        <v>674</v>
      </c>
      <c r="AA426">
        <v>786</v>
      </c>
      <c r="AB426">
        <v>786</v>
      </c>
      <c r="AC426">
        <v>786</v>
      </c>
      <c r="AD426">
        <v>899</v>
      </c>
      <c r="AE426">
        <v>1123</v>
      </c>
      <c r="AF426" s="927"/>
      <c r="AG426" s="927"/>
      <c r="AH426" s="717"/>
      <c r="AK426" s="927"/>
      <c r="AO426" s="927"/>
      <c r="AP426" s="927"/>
      <c r="AQ426" s="927" t="s">
        <v>4923</v>
      </c>
    </row>
    <row r="427" spans="1:43">
      <c r="A427" s="927" t="s">
        <v>4926</v>
      </c>
      <c r="B427" s="927" t="s">
        <v>4927</v>
      </c>
      <c r="C427" s="927" t="s">
        <v>4928</v>
      </c>
      <c r="D427" s="927" t="s">
        <v>3613</v>
      </c>
      <c r="E427" s="717">
        <v>45685</v>
      </c>
      <c r="F427" s="927"/>
      <c r="G427" s="927" t="s">
        <v>5739</v>
      </c>
      <c r="H427" t="s">
        <v>4929</v>
      </c>
      <c r="I427" s="927"/>
      <c r="J427" s="131"/>
      <c r="K427" s="927" t="s">
        <v>4930</v>
      </c>
      <c r="L427" t="s">
        <v>4931</v>
      </c>
      <c r="M427" s="927" t="s">
        <v>320</v>
      </c>
      <c r="N427" s="927" t="s">
        <v>1346</v>
      </c>
      <c r="O427" s="927" t="s">
        <v>4212</v>
      </c>
      <c r="P427" s="927" t="s">
        <v>322</v>
      </c>
      <c r="Q427" s="927"/>
      <c r="R427" s="927"/>
      <c r="T427">
        <v>1339</v>
      </c>
      <c r="U427">
        <v>1339</v>
      </c>
      <c r="V427">
        <v>1116</v>
      </c>
      <c r="W427">
        <v>1004</v>
      </c>
      <c r="X427">
        <v>781</v>
      </c>
      <c r="Y427">
        <v>670</v>
      </c>
      <c r="Z427">
        <v>670</v>
      </c>
      <c r="AA427">
        <v>781</v>
      </c>
      <c r="AB427">
        <v>781</v>
      </c>
      <c r="AC427">
        <v>781</v>
      </c>
      <c r="AD427">
        <v>893</v>
      </c>
      <c r="AE427">
        <v>1116</v>
      </c>
      <c r="AF427" s="927"/>
      <c r="AG427" s="927" t="s">
        <v>1189</v>
      </c>
      <c r="AH427" s="717"/>
      <c r="AK427" s="927"/>
      <c r="AO427" s="927"/>
      <c r="AP427" s="927"/>
      <c r="AQ427" s="927" t="s">
        <v>4932</v>
      </c>
    </row>
    <row r="428" spans="1:43">
      <c r="A428" s="927" t="s">
        <v>4933</v>
      </c>
      <c r="B428" s="927" t="s">
        <v>4934</v>
      </c>
      <c r="C428" s="927" t="s">
        <v>4935</v>
      </c>
      <c r="D428" s="927" t="s">
        <v>3613</v>
      </c>
      <c r="E428" s="717">
        <v>45640</v>
      </c>
      <c r="F428" s="927"/>
      <c r="G428" s="927"/>
      <c r="I428" s="927"/>
      <c r="J428" s="131"/>
      <c r="K428" s="927" t="s">
        <v>306</v>
      </c>
      <c r="M428" s="927" t="s">
        <v>306</v>
      </c>
      <c r="N428" s="927" t="s">
        <v>306</v>
      </c>
      <c r="O428" s="927" t="s">
        <v>306</v>
      </c>
      <c r="P428" s="927"/>
      <c r="Q428" s="927"/>
      <c r="R428" s="927"/>
      <c r="T428">
        <v>562</v>
      </c>
      <c r="U428">
        <v>562</v>
      </c>
      <c r="V428">
        <v>468</v>
      </c>
      <c r="W428">
        <v>421</v>
      </c>
      <c r="X428">
        <v>328</v>
      </c>
      <c r="Y428">
        <v>281</v>
      </c>
      <c r="Z428">
        <v>281</v>
      </c>
      <c r="AA428">
        <v>328</v>
      </c>
      <c r="AB428">
        <v>328</v>
      </c>
      <c r="AC428">
        <v>328</v>
      </c>
      <c r="AD428">
        <v>374</v>
      </c>
      <c r="AE428">
        <v>468</v>
      </c>
      <c r="AF428" s="927"/>
      <c r="AG428" s="927"/>
      <c r="AH428" s="717"/>
      <c r="AK428" s="927"/>
      <c r="AO428" s="927"/>
      <c r="AP428" s="927"/>
      <c r="AQ428" s="927" t="s">
        <v>4936</v>
      </c>
    </row>
    <row r="429" spans="1:43">
      <c r="A429" s="927" t="s">
        <v>4980</v>
      </c>
      <c r="B429" s="927" t="s">
        <v>4937</v>
      </c>
      <c r="C429" s="927" t="s">
        <v>4981</v>
      </c>
      <c r="D429" s="927" t="s">
        <v>1187</v>
      </c>
      <c r="E429" s="717">
        <v>45651</v>
      </c>
      <c r="F429" s="927"/>
      <c r="G429" s="927"/>
      <c r="I429" s="927"/>
      <c r="J429" s="131"/>
      <c r="K429" s="927" t="s">
        <v>4938</v>
      </c>
      <c r="L429" t="s">
        <v>4939</v>
      </c>
      <c r="M429" s="927" t="s">
        <v>320</v>
      </c>
      <c r="N429" s="927" t="s">
        <v>1346</v>
      </c>
      <c r="O429" s="927" t="s">
        <v>4212</v>
      </c>
      <c r="P429" s="927"/>
      <c r="Q429" s="927"/>
      <c r="R429" s="927"/>
      <c r="AF429" s="927"/>
      <c r="AG429" s="927"/>
      <c r="AH429" s="717"/>
      <c r="AK429" s="927"/>
      <c r="AO429" s="927"/>
      <c r="AP429" s="927"/>
      <c r="AQ429" s="927" t="s">
        <v>4992</v>
      </c>
    </row>
    <row r="430" spans="1:43">
      <c r="A430" s="927" t="s">
        <v>4941</v>
      </c>
      <c r="B430" s="927" t="s">
        <v>4942</v>
      </c>
      <c r="C430" s="927" t="s">
        <v>4943</v>
      </c>
      <c r="D430" s="927" t="s">
        <v>3613</v>
      </c>
      <c r="E430" s="717">
        <v>45683</v>
      </c>
      <c r="F430" s="927"/>
      <c r="G430" s="927" t="s">
        <v>5739</v>
      </c>
      <c r="I430" s="927"/>
      <c r="J430" s="131"/>
      <c r="K430" s="927" t="s">
        <v>306</v>
      </c>
      <c r="M430" s="927" t="s">
        <v>306</v>
      </c>
      <c r="N430" s="927" t="s">
        <v>306</v>
      </c>
      <c r="O430" s="927" t="s">
        <v>306</v>
      </c>
      <c r="P430" s="927" t="s">
        <v>322</v>
      </c>
      <c r="Q430" s="927"/>
      <c r="R430" s="927"/>
      <c r="T430">
        <v>1670</v>
      </c>
      <c r="U430">
        <v>1670</v>
      </c>
      <c r="V430">
        <v>1392</v>
      </c>
      <c r="W430">
        <v>1253</v>
      </c>
      <c r="X430">
        <v>974</v>
      </c>
      <c r="Y430">
        <v>835</v>
      </c>
      <c r="Z430">
        <v>835</v>
      </c>
      <c r="AA430">
        <v>974</v>
      </c>
      <c r="AB430">
        <v>974</v>
      </c>
      <c r="AC430">
        <v>974</v>
      </c>
      <c r="AD430">
        <v>1114</v>
      </c>
      <c r="AE430">
        <v>1392</v>
      </c>
      <c r="AF430" s="927"/>
      <c r="AG430" s="927"/>
      <c r="AH430" s="717"/>
      <c r="AK430" s="927"/>
      <c r="AO430" s="927"/>
      <c r="AP430" s="927"/>
      <c r="AQ430" s="927" t="s">
        <v>4944</v>
      </c>
    </row>
    <row r="431" spans="1:43">
      <c r="A431" s="927" t="s">
        <v>4945</v>
      </c>
      <c r="B431" s="927" t="s">
        <v>4946</v>
      </c>
      <c r="C431" s="927" t="s">
        <v>4947</v>
      </c>
      <c r="D431" s="927" t="s">
        <v>4020</v>
      </c>
      <c r="E431" s="717">
        <v>45644</v>
      </c>
      <c r="F431" s="927"/>
      <c r="G431" s="927" t="s">
        <v>5739</v>
      </c>
      <c r="H431" t="s">
        <v>4948</v>
      </c>
      <c r="I431" s="927"/>
      <c r="J431" s="131"/>
      <c r="K431" s="927" t="s">
        <v>4949</v>
      </c>
      <c r="L431" t="s">
        <v>3858</v>
      </c>
      <c r="M431" s="927" t="s">
        <v>320</v>
      </c>
      <c r="N431" s="927" t="s">
        <v>4949</v>
      </c>
      <c r="O431" s="927" t="s">
        <v>3653</v>
      </c>
      <c r="P431" s="927" t="s">
        <v>322</v>
      </c>
      <c r="Q431" s="927"/>
      <c r="R431" s="927"/>
      <c r="T431">
        <v>936</v>
      </c>
      <c r="U431">
        <v>936</v>
      </c>
      <c r="V431">
        <v>780</v>
      </c>
      <c r="W431">
        <v>702</v>
      </c>
      <c r="X431">
        <v>546</v>
      </c>
      <c r="Y431">
        <v>468</v>
      </c>
      <c r="Z431">
        <v>468</v>
      </c>
      <c r="AA431">
        <v>546</v>
      </c>
      <c r="AB431">
        <v>546</v>
      </c>
      <c r="AC431">
        <v>546</v>
      </c>
      <c r="AD431">
        <v>624</v>
      </c>
      <c r="AE431">
        <v>780</v>
      </c>
      <c r="AF431" s="927"/>
      <c r="AG431" s="927"/>
      <c r="AH431" s="717"/>
      <c r="AK431" s="927"/>
      <c r="AO431" s="927"/>
      <c r="AP431" s="927"/>
      <c r="AQ431" s="927" t="s">
        <v>4965</v>
      </c>
    </row>
    <row r="432" spans="1:43">
      <c r="A432" s="927" t="s">
        <v>5607</v>
      </c>
      <c r="B432" s="927" t="s">
        <v>4950</v>
      </c>
      <c r="C432" s="927" t="s">
        <v>5608</v>
      </c>
      <c r="D432" s="927" t="s">
        <v>1418</v>
      </c>
      <c r="E432" s="717">
        <v>45687</v>
      </c>
      <c r="F432" s="927"/>
      <c r="G432" s="927" t="s">
        <v>5739</v>
      </c>
      <c r="H432" t="s">
        <v>4951</v>
      </c>
      <c r="I432" s="927"/>
      <c r="J432" s="131">
        <v>28857</v>
      </c>
      <c r="K432" s="927" t="s">
        <v>3650</v>
      </c>
      <c r="L432" t="s">
        <v>3894</v>
      </c>
      <c r="M432" s="927" t="s">
        <v>320</v>
      </c>
      <c r="N432" s="927" t="s">
        <v>1346</v>
      </c>
      <c r="O432" s="927" t="s">
        <v>3895</v>
      </c>
      <c r="P432" s="927" t="s">
        <v>322</v>
      </c>
      <c r="Q432" s="927"/>
      <c r="R432" s="927" t="s">
        <v>324</v>
      </c>
      <c r="T432">
        <v>1138</v>
      </c>
      <c r="U432">
        <v>1138</v>
      </c>
      <c r="V432">
        <v>948</v>
      </c>
      <c r="W432">
        <v>853</v>
      </c>
      <c r="X432">
        <v>664</v>
      </c>
      <c r="Y432">
        <v>569</v>
      </c>
      <c r="Z432">
        <v>569</v>
      </c>
      <c r="AA432">
        <v>664</v>
      </c>
      <c r="AB432">
        <v>664</v>
      </c>
      <c r="AC432">
        <v>664</v>
      </c>
      <c r="AD432">
        <v>758</v>
      </c>
      <c r="AE432">
        <v>948</v>
      </c>
      <c r="AF432" s="927" t="s">
        <v>1189</v>
      </c>
      <c r="AG432" s="927" t="s">
        <v>1189</v>
      </c>
      <c r="AH432" s="717"/>
      <c r="AI432">
        <v>5.85</v>
      </c>
      <c r="AJ432">
        <v>18800</v>
      </c>
      <c r="AK432" s="927"/>
      <c r="AL432">
        <v>10</v>
      </c>
      <c r="AM432">
        <v>585</v>
      </c>
      <c r="AO432" s="927"/>
      <c r="AP432" s="927"/>
      <c r="AQ432" s="927" t="s">
        <v>5609</v>
      </c>
    </row>
    <row r="433" spans="1:43">
      <c r="A433" s="927" t="s">
        <v>4953</v>
      </c>
      <c r="B433" s="927" t="s">
        <v>4954</v>
      </c>
      <c r="C433" s="927" t="s">
        <v>4955</v>
      </c>
      <c r="D433" s="927" t="s">
        <v>3613</v>
      </c>
      <c r="E433" s="717">
        <v>45676</v>
      </c>
      <c r="F433" s="927"/>
      <c r="G433" s="927" t="s">
        <v>5739</v>
      </c>
      <c r="H433" t="s">
        <v>4956</v>
      </c>
      <c r="I433" s="927"/>
      <c r="J433" s="131"/>
      <c r="K433" s="927" t="s">
        <v>4263</v>
      </c>
      <c r="L433" t="s">
        <v>3858</v>
      </c>
      <c r="M433" s="927" t="s">
        <v>320</v>
      </c>
      <c r="N433" s="927" t="s">
        <v>4263</v>
      </c>
      <c r="O433" s="927" t="s">
        <v>4264</v>
      </c>
      <c r="P433" s="927" t="s">
        <v>322</v>
      </c>
      <c r="Q433" s="927"/>
      <c r="R433" s="927"/>
      <c r="T433">
        <v>432</v>
      </c>
      <c r="U433">
        <v>432</v>
      </c>
      <c r="V433">
        <v>360</v>
      </c>
      <c r="W433">
        <v>324</v>
      </c>
      <c r="X433">
        <v>252</v>
      </c>
      <c r="Y433">
        <v>216</v>
      </c>
      <c r="Z433">
        <v>216</v>
      </c>
      <c r="AA433">
        <v>252</v>
      </c>
      <c r="AB433">
        <v>252</v>
      </c>
      <c r="AC433">
        <v>252</v>
      </c>
      <c r="AD433">
        <v>288</v>
      </c>
      <c r="AE433">
        <v>360</v>
      </c>
      <c r="AF433" s="927"/>
      <c r="AG433" s="927"/>
      <c r="AH433" s="717"/>
      <c r="AK433" s="927"/>
      <c r="AO433" s="927"/>
      <c r="AP433" s="927"/>
      <c r="AQ433" s="927" t="s">
        <v>4957</v>
      </c>
    </row>
    <row r="434" spans="1:43">
      <c r="A434" s="927" t="s">
        <v>4958</v>
      </c>
      <c r="B434" s="927" t="s">
        <v>4959</v>
      </c>
      <c r="C434" s="927" t="s">
        <v>4960</v>
      </c>
      <c r="D434" s="927" t="s">
        <v>3613</v>
      </c>
      <c r="E434" s="717">
        <v>45602</v>
      </c>
      <c r="F434" s="927"/>
      <c r="G434" s="927" t="s">
        <v>5739</v>
      </c>
      <c r="H434" t="s">
        <v>4961</v>
      </c>
      <c r="I434" s="927"/>
      <c r="J434" s="131"/>
      <c r="K434" s="927" t="s">
        <v>4962</v>
      </c>
      <c r="L434" t="s">
        <v>4963</v>
      </c>
      <c r="M434" s="927" t="s">
        <v>320</v>
      </c>
      <c r="N434" s="927" t="s">
        <v>1346</v>
      </c>
      <c r="O434" s="927" t="s">
        <v>3653</v>
      </c>
      <c r="P434" s="927" t="s">
        <v>322</v>
      </c>
      <c r="Q434" s="927"/>
      <c r="R434" s="927"/>
      <c r="T434">
        <v>76480</v>
      </c>
      <c r="U434">
        <v>45832</v>
      </c>
      <c r="V434">
        <v>45531</v>
      </c>
      <c r="W434">
        <v>43524</v>
      </c>
      <c r="X434">
        <v>59526</v>
      </c>
      <c r="Y434">
        <v>39009</v>
      </c>
      <c r="Z434">
        <v>42153</v>
      </c>
      <c r="AA434">
        <v>987816</v>
      </c>
      <c r="AB434">
        <v>977678</v>
      </c>
      <c r="AC434">
        <v>38814</v>
      </c>
      <c r="AD434">
        <v>92980</v>
      </c>
      <c r="AE434">
        <v>61006</v>
      </c>
      <c r="AF434" s="927"/>
      <c r="AG434" s="927"/>
      <c r="AH434" s="717"/>
      <c r="AK434" s="927"/>
      <c r="AO434" s="927"/>
      <c r="AP434" s="927"/>
      <c r="AQ434" s="927" t="s">
        <v>4964</v>
      </c>
    </row>
    <row r="435" spans="1:43">
      <c r="A435" s="927" t="s">
        <v>4966</v>
      </c>
      <c r="B435" s="927" t="s">
        <v>4967</v>
      </c>
      <c r="C435" s="927" t="s">
        <v>4968</v>
      </c>
      <c r="D435" s="927" t="s">
        <v>3613</v>
      </c>
      <c r="E435" s="717">
        <v>45690</v>
      </c>
      <c r="F435" s="927"/>
      <c r="G435" s="927"/>
      <c r="I435" s="927"/>
      <c r="J435" s="131"/>
      <c r="K435" s="927" t="s">
        <v>306</v>
      </c>
      <c r="M435" s="927" t="s">
        <v>306</v>
      </c>
      <c r="N435" s="927" t="s">
        <v>306</v>
      </c>
      <c r="O435" s="927" t="s">
        <v>306</v>
      </c>
      <c r="P435" s="927"/>
      <c r="Q435" s="927"/>
      <c r="R435" s="927"/>
      <c r="T435">
        <v>562</v>
      </c>
      <c r="U435">
        <v>562</v>
      </c>
      <c r="V435">
        <v>468</v>
      </c>
      <c r="W435">
        <v>421</v>
      </c>
      <c r="X435">
        <v>328</v>
      </c>
      <c r="Y435">
        <v>281</v>
      </c>
      <c r="Z435">
        <v>281</v>
      </c>
      <c r="AA435">
        <v>328</v>
      </c>
      <c r="AB435">
        <v>328</v>
      </c>
      <c r="AC435">
        <v>328</v>
      </c>
      <c r="AD435">
        <v>374</v>
      </c>
      <c r="AE435">
        <v>468</v>
      </c>
      <c r="AF435" s="927"/>
      <c r="AG435" s="927"/>
      <c r="AH435" s="717"/>
      <c r="AK435" s="927"/>
      <c r="AO435" s="927"/>
      <c r="AP435" s="927"/>
      <c r="AQ435" s="927" t="s">
        <v>4969</v>
      </c>
    </row>
    <row r="436" spans="1:43">
      <c r="A436" s="927" t="s">
        <v>5090</v>
      </c>
      <c r="B436" s="927" t="s">
        <v>4970</v>
      </c>
      <c r="C436" s="927" t="s">
        <v>5091</v>
      </c>
      <c r="D436" s="927" t="s">
        <v>4020</v>
      </c>
      <c r="E436" s="717">
        <v>45705</v>
      </c>
      <c r="F436" s="927"/>
      <c r="G436" s="927" t="s">
        <v>5739</v>
      </c>
      <c r="I436" s="927"/>
      <c r="J436" s="131"/>
      <c r="K436" s="927" t="s">
        <v>4971</v>
      </c>
      <c r="L436" t="s">
        <v>4972</v>
      </c>
      <c r="M436" s="927" t="s">
        <v>320</v>
      </c>
      <c r="N436" s="927" t="s">
        <v>4973</v>
      </c>
      <c r="O436" s="927" t="s">
        <v>4974</v>
      </c>
      <c r="P436" s="927" t="s">
        <v>379</v>
      </c>
      <c r="Q436" s="927"/>
      <c r="R436" s="927" t="s">
        <v>555</v>
      </c>
      <c r="T436">
        <v>1440</v>
      </c>
      <c r="U436">
        <v>1440</v>
      </c>
      <c r="V436">
        <v>1200</v>
      </c>
      <c r="W436">
        <v>1080</v>
      </c>
      <c r="X436">
        <v>840</v>
      </c>
      <c r="Y436">
        <v>720</v>
      </c>
      <c r="Z436">
        <v>720</v>
      </c>
      <c r="AA436">
        <v>840</v>
      </c>
      <c r="AB436">
        <v>840</v>
      </c>
      <c r="AC436">
        <v>840</v>
      </c>
      <c r="AD436">
        <v>960</v>
      </c>
      <c r="AE436">
        <v>1200</v>
      </c>
      <c r="AF436" s="927"/>
      <c r="AG436" s="927" t="s">
        <v>1189</v>
      </c>
      <c r="AH436" s="717"/>
      <c r="AK436" s="927"/>
      <c r="AO436" s="927"/>
      <c r="AP436" s="927"/>
      <c r="AQ436" s="927" t="s">
        <v>4975</v>
      </c>
    </row>
    <row r="437" spans="1:43">
      <c r="A437" s="927" t="s">
        <v>4976</v>
      </c>
      <c r="B437" s="927" t="s">
        <v>4977</v>
      </c>
      <c r="C437" s="927" t="s">
        <v>4978</v>
      </c>
      <c r="D437" s="927" t="s">
        <v>3613</v>
      </c>
      <c r="E437" s="717">
        <v>45680</v>
      </c>
      <c r="F437" s="927"/>
      <c r="G437" s="927" t="s">
        <v>5739</v>
      </c>
      <c r="I437" s="927"/>
      <c r="J437" s="131"/>
      <c r="K437" s="927" t="s">
        <v>4818</v>
      </c>
      <c r="L437" t="s">
        <v>3858</v>
      </c>
      <c r="M437" s="927" t="s">
        <v>320</v>
      </c>
      <c r="N437" s="927" t="s">
        <v>4818</v>
      </c>
      <c r="O437" s="927" t="s">
        <v>82</v>
      </c>
      <c r="P437" s="927" t="s">
        <v>322</v>
      </c>
      <c r="Q437" s="927"/>
      <c r="R437" s="927"/>
      <c r="T437">
        <v>562</v>
      </c>
      <c r="U437">
        <v>562</v>
      </c>
      <c r="V437">
        <v>468</v>
      </c>
      <c r="W437">
        <v>421</v>
      </c>
      <c r="X437">
        <v>328</v>
      </c>
      <c r="Y437">
        <v>281</v>
      </c>
      <c r="Z437">
        <v>281</v>
      </c>
      <c r="AA437">
        <v>328</v>
      </c>
      <c r="AB437">
        <v>328</v>
      </c>
      <c r="AC437">
        <v>328</v>
      </c>
      <c r="AD437">
        <v>374</v>
      </c>
      <c r="AE437">
        <v>468</v>
      </c>
      <c r="AF437" s="927"/>
      <c r="AG437" s="927"/>
      <c r="AH437" s="717"/>
      <c r="AK437" s="927"/>
      <c r="AO437" s="927"/>
      <c r="AP437" s="927"/>
      <c r="AQ437" s="927" t="s">
        <v>4979</v>
      </c>
    </row>
    <row r="438" spans="1:43">
      <c r="A438" s="927" t="s">
        <v>4982</v>
      </c>
      <c r="B438" s="927" t="s">
        <v>4983</v>
      </c>
      <c r="C438" s="927" t="s">
        <v>4984</v>
      </c>
      <c r="D438" s="927" t="s">
        <v>3613</v>
      </c>
      <c r="E438" s="717">
        <v>45690</v>
      </c>
      <c r="F438" s="927"/>
      <c r="G438" s="927" t="s">
        <v>5739</v>
      </c>
      <c r="H438" t="s">
        <v>4985</v>
      </c>
      <c r="I438" s="927"/>
      <c r="J438" s="131"/>
      <c r="K438" s="927" t="s">
        <v>4986</v>
      </c>
      <c r="L438" t="s">
        <v>3858</v>
      </c>
      <c r="M438" s="927" t="s">
        <v>320</v>
      </c>
      <c r="N438" s="927" t="s">
        <v>4986</v>
      </c>
      <c r="O438" s="927" t="s">
        <v>3895</v>
      </c>
      <c r="P438" s="927"/>
      <c r="Q438" s="927"/>
      <c r="R438" s="927"/>
      <c r="T438">
        <v>1356</v>
      </c>
      <c r="U438">
        <v>1145</v>
      </c>
      <c r="V438">
        <v>1247</v>
      </c>
      <c r="W438">
        <v>1116</v>
      </c>
      <c r="X438">
        <v>963</v>
      </c>
      <c r="Y438">
        <v>874</v>
      </c>
      <c r="Z438">
        <v>595</v>
      </c>
      <c r="AA438">
        <v>589</v>
      </c>
      <c r="AB438">
        <v>617</v>
      </c>
      <c r="AC438">
        <v>678</v>
      </c>
      <c r="AD438">
        <v>773</v>
      </c>
      <c r="AE438">
        <v>812</v>
      </c>
      <c r="AF438" s="927"/>
      <c r="AG438" s="927" t="s">
        <v>1189</v>
      </c>
      <c r="AH438" s="717"/>
      <c r="AK438" s="927"/>
      <c r="AO438" s="927"/>
      <c r="AP438" s="927"/>
      <c r="AQ438" s="927" t="s">
        <v>4987</v>
      </c>
    </row>
    <row r="439" spans="1:43">
      <c r="A439" s="927" t="s">
        <v>4988</v>
      </c>
      <c r="B439" s="927" t="s">
        <v>4989</v>
      </c>
      <c r="C439" s="927" t="s">
        <v>4990</v>
      </c>
      <c r="D439" s="927" t="s">
        <v>4195</v>
      </c>
      <c r="E439" s="717">
        <v>45689</v>
      </c>
      <c r="F439" s="927"/>
      <c r="G439" s="927"/>
      <c r="I439" s="927"/>
      <c r="J439" s="131"/>
      <c r="K439" s="927" t="s">
        <v>306</v>
      </c>
      <c r="M439" s="927" t="s">
        <v>306</v>
      </c>
      <c r="N439" s="927" t="s">
        <v>306</v>
      </c>
      <c r="O439" s="927" t="s">
        <v>306</v>
      </c>
      <c r="P439" s="927"/>
      <c r="Q439" s="927"/>
      <c r="R439" s="927"/>
      <c r="T439">
        <v>8352</v>
      </c>
      <c r="U439">
        <v>8352</v>
      </c>
      <c r="V439">
        <v>6960</v>
      </c>
      <c r="W439">
        <v>6264</v>
      </c>
      <c r="X439">
        <v>4872</v>
      </c>
      <c r="Y439">
        <v>4</v>
      </c>
      <c r="Z439">
        <v>4</v>
      </c>
      <c r="AA439">
        <v>4872</v>
      </c>
      <c r="AB439">
        <v>4872</v>
      </c>
      <c r="AC439">
        <v>4872</v>
      </c>
      <c r="AD439">
        <v>5568</v>
      </c>
      <c r="AE439">
        <v>6960</v>
      </c>
      <c r="AF439" s="927"/>
      <c r="AG439" s="927"/>
      <c r="AH439" s="717"/>
      <c r="AK439" s="927"/>
      <c r="AO439" s="927"/>
      <c r="AP439" s="927"/>
      <c r="AQ439" s="927" t="s">
        <v>4991</v>
      </c>
    </row>
    <row r="440" spans="1:43">
      <c r="A440" s="927" t="s">
        <v>4993</v>
      </c>
      <c r="B440" s="927" t="s">
        <v>4994</v>
      </c>
      <c r="C440" s="927" t="s">
        <v>4995</v>
      </c>
      <c r="D440" s="927" t="s">
        <v>3613</v>
      </c>
      <c r="E440" s="717">
        <v>45649</v>
      </c>
      <c r="F440" s="927"/>
      <c r="G440" s="927" t="s">
        <v>5739</v>
      </c>
      <c r="I440" s="927"/>
      <c r="J440" s="131"/>
      <c r="K440" s="927" t="s">
        <v>306</v>
      </c>
      <c r="M440" s="927" t="s">
        <v>306</v>
      </c>
      <c r="N440" s="927" t="s">
        <v>306</v>
      </c>
      <c r="O440" s="927" t="s">
        <v>306</v>
      </c>
      <c r="P440" s="927"/>
      <c r="Q440" s="927"/>
      <c r="R440" s="927"/>
      <c r="T440">
        <v>1440</v>
      </c>
      <c r="U440">
        <v>1440</v>
      </c>
      <c r="V440">
        <v>1200</v>
      </c>
      <c r="W440">
        <v>1080</v>
      </c>
      <c r="X440">
        <v>840</v>
      </c>
      <c r="Y440">
        <v>720</v>
      </c>
      <c r="Z440">
        <v>720</v>
      </c>
      <c r="AA440">
        <v>840</v>
      </c>
      <c r="AB440">
        <v>840</v>
      </c>
      <c r="AC440">
        <v>840</v>
      </c>
      <c r="AD440">
        <v>960</v>
      </c>
      <c r="AE440">
        <v>1200</v>
      </c>
      <c r="AF440" s="927"/>
      <c r="AG440" s="927"/>
      <c r="AH440" s="717"/>
      <c r="AK440" s="927"/>
      <c r="AO440" s="927"/>
      <c r="AP440" s="927"/>
      <c r="AQ440" s="927" t="s">
        <v>4996</v>
      </c>
    </row>
    <row r="441" spans="1:43">
      <c r="A441" s="927" t="s">
        <v>4997</v>
      </c>
      <c r="B441" s="927" t="s">
        <v>4998</v>
      </c>
      <c r="C441" s="927" t="s">
        <v>4999</v>
      </c>
      <c r="D441" s="927" t="s">
        <v>3613</v>
      </c>
      <c r="E441" s="717">
        <v>45697</v>
      </c>
      <c r="F441" s="927"/>
      <c r="G441" s="927" t="s">
        <v>5739</v>
      </c>
      <c r="H441" t="s">
        <v>5000</v>
      </c>
      <c r="I441" s="927"/>
      <c r="J441" s="131"/>
      <c r="K441" s="927" t="s">
        <v>306</v>
      </c>
      <c r="M441" s="927" t="s">
        <v>306</v>
      </c>
      <c r="N441" s="927" t="s">
        <v>306</v>
      </c>
      <c r="O441" s="927" t="s">
        <v>306</v>
      </c>
      <c r="P441" s="927"/>
      <c r="Q441" s="927"/>
      <c r="R441" s="927"/>
      <c r="T441">
        <v>562</v>
      </c>
      <c r="U441">
        <v>562</v>
      </c>
      <c r="V441">
        <v>468</v>
      </c>
      <c r="W441">
        <v>421</v>
      </c>
      <c r="X441">
        <v>328</v>
      </c>
      <c r="Y441">
        <v>281</v>
      </c>
      <c r="Z441">
        <v>281</v>
      </c>
      <c r="AA441">
        <v>328</v>
      </c>
      <c r="AB441">
        <v>328</v>
      </c>
      <c r="AC441">
        <v>328</v>
      </c>
      <c r="AD441">
        <v>374</v>
      </c>
      <c r="AE441">
        <v>468</v>
      </c>
      <c r="AF441" s="927"/>
      <c r="AG441" s="927" t="s">
        <v>1189</v>
      </c>
      <c r="AH441" s="717"/>
      <c r="AK441" s="927"/>
      <c r="AO441" s="927"/>
      <c r="AP441" s="927"/>
      <c r="AQ441" s="927" t="s">
        <v>5001</v>
      </c>
    </row>
    <row r="442" spans="1:43">
      <c r="A442" s="927" t="s">
        <v>5002</v>
      </c>
      <c r="B442" s="927" t="s">
        <v>5003</v>
      </c>
      <c r="C442" s="927" t="s">
        <v>5004</v>
      </c>
      <c r="D442" s="927" t="s">
        <v>3613</v>
      </c>
      <c r="E442" s="717">
        <v>45697</v>
      </c>
      <c r="F442" s="927"/>
      <c r="G442" s="927" t="s">
        <v>5739</v>
      </c>
      <c r="H442" t="s">
        <v>5005</v>
      </c>
      <c r="I442" s="927"/>
      <c r="J442" s="131"/>
      <c r="K442" s="927" t="s">
        <v>5006</v>
      </c>
      <c r="L442" t="s">
        <v>3858</v>
      </c>
      <c r="M442" s="927" t="s">
        <v>320</v>
      </c>
      <c r="N442" s="927" t="s">
        <v>5006</v>
      </c>
      <c r="O442" s="927" t="s">
        <v>5007</v>
      </c>
      <c r="P442" s="927" t="s">
        <v>322</v>
      </c>
      <c r="Q442" s="927"/>
      <c r="R442" s="927" t="s">
        <v>324</v>
      </c>
      <c r="T442">
        <v>893</v>
      </c>
      <c r="U442">
        <v>893</v>
      </c>
      <c r="V442">
        <v>744</v>
      </c>
      <c r="W442">
        <v>670</v>
      </c>
      <c r="X442">
        <v>521</v>
      </c>
      <c r="Y442">
        <v>446</v>
      </c>
      <c r="Z442">
        <v>446</v>
      </c>
      <c r="AA442">
        <v>521</v>
      </c>
      <c r="AB442">
        <v>521</v>
      </c>
      <c r="AC442">
        <v>521</v>
      </c>
      <c r="AD442">
        <v>595</v>
      </c>
      <c r="AE442">
        <v>744</v>
      </c>
      <c r="AF442" s="927"/>
      <c r="AG442" s="927" t="s">
        <v>1189</v>
      </c>
      <c r="AH442" s="717"/>
      <c r="AK442" s="927"/>
      <c r="AO442" s="927"/>
      <c r="AP442" s="927"/>
      <c r="AQ442" s="927" t="s">
        <v>5008</v>
      </c>
    </row>
    <row r="443" spans="1:43">
      <c r="A443" s="927" t="s">
        <v>5009</v>
      </c>
      <c r="B443" s="927" t="s">
        <v>5010</v>
      </c>
      <c r="C443" s="927" t="s">
        <v>5011</v>
      </c>
      <c r="D443" s="927" t="s">
        <v>3613</v>
      </c>
      <c r="E443" s="717">
        <v>45699</v>
      </c>
      <c r="F443" s="927"/>
      <c r="G443" s="927" t="s">
        <v>5739</v>
      </c>
      <c r="I443" s="927"/>
      <c r="J443" s="131"/>
      <c r="K443" s="927" t="s">
        <v>5012</v>
      </c>
      <c r="L443" t="s">
        <v>4931</v>
      </c>
      <c r="M443" s="927" t="s">
        <v>320</v>
      </c>
      <c r="N443" s="927" t="s">
        <v>1346</v>
      </c>
      <c r="O443" s="927" t="s">
        <v>3701</v>
      </c>
      <c r="P443" s="927" t="s">
        <v>322</v>
      </c>
      <c r="Q443" s="927"/>
      <c r="R443" s="927" t="s">
        <v>324</v>
      </c>
      <c r="T443">
        <v>3600</v>
      </c>
      <c r="U443">
        <v>3600</v>
      </c>
      <c r="V443">
        <v>3000</v>
      </c>
      <c r="W443">
        <v>2700</v>
      </c>
      <c r="X443">
        <v>2100</v>
      </c>
      <c r="Y443">
        <v>1800</v>
      </c>
      <c r="Z443">
        <v>1800</v>
      </c>
      <c r="AA443">
        <v>2100</v>
      </c>
      <c r="AB443">
        <v>2100</v>
      </c>
      <c r="AC443">
        <v>2100</v>
      </c>
      <c r="AD443">
        <v>2400</v>
      </c>
      <c r="AE443">
        <v>3000</v>
      </c>
      <c r="AF443" s="927"/>
      <c r="AG443" s="927" t="s">
        <v>1189</v>
      </c>
      <c r="AH443" s="717"/>
      <c r="AK443" s="927"/>
      <c r="AO443" s="927"/>
      <c r="AP443" s="927"/>
      <c r="AQ443" s="927" t="s">
        <v>5013</v>
      </c>
    </row>
    <row r="444" spans="1:43">
      <c r="A444" s="927" t="s">
        <v>5014</v>
      </c>
      <c r="B444" s="927" t="s">
        <v>5015</v>
      </c>
      <c r="C444" s="927" t="s">
        <v>5016</v>
      </c>
      <c r="D444" s="927" t="s">
        <v>3613</v>
      </c>
      <c r="E444" s="717">
        <v>45699</v>
      </c>
      <c r="F444" s="927"/>
      <c r="G444" s="927" t="s">
        <v>5739</v>
      </c>
      <c r="I444" s="927"/>
      <c r="J444" s="131"/>
      <c r="K444" s="927" t="s">
        <v>5017</v>
      </c>
      <c r="L444" t="s">
        <v>5018</v>
      </c>
      <c r="M444" s="927" t="s">
        <v>320</v>
      </c>
      <c r="N444" s="927" t="s">
        <v>1346</v>
      </c>
      <c r="O444" s="927" t="s">
        <v>82</v>
      </c>
      <c r="P444" s="927" t="s">
        <v>322</v>
      </c>
      <c r="Q444" s="927"/>
      <c r="R444" s="927" t="s">
        <v>324</v>
      </c>
      <c r="T444">
        <v>778</v>
      </c>
      <c r="U444">
        <v>778</v>
      </c>
      <c r="V444">
        <v>648</v>
      </c>
      <c r="W444">
        <v>583</v>
      </c>
      <c r="X444">
        <v>454</v>
      </c>
      <c r="Y444">
        <v>389</v>
      </c>
      <c r="Z444">
        <v>389</v>
      </c>
      <c r="AA444">
        <v>454</v>
      </c>
      <c r="AB444">
        <v>454</v>
      </c>
      <c r="AC444">
        <v>454</v>
      </c>
      <c r="AD444">
        <v>518</v>
      </c>
      <c r="AE444">
        <v>648</v>
      </c>
      <c r="AF444" s="927"/>
      <c r="AG444" s="927" t="s">
        <v>1189</v>
      </c>
      <c r="AH444" s="717"/>
      <c r="AK444" s="927"/>
      <c r="AO444" s="927"/>
      <c r="AP444" s="927"/>
      <c r="AQ444" s="927" t="s">
        <v>5019</v>
      </c>
    </row>
    <row r="445" spans="1:43">
      <c r="A445" s="927" t="s">
        <v>5020</v>
      </c>
      <c r="B445" s="927" t="s">
        <v>5021</v>
      </c>
      <c r="C445" s="927" t="s">
        <v>5022</v>
      </c>
      <c r="D445" s="927" t="s">
        <v>3613</v>
      </c>
      <c r="E445" s="717">
        <v>45688</v>
      </c>
      <c r="F445" s="927"/>
      <c r="G445" s="927"/>
      <c r="H445" t="s">
        <v>5023</v>
      </c>
      <c r="I445" s="927"/>
      <c r="J445" s="131"/>
      <c r="K445" s="927" t="s">
        <v>4862</v>
      </c>
      <c r="L445" t="s">
        <v>3858</v>
      </c>
      <c r="M445" s="927" t="s">
        <v>320</v>
      </c>
      <c r="N445" s="927" t="s">
        <v>4862</v>
      </c>
      <c r="O445" s="927" t="s">
        <v>3682</v>
      </c>
      <c r="P445" s="927" t="s">
        <v>322</v>
      </c>
      <c r="Q445" s="927"/>
      <c r="R445" s="927" t="s">
        <v>438</v>
      </c>
      <c r="T445">
        <v>419</v>
      </c>
      <c r="U445">
        <v>409</v>
      </c>
      <c r="V445">
        <v>407</v>
      </c>
      <c r="W445">
        <v>346</v>
      </c>
      <c r="X445">
        <v>405</v>
      </c>
      <c r="Y445">
        <v>392</v>
      </c>
      <c r="Z445">
        <v>431</v>
      </c>
      <c r="AA445">
        <v>445</v>
      </c>
      <c r="AB445">
        <v>392</v>
      </c>
      <c r="AC445">
        <v>418</v>
      </c>
      <c r="AD445">
        <v>418</v>
      </c>
      <c r="AE445">
        <v>425</v>
      </c>
      <c r="AF445" s="927"/>
      <c r="AG445" s="927" t="s">
        <v>1189</v>
      </c>
      <c r="AH445" s="717"/>
      <c r="AK445" s="927"/>
      <c r="AO445" s="927"/>
      <c r="AP445" s="927"/>
      <c r="AQ445" s="927" t="s">
        <v>5024</v>
      </c>
    </row>
    <row r="446" spans="1:43">
      <c r="A446" s="927" t="s">
        <v>5025</v>
      </c>
      <c r="B446" s="927" t="s">
        <v>5026</v>
      </c>
      <c r="C446" s="927" t="s">
        <v>5027</v>
      </c>
      <c r="D446" s="927" t="s">
        <v>3613</v>
      </c>
      <c r="E446" s="717">
        <v>45701</v>
      </c>
      <c r="F446" s="927"/>
      <c r="G446" s="927" t="s">
        <v>5739</v>
      </c>
      <c r="I446" s="927"/>
      <c r="J446" s="131"/>
      <c r="K446" s="927" t="s">
        <v>306</v>
      </c>
      <c r="M446" s="927" t="s">
        <v>306</v>
      </c>
      <c r="N446" s="927" t="s">
        <v>306</v>
      </c>
      <c r="O446" s="927" t="s">
        <v>306</v>
      </c>
      <c r="P446" s="927" t="s">
        <v>322</v>
      </c>
      <c r="Q446" s="927"/>
      <c r="R446" s="927"/>
      <c r="T446">
        <v>471</v>
      </c>
      <c r="U446">
        <v>356</v>
      </c>
      <c r="V446">
        <v>376</v>
      </c>
      <c r="W446">
        <v>332</v>
      </c>
      <c r="X446">
        <v>313</v>
      </c>
      <c r="Y446">
        <v>293</v>
      </c>
      <c r="Z446">
        <v>249</v>
      </c>
      <c r="AA446">
        <v>271</v>
      </c>
      <c r="AB446">
        <v>220</v>
      </c>
      <c r="AC446">
        <v>312</v>
      </c>
      <c r="AD446">
        <v>329</v>
      </c>
      <c r="AE446">
        <v>298</v>
      </c>
      <c r="AF446" s="927"/>
      <c r="AG446" s="927"/>
      <c r="AH446" s="717"/>
      <c r="AK446" s="927"/>
      <c r="AO446" s="927"/>
      <c r="AP446" s="927"/>
      <c r="AQ446" s="927" t="s">
        <v>5028</v>
      </c>
    </row>
    <row r="447" spans="1:43">
      <c r="A447" s="927" t="s">
        <v>5029</v>
      </c>
      <c r="B447" s="927" t="s">
        <v>5030</v>
      </c>
      <c r="C447" s="927" t="s">
        <v>5031</v>
      </c>
      <c r="D447" s="927" t="s">
        <v>3613</v>
      </c>
      <c r="E447" s="717">
        <v>45697</v>
      </c>
      <c r="F447" s="927"/>
      <c r="G447" s="927" t="s">
        <v>5739</v>
      </c>
      <c r="H447" t="s">
        <v>5032</v>
      </c>
      <c r="I447" s="927"/>
      <c r="J447" s="131"/>
      <c r="K447" s="927" t="s">
        <v>5033</v>
      </c>
      <c r="L447" t="s">
        <v>4884</v>
      </c>
      <c r="M447" s="927" t="s">
        <v>320</v>
      </c>
      <c r="N447" s="927" t="s">
        <v>5033</v>
      </c>
      <c r="O447" s="927" t="s">
        <v>5034</v>
      </c>
      <c r="P447" s="927" t="s">
        <v>322</v>
      </c>
      <c r="Q447" s="927"/>
      <c r="R447" s="927" t="s">
        <v>324</v>
      </c>
      <c r="T447">
        <v>562</v>
      </c>
      <c r="U447">
        <v>562</v>
      </c>
      <c r="V447">
        <v>468</v>
      </c>
      <c r="W447">
        <v>421</v>
      </c>
      <c r="X447">
        <v>328</v>
      </c>
      <c r="Y447">
        <v>281</v>
      </c>
      <c r="Z447">
        <v>281</v>
      </c>
      <c r="AA447">
        <v>328</v>
      </c>
      <c r="AB447">
        <v>328</v>
      </c>
      <c r="AC447">
        <v>328</v>
      </c>
      <c r="AD447">
        <v>374</v>
      </c>
      <c r="AE447">
        <v>468</v>
      </c>
      <c r="AF447" s="927"/>
      <c r="AG447" s="927" t="s">
        <v>1189</v>
      </c>
      <c r="AH447" s="717"/>
      <c r="AK447" s="927"/>
      <c r="AO447" s="927"/>
      <c r="AP447" s="927"/>
      <c r="AQ447" s="927" t="s">
        <v>5035</v>
      </c>
    </row>
    <row r="448" spans="1:43">
      <c r="A448" s="927" t="s">
        <v>5036</v>
      </c>
      <c r="B448" s="927" t="s">
        <v>5037</v>
      </c>
      <c r="C448" s="927" t="s">
        <v>5038</v>
      </c>
      <c r="D448" s="927" t="s">
        <v>3613</v>
      </c>
      <c r="E448" s="717">
        <v>45701</v>
      </c>
      <c r="F448" s="927"/>
      <c r="G448" s="927" t="s">
        <v>5739</v>
      </c>
      <c r="H448" t="s">
        <v>5039</v>
      </c>
      <c r="I448" s="927"/>
      <c r="J448" s="131"/>
      <c r="K448" s="927" t="s">
        <v>4930</v>
      </c>
      <c r="L448" t="s">
        <v>4931</v>
      </c>
      <c r="M448" s="927" t="s">
        <v>320</v>
      </c>
      <c r="N448" s="927" t="s">
        <v>1346</v>
      </c>
      <c r="O448" s="927" t="s">
        <v>4212</v>
      </c>
      <c r="P448" s="927" t="s">
        <v>322</v>
      </c>
      <c r="Q448" s="927"/>
      <c r="R448" s="927" t="s">
        <v>324</v>
      </c>
      <c r="T448">
        <v>463</v>
      </c>
      <c r="U448">
        <v>578</v>
      </c>
      <c r="V448">
        <v>100</v>
      </c>
      <c r="W448">
        <v>100</v>
      </c>
      <c r="X448">
        <v>202</v>
      </c>
      <c r="Y448">
        <v>212</v>
      </c>
      <c r="Z448">
        <v>261</v>
      </c>
      <c r="AA448">
        <v>333</v>
      </c>
      <c r="AB448">
        <v>326</v>
      </c>
      <c r="AC448">
        <v>356</v>
      </c>
      <c r="AD448">
        <v>425</v>
      </c>
      <c r="AE448">
        <v>485</v>
      </c>
      <c r="AF448" s="927"/>
      <c r="AG448" s="927" t="s">
        <v>1189</v>
      </c>
      <c r="AH448" s="717"/>
      <c r="AK448" s="927"/>
      <c r="AO448" s="927"/>
      <c r="AP448" s="927"/>
      <c r="AQ448" s="927" t="s">
        <v>5040</v>
      </c>
    </row>
    <row r="449" spans="1:43">
      <c r="A449" s="927" t="s">
        <v>5761</v>
      </c>
      <c r="B449" s="927" t="s">
        <v>5041</v>
      </c>
      <c r="C449" s="927" t="s">
        <v>5762</v>
      </c>
      <c r="D449" s="927" t="s">
        <v>1371</v>
      </c>
      <c r="E449" s="717">
        <v>45702</v>
      </c>
      <c r="F449" s="927"/>
      <c r="G449" s="927" t="s">
        <v>5739</v>
      </c>
      <c r="H449" t="s">
        <v>5042</v>
      </c>
      <c r="I449" s="927"/>
      <c r="J449" s="131">
        <v>34074</v>
      </c>
      <c r="K449" s="927" t="s">
        <v>5043</v>
      </c>
      <c r="L449" t="s">
        <v>5044</v>
      </c>
      <c r="M449" s="927" t="s">
        <v>320</v>
      </c>
      <c r="N449" s="927" t="s">
        <v>1346</v>
      </c>
      <c r="O449" s="927" t="s">
        <v>4388</v>
      </c>
      <c r="P449" s="927" t="s">
        <v>322</v>
      </c>
      <c r="Q449" s="927"/>
      <c r="R449" s="927" t="s">
        <v>324</v>
      </c>
      <c r="T449">
        <v>723</v>
      </c>
      <c r="U449">
        <v>950</v>
      </c>
      <c r="V449">
        <v>792</v>
      </c>
      <c r="W449">
        <v>713</v>
      </c>
      <c r="X449">
        <v>554</v>
      </c>
      <c r="Y449">
        <v>475</v>
      </c>
      <c r="Z449">
        <v>475</v>
      </c>
      <c r="AA449">
        <v>380</v>
      </c>
      <c r="AB449">
        <v>394</v>
      </c>
      <c r="AC449">
        <v>496</v>
      </c>
      <c r="AD449">
        <v>479</v>
      </c>
      <c r="AE449">
        <v>632</v>
      </c>
      <c r="AF449" s="927" t="s">
        <v>4067</v>
      </c>
      <c r="AG449" s="927" t="s">
        <v>1189</v>
      </c>
      <c r="AH449" s="717"/>
      <c r="AI449">
        <v>7.02</v>
      </c>
      <c r="AJ449">
        <v>20080</v>
      </c>
      <c r="AK449" s="927"/>
      <c r="AL449">
        <v>12</v>
      </c>
      <c r="AM449">
        <v>585</v>
      </c>
      <c r="AO449" s="927"/>
      <c r="AP449" s="927"/>
      <c r="AQ449" s="927" t="s">
        <v>5164</v>
      </c>
    </row>
    <row r="450" spans="1:43">
      <c r="A450" s="927" t="s">
        <v>5045</v>
      </c>
      <c r="B450" s="927" t="s">
        <v>5046</v>
      </c>
      <c r="C450" s="927" t="s">
        <v>5047</v>
      </c>
      <c r="D450" s="927" t="s">
        <v>3613</v>
      </c>
      <c r="E450" s="717">
        <v>45702</v>
      </c>
      <c r="F450" s="927"/>
      <c r="G450" s="927" t="s">
        <v>5739</v>
      </c>
      <c r="H450" t="s">
        <v>5048</v>
      </c>
      <c r="I450" s="927"/>
      <c r="J450" s="131"/>
      <c r="K450" s="927" t="s">
        <v>5049</v>
      </c>
      <c r="L450" t="s">
        <v>5050</v>
      </c>
      <c r="M450" s="927" t="s">
        <v>320</v>
      </c>
      <c r="N450" s="927" t="s">
        <v>5049</v>
      </c>
      <c r="O450" s="927" t="s">
        <v>5051</v>
      </c>
      <c r="P450" s="927" t="s">
        <v>379</v>
      </c>
      <c r="Q450" s="927"/>
      <c r="R450" s="927" t="s">
        <v>555</v>
      </c>
      <c r="T450">
        <v>576</v>
      </c>
      <c r="U450">
        <v>576</v>
      </c>
      <c r="V450">
        <v>480</v>
      </c>
      <c r="W450">
        <v>432</v>
      </c>
      <c r="X450">
        <v>336</v>
      </c>
      <c r="Y450">
        <v>288</v>
      </c>
      <c r="Z450">
        <v>288</v>
      </c>
      <c r="AA450">
        <v>336</v>
      </c>
      <c r="AB450">
        <v>336</v>
      </c>
      <c r="AC450">
        <v>336</v>
      </c>
      <c r="AD450">
        <v>384</v>
      </c>
      <c r="AE450">
        <v>480</v>
      </c>
      <c r="AF450" s="927"/>
      <c r="AG450" s="927" t="s">
        <v>1189</v>
      </c>
      <c r="AH450" s="717"/>
      <c r="AK450" s="927"/>
      <c r="AO450" s="927"/>
      <c r="AP450" s="927"/>
      <c r="AQ450" s="927" t="s">
        <v>5052</v>
      </c>
    </row>
    <row r="451" spans="1:43">
      <c r="A451" s="927" t="s">
        <v>5053</v>
      </c>
      <c r="B451" s="927" t="s">
        <v>5054</v>
      </c>
      <c r="C451" s="927" t="s">
        <v>5055</v>
      </c>
      <c r="D451" s="927" t="s">
        <v>3613</v>
      </c>
      <c r="E451" s="717">
        <v>45676</v>
      </c>
      <c r="F451" s="927"/>
      <c r="G451" s="927"/>
      <c r="H451" t="s">
        <v>5056</v>
      </c>
      <c r="I451" s="927"/>
      <c r="J451" s="131"/>
      <c r="K451" s="927" t="s">
        <v>306</v>
      </c>
      <c r="M451" s="927" t="s">
        <v>306</v>
      </c>
      <c r="N451" s="927" t="s">
        <v>306</v>
      </c>
      <c r="O451" s="927" t="s">
        <v>306</v>
      </c>
      <c r="P451" s="927"/>
      <c r="Q451" s="927"/>
      <c r="R451" s="927"/>
      <c r="T451">
        <v>3260</v>
      </c>
      <c r="U451">
        <v>3014</v>
      </c>
      <c r="V451">
        <v>2905</v>
      </c>
      <c r="W451">
        <v>2862</v>
      </c>
      <c r="X451">
        <v>2849</v>
      </c>
      <c r="Y451">
        <v>2687</v>
      </c>
      <c r="Z451">
        <v>2822</v>
      </c>
      <c r="AA451">
        <v>2838</v>
      </c>
      <c r="AB451">
        <v>2711</v>
      </c>
      <c r="AC451">
        <v>3044</v>
      </c>
      <c r="AD451">
        <v>2908</v>
      </c>
      <c r="AE451">
        <v>3083</v>
      </c>
      <c r="AF451" s="927"/>
      <c r="AG451" s="927" t="s">
        <v>1420</v>
      </c>
      <c r="AH451" s="717"/>
      <c r="AK451" s="927"/>
      <c r="AO451" s="927"/>
      <c r="AP451" s="927"/>
      <c r="AQ451" s="927" t="s">
        <v>5057</v>
      </c>
    </row>
    <row r="452" spans="1:43">
      <c r="A452" s="927" t="s">
        <v>5061</v>
      </c>
      <c r="B452" s="927" t="s">
        <v>5062</v>
      </c>
      <c r="C452" s="927" t="s">
        <v>5063</v>
      </c>
      <c r="D452" s="927" t="s">
        <v>3613</v>
      </c>
      <c r="E452" s="717">
        <v>45702</v>
      </c>
      <c r="F452" s="927"/>
      <c r="G452" s="927" t="s">
        <v>5739</v>
      </c>
      <c r="H452" t="s">
        <v>5064</v>
      </c>
      <c r="I452" s="927"/>
      <c r="J452" s="131"/>
      <c r="K452" s="927" t="s">
        <v>5065</v>
      </c>
      <c r="L452" t="s">
        <v>5066</v>
      </c>
      <c r="M452" s="927" t="s">
        <v>320</v>
      </c>
      <c r="N452" s="927" t="s">
        <v>4189</v>
      </c>
      <c r="O452" s="927" t="s">
        <v>5067</v>
      </c>
      <c r="P452" s="927" t="s">
        <v>322</v>
      </c>
      <c r="Q452" s="927"/>
      <c r="R452" s="927"/>
      <c r="T452">
        <v>662</v>
      </c>
      <c r="U452">
        <v>662</v>
      </c>
      <c r="V452">
        <v>552</v>
      </c>
      <c r="W452">
        <v>497</v>
      </c>
      <c r="X452">
        <v>386</v>
      </c>
      <c r="Y452">
        <v>331</v>
      </c>
      <c r="Z452">
        <v>331</v>
      </c>
      <c r="AA452">
        <v>386</v>
      </c>
      <c r="AB452">
        <v>386</v>
      </c>
      <c r="AC452">
        <v>386</v>
      </c>
      <c r="AD452">
        <v>442</v>
      </c>
      <c r="AE452">
        <v>552</v>
      </c>
      <c r="AF452" s="927"/>
      <c r="AG452" s="927"/>
      <c r="AH452" s="717"/>
      <c r="AK452" s="927"/>
      <c r="AO452" s="927"/>
      <c r="AP452" s="927"/>
      <c r="AQ452" s="927" t="s">
        <v>5068</v>
      </c>
    </row>
    <row r="453" spans="1:43">
      <c r="A453" s="927" t="s">
        <v>5069</v>
      </c>
      <c r="B453" s="927" t="s">
        <v>5070</v>
      </c>
      <c r="C453" s="927" t="s">
        <v>5071</v>
      </c>
      <c r="D453" s="927" t="s">
        <v>3613</v>
      </c>
      <c r="E453" s="717">
        <v>45706</v>
      </c>
      <c r="F453" s="927"/>
      <c r="G453" s="927" t="s">
        <v>5739</v>
      </c>
      <c r="H453" t="s">
        <v>5072</v>
      </c>
      <c r="I453" s="927"/>
      <c r="J453" s="131"/>
      <c r="K453" s="927" t="s">
        <v>5073</v>
      </c>
      <c r="L453" t="s">
        <v>5074</v>
      </c>
      <c r="M453" s="927" t="s">
        <v>3694</v>
      </c>
      <c r="N453" s="927" t="s">
        <v>5073</v>
      </c>
      <c r="O453" s="927" t="s">
        <v>3694</v>
      </c>
      <c r="P453" s="927" t="s">
        <v>322</v>
      </c>
      <c r="Q453" s="927"/>
      <c r="R453" s="927"/>
      <c r="T453">
        <v>2160</v>
      </c>
      <c r="U453">
        <v>2160</v>
      </c>
      <c r="V453">
        <v>1800</v>
      </c>
      <c r="W453">
        <v>1620</v>
      </c>
      <c r="X453">
        <v>1260</v>
      </c>
      <c r="Y453">
        <v>1080</v>
      </c>
      <c r="Z453">
        <v>1080</v>
      </c>
      <c r="AA453">
        <v>1260</v>
      </c>
      <c r="AB453">
        <v>1260</v>
      </c>
      <c r="AC453">
        <v>1260</v>
      </c>
      <c r="AD453">
        <v>1440</v>
      </c>
      <c r="AE453">
        <v>1800</v>
      </c>
      <c r="AF453" s="927"/>
      <c r="AG453" s="927"/>
      <c r="AH453" s="717"/>
      <c r="AK453" s="927"/>
      <c r="AO453" s="927"/>
      <c r="AP453" s="927"/>
      <c r="AQ453" s="927" t="s">
        <v>5075</v>
      </c>
    </row>
    <row r="454" spans="1:43">
      <c r="A454" s="927" t="s">
        <v>5076</v>
      </c>
      <c r="B454" s="927" t="s">
        <v>5077</v>
      </c>
      <c r="C454" s="927" t="s">
        <v>5078</v>
      </c>
      <c r="D454" s="927" t="s">
        <v>3613</v>
      </c>
      <c r="E454" s="717">
        <v>45706</v>
      </c>
      <c r="F454" s="927"/>
      <c r="G454" s="927" t="s">
        <v>5739</v>
      </c>
      <c r="I454" s="927"/>
      <c r="J454" s="131"/>
      <c r="K454" s="927" t="s">
        <v>5079</v>
      </c>
      <c r="L454" t="s">
        <v>3858</v>
      </c>
      <c r="M454" s="927" t="s">
        <v>320</v>
      </c>
      <c r="N454" s="927" t="s">
        <v>5079</v>
      </c>
      <c r="O454" s="927" t="s">
        <v>1516</v>
      </c>
      <c r="P454" s="927" t="s">
        <v>322</v>
      </c>
      <c r="Q454" s="927"/>
      <c r="R454" s="927"/>
      <c r="T454">
        <v>878</v>
      </c>
      <c r="U454">
        <v>878</v>
      </c>
      <c r="V454">
        <v>732</v>
      </c>
      <c r="W454">
        <v>659</v>
      </c>
      <c r="X454">
        <v>512</v>
      </c>
      <c r="Y454">
        <v>439</v>
      </c>
      <c r="Z454">
        <v>439</v>
      </c>
      <c r="AA454">
        <v>512</v>
      </c>
      <c r="AB454">
        <v>512</v>
      </c>
      <c r="AC454">
        <v>512</v>
      </c>
      <c r="AD454">
        <v>586</v>
      </c>
      <c r="AE454">
        <v>732</v>
      </c>
      <c r="AF454" s="927"/>
      <c r="AG454" s="927" t="s">
        <v>1189</v>
      </c>
      <c r="AH454" s="717"/>
      <c r="AK454" s="927"/>
      <c r="AO454" s="927"/>
      <c r="AP454" s="927"/>
      <c r="AQ454" s="927" t="s">
        <v>5080</v>
      </c>
    </row>
    <row r="455" spans="1:43">
      <c r="A455" s="927" t="s">
        <v>5081</v>
      </c>
      <c r="B455" s="927" t="s">
        <v>5082</v>
      </c>
      <c r="C455" s="927" t="s">
        <v>5083</v>
      </c>
      <c r="D455" s="927" t="s">
        <v>3613</v>
      </c>
      <c r="E455" s="717">
        <v>45706</v>
      </c>
      <c r="F455" s="927"/>
      <c r="G455" s="927" t="s">
        <v>5739</v>
      </c>
      <c r="I455" s="927"/>
      <c r="J455" s="131"/>
      <c r="K455" s="927" t="s">
        <v>5084</v>
      </c>
      <c r="L455" t="s">
        <v>5085</v>
      </c>
      <c r="M455" s="927" t="s">
        <v>320</v>
      </c>
      <c r="N455" s="927" t="s">
        <v>1346</v>
      </c>
      <c r="O455" s="927" t="s">
        <v>1347</v>
      </c>
      <c r="P455" s="927" t="s">
        <v>322</v>
      </c>
      <c r="Q455" s="927"/>
      <c r="R455" s="927" t="s">
        <v>324</v>
      </c>
      <c r="T455">
        <v>1040</v>
      </c>
      <c r="U455">
        <v>960</v>
      </c>
      <c r="V455">
        <v>1040</v>
      </c>
      <c r="W455">
        <v>720</v>
      </c>
      <c r="X455">
        <v>800</v>
      </c>
      <c r="Y455">
        <v>400</v>
      </c>
      <c r="Z455">
        <v>480</v>
      </c>
      <c r="AA455">
        <v>400</v>
      </c>
      <c r="AB455">
        <v>480</v>
      </c>
      <c r="AC455">
        <v>480</v>
      </c>
      <c r="AD455">
        <v>560</v>
      </c>
      <c r="AE455">
        <v>800</v>
      </c>
      <c r="AF455" s="927"/>
      <c r="AG455" s="927" t="s">
        <v>1189</v>
      </c>
      <c r="AH455" s="717"/>
      <c r="AK455" s="927"/>
      <c r="AO455" s="927"/>
      <c r="AP455" s="927"/>
      <c r="AQ455" s="927" t="s">
        <v>5086</v>
      </c>
    </row>
    <row r="456" spans="1:43">
      <c r="A456" s="927" t="s">
        <v>5088</v>
      </c>
      <c r="B456" s="927" t="s">
        <v>5089</v>
      </c>
      <c r="C456" s="927" t="s">
        <v>5087</v>
      </c>
      <c r="D456" s="927" t="s">
        <v>4020</v>
      </c>
      <c r="E456" s="717">
        <v>45681</v>
      </c>
      <c r="F456" s="927"/>
      <c r="G456" s="927" t="s">
        <v>5739</v>
      </c>
      <c r="I456" s="927"/>
      <c r="J456" s="131"/>
      <c r="K456" s="927" t="s">
        <v>4971</v>
      </c>
      <c r="L456" t="s">
        <v>4972</v>
      </c>
      <c r="M456" s="927" t="s">
        <v>320</v>
      </c>
      <c r="N456" s="927" t="s">
        <v>4973</v>
      </c>
      <c r="O456" s="927" t="s">
        <v>4974</v>
      </c>
      <c r="P456" s="927" t="s">
        <v>379</v>
      </c>
      <c r="Q456" s="927"/>
      <c r="R456" s="927" t="s">
        <v>555</v>
      </c>
      <c r="T456">
        <v>662</v>
      </c>
      <c r="U456">
        <v>662</v>
      </c>
      <c r="V456">
        <v>552</v>
      </c>
      <c r="W456">
        <v>497</v>
      </c>
      <c r="X456">
        <v>386</v>
      </c>
      <c r="Y456">
        <v>331</v>
      </c>
      <c r="Z456">
        <v>331</v>
      </c>
      <c r="AA456">
        <v>386</v>
      </c>
      <c r="AB456">
        <v>386</v>
      </c>
      <c r="AC456">
        <v>386</v>
      </c>
      <c r="AD456">
        <v>442</v>
      </c>
      <c r="AE456">
        <v>552</v>
      </c>
      <c r="AF456" s="927"/>
      <c r="AG456" s="927" t="s">
        <v>1189</v>
      </c>
      <c r="AH456" s="717"/>
      <c r="AK456" s="927"/>
      <c r="AO456" s="927"/>
      <c r="AP456" s="927"/>
      <c r="AQ456" s="927" t="s">
        <v>4975</v>
      </c>
    </row>
    <row r="457" spans="1:43">
      <c r="A457" s="927" t="s">
        <v>5095</v>
      </c>
      <c r="B457" s="927" t="s">
        <v>5092</v>
      </c>
      <c r="C457" s="927" t="s">
        <v>5096</v>
      </c>
      <c r="D457" s="927" t="s">
        <v>3613</v>
      </c>
      <c r="E457" s="717">
        <v>45707</v>
      </c>
      <c r="F457" s="927"/>
      <c r="G457" s="927" t="s">
        <v>5739</v>
      </c>
      <c r="H457" t="s">
        <v>5093</v>
      </c>
      <c r="I457" s="927"/>
      <c r="J457" s="131"/>
      <c r="K457" s="927" t="s">
        <v>3618</v>
      </c>
      <c r="L457" t="s">
        <v>3845</v>
      </c>
      <c r="M457" s="927" t="s">
        <v>320</v>
      </c>
      <c r="N457" s="927" t="s">
        <v>3655</v>
      </c>
      <c r="O457" s="927" t="s">
        <v>3656</v>
      </c>
      <c r="P457" s="927" t="s">
        <v>1815</v>
      </c>
      <c r="Q457" s="927"/>
      <c r="R457" s="927"/>
      <c r="T457">
        <v>1022</v>
      </c>
      <c r="U457">
        <v>1022</v>
      </c>
      <c r="V457">
        <v>852</v>
      </c>
      <c r="W457">
        <v>767</v>
      </c>
      <c r="X457">
        <v>596</v>
      </c>
      <c r="Y457">
        <v>511</v>
      </c>
      <c r="Z457">
        <v>511</v>
      </c>
      <c r="AA457">
        <v>596</v>
      </c>
      <c r="AB457">
        <v>596</v>
      </c>
      <c r="AC457">
        <v>596</v>
      </c>
      <c r="AD457">
        <v>682</v>
      </c>
      <c r="AE457">
        <v>852</v>
      </c>
      <c r="AF457" s="927"/>
      <c r="AG457" s="927" t="s">
        <v>1189</v>
      </c>
      <c r="AH457" s="717"/>
      <c r="AK457" s="927"/>
      <c r="AO457" s="927"/>
      <c r="AP457" s="927"/>
      <c r="AQ457" s="927" t="s">
        <v>5094</v>
      </c>
    </row>
    <row r="458" spans="1:43">
      <c r="A458" s="927" t="s">
        <v>5097</v>
      </c>
      <c r="B458" s="927" t="s">
        <v>5098</v>
      </c>
      <c r="C458" s="927" t="s">
        <v>5099</v>
      </c>
      <c r="D458" s="927" t="s">
        <v>4209</v>
      </c>
      <c r="E458" s="717">
        <v>45706</v>
      </c>
      <c r="F458" s="927"/>
      <c r="G458" s="927" t="s">
        <v>5739</v>
      </c>
      <c r="I458" s="927"/>
      <c r="J458" s="131"/>
      <c r="K458" s="927" t="s">
        <v>5100</v>
      </c>
      <c r="L458" t="s">
        <v>5101</v>
      </c>
      <c r="M458" s="927" t="s">
        <v>320</v>
      </c>
      <c r="N458" s="927" t="s">
        <v>1346</v>
      </c>
      <c r="O458" s="927" t="s">
        <v>5129</v>
      </c>
      <c r="P458" s="927" t="s">
        <v>322</v>
      </c>
      <c r="Q458" s="927"/>
      <c r="R458" s="927"/>
      <c r="T458">
        <v>17100</v>
      </c>
      <c r="U458">
        <v>17100</v>
      </c>
      <c r="V458">
        <v>16200</v>
      </c>
      <c r="W458">
        <v>14400</v>
      </c>
      <c r="X458">
        <v>13500</v>
      </c>
      <c r="Y458">
        <v>12600</v>
      </c>
      <c r="Z458">
        <v>13500</v>
      </c>
      <c r="AA458">
        <v>13500</v>
      </c>
      <c r="AB458">
        <v>14400</v>
      </c>
      <c r="AC458">
        <v>15300</v>
      </c>
      <c r="AD458">
        <v>16200</v>
      </c>
      <c r="AE458">
        <v>17100</v>
      </c>
      <c r="AF458" s="927" t="s">
        <v>1189</v>
      </c>
      <c r="AG458" s="927" t="s">
        <v>1420</v>
      </c>
      <c r="AH458" s="717"/>
      <c r="AK458" s="927"/>
      <c r="AO458" s="927"/>
      <c r="AP458" s="927"/>
      <c r="AQ458" s="927" t="s">
        <v>5102</v>
      </c>
    </row>
    <row r="459" spans="1:43">
      <c r="A459" s="927" t="s">
        <v>5130</v>
      </c>
      <c r="B459" s="927" t="s">
        <v>5131</v>
      </c>
      <c r="C459" s="927" t="s">
        <v>5132</v>
      </c>
      <c r="D459" s="927" t="s">
        <v>1371</v>
      </c>
      <c r="E459" s="717">
        <v>45709</v>
      </c>
      <c r="F459" s="927"/>
      <c r="G459" s="927"/>
      <c r="I459" s="927"/>
      <c r="J459" s="131"/>
      <c r="K459" s="927" t="s">
        <v>306</v>
      </c>
      <c r="M459" s="927" t="s">
        <v>306</v>
      </c>
      <c r="N459" s="927" t="s">
        <v>306</v>
      </c>
      <c r="O459" s="927" t="s">
        <v>306</v>
      </c>
      <c r="P459" s="927"/>
      <c r="Q459" s="927"/>
      <c r="R459" s="927"/>
      <c r="T459">
        <v>893</v>
      </c>
      <c r="U459">
        <v>893</v>
      </c>
      <c r="V459">
        <v>744</v>
      </c>
      <c r="W459">
        <v>670</v>
      </c>
      <c r="X459">
        <v>521</v>
      </c>
      <c r="Y459">
        <v>446</v>
      </c>
      <c r="Z459">
        <v>446</v>
      </c>
      <c r="AA459">
        <v>521</v>
      </c>
      <c r="AB459">
        <v>521</v>
      </c>
      <c r="AC459">
        <v>521</v>
      </c>
      <c r="AD459">
        <v>595</v>
      </c>
      <c r="AE459">
        <v>744</v>
      </c>
      <c r="AF459" s="927"/>
      <c r="AG459" s="927"/>
      <c r="AH459" s="717"/>
      <c r="AI459">
        <v>4.68</v>
      </c>
      <c r="AJ459">
        <v>14080</v>
      </c>
      <c r="AK459" s="927"/>
      <c r="AL459">
        <v>8</v>
      </c>
      <c r="AM459">
        <v>585</v>
      </c>
      <c r="AO459" s="927"/>
      <c r="AP459" s="927"/>
      <c r="AQ459" s="927" t="s">
        <v>5133</v>
      </c>
    </row>
    <row r="460" spans="1:43">
      <c r="A460" s="927" t="s">
        <v>5134</v>
      </c>
      <c r="B460" s="927" t="s">
        <v>5135</v>
      </c>
      <c r="C460" s="927" t="s">
        <v>5136</v>
      </c>
      <c r="D460" s="927" t="s">
        <v>3613</v>
      </c>
      <c r="E460" s="717">
        <v>45709</v>
      </c>
      <c r="F460" s="927"/>
      <c r="G460" s="927" t="s">
        <v>5739</v>
      </c>
      <c r="H460" t="s">
        <v>5137</v>
      </c>
      <c r="I460" s="927"/>
      <c r="J460" s="131"/>
      <c r="K460" s="927" t="s">
        <v>5138</v>
      </c>
      <c r="L460" t="s">
        <v>3858</v>
      </c>
      <c r="M460" s="927" t="s">
        <v>320</v>
      </c>
      <c r="N460" s="927" t="s">
        <v>5138</v>
      </c>
      <c r="O460" s="927" t="s">
        <v>3961</v>
      </c>
      <c r="P460" s="927" t="s">
        <v>322</v>
      </c>
      <c r="Q460" s="927"/>
      <c r="R460" s="927"/>
      <c r="T460">
        <v>562</v>
      </c>
      <c r="U460">
        <v>562</v>
      </c>
      <c r="V460">
        <v>468</v>
      </c>
      <c r="W460">
        <v>421</v>
      </c>
      <c r="X460">
        <v>328</v>
      </c>
      <c r="Y460">
        <v>281</v>
      </c>
      <c r="Z460">
        <v>281</v>
      </c>
      <c r="AA460">
        <v>328</v>
      </c>
      <c r="AB460">
        <v>328</v>
      </c>
      <c r="AC460">
        <v>328</v>
      </c>
      <c r="AD460">
        <v>374</v>
      </c>
      <c r="AE460">
        <v>468</v>
      </c>
      <c r="AF460" s="927"/>
      <c r="AG460" s="927"/>
      <c r="AH460" s="717"/>
      <c r="AK460" s="927"/>
      <c r="AO460" s="927"/>
      <c r="AP460" s="927"/>
      <c r="AQ460" s="927" t="s">
        <v>5139</v>
      </c>
    </row>
    <row r="461" spans="1:43">
      <c r="A461" s="927" t="s">
        <v>5140</v>
      </c>
      <c r="B461" s="927" t="s">
        <v>5141</v>
      </c>
      <c r="C461" s="927" t="s">
        <v>5142</v>
      </c>
      <c r="D461" s="927" t="s">
        <v>3613</v>
      </c>
      <c r="E461" s="717">
        <v>45708</v>
      </c>
      <c r="F461" s="927"/>
      <c r="G461" s="927" t="s">
        <v>5739</v>
      </c>
      <c r="H461" t="s">
        <v>5143</v>
      </c>
      <c r="I461" s="927"/>
      <c r="J461" s="131"/>
      <c r="K461" s="927" t="s">
        <v>5144</v>
      </c>
      <c r="L461" t="s">
        <v>3858</v>
      </c>
      <c r="M461" s="927" t="s">
        <v>320</v>
      </c>
      <c r="N461" s="927" t="s">
        <v>5144</v>
      </c>
      <c r="O461" s="927" t="s">
        <v>4117</v>
      </c>
      <c r="P461" s="927" t="s">
        <v>322</v>
      </c>
      <c r="Q461" s="927"/>
      <c r="R461" s="927"/>
      <c r="T461">
        <v>677</v>
      </c>
      <c r="U461">
        <v>677</v>
      </c>
      <c r="V461">
        <v>564</v>
      </c>
      <c r="W461">
        <v>508</v>
      </c>
      <c r="X461">
        <v>395</v>
      </c>
      <c r="Y461">
        <v>338</v>
      </c>
      <c r="Z461">
        <v>338</v>
      </c>
      <c r="AA461">
        <v>395</v>
      </c>
      <c r="AB461">
        <v>395</v>
      </c>
      <c r="AC461">
        <v>395</v>
      </c>
      <c r="AD461">
        <v>451</v>
      </c>
      <c r="AE461">
        <v>564</v>
      </c>
      <c r="AF461" s="927"/>
      <c r="AG461" s="927" t="s">
        <v>1189</v>
      </c>
      <c r="AH461" s="717"/>
      <c r="AK461" s="927"/>
      <c r="AO461" s="927"/>
      <c r="AP461" s="927"/>
      <c r="AQ461" s="927" t="s">
        <v>5145</v>
      </c>
    </row>
    <row r="462" spans="1:43">
      <c r="A462" s="927" t="s">
        <v>5188</v>
      </c>
      <c r="B462" s="927" t="s">
        <v>5146</v>
      </c>
      <c r="C462" s="927" t="s">
        <v>5189</v>
      </c>
      <c r="D462" s="927" t="s">
        <v>4209</v>
      </c>
      <c r="E462" s="717">
        <v>45712</v>
      </c>
      <c r="F462" s="927"/>
      <c r="G462" s="927" t="s">
        <v>5739</v>
      </c>
      <c r="H462" t="s">
        <v>5147</v>
      </c>
      <c r="I462" s="927"/>
      <c r="J462" s="131"/>
      <c r="K462" s="927" t="s">
        <v>5148</v>
      </c>
      <c r="L462" t="s">
        <v>5149</v>
      </c>
      <c r="M462" s="927" t="s">
        <v>320</v>
      </c>
      <c r="N462" s="927" t="s">
        <v>1346</v>
      </c>
      <c r="O462" s="927" t="s">
        <v>1516</v>
      </c>
      <c r="P462" s="927" t="s">
        <v>322</v>
      </c>
      <c r="Q462" s="927"/>
      <c r="R462" s="927" t="s">
        <v>324</v>
      </c>
      <c r="T462">
        <v>1152</v>
      </c>
      <c r="U462">
        <v>1152</v>
      </c>
      <c r="V462">
        <v>960</v>
      </c>
      <c r="W462">
        <v>864</v>
      </c>
      <c r="X462">
        <v>672</v>
      </c>
      <c r="Y462">
        <v>576</v>
      </c>
      <c r="Z462">
        <v>576</v>
      </c>
      <c r="AA462">
        <v>672</v>
      </c>
      <c r="AB462">
        <v>672</v>
      </c>
      <c r="AC462">
        <v>672</v>
      </c>
      <c r="AD462">
        <v>768</v>
      </c>
      <c r="AE462">
        <v>960</v>
      </c>
      <c r="AF462" s="927"/>
      <c r="AG462" s="927" t="s">
        <v>1189</v>
      </c>
      <c r="AH462" s="717"/>
      <c r="AI462">
        <v>8.19</v>
      </c>
      <c r="AJ462">
        <v>22240</v>
      </c>
      <c r="AK462" s="927"/>
      <c r="AL462">
        <v>14</v>
      </c>
      <c r="AM462">
        <v>585</v>
      </c>
      <c r="AO462" s="927"/>
      <c r="AP462" s="927"/>
      <c r="AQ462" s="927" t="s">
        <v>5190</v>
      </c>
    </row>
    <row r="463" spans="1:43">
      <c r="A463" s="927" t="s">
        <v>5150</v>
      </c>
      <c r="B463" s="927" t="s">
        <v>5151</v>
      </c>
      <c r="C463" s="927" t="s">
        <v>5152</v>
      </c>
      <c r="D463" s="927" t="s">
        <v>3613</v>
      </c>
      <c r="E463" s="717">
        <v>45712</v>
      </c>
      <c r="F463" s="927"/>
      <c r="G463" s="927" t="s">
        <v>5739</v>
      </c>
      <c r="H463" t="s">
        <v>5153</v>
      </c>
      <c r="I463" s="927"/>
      <c r="J463" s="131"/>
      <c r="K463" s="927" t="s">
        <v>5154</v>
      </c>
      <c r="L463" t="s">
        <v>3858</v>
      </c>
      <c r="M463" s="927" t="s">
        <v>320</v>
      </c>
      <c r="N463" s="927" t="s">
        <v>5154</v>
      </c>
      <c r="O463" s="927" t="s">
        <v>5155</v>
      </c>
      <c r="P463" s="927" t="s">
        <v>322</v>
      </c>
      <c r="Q463" s="927"/>
      <c r="R463" s="927"/>
      <c r="T463">
        <v>562</v>
      </c>
      <c r="U463">
        <v>562</v>
      </c>
      <c r="V463">
        <v>468</v>
      </c>
      <c r="W463">
        <v>421</v>
      </c>
      <c r="X463">
        <v>328</v>
      </c>
      <c r="Y463">
        <v>281</v>
      </c>
      <c r="Z463">
        <v>281</v>
      </c>
      <c r="AA463">
        <v>328</v>
      </c>
      <c r="AB463">
        <v>328</v>
      </c>
      <c r="AC463">
        <v>328</v>
      </c>
      <c r="AD463">
        <v>374</v>
      </c>
      <c r="AE463">
        <v>468</v>
      </c>
      <c r="AF463" s="927" t="s">
        <v>1189</v>
      </c>
      <c r="AG463" s="927" t="s">
        <v>1189</v>
      </c>
      <c r="AH463" s="717"/>
      <c r="AK463" s="927"/>
      <c r="AO463" s="927"/>
      <c r="AP463" s="927"/>
      <c r="AQ463" s="927" t="s">
        <v>5156</v>
      </c>
    </row>
    <row r="464" spans="1:43">
      <c r="A464" s="927" t="s">
        <v>5387</v>
      </c>
      <c r="B464" s="927" t="s">
        <v>5157</v>
      </c>
      <c r="C464" s="927" t="s">
        <v>5388</v>
      </c>
      <c r="D464" s="927" t="s">
        <v>1418</v>
      </c>
      <c r="E464" s="717">
        <v>45712</v>
      </c>
      <c r="F464" s="927"/>
      <c r="G464" s="927" t="s">
        <v>5739</v>
      </c>
      <c r="H464" t="s">
        <v>5158</v>
      </c>
      <c r="I464" s="927" t="s">
        <v>5625</v>
      </c>
      <c r="J464" s="131">
        <v>28940</v>
      </c>
      <c r="K464" s="927" t="s">
        <v>5159</v>
      </c>
      <c r="L464" t="s">
        <v>5160</v>
      </c>
      <c r="M464" s="927" t="s">
        <v>320</v>
      </c>
      <c r="N464" s="927" t="s">
        <v>1346</v>
      </c>
      <c r="O464" s="927" t="s">
        <v>3653</v>
      </c>
      <c r="P464" s="927" t="s">
        <v>322</v>
      </c>
      <c r="Q464" s="927"/>
      <c r="R464" s="927" t="s">
        <v>324</v>
      </c>
      <c r="T464">
        <v>1840</v>
      </c>
      <c r="U464">
        <v>2196</v>
      </c>
      <c r="V464">
        <v>1696</v>
      </c>
      <c r="W464">
        <v>1757</v>
      </c>
      <c r="X464">
        <v>1757</v>
      </c>
      <c r="Y464">
        <v>1514</v>
      </c>
      <c r="Z464">
        <v>1248</v>
      </c>
      <c r="AA464">
        <v>1477</v>
      </c>
      <c r="AB464">
        <v>1274</v>
      </c>
      <c r="AC464">
        <v>1768</v>
      </c>
      <c r="AD464">
        <v>1960</v>
      </c>
      <c r="AE464">
        <v>2007</v>
      </c>
      <c r="AF464" s="927" t="s">
        <v>1420</v>
      </c>
      <c r="AG464" s="927" t="s">
        <v>1189</v>
      </c>
      <c r="AH464" s="717"/>
      <c r="AI464">
        <v>20.74</v>
      </c>
      <c r="AJ464">
        <v>78500</v>
      </c>
      <c r="AK464" s="927"/>
      <c r="AL464">
        <v>34</v>
      </c>
      <c r="AM464">
        <v>610</v>
      </c>
      <c r="AO464" s="927"/>
      <c r="AP464" s="927"/>
      <c r="AQ464" s="927" t="s">
        <v>5626</v>
      </c>
    </row>
    <row r="465" spans="1:43">
      <c r="A465" s="927" t="s">
        <v>5165</v>
      </c>
      <c r="B465" s="927" t="s">
        <v>5166</v>
      </c>
      <c r="C465" s="927" t="s">
        <v>5167</v>
      </c>
      <c r="D465" s="927" t="s">
        <v>4209</v>
      </c>
      <c r="E465" s="717">
        <v>45580</v>
      </c>
      <c r="F465" s="927"/>
      <c r="G465" s="927" t="s">
        <v>5739</v>
      </c>
      <c r="I465" s="927"/>
      <c r="J465" s="131"/>
      <c r="K465" s="927" t="s">
        <v>5168</v>
      </c>
      <c r="L465" t="s">
        <v>5169</v>
      </c>
      <c r="M465" s="927" t="s">
        <v>320</v>
      </c>
      <c r="N465" s="927" t="s">
        <v>1346</v>
      </c>
      <c r="O465" s="927" t="s">
        <v>3886</v>
      </c>
      <c r="P465" s="927" t="s">
        <v>322</v>
      </c>
      <c r="Q465" s="927"/>
      <c r="R465" s="927" t="s">
        <v>438</v>
      </c>
      <c r="T465">
        <v>517</v>
      </c>
      <c r="U465">
        <v>776</v>
      </c>
      <c r="V465">
        <v>485</v>
      </c>
      <c r="W465">
        <v>459</v>
      </c>
      <c r="X465">
        <v>530</v>
      </c>
      <c r="Y465">
        <v>491</v>
      </c>
      <c r="Z465">
        <v>477</v>
      </c>
      <c r="AA465">
        <v>538</v>
      </c>
      <c r="AB465">
        <v>494</v>
      </c>
      <c r="AC465">
        <v>551</v>
      </c>
      <c r="AD465">
        <v>485</v>
      </c>
      <c r="AE465">
        <v>516</v>
      </c>
      <c r="AF465" s="927" t="s">
        <v>1189</v>
      </c>
      <c r="AG465" s="927" t="s">
        <v>1189</v>
      </c>
      <c r="AH465" s="717"/>
      <c r="AK465" s="927"/>
      <c r="AO465" s="927"/>
      <c r="AP465" s="927"/>
      <c r="AQ465" s="927" t="s">
        <v>5170</v>
      </c>
    </row>
    <row r="466" spans="1:43">
      <c r="A466" s="927" t="s">
        <v>5182</v>
      </c>
      <c r="B466" s="927" t="s">
        <v>5183</v>
      </c>
      <c r="C466" s="927" t="s">
        <v>5184</v>
      </c>
      <c r="D466" s="927" t="s">
        <v>3613</v>
      </c>
      <c r="E466" s="717">
        <v>45719</v>
      </c>
      <c r="F466" s="927"/>
      <c r="G466" s="927"/>
      <c r="I466" s="927"/>
      <c r="J466" s="131"/>
      <c r="K466" s="927" t="s">
        <v>4986</v>
      </c>
      <c r="L466" t="s">
        <v>3858</v>
      </c>
      <c r="M466" s="927" t="s">
        <v>320</v>
      </c>
      <c r="N466" s="927" t="s">
        <v>4986</v>
      </c>
      <c r="O466" s="927" t="s">
        <v>3895</v>
      </c>
      <c r="P466" s="927" t="s">
        <v>322</v>
      </c>
      <c r="Q466" s="927"/>
      <c r="R466" s="927" t="s">
        <v>324</v>
      </c>
      <c r="T466">
        <v>715</v>
      </c>
      <c r="U466">
        <v>741</v>
      </c>
      <c r="V466">
        <v>716</v>
      </c>
      <c r="W466">
        <v>571</v>
      </c>
      <c r="X466">
        <v>407</v>
      </c>
      <c r="Y466">
        <v>481</v>
      </c>
      <c r="Z466">
        <v>540</v>
      </c>
      <c r="AA466">
        <v>414</v>
      </c>
      <c r="AB466">
        <v>446</v>
      </c>
      <c r="AC466">
        <v>633</v>
      </c>
      <c r="AD466">
        <v>473</v>
      </c>
      <c r="AE466">
        <v>624</v>
      </c>
      <c r="AF466" s="927"/>
      <c r="AG466" s="927" t="s">
        <v>1189</v>
      </c>
      <c r="AH466" s="717"/>
      <c r="AK466" s="927"/>
      <c r="AO466" s="927"/>
      <c r="AP466" s="927"/>
      <c r="AQ466" s="927" t="s">
        <v>5185</v>
      </c>
    </row>
    <row r="467" spans="1:43">
      <c r="A467" s="927" t="s">
        <v>5191</v>
      </c>
      <c r="B467" s="927" t="s">
        <v>5192</v>
      </c>
      <c r="C467" s="927" t="s">
        <v>5193</v>
      </c>
      <c r="D467" s="927" t="s">
        <v>3613</v>
      </c>
      <c r="E467" s="717">
        <v>45711</v>
      </c>
      <c r="F467" s="927"/>
      <c r="G467" s="927" t="s">
        <v>5739</v>
      </c>
      <c r="H467" t="s">
        <v>5194</v>
      </c>
      <c r="I467" s="927"/>
      <c r="J467" s="131"/>
      <c r="K467" s="927" t="s">
        <v>5195</v>
      </c>
      <c r="L467" t="s">
        <v>3858</v>
      </c>
      <c r="M467" s="927" t="s">
        <v>320</v>
      </c>
      <c r="N467" s="927" t="s">
        <v>5195</v>
      </c>
      <c r="O467" s="927" t="s">
        <v>5196</v>
      </c>
      <c r="P467" s="927" t="s">
        <v>322</v>
      </c>
      <c r="Q467" s="927"/>
      <c r="R467" s="927" t="s">
        <v>324</v>
      </c>
      <c r="T467">
        <v>441</v>
      </c>
      <c r="U467">
        <v>587</v>
      </c>
      <c r="V467">
        <v>617</v>
      </c>
      <c r="W467">
        <v>495</v>
      </c>
      <c r="X467">
        <v>594</v>
      </c>
      <c r="Y467">
        <v>390</v>
      </c>
      <c r="Z467">
        <v>328</v>
      </c>
      <c r="AA467">
        <v>311</v>
      </c>
      <c r="AB467">
        <v>332</v>
      </c>
      <c r="AC467">
        <v>343</v>
      </c>
      <c r="AD467">
        <v>353</v>
      </c>
      <c r="AE467">
        <v>355</v>
      </c>
      <c r="AF467" s="927"/>
      <c r="AG467" s="927" t="s">
        <v>1189</v>
      </c>
      <c r="AH467" s="717"/>
      <c r="AK467" s="927"/>
      <c r="AO467" s="927"/>
      <c r="AP467" s="927"/>
      <c r="AQ467" s="927" t="s">
        <v>5197</v>
      </c>
    </row>
    <row r="468" spans="1:43">
      <c r="A468" s="927" t="s">
        <v>5198</v>
      </c>
      <c r="B468" s="927" t="s">
        <v>5199</v>
      </c>
      <c r="C468" s="927" t="s">
        <v>5200</v>
      </c>
      <c r="D468" s="927" t="s">
        <v>3613</v>
      </c>
      <c r="E468" s="717">
        <v>45718</v>
      </c>
      <c r="F468" s="927"/>
      <c r="G468" s="927" t="s">
        <v>5739</v>
      </c>
      <c r="H468" t="s">
        <v>5201</v>
      </c>
      <c r="I468" s="927"/>
      <c r="J468" s="131"/>
      <c r="K468" s="927" t="s">
        <v>306</v>
      </c>
      <c r="M468" s="927" t="s">
        <v>306</v>
      </c>
      <c r="N468" s="927" t="s">
        <v>306</v>
      </c>
      <c r="O468" s="927" t="s">
        <v>306</v>
      </c>
      <c r="P468" s="927" t="s">
        <v>322</v>
      </c>
      <c r="Q468" s="927"/>
      <c r="R468" s="927"/>
      <c r="T468">
        <v>1138</v>
      </c>
      <c r="U468">
        <v>1138</v>
      </c>
      <c r="V468">
        <v>948</v>
      </c>
      <c r="W468">
        <v>853</v>
      </c>
      <c r="X468">
        <v>664</v>
      </c>
      <c r="Y468">
        <v>569</v>
      </c>
      <c r="Z468">
        <v>569</v>
      </c>
      <c r="AA468">
        <v>664</v>
      </c>
      <c r="AB468">
        <v>664</v>
      </c>
      <c r="AC468">
        <v>664</v>
      </c>
      <c r="AD468">
        <v>758</v>
      </c>
      <c r="AE468">
        <v>948</v>
      </c>
      <c r="AF468" s="927"/>
      <c r="AG468" s="927" t="s">
        <v>1189</v>
      </c>
      <c r="AH468" s="717"/>
      <c r="AK468" s="927"/>
      <c r="AO468" s="927"/>
      <c r="AP468" s="927"/>
      <c r="AQ468" s="927" t="s">
        <v>5202</v>
      </c>
    </row>
    <row r="469" spans="1:43">
      <c r="A469" s="927" t="s">
        <v>5203</v>
      </c>
      <c r="B469" s="927" t="s">
        <v>5204</v>
      </c>
      <c r="C469" s="927" t="s">
        <v>5205</v>
      </c>
      <c r="D469" s="927" t="s">
        <v>3613</v>
      </c>
      <c r="E469" s="717">
        <v>45721</v>
      </c>
      <c r="F469" s="927"/>
      <c r="G469" s="927" t="s">
        <v>5739</v>
      </c>
      <c r="H469" t="s">
        <v>5206</v>
      </c>
      <c r="I469" s="927"/>
      <c r="J469" s="131"/>
      <c r="K469" s="927" t="s">
        <v>4949</v>
      </c>
      <c r="L469" t="s">
        <v>3858</v>
      </c>
      <c r="M469" s="927" t="s">
        <v>320</v>
      </c>
      <c r="N469" s="927" t="s">
        <v>4949</v>
      </c>
      <c r="O469" s="927" t="s">
        <v>3653</v>
      </c>
      <c r="P469" s="927" t="s">
        <v>322</v>
      </c>
      <c r="Q469" s="927"/>
      <c r="R469" s="927"/>
      <c r="T469">
        <v>662</v>
      </c>
      <c r="U469">
        <v>662</v>
      </c>
      <c r="V469">
        <v>552</v>
      </c>
      <c r="W469">
        <v>497</v>
      </c>
      <c r="X469">
        <v>386</v>
      </c>
      <c r="Y469">
        <v>331</v>
      </c>
      <c r="Z469">
        <v>331</v>
      </c>
      <c r="AA469">
        <v>386</v>
      </c>
      <c r="AB469">
        <v>386</v>
      </c>
      <c r="AC469">
        <v>386</v>
      </c>
      <c r="AD469">
        <v>442</v>
      </c>
      <c r="AE469">
        <v>552</v>
      </c>
      <c r="AF469" s="927"/>
      <c r="AG469" s="927" t="s">
        <v>1189</v>
      </c>
      <c r="AH469" s="717"/>
      <c r="AK469" s="927"/>
      <c r="AO469" s="927"/>
      <c r="AP469" s="927"/>
      <c r="AQ469" s="927" t="s">
        <v>5207</v>
      </c>
    </row>
    <row r="470" spans="1:43">
      <c r="A470" s="927" t="s">
        <v>5254</v>
      </c>
      <c r="B470" s="927" t="s">
        <v>5208</v>
      </c>
      <c r="C470" s="927" t="s">
        <v>5255</v>
      </c>
      <c r="D470" s="927" t="s">
        <v>1371</v>
      </c>
      <c r="E470" s="717">
        <v>45723</v>
      </c>
      <c r="F470" s="927"/>
      <c r="G470" s="927" t="s">
        <v>5739</v>
      </c>
      <c r="H470" t="s">
        <v>5209</v>
      </c>
      <c r="I470" s="927"/>
      <c r="J470" s="131">
        <v>22536</v>
      </c>
      <c r="K470" s="927" t="s">
        <v>5210</v>
      </c>
      <c r="L470" t="s">
        <v>5211</v>
      </c>
      <c r="M470" s="927" t="s">
        <v>320</v>
      </c>
      <c r="N470" s="927" t="s">
        <v>1346</v>
      </c>
      <c r="O470" s="927" t="s">
        <v>3653</v>
      </c>
      <c r="P470" s="927" t="s">
        <v>322</v>
      </c>
      <c r="Q470" s="927"/>
      <c r="R470" s="927" t="s">
        <v>555</v>
      </c>
      <c r="T470">
        <v>378</v>
      </c>
      <c r="U470">
        <v>389</v>
      </c>
      <c r="V470">
        <v>445</v>
      </c>
      <c r="W470">
        <v>393</v>
      </c>
      <c r="X470">
        <v>389</v>
      </c>
      <c r="Y470">
        <v>326</v>
      </c>
      <c r="Z470">
        <v>306</v>
      </c>
      <c r="AA470">
        <v>271</v>
      </c>
      <c r="AB470">
        <v>282</v>
      </c>
      <c r="AC470">
        <v>334</v>
      </c>
      <c r="AD470">
        <v>251</v>
      </c>
      <c r="AE470">
        <v>376</v>
      </c>
      <c r="AF470" s="927" t="s">
        <v>1189</v>
      </c>
      <c r="AG470" s="927" t="s">
        <v>1189</v>
      </c>
      <c r="AH470" s="717"/>
      <c r="AI470">
        <v>4.88</v>
      </c>
      <c r="AJ470">
        <v>15700</v>
      </c>
      <c r="AK470" s="927"/>
      <c r="AL470">
        <v>8</v>
      </c>
      <c r="AM470">
        <v>610</v>
      </c>
      <c r="AO470" s="927"/>
      <c r="AP470" s="927"/>
      <c r="AQ470" s="927" t="s">
        <v>5256</v>
      </c>
    </row>
    <row r="471" spans="1:43">
      <c r="A471" s="927" t="s">
        <v>5212</v>
      </c>
      <c r="B471" s="927" t="s">
        <v>5213</v>
      </c>
      <c r="C471" s="927" t="s">
        <v>5214</v>
      </c>
      <c r="D471" s="927" t="s">
        <v>3613</v>
      </c>
      <c r="E471" s="717">
        <v>45726</v>
      </c>
      <c r="F471" s="927"/>
      <c r="G471" s="927" t="s">
        <v>5739</v>
      </c>
      <c r="H471" t="s">
        <v>5215</v>
      </c>
      <c r="I471" s="927"/>
      <c r="J471" s="131"/>
      <c r="K471" s="927" t="s">
        <v>5216</v>
      </c>
      <c r="L471" t="s">
        <v>5217</v>
      </c>
      <c r="M471" s="927" t="s">
        <v>320</v>
      </c>
      <c r="N471" s="927" t="s">
        <v>1346</v>
      </c>
      <c r="O471" s="927" t="s">
        <v>5218</v>
      </c>
      <c r="P471" s="927" t="s">
        <v>322</v>
      </c>
      <c r="Q471" s="927"/>
      <c r="R471" s="927"/>
      <c r="T471">
        <v>1152</v>
      </c>
      <c r="U471">
        <v>1152</v>
      </c>
      <c r="V471">
        <v>960</v>
      </c>
      <c r="W471">
        <v>864</v>
      </c>
      <c r="X471">
        <v>672</v>
      </c>
      <c r="Y471">
        <v>576</v>
      </c>
      <c r="Z471">
        <v>576</v>
      </c>
      <c r="AA471">
        <v>672</v>
      </c>
      <c r="AB471">
        <v>672</v>
      </c>
      <c r="AC471">
        <v>672</v>
      </c>
      <c r="AD471">
        <v>768</v>
      </c>
      <c r="AE471">
        <v>960</v>
      </c>
      <c r="AF471" s="927"/>
      <c r="AG471" s="927"/>
      <c r="AH471" s="717"/>
      <c r="AK471" s="927"/>
      <c r="AO471" s="927"/>
      <c r="AP471" s="927"/>
      <c r="AQ471" s="927" t="s">
        <v>5219</v>
      </c>
    </row>
    <row r="472" spans="1:43">
      <c r="A472" s="927" t="s">
        <v>5221</v>
      </c>
      <c r="B472" s="927" t="s">
        <v>5222</v>
      </c>
      <c r="C472" s="927" t="s">
        <v>5223</v>
      </c>
      <c r="D472" s="927" t="s">
        <v>3613</v>
      </c>
      <c r="E472" s="717">
        <v>45724</v>
      </c>
      <c r="F472" s="927"/>
      <c r="G472" s="927" t="s">
        <v>5739</v>
      </c>
      <c r="H472" t="s">
        <v>5224</v>
      </c>
      <c r="I472" s="927"/>
      <c r="J472" s="131"/>
      <c r="K472" s="927" t="s">
        <v>5225</v>
      </c>
      <c r="L472" t="s">
        <v>5226</v>
      </c>
      <c r="M472" s="927" t="s">
        <v>320</v>
      </c>
      <c r="N472" s="927" t="s">
        <v>1346</v>
      </c>
      <c r="O472" s="927" t="s">
        <v>5227</v>
      </c>
      <c r="P472" s="927" t="s">
        <v>322</v>
      </c>
      <c r="Q472" s="927"/>
      <c r="R472" s="927"/>
      <c r="T472">
        <v>172</v>
      </c>
      <c r="U472">
        <v>519</v>
      </c>
      <c r="V472">
        <v>521</v>
      </c>
      <c r="W472">
        <v>294</v>
      </c>
      <c r="X472">
        <v>358</v>
      </c>
      <c r="Y472">
        <v>285</v>
      </c>
      <c r="Z472">
        <v>253</v>
      </c>
      <c r="AA472">
        <v>288</v>
      </c>
      <c r="AB472">
        <v>343</v>
      </c>
      <c r="AC472">
        <v>380</v>
      </c>
      <c r="AD472">
        <v>329</v>
      </c>
      <c r="AE472">
        <v>510</v>
      </c>
      <c r="AF472" s="927"/>
      <c r="AG472" s="927" t="s">
        <v>1189</v>
      </c>
      <c r="AH472" s="717"/>
      <c r="AK472" s="927"/>
      <c r="AO472" s="927"/>
      <c r="AP472" s="927"/>
      <c r="AQ472" s="927" t="s">
        <v>5228</v>
      </c>
    </row>
    <row r="473" spans="1:43">
      <c r="A473" s="927" t="s">
        <v>5229</v>
      </c>
      <c r="B473" s="927" t="s">
        <v>5230</v>
      </c>
      <c r="C473" s="927" t="s">
        <v>5231</v>
      </c>
      <c r="D473" s="927" t="s">
        <v>4301</v>
      </c>
      <c r="E473" s="717">
        <v>45726</v>
      </c>
      <c r="F473" s="927"/>
      <c r="G473" s="927"/>
      <c r="I473" s="927"/>
      <c r="J473" s="131"/>
      <c r="K473" s="927" t="s">
        <v>5232</v>
      </c>
      <c r="L473" t="s">
        <v>5233</v>
      </c>
      <c r="M473" s="927" t="s">
        <v>320</v>
      </c>
      <c r="N473" s="927" t="s">
        <v>1346</v>
      </c>
      <c r="O473" s="927" t="s">
        <v>3653</v>
      </c>
      <c r="P473" s="927" t="s">
        <v>322</v>
      </c>
      <c r="Q473" s="927"/>
      <c r="R473" s="927" t="s">
        <v>324</v>
      </c>
      <c r="T473">
        <v>557</v>
      </c>
      <c r="U473">
        <v>436</v>
      </c>
      <c r="V473">
        <v>409</v>
      </c>
      <c r="W473">
        <v>415</v>
      </c>
      <c r="X473">
        <v>468</v>
      </c>
      <c r="Y473">
        <v>488</v>
      </c>
      <c r="Z473">
        <v>684</v>
      </c>
      <c r="AA473">
        <v>569</v>
      </c>
      <c r="AB473">
        <v>557</v>
      </c>
      <c r="AC473">
        <v>686</v>
      </c>
      <c r="AD473">
        <v>696</v>
      </c>
      <c r="AE473">
        <v>715</v>
      </c>
      <c r="AF473" s="927" t="s">
        <v>1189</v>
      </c>
      <c r="AG473" s="927" t="s">
        <v>1189</v>
      </c>
      <c r="AH473" s="717"/>
      <c r="AK473" s="927"/>
      <c r="AO473" s="927"/>
      <c r="AP473" s="927"/>
      <c r="AQ473" s="927" t="s">
        <v>5234</v>
      </c>
    </row>
    <row r="474" spans="1:43">
      <c r="A474" s="927" t="s">
        <v>5235</v>
      </c>
      <c r="B474" s="927" t="s">
        <v>5236</v>
      </c>
      <c r="C474" s="927" t="s">
        <v>5237</v>
      </c>
      <c r="D474" s="927" t="s">
        <v>4301</v>
      </c>
      <c r="E474" s="717">
        <v>45728</v>
      </c>
      <c r="F474" s="927"/>
      <c r="G474" s="927"/>
      <c r="I474" s="927"/>
      <c r="J474" s="131"/>
      <c r="K474" s="927" t="s">
        <v>5238</v>
      </c>
      <c r="L474" t="s">
        <v>5239</v>
      </c>
      <c r="M474" s="927" t="s">
        <v>320</v>
      </c>
      <c r="N474" s="927" t="s">
        <v>1346</v>
      </c>
      <c r="O474" s="927" t="s">
        <v>82</v>
      </c>
      <c r="P474" s="927" t="s">
        <v>322</v>
      </c>
      <c r="Q474" s="927"/>
      <c r="R474" s="927" t="s">
        <v>324</v>
      </c>
      <c r="T474">
        <v>313</v>
      </c>
      <c r="U474">
        <v>377</v>
      </c>
      <c r="V474">
        <v>319</v>
      </c>
      <c r="W474">
        <v>424</v>
      </c>
      <c r="X474">
        <v>384</v>
      </c>
      <c r="Y474">
        <v>340</v>
      </c>
      <c r="Z474">
        <v>234</v>
      </c>
      <c r="AA474">
        <v>226</v>
      </c>
      <c r="AB474">
        <v>206</v>
      </c>
      <c r="AC474">
        <v>275</v>
      </c>
      <c r="AD474">
        <v>287</v>
      </c>
      <c r="AE474">
        <v>306</v>
      </c>
      <c r="AF474" s="927" t="s">
        <v>1189</v>
      </c>
      <c r="AG474" s="927" t="s">
        <v>1189</v>
      </c>
      <c r="AH474" s="717"/>
      <c r="AK474" s="927"/>
      <c r="AO474" s="927"/>
      <c r="AP474" s="927"/>
      <c r="AQ474" s="927" t="s">
        <v>5240</v>
      </c>
    </row>
    <row r="475" spans="1:43">
      <c r="A475" s="927" t="s">
        <v>5246</v>
      </c>
      <c r="B475" s="927" t="s">
        <v>5242</v>
      </c>
      <c r="C475" s="927" t="s">
        <v>5247</v>
      </c>
      <c r="D475" s="927" t="s">
        <v>3613</v>
      </c>
      <c r="E475" s="717">
        <v>45718</v>
      </c>
      <c r="F475" s="927"/>
      <c r="G475" s="927" t="s">
        <v>5739</v>
      </c>
      <c r="H475" t="s">
        <v>5248</v>
      </c>
      <c r="I475" s="927"/>
      <c r="J475" s="131"/>
      <c r="K475" s="927" t="s">
        <v>5243</v>
      </c>
      <c r="L475" t="s">
        <v>5244</v>
      </c>
      <c r="M475" s="927" t="s">
        <v>320</v>
      </c>
      <c r="N475" s="927" t="s">
        <v>1346</v>
      </c>
      <c r="O475" s="927" t="s">
        <v>3666</v>
      </c>
      <c r="P475" s="927" t="s">
        <v>322</v>
      </c>
      <c r="Q475" s="927"/>
      <c r="R475" s="927" t="s">
        <v>324</v>
      </c>
      <c r="T475">
        <v>100</v>
      </c>
      <c r="U475">
        <v>356</v>
      </c>
      <c r="V475">
        <v>189</v>
      </c>
      <c r="W475">
        <v>157</v>
      </c>
      <c r="X475">
        <v>296</v>
      </c>
      <c r="Y475">
        <v>100</v>
      </c>
      <c r="Z475">
        <v>164</v>
      </c>
      <c r="AA475">
        <v>167</v>
      </c>
      <c r="AB475">
        <v>149</v>
      </c>
      <c r="AC475">
        <v>159</v>
      </c>
      <c r="AD475">
        <v>166</v>
      </c>
      <c r="AE475">
        <v>140</v>
      </c>
      <c r="AF475" s="927"/>
      <c r="AG475" s="927" t="s">
        <v>1189</v>
      </c>
      <c r="AH475" s="717"/>
      <c r="AK475" s="927"/>
      <c r="AO475" s="927"/>
      <c r="AP475" s="927"/>
      <c r="AQ475" s="927" t="s">
        <v>5245</v>
      </c>
    </row>
    <row r="476" spans="1:43">
      <c r="A476" s="927" t="s">
        <v>5249</v>
      </c>
      <c r="B476" s="927" t="s">
        <v>5250</v>
      </c>
      <c r="C476" s="927" t="s">
        <v>5251</v>
      </c>
      <c r="D476" s="927" t="s">
        <v>3613</v>
      </c>
      <c r="E476" s="717">
        <v>45728</v>
      </c>
      <c r="F476" s="927"/>
      <c r="G476" s="927" t="s">
        <v>5739</v>
      </c>
      <c r="H476" t="s">
        <v>5252</v>
      </c>
      <c r="I476" s="927"/>
      <c r="J476" s="131"/>
      <c r="K476" s="927" t="s">
        <v>306</v>
      </c>
      <c r="M476" s="927" t="s">
        <v>306</v>
      </c>
      <c r="N476" s="927" t="s">
        <v>306</v>
      </c>
      <c r="O476" s="927" t="s">
        <v>306</v>
      </c>
      <c r="P476" s="927" t="s">
        <v>322</v>
      </c>
      <c r="Q476" s="927"/>
      <c r="R476" s="927"/>
      <c r="T476">
        <v>253</v>
      </c>
      <c r="U476">
        <v>415</v>
      </c>
      <c r="V476">
        <v>227</v>
      </c>
      <c r="W476">
        <v>194</v>
      </c>
      <c r="X476">
        <v>137</v>
      </c>
      <c r="Y476">
        <v>145</v>
      </c>
      <c r="Z476">
        <v>171</v>
      </c>
      <c r="AA476">
        <v>170</v>
      </c>
      <c r="AB476">
        <v>160</v>
      </c>
      <c r="AC476">
        <v>188</v>
      </c>
      <c r="AD476">
        <v>205</v>
      </c>
      <c r="AE476">
        <v>220</v>
      </c>
      <c r="AF476" s="927"/>
      <c r="AG476" s="927" t="s">
        <v>1189</v>
      </c>
      <c r="AH476" s="717"/>
      <c r="AK476" s="927"/>
      <c r="AO476" s="927"/>
      <c r="AP476" s="927"/>
      <c r="AQ476" s="927" t="s">
        <v>5253</v>
      </c>
    </row>
    <row r="477" spans="1:43">
      <c r="A477" s="927" t="s">
        <v>5257</v>
      </c>
      <c r="B477" s="927" t="s">
        <v>5258</v>
      </c>
      <c r="C477" s="927" t="s">
        <v>5259</v>
      </c>
      <c r="D477" s="927" t="s">
        <v>3613</v>
      </c>
      <c r="E477" s="717">
        <v>45714</v>
      </c>
      <c r="F477" s="927"/>
      <c r="G477" s="927" t="s">
        <v>5739</v>
      </c>
      <c r="H477" t="s">
        <v>5260</v>
      </c>
      <c r="I477" s="927"/>
      <c r="J477" s="131"/>
      <c r="K477" s="927" t="s">
        <v>5261</v>
      </c>
      <c r="L477" t="s">
        <v>5262</v>
      </c>
      <c r="M477" s="927" t="s">
        <v>320</v>
      </c>
      <c r="N477" s="927" t="s">
        <v>1346</v>
      </c>
      <c r="O477" s="927" t="s">
        <v>3961</v>
      </c>
      <c r="P477" s="927" t="s">
        <v>379</v>
      </c>
      <c r="Q477" s="927"/>
      <c r="R477" s="927" t="s">
        <v>324</v>
      </c>
      <c r="T477">
        <v>792</v>
      </c>
      <c r="U477">
        <v>792</v>
      </c>
      <c r="V477">
        <v>660</v>
      </c>
      <c r="W477">
        <v>594</v>
      </c>
      <c r="X477">
        <v>462</v>
      </c>
      <c r="Y477">
        <v>396</v>
      </c>
      <c r="Z477">
        <v>396</v>
      </c>
      <c r="AA477">
        <v>462</v>
      </c>
      <c r="AB477">
        <v>462</v>
      </c>
      <c r="AC477">
        <v>462</v>
      </c>
      <c r="AD477">
        <v>528</v>
      </c>
      <c r="AE477">
        <v>660</v>
      </c>
      <c r="AF477" s="927"/>
      <c r="AG477" s="927" t="s">
        <v>1189</v>
      </c>
      <c r="AH477" s="717"/>
      <c r="AK477" s="927"/>
      <c r="AO477" s="927"/>
      <c r="AP477" s="927"/>
      <c r="AQ477" s="927" t="s">
        <v>5263</v>
      </c>
    </row>
    <row r="478" spans="1:43">
      <c r="A478" s="927" t="s">
        <v>5300</v>
      </c>
      <c r="B478" s="927" t="s">
        <v>5264</v>
      </c>
      <c r="C478" s="927" t="s">
        <v>5301</v>
      </c>
      <c r="D478" s="927" t="s">
        <v>1371</v>
      </c>
      <c r="E478" s="717">
        <v>45730</v>
      </c>
      <c r="F478" s="927"/>
      <c r="G478" s="927" t="s">
        <v>5739</v>
      </c>
      <c r="H478" t="s">
        <v>5265</v>
      </c>
      <c r="I478" s="927"/>
      <c r="J478" s="131">
        <v>22618</v>
      </c>
      <c r="K478" s="927" t="s">
        <v>5266</v>
      </c>
      <c r="L478" t="s">
        <v>4438</v>
      </c>
      <c r="M478" s="927" t="s">
        <v>320</v>
      </c>
      <c r="N478" s="927" t="s">
        <v>1346</v>
      </c>
      <c r="O478" s="927" t="s">
        <v>2071</v>
      </c>
      <c r="P478" s="927" t="s">
        <v>322</v>
      </c>
      <c r="Q478" s="927"/>
      <c r="R478" s="927" t="s">
        <v>324</v>
      </c>
      <c r="T478">
        <v>254</v>
      </c>
      <c r="U478">
        <v>598</v>
      </c>
      <c r="V478">
        <v>558</v>
      </c>
      <c r="W478">
        <v>432</v>
      </c>
      <c r="X478">
        <v>405</v>
      </c>
      <c r="Y478">
        <v>274</v>
      </c>
      <c r="Z478">
        <v>103</v>
      </c>
      <c r="AA478">
        <v>100</v>
      </c>
      <c r="AB478">
        <v>100</v>
      </c>
      <c r="AC478">
        <v>100</v>
      </c>
      <c r="AD478">
        <v>100</v>
      </c>
      <c r="AE478">
        <v>211</v>
      </c>
      <c r="AF478" s="927" t="s">
        <v>1420</v>
      </c>
      <c r="AG478" s="927" t="s">
        <v>1189</v>
      </c>
      <c r="AH478" s="717"/>
      <c r="AI478">
        <v>4.68</v>
      </c>
      <c r="AJ478">
        <v>15000</v>
      </c>
      <c r="AK478" s="927"/>
      <c r="AL478">
        <v>8</v>
      </c>
      <c r="AM478">
        <v>585</v>
      </c>
      <c r="AO478" s="927"/>
      <c r="AP478" s="927"/>
      <c r="AQ478" s="927" t="s">
        <v>5302</v>
      </c>
    </row>
    <row r="479" spans="1:43">
      <c r="A479" s="927" t="s">
        <v>5267</v>
      </c>
      <c r="B479" s="927" t="s">
        <v>5268</v>
      </c>
      <c r="C479" s="927" t="s">
        <v>5269</v>
      </c>
      <c r="D479" s="927" t="s">
        <v>3613</v>
      </c>
      <c r="E479" s="717">
        <v>45650</v>
      </c>
      <c r="F479" s="927"/>
      <c r="G479" s="927" t="s">
        <v>5739</v>
      </c>
      <c r="H479" t="s">
        <v>5270</v>
      </c>
      <c r="I479" s="927"/>
      <c r="J479" s="131"/>
      <c r="K479" s="927" t="s">
        <v>4910</v>
      </c>
      <c r="L479" t="s">
        <v>3858</v>
      </c>
      <c r="M479" s="927" t="s">
        <v>320</v>
      </c>
      <c r="N479" s="927" t="s">
        <v>4910</v>
      </c>
      <c r="O479" s="927" t="s">
        <v>1511</v>
      </c>
      <c r="P479" s="927" t="s">
        <v>322</v>
      </c>
      <c r="Q479" s="927"/>
      <c r="R479" s="927"/>
      <c r="T479">
        <v>562</v>
      </c>
      <c r="U479">
        <v>562</v>
      </c>
      <c r="V479">
        <v>468</v>
      </c>
      <c r="W479">
        <v>421</v>
      </c>
      <c r="X479">
        <v>328</v>
      </c>
      <c r="Y479">
        <v>281</v>
      </c>
      <c r="Z479">
        <v>281</v>
      </c>
      <c r="AA479">
        <v>328</v>
      </c>
      <c r="AB479">
        <v>328</v>
      </c>
      <c r="AC479">
        <v>328</v>
      </c>
      <c r="AD479">
        <v>374</v>
      </c>
      <c r="AE479">
        <v>468</v>
      </c>
      <c r="AF479" s="927"/>
      <c r="AG479" s="927"/>
      <c r="AH479" s="717"/>
      <c r="AK479" s="927"/>
      <c r="AO479" s="927"/>
      <c r="AP479" s="927"/>
      <c r="AQ479" s="927" t="s">
        <v>5271</v>
      </c>
    </row>
    <row r="480" spans="1:43">
      <c r="A480" s="927" t="s">
        <v>5272</v>
      </c>
      <c r="B480" s="927" t="s">
        <v>5273</v>
      </c>
      <c r="C480" s="927" t="s">
        <v>5274</v>
      </c>
      <c r="D480" s="927" t="s">
        <v>3613</v>
      </c>
      <c r="E480" s="717">
        <v>45719</v>
      </c>
      <c r="F480" s="927"/>
      <c r="G480" s="927" t="s">
        <v>5739</v>
      </c>
      <c r="H480" t="s">
        <v>5275</v>
      </c>
      <c r="I480" s="927"/>
      <c r="J480" s="131"/>
      <c r="K480" s="927" t="s">
        <v>306</v>
      </c>
      <c r="M480" s="927" t="s">
        <v>306</v>
      </c>
      <c r="N480" s="927" t="s">
        <v>306</v>
      </c>
      <c r="O480" s="927" t="s">
        <v>306</v>
      </c>
      <c r="P480" s="927" t="s">
        <v>322</v>
      </c>
      <c r="Q480" s="927"/>
      <c r="R480" s="927"/>
      <c r="T480">
        <v>792</v>
      </c>
      <c r="U480">
        <v>792</v>
      </c>
      <c r="V480">
        <v>660</v>
      </c>
      <c r="W480">
        <v>594</v>
      </c>
      <c r="X480">
        <v>462</v>
      </c>
      <c r="Y480">
        <v>396</v>
      </c>
      <c r="Z480">
        <v>396</v>
      </c>
      <c r="AA480">
        <v>462</v>
      </c>
      <c r="AB480">
        <v>462</v>
      </c>
      <c r="AC480">
        <v>462</v>
      </c>
      <c r="AD480">
        <v>528</v>
      </c>
      <c r="AE480">
        <v>660</v>
      </c>
      <c r="AF480" s="927"/>
      <c r="AG480" s="927" t="s">
        <v>1189</v>
      </c>
      <c r="AH480" s="717"/>
      <c r="AK480" s="927"/>
      <c r="AO480" s="927"/>
      <c r="AP480" s="927"/>
      <c r="AQ480" s="927" t="s">
        <v>5276</v>
      </c>
    </row>
    <row r="481" spans="1:43">
      <c r="A481" s="927" t="s">
        <v>5277</v>
      </c>
      <c r="B481" s="927" t="s">
        <v>5278</v>
      </c>
      <c r="C481" s="927" t="s">
        <v>5279</v>
      </c>
      <c r="D481" s="927" t="s">
        <v>3613</v>
      </c>
      <c r="E481" s="717">
        <v>45728</v>
      </c>
      <c r="F481" s="927"/>
      <c r="G481" s="927" t="s">
        <v>5739</v>
      </c>
      <c r="H481" t="s">
        <v>5280</v>
      </c>
      <c r="I481" s="927"/>
      <c r="J481" s="131"/>
      <c r="K481" s="927" t="s">
        <v>306</v>
      </c>
      <c r="M481" s="927" t="s">
        <v>306</v>
      </c>
      <c r="N481" s="927" t="s">
        <v>306</v>
      </c>
      <c r="O481" s="927" t="s">
        <v>306</v>
      </c>
      <c r="P481" s="927" t="s">
        <v>322</v>
      </c>
      <c r="Q481" s="927"/>
      <c r="R481" s="927"/>
      <c r="T481">
        <v>562</v>
      </c>
      <c r="U481">
        <v>562</v>
      </c>
      <c r="V481">
        <v>468</v>
      </c>
      <c r="W481">
        <v>421</v>
      </c>
      <c r="X481">
        <v>328</v>
      </c>
      <c r="Y481">
        <v>281</v>
      </c>
      <c r="Z481">
        <v>281</v>
      </c>
      <c r="AA481">
        <v>328</v>
      </c>
      <c r="AB481">
        <v>328</v>
      </c>
      <c r="AC481">
        <v>328</v>
      </c>
      <c r="AD481">
        <v>374</v>
      </c>
      <c r="AE481">
        <v>468</v>
      </c>
      <c r="AF481" s="927"/>
      <c r="AG481" s="927" t="s">
        <v>1189</v>
      </c>
      <c r="AH481" s="717"/>
      <c r="AK481" s="927"/>
      <c r="AO481" s="927"/>
      <c r="AP481" s="927"/>
      <c r="AQ481" s="927" t="s">
        <v>5281</v>
      </c>
    </row>
    <row r="482" spans="1:43">
      <c r="A482" s="927" t="s">
        <v>5283</v>
      </c>
      <c r="B482" s="927" t="s">
        <v>5284</v>
      </c>
      <c r="C482" s="927" t="s">
        <v>5285</v>
      </c>
      <c r="D482" s="927" t="s">
        <v>3613</v>
      </c>
      <c r="E482" s="717">
        <v>45704</v>
      </c>
      <c r="F482" s="927"/>
      <c r="G482" s="927" t="s">
        <v>5739</v>
      </c>
      <c r="H482" t="s">
        <v>5286</v>
      </c>
      <c r="I482" s="927"/>
      <c r="J482" s="131"/>
      <c r="K482" s="927" t="s">
        <v>306</v>
      </c>
      <c r="M482" s="927" t="s">
        <v>306</v>
      </c>
      <c r="N482" s="927" t="s">
        <v>306</v>
      </c>
      <c r="O482" s="927" t="s">
        <v>306</v>
      </c>
      <c r="P482" s="927" t="s">
        <v>322</v>
      </c>
      <c r="Q482" s="927"/>
      <c r="R482" s="927"/>
      <c r="T482">
        <v>628</v>
      </c>
      <c r="U482">
        <v>628</v>
      </c>
      <c r="V482">
        <v>523</v>
      </c>
      <c r="W482">
        <v>471</v>
      </c>
      <c r="X482">
        <v>366</v>
      </c>
      <c r="Y482">
        <v>314</v>
      </c>
      <c r="Z482">
        <v>314</v>
      </c>
      <c r="AA482">
        <v>366</v>
      </c>
      <c r="AB482">
        <v>366</v>
      </c>
      <c r="AC482">
        <v>366</v>
      </c>
      <c r="AD482">
        <v>419</v>
      </c>
      <c r="AE482">
        <v>523</v>
      </c>
      <c r="AF482" s="927"/>
      <c r="AG482" s="927" t="s">
        <v>1189</v>
      </c>
      <c r="AH482" s="717"/>
      <c r="AK482" s="927"/>
      <c r="AO482" s="927"/>
      <c r="AP482" s="927"/>
      <c r="AQ482" s="927" t="s">
        <v>5287</v>
      </c>
    </row>
    <row r="483" spans="1:43">
      <c r="A483" s="927" t="s">
        <v>5288</v>
      </c>
      <c r="B483" s="927" t="s">
        <v>5289</v>
      </c>
      <c r="C483" s="927" t="s">
        <v>5290</v>
      </c>
      <c r="D483" s="927" t="s">
        <v>3613</v>
      </c>
      <c r="E483" s="717">
        <v>45733</v>
      </c>
      <c r="F483" s="927"/>
      <c r="G483" s="927"/>
      <c r="I483" s="927"/>
      <c r="J483" s="131"/>
      <c r="K483" s="927" t="s">
        <v>306</v>
      </c>
      <c r="M483" s="927" t="s">
        <v>306</v>
      </c>
      <c r="N483" s="927" t="s">
        <v>306</v>
      </c>
      <c r="O483" s="927" t="s">
        <v>306</v>
      </c>
      <c r="P483" s="927"/>
      <c r="Q483" s="927"/>
      <c r="R483" s="927"/>
      <c r="T483">
        <v>562</v>
      </c>
      <c r="U483">
        <v>562</v>
      </c>
      <c r="V483">
        <v>468</v>
      </c>
      <c r="W483">
        <v>421</v>
      </c>
      <c r="X483">
        <v>328</v>
      </c>
      <c r="Y483">
        <v>281</v>
      </c>
      <c r="Z483">
        <v>281</v>
      </c>
      <c r="AA483">
        <v>328</v>
      </c>
      <c r="AB483">
        <v>328</v>
      </c>
      <c r="AC483">
        <v>328</v>
      </c>
      <c r="AD483">
        <v>374</v>
      </c>
      <c r="AE483">
        <v>468</v>
      </c>
      <c r="AF483" s="927"/>
      <c r="AG483" s="927"/>
      <c r="AH483" s="717"/>
      <c r="AK483" s="927"/>
      <c r="AO483" s="927"/>
      <c r="AP483" s="927"/>
      <c r="AQ483" s="927" t="s">
        <v>5291</v>
      </c>
    </row>
    <row r="484" spans="1:43">
      <c r="A484" s="927" t="s">
        <v>5292</v>
      </c>
      <c r="B484" s="927" t="s">
        <v>5293</v>
      </c>
      <c r="C484" s="927" t="s">
        <v>5294</v>
      </c>
      <c r="D484" s="927" t="s">
        <v>3613</v>
      </c>
      <c r="E484" s="717">
        <v>45732</v>
      </c>
      <c r="F484" s="927"/>
      <c r="G484" s="927" t="s">
        <v>5739</v>
      </c>
      <c r="H484" t="s">
        <v>5295</v>
      </c>
      <c r="I484" s="927"/>
      <c r="J484" s="131"/>
      <c r="K484" s="927" t="s">
        <v>5296</v>
      </c>
      <c r="L484" t="s">
        <v>3858</v>
      </c>
      <c r="M484" s="927" t="s">
        <v>320</v>
      </c>
      <c r="N484" s="927" t="s">
        <v>5296</v>
      </c>
      <c r="O484" s="927" t="s">
        <v>4289</v>
      </c>
      <c r="P484" s="927" t="s">
        <v>322</v>
      </c>
      <c r="Q484" s="927"/>
      <c r="R484" s="927"/>
      <c r="T484">
        <v>778</v>
      </c>
      <c r="U484">
        <v>778</v>
      </c>
      <c r="V484">
        <v>648</v>
      </c>
      <c r="W484">
        <v>583</v>
      </c>
      <c r="X484">
        <v>454</v>
      </c>
      <c r="Y484">
        <v>389</v>
      </c>
      <c r="Z484">
        <v>389</v>
      </c>
      <c r="AA484">
        <v>454</v>
      </c>
      <c r="AB484">
        <v>454</v>
      </c>
      <c r="AC484">
        <v>454</v>
      </c>
      <c r="AD484">
        <v>518</v>
      </c>
      <c r="AE484">
        <v>648</v>
      </c>
      <c r="AF484" s="927"/>
      <c r="AG484" s="927" t="s">
        <v>1189</v>
      </c>
      <c r="AH484" s="717"/>
      <c r="AK484" s="927"/>
      <c r="AO484" s="927"/>
      <c r="AP484" s="927"/>
      <c r="AQ484" s="927" t="s">
        <v>5297</v>
      </c>
    </row>
    <row r="485" spans="1:43">
      <c r="A485" s="927" t="s">
        <v>5763</v>
      </c>
      <c r="B485" s="927" t="s">
        <v>5298</v>
      </c>
      <c r="C485" s="927" t="s">
        <v>5764</v>
      </c>
      <c r="D485" s="927" t="s">
        <v>1371</v>
      </c>
      <c r="E485" s="717">
        <v>45718</v>
      </c>
      <c r="F485" s="927"/>
      <c r="G485" s="927" t="s">
        <v>7544</v>
      </c>
      <c r="H485" t="s">
        <v>5299</v>
      </c>
      <c r="I485" s="927" t="s">
        <v>7545</v>
      </c>
      <c r="J485" s="131"/>
      <c r="K485" s="927" t="s">
        <v>5303</v>
      </c>
      <c r="L485" t="s">
        <v>5304</v>
      </c>
      <c r="M485" s="927" t="s">
        <v>320</v>
      </c>
      <c r="N485" s="927" t="s">
        <v>1346</v>
      </c>
      <c r="O485" s="927" t="s">
        <v>4212</v>
      </c>
      <c r="P485" s="927" t="s">
        <v>322</v>
      </c>
      <c r="Q485" s="927" t="s">
        <v>323</v>
      </c>
      <c r="R485" s="927" t="s">
        <v>324</v>
      </c>
      <c r="S485">
        <v>3940833333333330</v>
      </c>
      <c r="T485">
        <v>562</v>
      </c>
      <c r="U485">
        <v>562</v>
      </c>
      <c r="V485">
        <v>468</v>
      </c>
      <c r="W485">
        <v>421</v>
      </c>
      <c r="X485">
        <v>328</v>
      </c>
      <c r="Y485">
        <v>281</v>
      </c>
      <c r="Z485">
        <v>281</v>
      </c>
      <c r="AA485">
        <v>328</v>
      </c>
      <c r="AB485">
        <v>328</v>
      </c>
      <c r="AC485">
        <v>328</v>
      </c>
      <c r="AD485">
        <v>374</v>
      </c>
      <c r="AE485">
        <v>468</v>
      </c>
      <c r="AF485" s="927"/>
      <c r="AG485" s="927" t="s">
        <v>963</v>
      </c>
      <c r="AH485" s="717"/>
      <c r="AI485">
        <v>468</v>
      </c>
      <c r="AK485" s="927"/>
      <c r="AL485">
        <v>8</v>
      </c>
      <c r="AM485">
        <v>585</v>
      </c>
      <c r="AO485" s="927"/>
      <c r="AP485" s="927"/>
      <c r="AQ485" s="927" t="s">
        <v>7546</v>
      </c>
    </row>
    <row r="486" spans="1:43">
      <c r="A486" s="927" t="s">
        <v>5305</v>
      </c>
      <c r="B486" s="927" t="s">
        <v>5306</v>
      </c>
      <c r="C486" s="927" t="s">
        <v>5307</v>
      </c>
      <c r="D486" s="927" t="s">
        <v>3613</v>
      </c>
      <c r="E486" s="717">
        <v>45689</v>
      </c>
      <c r="F486" s="927"/>
      <c r="G486" s="927" t="s">
        <v>5739</v>
      </c>
      <c r="H486" t="s">
        <v>5308</v>
      </c>
      <c r="I486" s="927"/>
      <c r="J486" s="131"/>
      <c r="K486" s="927" t="s">
        <v>5309</v>
      </c>
      <c r="L486" t="s">
        <v>5310</v>
      </c>
      <c r="M486" s="927" t="s">
        <v>320</v>
      </c>
      <c r="N486" s="927" t="s">
        <v>1346</v>
      </c>
      <c r="O486" s="927" t="s">
        <v>3961</v>
      </c>
      <c r="P486" s="927" t="s">
        <v>322</v>
      </c>
      <c r="Q486" s="927"/>
      <c r="R486" s="927" t="s">
        <v>324</v>
      </c>
      <c r="T486">
        <v>1195</v>
      </c>
      <c r="U486">
        <v>1195</v>
      </c>
      <c r="V486">
        <v>996</v>
      </c>
      <c r="W486">
        <v>896</v>
      </c>
      <c r="X486">
        <v>697</v>
      </c>
      <c r="Y486">
        <v>598</v>
      </c>
      <c r="Z486">
        <v>598</v>
      </c>
      <c r="AA486">
        <v>697</v>
      </c>
      <c r="AB486">
        <v>697</v>
      </c>
      <c r="AC486">
        <v>697</v>
      </c>
      <c r="AD486">
        <v>797</v>
      </c>
      <c r="AE486">
        <v>996</v>
      </c>
      <c r="AF486" s="927"/>
      <c r="AG486" s="927" t="s">
        <v>1189</v>
      </c>
      <c r="AH486" s="717"/>
      <c r="AK486" s="927"/>
      <c r="AO486" s="927"/>
      <c r="AP486" s="927"/>
      <c r="AQ486" s="927" t="s">
        <v>5311</v>
      </c>
    </row>
    <row r="487" spans="1:43">
      <c r="A487" s="927" t="s">
        <v>5312</v>
      </c>
      <c r="B487" s="927" t="s">
        <v>5313</v>
      </c>
      <c r="C487" s="927" t="s">
        <v>5314</v>
      </c>
      <c r="D487" s="927" t="s">
        <v>3613</v>
      </c>
      <c r="E487" s="717">
        <v>45715</v>
      </c>
      <c r="F487" s="927"/>
      <c r="G487" s="927" t="s">
        <v>5739</v>
      </c>
      <c r="H487" t="s">
        <v>5315</v>
      </c>
      <c r="I487" s="927"/>
      <c r="J487" s="131"/>
      <c r="K487" s="927" t="s">
        <v>306</v>
      </c>
      <c r="M487" s="927" t="s">
        <v>306</v>
      </c>
      <c r="N487" s="927" t="s">
        <v>306</v>
      </c>
      <c r="O487" s="927" t="s">
        <v>306</v>
      </c>
      <c r="P487" s="927" t="s">
        <v>322</v>
      </c>
      <c r="Q487" s="927"/>
      <c r="R487" s="927"/>
      <c r="T487">
        <v>562</v>
      </c>
      <c r="U487">
        <v>562</v>
      </c>
      <c r="V487">
        <v>468</v>
      </c>
      <c r="W487">
        <v>421</v>
      </c>
      <c r="X487">
        <v>328</v>
      </c>
      <c r="Y487">
        <v>281</v>
      </c>
      <c r="Z487">
        <v>281</v>
      </c>
      <c r="AA487">
        <v>328</v>
      </c>
      <c r="AB487">
        <v>328</v>
      </c>
      <c r="AC487">
        <v>328</v>
      </c>
      <c r="AD487">
        <v>374</v>
      </c>
      <c r="AE487">
        <v>468</v>
      </c>
      <c r="AF487" s="927"/>
      <c r="AG487" s="927"/>
      <c r="AH487" s="717"/>
      <c r="AK487" s="927"/>
      <c r="AO487" s="927"/>
      <c r="AP487" s="927"/>
      <c r="AQ487" s="927" t="s">
        <v>5316</v>
      </c>
    </row>
    <row r="488" spans="1:43">
      <c r="A488" s="927" t="s">
        <v>5317</v>
      </c>
      <c r="B488" s="927" t="s">
        <v>5318</v>
      </c>
      <c r="C488" s="927" t="s">
        <v>5319</v>
      </c>
      <c r="D488" s="927" t="s">
        <v>3613</v>
      </c>
      <c r="E488" s="717">
        <v>45735</v>
      </c>
      <c r="F488" s="927"/>
      <c r="G488" s="927" t="s">
        <v>5739</v>
      </c>
      <c r="H488" t="s">
        <v>5320</v>
      </c>
      <c r="I488" s="927"/>
      <c r="J488" s="131"/>
      <c r="K488" s="927" t="s">
        <v>4713</v>
      </c>
      <c r="L488" t="s">
        <v>3858</v>
      </c>
      <c r="M488" s="927" t="s">
        <v>320</v>
      </c>
      <c r="N488" s="927" t="s">
        <v>4713</v>
      </c>
      <c r="O488" s="927" t="s">
        <v>4714</v>
      </c>
      <c r="P488" s="927" t="s">
        <v>322</v>
      </c>
      <c r="Q488" s="927"/>
      <c r="R488" s="927" t="s">
        <v>324</v>
      </c>
      <c r="T488">
        <v>706</v>
      </c>
      <c r="U488">
        <v>706</v>
      </c>
      <c r="V488">
        <v>588</v>
      </c>
      <c r="W488">
        <v>529</v>
      </c>
      <c r="X488">
        <v>412</v>
      </c>
      <c r="Y488">
        <v>353</v>
      </c>
      <c r="Z488">
        <v>353</v>
      </c>
      <c r="AA488">
        <v>412</v>
      </c>
      <c r="AB488">
        <v>412</v>
      </c>
      <c r="AC488">
        <v>412</v>
      </c>
      <c r="AD488">
        <v>470</v>
      </c>
      <c r="AE488">
        <v>588</v>
      </c>
      <c r="AF488" s="927"/>
      <c r="AG488" s="927"/>
      <c r="AH488" s="717"/>
      <c r="AK488" s="927"/>
      <c r="AO488" s="927"/>
      <c r="AP488" s="927"/>
      <c r="AQ488" s="927" t="s">
        <v>5321</v>
      </c>
    </row>
    <row r="489" spans="1:43">
      <c r="A489" s="927" t="s">
        <v>5322</v>
      </c>
      <c r="B489" s="927" t="s">
        <v>5323</v>
      </c>
      <c r="C489" s="927" t="s">
        <v>5324</v>
      </c>
      <c r="D489" s="927" t="s">
        <v>3613</v>
      </c>
      <c r="E489" s="717">
        <v>45731</v>
      </c>
      <c r="F489" s="927"/>
      <c r="G489" s="927" t="s">
        <v>5739</v>
      </c>
      <c r="H489" t="s">
        <v>5325</v>
      </c>
      <c r="I489" s="927"/>
      <c r="J489" s="131"/>
      <c r="K489" s="927" t="s">
        <v>5326</v>
      </c>
      <c r="L489" t="s">
        <v>5327</v>
      </c>
      <c r="M489" s="927" t="s">
        <v>320</v>
      </c>
      <c r="N489" s="927" t="s">
        <v>5326</v>
      </c>
      <c r="O489" s="927" t="s">
        <v>5328</v>
      </c>
      <c r="P489" s="927" t="s">
        <v>322</v>
      </c>
      <c r="Q489" s="927"/>
      <c r="R489" s="927"/>
      <c r="T489">
        <v>618</v>
      </c>
      <c r="U489">
        <v>624</v>
      </c>
      <c r="V489">
        <v>446</v>
      </c>
      <c r="W489">
        <v>378</v>
      </c>
      <c r="X489">
        <v>432</v>
      </c>
      <c r="Y489">
        <v>302</v>
      </c>
      <c r="Z489">
        <v>236</v>
      </c>
      <c r="AA489">
        <v>229</v>
      </c>
      <c r="AB489">
        <v>317</v>
      </c>
      <c r="AC489">
        <v>345</v>
      </c>
      <c r="AD489">
        <v>355</v>
      </c>
      <c r="AE489">
        <v>345</v>
      </c>
      <c r="AF489" s="927"/>
      <c r="AG489" s="927"/>
      <c r="AH489" s="717"/>
      <c r="AK489" s="927"/>
      <c r="AO489" s="927"/>
      <c r="AP489" s="927"/>
      <c r="AQ489" s="927" t="s">
        <v>5329</v>
      </c>
    </row>
    <row r="490" spans="1:43">
      <c r="A490" s="927" t="s">
        <v>5330</v>
      </c>
      <c r="B490" s="927" t="s">
        <v>5331</v>
      </c>
      <c r="C490" s="927" t="s">
        <v>5332</v>
      </c>
      <c r="D490" s="927" t="s">
        <v>3613</v>
      </c>
      <c r="E490" s="717">
        <v>45737</v>
      </c>
      <c r="F490" s="927"/>
      <c r="G490" s="927" t="s">
        <v>5739</v>
      </c>
      <c r="H490" t="s">
        <v>5333</v>
      </c>
      <c r="I490" s="927"/>
      <c r="J490" s="131"/>
      <c r="K490" s="927" t="s">
        <v>4708</v>
      </c>
      <c r="L490" t="s">
        <v>3858</v>
      </c>
      <c r="M490" s="927" t="s">
        <v>320</v>
      </c>
      <c r="N490" s="927" t="s">
        <v>4708</v>
      </c>
      <c r="O490" s="927" t="s">
        <v>4212</v>
      </c>
      <c r="P490" s="927" t="s">
        <v>322</v>
      </c>
      <c r="Q490" s="927"/>
      <c r="R490" s="927"/>
      <c r="T490">
        <v>994</v>
      </c>
      <c r="U490">
        <v>994</v>
      </c>
      <c r="V490">
        <v>828</v>
      </c>
      <c r="W490">
        <v>745</v>
      </c>
      <c r="X490">
        <v>580</v>
      </c>
      <c r="Y490">
        <v>497</v>
      </c>
      <c r="Z490">
        <v>497</v>
      </c>
      <c r="AA490">
        <v>580</v>
      </c>
      <c r="AB490">
        <v>580</v>
      </c>
      <c r="AC490">
        <v>580</v>
      </c>
      <c r="AD490">
        <v>662</v>
      </c>
      <c r="AE490">
        <v>828</v>
      </c>
      <c r="AF490" s="927"/>
      <c r="AG490" s="927" t="s">
        <v>1189</v>
      </c>
      <c r="AH490" s="717"/>
      <c r="AK490" s="927"/>
      <c r="AO490" s="927"/>
      <c r="AP490" s="927"/>
      <c r="AQ490" s="927" t="s">
        <v>5334</v>
      </c>
    </row>
    <row r="491" spans="1:43">
      <c r="A491" s="927" t="s">
        <v>5335</v>
      </c>
      <c r="B491" s="927" t="s">
        <v>5336</v>
      </c>
      <c r="C491" s="927" t="s">
        <v>5337</v>
      </c>
      <c r="D491" s="927" t="s">
        <v>3613</v>
      </c>
      <c r="E491" s="717">
        <v>45713</v>
      </c>
      <c r="F491" s="927"/>
      <c r="G491" s="927" t="s">
        <v>5739</v>
      </c>
      <c r="H491" t="s">
        <v>5338</v>
      </c>
      <c r="I491" s="927"/>
      <c r="J491" s="131"/>
      <c r="K491" s="927" t="s">
        <v>5339</v>
      </c>
      <c r="L491" t="s">
        <v>5340</v>
      </c>
      <c r="M491" s="927" t="s">
        <v>320</v>
      </c>
      <c r="N491" s="927" t="s">
        <v>1346</v>
      </c>
      <c r="O491" s="927" t="s">
        <v>3895</v>
      </c>
      <c r="P491" s="927" t="s">
        <v>322</v>
      </c>
      <c r="Q491" s="927"/>
      <c r="R491" s="927"/>
      <c r="T491">
        <v>491</v>
      </c>
      <c r="U491">
        <v>474</v>
      </c>
      <c r="V491">
        <v>493</v>
      </c>
      <c r="W491">
        <v>456</v>
      </c>
      <c r="X491">
        <v>427</v>
      </c>
      <c r="Y491">
        <v>504</v>
      </c>
      <c r="Z491">
        <v>418</v>
      </c>
      <c r="AA491">
        <v>488</v>
      </c>
      <c r="AB491">
        <v>422</v>
      </c>
      <c r="AC491">
        <v>458</v>
      </c>
      <c r="AD491">
        <v>408</v>
      </c>
      <c r="AE491">
        <v>450</v>
      </c>
      <c r="AF491" s="927"/>
      <c r="AG491" s="927" t="s">
        <v>1189</v>
      </c>
      <c r="AH491" s="717"/>
      <c r="AK491" s="927"/>
      <c r="AO491" s="927"/>
      <c r="AP491" s="927"/>
      <c r="AQ491" s="927" t="s">
        <v>5341</v>
      </c>
    </row>
    <row r="492" spans="1:43">
      <c r="A492" s="927" t="s">
        <v>5342</v>
      </c>
      <c r="B492" s="927" t="s">
        <v>5343</v>
      </c>
      <c r="C492" s="927" t="s">
        <v>5344</v>
      </c>
      <c r="D492" s="927" t="s">
        <v>3613</v>
      </c>
      <c r="E492" s="717">
        <v>45736</v>
      </c>
      <c r="F492" s="927"/>
      <c r="G492" s="927" t="s">
        <v>5739</v>
      </c>
      <c r="H492" t="s">
        <v>5345</v>
      </c>
      <c r="I492" s="927"/>
      <c r="J492" s="131"/>
      <c r="K492" s="927" t="s">
        <v>4986</v>
      </c>
      <c r="L492" t="s">
        <v>3858</v>
      </c>
      <c r="M492" s="927" t="s">
        <v>320</v>
      </c>
      <c r="N492" s="927" t="s">
        <v>4986</v>
      </c>
      <c r="O492" s="927" t="s">
        <v>3895</v>
      </c>
      <c r="P492" s="927" t="s">
        <v>322</v>
      </c>
      <c r="Q492" s="927"/>
      <c r="R492" s="927"/>
      <c r="T492">
        <v>1771</v>
      </c>
      <c r="U492">
        <v>1771</v>
      </c>
      <c r="V492">
        <v>1476</v>
      </c>
      <c r="W492">
        <v>1328</v>
      </c>
      <c r="X492">
        <v>1033</v>
      </c>
      <c r="Y492">
        <v>886</v>
      </c>
      <c r="Z492">
        <v>886</v>
      </c>
      <c r="AA492">
        <v>1033</v>
      </c>
      <c r="AB492">
        <v>1033</v>
      </c>
      <c r="AC492">
        <v>1033</v>
      </c>
      <c r="AD492">
        <v>1181</v>
      </c>
      <c r="AE492">
        <v>1476</v>
      </c>
      <c r="AF492" s="927"/>
      <c r="AG492" s="927" t="s">
        <v>1189</v>
      </c>
      <c r="AH492" s="717"/>
      <c r="AK492" s="927"/>
      <c r="AO492" s="927"/>
      <c r="AP492" s="927"/>
      <c r="AQ492" s="927" t="s">
        <v>5346</v>
      </c>
    </row>
    <row r="493" spans="1:43">
      <c r="A493" s="927" t="s">
        <v>5347</v>
      </c>
      <c r="B493" s="927" t="s">
        <v>5348</v>
      </c>
      <c r="C493" s="927" t="s">
        <v>5349</v>
      </c>
      <c r="D493" s="927" t="s">
        <v>4301</v>
      </c>
      <c r="E493" s="717">
        <v>45741</v>
      </c>
      <c r="F493" s="927"/>
      <c r="G493" s="927" t="s">
        <v>5739</v>
      </c>
      <c r="I493" s="927"/>
      <c r="J493" s="131"/>
      <c r="K493" s="927" t="s">
        <v>5350</v>
      </c>
      <c r="L493" t="s">
        <v>5327</v>
      </c>
      <c r="M493" s="927" t="s">
        <v>320</v>
      </c>
      <c r="N493" s="927" t="s">
        <v>5350</v>
      </c>
      <c r="O493" s="927" t="s">
        <v>5351</v>
      </c>
      <c r="P493" s="927" t="s">
        <v>379</v>
      </c>
      <c r="Q493" s="927"/>
      <c r="R493" s="927"/>
      <c r="T493">
        <v>2160</v>
      </c>
      <c r="U493">
        <v>2160</v>
      </c>
      <c r="V493">
        <v>1800</v>
      </c>
      <c r="W493">
        <v>1620</v>
      </c>
      <c r="X493">
        <v>1260</v>
      </c>
      <c r="Y493">
        <v>1080</v>
      </c>
      <c r="Z493">
        <v>1080</v>
      </c>
      <c r="AA493">
        <v>1260</v>
      </c>
      <c r="AB493">
        <v>1260</v>
      </c>
      <c r="AC493">
        <v>1260</v>
      </c>
      <c r="AD493">
        <v>1440</v>
      </c>
      <c r="AE493">
        <v>1800</v>
      </c>
      <c r="AF493" s="927"/>
      <c r="AG493" s="927" t="s">
        <v>1189</v>
      </c>
      <c r="AH493" s="717"/>
      <c r="AK493" s="927"/>
      <c r="AO493" s="927"/>
      <c r="AP493" s="927"/>
      <c r="AQ493" s="927" t="s">
        <v>5352</v>
      </c>
    </row>
    <row r="494" spans="1:43">
      <c r="A494" s="927" t="s">
        <v>5355</v>
      </c>
      <c r="B494" s="927" t="s">
        <v>5356</v>
      </c>
      <c r="C494" s="927" t="s">
        <v>5357</v>
      </c>
      <c r="D494" s="927" t="s">
        <v>3613</v>
      </c>
      <c r="E494" s="717">
        <v>45698</v>
      </c>
      <c r="F494" s="927"/>
      <c r="G494" s="927" t="s">
        <v>5739</v>
      </c>
      <c r="H494" t="s">
        <v>5358</v>
      </c>
      <c r="I494" s="927"/>
      <c r="J494" s="131"/>
      <c r="K494" s="927" t="s">
        <v>306</v>
      </c>
      <c r="M494" s="927" t="s">
        <v>306</v>
      </c>
      <c r="N494" s="927" t="s">
        <v>306</v>
      </c>
      <c r="O494" s="927" t="s">
        <v>306</v>
      </c>
      <c r="P494" s="927" t="s">
        <v>322</v>
      </c>
      <c r="Q494" s="927"/>
      <c r="R494" s="927"/>
      <c r="T494">
        <v>474</v>
      </c>
      <c r="U494">
        <v>525</v>
      </c>
      <c r="V494">
        <v>573</v>
      </c>
      <c r="W494">
        <v>513</v>
      </c>
      <c r="X494">
        <v>339</v>
      </c>
      <c r="Y494">
        <v>568</v>
      </c>
      <c r="Z494">
        <v>226</v>
      </c>
      <c r="AA494">
        <v>238</v>
      </c>
      <c r="AB494">
        <v>238</v>
      </c>
      <c r="AC494">
        <v>364</v>
      </c>
      <c r="AD494">
        <v>321</v>
      </c>
      <c r="AE494">
        <v>428</v>
      </c>
      <c r="AF494" s="927"/>
      <c r="AG494" s="927" t="s">
        <v>1189</v>
      </c>
      <c r="AH494" s="717"/>
      <c r="AK494" s="927"/>
      <c r="AO494" s="927"/>
      <c r="AP494" s="927"/>
      <c r="AQ494" s="927" t="s">
        <v>5359</v>
      </c>
    </row>
    <row r="495" spans="1:43">
      <c r="A495" s="927" t="s">
        <v>5765</v>
      </c>
      <c r="B495" s="927" t="s">
        <v>5360</v>
      </c>
      <c r="C495" s="927" t="s">
        <v>5766</v>
      </c>
      <c r="D495" s="927" t="s">
        <v>3613</v>
      </c>
      <c r="E495" s="717">
        <v>45736</v>
      </c>
      <c r="F495" s="927"/>
      <c r="G495" s="927" t="s">
        <v>5739</v>
      </c>
      <c r="H495" t="s">
        <v>5361</v>
      </c>
      <c r="I495" s="927"/>
      <c r="J495" s="131"/>
      <c r="K495" s="927" t="s">
        <v>5362</v>
      </c>
      <c r="L495" t="s">
        <v>4471</v>
      </c>
      <c r="M495" s="927" t="s">
        <v>320</v>
      </c>
      <c r="N495" s="927" t="s">
        <v>1346</v>
      </c>
      <c r="O495" s="927" t="s">
        <v>5363</v>
      </c>
      <c r="P495" s="927" t="s">
        <v>322</v>
      </c>
      <c r="Q495" s="927"/>
      <c r="R495" s="927"/>
      <c r="T495">
        <v>8713</v>
      </c>
      <c r="U495">
        <v>8713</v>
      </c>
      <c r="V495">
        <v>8254</v>
      </c>
      <c r="W495">
        <v>7337</v>
      </c>
      <c r="X495">
        <v>6879</v>
      </c>
      <c r="Y495">
        <v>6420</v>
      </c>
      <c r="Z495">
        <v>6879</v>
      </c>
      <c r="AA495">
        <v>6879</v>
      </c>
      <c r="AB495">
        <v>7337</v>
      </c>
      <c r="AC495">
        <v>7796</v>
      </c>
      <c r="AD495">
        <v>8254</v>
      </c>
      <c r="AE495">
        <v>8713</v>
      </c>
      <c r="AF495" s="927"/>
      <c r="AG495" s="927" t="s">
        <v>1420</v>
      </c>
      <c r="AH495" s="717"/>
      <c r="AK495" s="927"/>
      <c r="AO495" s="927"/>
      <c r="AP495" s="927"/>
      <c r="AQ495" s="927" t="s">
        <v>5373</v>
      </c>
    </row>
    <row r="496" spans="1:43">
      <c r="A496" s="927" t="s">
        <v>5364</v>
      </c>
      <c r="B496" s="927" t="s">
        <v>5365</v>
      </c>
      <c r="C496" s="927" t="s">
        <v>5366</v>
      </c>
      <c r="D496" s="927" t="s">
        <v>3613</v>
      </c>
      <c r="E496" s="717">
        <v>45741</v>
      </c>
      <c r="F496" s="927"/>
      <c r="G496" s="927" t="s">
        <v>5739</v>
      </c>
      <c r="H496" t="s">
        <v>5367</v>
      </c>
      <c r="I496" s="927"/>
      <c r="J496" s="131"/>
      <c r="K496" s="927" t="s">
        <v>1419</v>
      </c>
      <c r="L496" t="s">
        <v>3833</v>
      </c>
      <c r="M496" s="927" t="s">
        <v>320</v>
      </c>
      <c r="N496" s="927" t="s">
        <v>1346</v>
      </c>
      <c r="O496" s="927" t="s">
        <v>3653</v>
      </c>
      <c r="P496" s="927" t="s">
        <v>322</v>
      </c>
      <c r="Q496" s="927"/>
      <c r="R496" s="927"/>
      <c r="T496">
        <v>439</v>
      </c>
      <c r="U496">
        <v>609</v>
      </c>
      <c r="V496">
        <v>826</v>
      </c>
      <c r="W496">
        <v>660</v>
      </c>
      <c r="X496">
        <v>543</v>
      </c>
      <c r="Y496">
        <v>311</v>
      </c>
      <c r="Z496">
        <v>100</v>
      </c>
      <c r="AA496">
        <v>100</v>
      </c>
      <c r="AB496">
        <v>100</v>
      </c>
      <c r="AC496">
        <v>135</v>
      </c>
      <c r="AD496">
        <v>345</v>
      </c>
      <c r="AE496">
        <v>391</v>
      </c>
      <c r="AF496" s="927"/>
      <c r="AG496" s="927" t="s">
        <v>1189</v>
      </c>
      <c r="AH496" s="717"/>
      <c r="AK496" s="927"/>
      <c r="AO496" s="927"/>
      <c r="AP496" s="927"/>
      <c r="AQ496" s="927" t="s">
        <v>5389</v>
      </c>
    </row>
    <row r="497" spans="1:43">
      <c r="A497" s="927" t="s">
        <v>5368</v>
      </c>
      <c r="B497" s="927" t="s">
        <v>5369</v>
      </c>
      <c r="C497" s="927" t="s">
        <v>5370</v>
      </c>
      <c r="D497" s="927" t="s">
        <v>1371</v>
      </c>
      <c r="E497" s="717">
        <v>45744</v>
      </c>
      <c r="F497" s="927"/>
      <c r="G497" s="927" t="s">
        <v>5739</v>
      </c>
      <c r="H497" t="s">
        <v>5371</v>
      </c>
      <c r="I497" s="927"/>
      <c r="J497" s="131">
        <v>23055</v>
      </c>
      <c r="K497" s="927" t="s">
        <v>5210</v>
      </c>
      <c r="L497" t="s">
        <v>5211</v>
      </c>
      <c r="M497" s="927" t="s">
        <v>320</v>
      </c>
      <c r="N497" s="927" t="s">
        <v>1346</v>
      </c>
      <c r="O497" s="927" t="s">
        <v>3653</v>
      </c>
      <c r="P497" s="927" t="s">
        <v>322</v>
      </c>
      <c r="Q497" s="927"/>
      <c r="R497" s="927" t="s">
        <v>555</v>
      </c>
      <c r="T497">
        <v>722</v>
      </c>
      <c r="U497">
        <v>807</v>
      </c>
      <c r="V497">
        <v>727</v>
      </c>
      <c r="W497">
        <v>717</v>
      </c>
      <c r="X497">
        <v>584</v>
      </c>
      <c r="Y497">
        <v>592</v>
      </c>
      <c r="Z497">
        <v>461</v>
      </c>
      <c r="AA497">
        <v>435</v>
      </c>
      <c r="AB497">
        <v>548</v>
      </c>
      <c r="AC497">
        <v>638</v>
      </c>
      <c r="AD497">
        <v>646</v>
      </c>
      <c r="AE497">
        <v>668</v>
      </c>
      <c r="AF497" s="927" t="s">
        <v>1189</v>
      </c>
      <c r="AG497" s="927" t="s">
        <v>1189</v>
      </c>
      <c r="AH497" s="717"/>
      <c r="AI497">
        <v>2.44</v>
      </c>
      <c r="AJ497">
        <v>9300</v>
      </c>
      <c r="AK497" s="927"/>
      <c r="AL497">
        <v>4</v>
      </c>
      <c r="AM497">
        <v>610</v>
      </c>
      <c r="AO497" s="927"/>
      <c r="AP497" s="927"/>
      <c r="AQ497" s="927" t="s">
        <v>5372</v>
      </c>
    </row>
    <row r="498" spans="1:43">
      <c r="A498" s="927" t="s">
        <v>5374</v>
      </c>
      <c r="B498" s="927" t="s">
        <v>5375</v>
      </c>
      <c r="C498" s="927" t="s">
        <v>5376</v>
      </c>
      <c r="D498" s="927" t="s">
        <v>1418</v>
      </c>
      <c r="E498" s="717">
        <v>45748</v>
      </c>
      <c r="F498" s="927"/>
      <c r="G498" s="927" t="s">
        <v>5739</v>
      </c>
      <c r="H498" t="s">
        <v>5377</v>
      </c>
      <c r="I498" s="927" t="s">
        <v>5627</v>
      </c>
      <c r="J498" s="131">
        <v>21904</v>
      </c>
      <c r="K498" s="927" t="s">
        <v>5378</v>
      </c>
      <c r="L498" t="s">
        <v>5379</v>
      </c>
      <c r="M498" s="927" t="s">
        <v>320</v>
      </c>
      <c r="N498" s="927" t="s">
        <v>1346</v>
      </c>
      <c r="O498" s="927" t="s">
        <v>3653</v>
      </c>
      <c r="P498" s="927" t="s">
        <v>322</v>
      </c>
      <c r="Q498" s="927"/>
      <c r="R498" s="927" t="s">
        <v>324</v>
      </c>
      <c r="T498">
        <v>2885</v>
      </c>
      <c r="U498">
        <v>3210</v>
      </c>
      <c r="V498">
        <v>3149</v>
      </c>
      <c r="W498">
        <v>2763</v>
      </c>
      <c r="X498">
        <v>2325</v>
      </c>
      <c r="Y498">
        <v>1917</v>
      </c>
      <c r="Z498">
        <v>1791</v>
      </c>
      <c r="AA498">
        <v>1980</v>
      </c>
      <c r="AB498">
        <v>2044</v>
      </c>
      <c r="AC498">
        <v>1905</v>
      </c>
      <c r="AD498">
        <v>2273</v>
      </c>
      <c r="AE498">
        <v>2535</v>
      </c>
      <c r="AF498" s="927" t="s">
        <v>1420</v>
      </c>
      <c r="AG498" s="927" t="s">
        <v>1189</v>
      </c>
      <c r="AH498" s="717"/>
      <c r="AI498">
        <v>21.96</v>
      </c>
      <c r="AJ498">
        <v>56480</v>
      </c>
      <c r="AK498" s="927"/>
      <c r="AL498">
        <v>36</v>
      </c>
      <c r="AM498">
        <v>610</v>
      </c>
      <c r="AO498" s="927"/>
      <c r="AP498" s="927"/>
      <c r="AQ498" s="927" t="s">
        <v>5628</v>
      </c>
    </row>
    <row r="499" spans="1:43">
      <c r="A499" s="927" t="s">
        <v>5380</v>
      </c>
      <c r="B499" s="927" t="s">
        <v>5381</v>
      </c>
      <c r="C499" s="927" t="s">
        <v>5382</v>
      </c>
      <c r="D499" s="927" t="s">
        <v>3613</v>
      </c>
      <c r="E499" s="717">
        <v>45747</v>
      </c>
      <c r="F499" s="927"/>
      <c r="G499" s="927" t="s">
        <v>5739</v>
      </c>
      <c r="H499" t="s">
        <v>5383</v>
      </c>
      <c r="I499" s="927"/>
      <c r="J499" s="131"/>
      <c r="K499" s="927" t="s">
        <v>5384</v>
      </c>
      <c r="L499" t="s">
        <v>3858</v>
      </c>
      <c r="M499" s="927" t="s">
        <v>320</v>
      </c>
      <c r="N499" s="927" t="s">
        <v>5384</v>
      </c>
      <c r="O499" s="927" t="s">
        <v>5385</v>
      </c>
      <c r="P499" s="927" t="s">
        <v>322</v>
      </c>
      <c r="Q499" s="927"/>
      <c r="R499" s="927"/>
      <c r="T499">
        <v>3312</v>
      </c>
      <c r="U499">
        <v>3312</v>
      </c>
      <c r="V499">
        <v>2760</v>
      </c>
      <c r="W499">
        <v>2484</v>
      </c>
      <c r="X499">
        <v>1932</v>
      </c>
      <c r="Y499">
        <v>1656</v>
      </c>
      <c r="Z499">
        <v>1656</v>
      </c>
      <c r="AA499">
        <v>1932</v>
      </c>
      <c r="AB499">
        <v>1932</v>
      </c>
      <c r="AC499">
        <v>1932</v>
      </c>
      <c r="AD499">
        <v>2208</v>
      </c>
      <c r="AE499">
        <v>2760</v>
      </c>
      <c r="AF499" s="927"/>
      <c r="AG499" s="927" t="s">
        <v>1189</v>
      </c>
      <c r="AH499" s="717"/>
      <c r="AK499" s="927"/>
      <c r="AO499" s="927"/>
      <c r="AP499" s="927"/>
      <c r="AQ499" s="927" t="s">
        <v>5386</v>
      </c>
    </row>
    <row r="500" spans="1:43">
      <c r="A500" s="927" t="s">
        <v>5390</v>
      </c>
      <c r="B500" s="927" t="s">
        <v>5391</v>
      </c>
      <c r="C500" s="927" t="s">
        <v>5392</v>
      </c>
      <c r="D500" s="927" t="s">
        <v>3613</v>
      </c>
      <c r="E500" s="717">
        <v>45725</v>
      </c>
      <c r="F500" s="927"/>
      <c r="G500" s="927" t="s">
        <v>5739</v>
      </c>
      <c r="H500" t="s">
        <v>5393</v>
      </c>
      <c r="I500" s="927"/>
      <c r="J500" s="131"/>
      <c r="K500" s="927" t="s">
        <v>5079</v>
      </c>
      <c r="L500" t="s">
        <v>3858</v>
      </c>
      <c r="M500" s="927" t="s">
        <v>320</v>
      </c>
      <c r="N500" s="927" t="s">
        <v>5079</v>
      </c>
      <c r="O500" s="927" t="s">
        <v>1516</v>
      </c>
      <c r="P500" s="927" t="s">
        <v>322</v>
      </c>
      <c r="Q500" s="927"/>
      <c r="R500" s="927"/>
      <c r="T500">
        <v>1152</v>
      </c>
      <c r="U500">
        <v>1152</v>
      </c>
      <c r="V500">
        <v>960</v>
      </c>
      <c r="W500">
        <v>864</v>
      </c>
      <c r="X500">
        <v>672</v>
      </c>
      <c r="Y500">
        <v>576</v>
      </c>
      <c r="Z500">
        <v>576</v>
      </c>
      <c r="AA500">
        <v>672</v>
      </c>
      <c r="AB500">
        <v>672</v>
      </c>
      <c r="AC500">
        <v>672</v>
      </c>
      <c r="AD500">
        <v>768</v>
      </c>
      <c r="AE500">
        <v>960</v>
      </c>
      <c r="AF500" s="927"/>
      <c r="AG500" s="927" t="s">
        <v>1189</v>
      </c>
      <c r="AH500" s="717"/>
      <c r="AK500" s="927"/>
      <c r="AO500" s="927"/>
      <c r="AP500" s="927"/>
      <c r="AQ500" s="927" t="s">
        <v>5394</v>
      </c>
    </row>
    <row r="501" spans="1:43">
      <c r="A501" s="927" t="s">
        <v>5395</v>
      </c>
      <c r="B501" s="927" t="s">
        <v>5396</v>
      </c>
      <c r="C501" s="927" t="s">
        <v>5397</v>
      </c>
      <c r="D501" s="927" t="s">
        <v>1187</v>
      </c>
      <c r="E501" s="717">
        <v>45748</v>
      </c>
      <c r="F501" s="927"/>
      <c r="G501" s="927" t="s">
        <v>5739</v>
      </c>
      <c r="I501" s="927"/>
      <c r="J501" s="131"/>
      <c r="K501" s="927" t="s">
        <v>306</v>
      </c>
      <c r="M501" s="927" t="s">
        <v>306</v>
      </c>
      <c r="N501" s="927" t="s">
        <v>306</v>
      </c>
      <c r="O501" s="927" t="s">
        <v>306</v>
      </c>
      <c r="P501" s="927"/>
      <c r="Q501" s="927"/>
      <c r="R501" s="927"/>
      <c r="T501">
        <v>493</v>
      </c>
      <c r="U501">
        <v>567</v>
      </c>
      <c r="V501">
        <v>637</v>
      </c>
      <c r="W501">
        <v>425</v>
      </c>
      <c r="X501">
        <v>576</v>
      </c>
      <c r="Y501">
        <v>288</v>
      </c>
      <c r="Z501">
        <v>302</v>
      </c>
      <c r="AA501">
        <v>336</v>
      </c>
      <c r="AB501">
        <v>379</v>
      </c>
      <c r="AC501">
        <v>386</v>
      </c>
      <c r="AD501">
        <v>472</v>
      </c>
      <c r="AE501">
        <v>554</v>
      </c>
      <c r="AF501" s="927"/>
      <c r="AG501" s="927"/>
      <c r="AH501" s="717"/>
      <c r="AK501" s="927"/>
      <c r="AO501" s="927"/>
      <c r="AP501" s="927"/>
      <c r="AQ501" s="927" t="s">
        <v>5398</v>
      </c>
    </row>
    <row r="502" spans="1:43">
      <c r="A502" s="927" t="s">
        <v>5399</v>
      </c>
      <c r="B502" s="927" t="s">
        <v>5400</v>
      </c>
      <c r="C502" s="927" t="s">
        <v>5401</v>
      </c>
      <c r="D502" s="927" t="s">
        <v>3613</v>
      </c>
      <c r="E502" s="717">
        <v>45754</v>
      </c>
      <c r="F502" s="927"/>
      <c r="G502" s="927" t="s">
        <v>5739</v>
      </c>
      <c r="H502" t="s">
        <v>5402</v>
      </c>
      <c r="I502" s="927"/>
      <c r="J502" s="131"/>
      <c r="K502" s="927" t="s">
        <v>5403</v>
      </c>
      <c r="L502" t="s">
        <v>3858</v>
      </c>
      <c r="M502" s="927" t="s">
        <v>320</v>
      </c>
      <c r="N502" s="927" t="s">
        <v>5403</v>
      </c>
      <c r="O502" s="927" t="s">
        <v>3988</v>
      </c>
      <c r="P502" s="927" t="s">
        <v>322</v>
      </c>
      <c r="Q502" s="927"/>
      <c r="R502" s="927"/>
      <c r="T502">
        <v>566</v>
      </c>
      <c r="U502">
        <v>848</v>
      </c>
      <c r="V502">
        <v>964</v>
      </c>
      <c r="W502">
        <v>871</v>
      </c>
      <c r="X502">
        <v>785</v>
      </c>
      <c r="Y502">
        <v>628</v>
      </c>
      <c r="Z502">
        <v>436</v>
      </c>
      <c r="AA502">
        <v>367</v>
      </c>
      <c r="AB502">
        <v>441</v>
      </c>
      <c r="AC502">
        <v>621</v>
      </c>
      <c r="AD502">
        <v>511</v>
      </c>
      <c r="AE502">
        <v>636</v>
      </c>
      <c r="AF502" s="927"/>
      <c r="AG502" s="927" t="s">
        <v>1189</v>
      </c>
      <c r="AH502" s="717"/>
      <c r="AK502" s="927"/>
      <c r="AO502" s="927"/>
      <c r="AP502" s="927"/>
      <c r="AQ502" s="927" t="s">
        <v>5484</v>
      </c>
    </row>
    <row r="503" spans="1:43">
      <c r="A503" s="927" t="s">
        <v>5404</v>
      </c>
      <c r="B503" s="927" t="s">
        <v>5405</v>
      </c>
      <c r="C503" s="927" t="s">
        <v>5406</v>
      </c>
      <c r="D503" s="927" t="s">
        <v>3613</v>
      </c>
      <c r="E503" s="717">
        <v>45745</v>
      </c>
      <c r="F503" s="927"/>
      <c r="G503" s="927" t="s">
        <v>5739</v>
      </c>
      <c r="H503" t="s">
        <v>5407</v>
      </c>
      <c r="I503" s="927"/>
      <c r="J503" s="131"/>
      <c r="K503" s="927" t="s">
        <v>306</v>
      </c>
      <c r="M503" s="927" t="s">
        <v>306</v>
      </c>
      <c r="N503" s="927" t="s">
        <v>306</v>
      </c>
      <c r="O503" s="927" t="s">
        <v>306</v>
      </c>
      <c r="P503" s="927" t="s">
        <v>322</v>
      </c>
      <c r="Q503" s="927"/>
      <c r="R503" s="927"/>
      <c r="T503">
        <v>1886</v>
      </c>
      <c r="U503">
        <v>1886</v>
      </c>
      <c r="V503">
        <v>1572</v>
      </c>
      <c r="W503">
        <v>1415</v>
      </c>
      <c r="X503">
        <v>1100</v>
      </c>
      <c r="Y503">
        <v>943</v>
      </c>
      <c r="Z503">
        <v>943</v>
      </c>
      <c r="AA503">
        <v>1100</v>
      </c>
      <c r="AB503">
        <v>1100</v>
      </c>
      <c r="AC503">
        <v>1100</v>
      </c>
      <c r="AD503">
        <v>1258</v>
      </c>
      <c r="AE503">
        <v>2</v>
      </c>
      <c r="AF503" s="927"/>
      <c r="AG503" s="927" t="s">
        <v>1189</v>
      </c>
      <c r="AH503" s="717"/>
      <c r="AK503" s="927"/>
      <c r="AO503" s="927"/>
      <c r="AP503" s="927"/>
      <c r="AQ503" s="927" t="s">
        <v>5411</v>
      </c>
    </row>
    <row r="504" spans="1:43">
      <c r="A504" s="927" t="s">
        <v>5412</v>
      </c>
      <c r="B504" s="927" t="s">
        <v>5408</v>
      </c>
      <c r="C504" s="927" t="s">
        <v>5413</v>
      </c>
      <c r="D504" s="927" t="s">
        <v>3613</v>
      </c>
      <c r="E504" s="717">
        <v>45755</v>
      </c>
      <c r="F504" s="927"/>
      <c r="G504" s="927" t="s">
        <v>5739</v>
      </c>
      <c r="H504" t="s">
        <v>5409</v>
      </c>
      <c r="I504" s="927"/>
      <c r="J504" s="131"/>
      <c r="K504" s="927" t="s">
        <v>5414</v>
      </c>
      <c r="L504" t="s">
        <v>5415</v>
      </c>
      <c r="M504" s="927" t="s">
        <v>320</v>
      </c>
      <c r="N504" s="927" t="s">
        <v>1346</v>
      </c>
      <c r="O504" s="927" t="s">
        <v>3961</v>
      </c>
      <c r="P504" s="927" t="s">
        <v>322</v>
      </c>
      <c r="Q504" s="927"/>
      <c r="R504" s="927"/>
      <c r="T504">
        <v>1563</v>
      </c>
      <c r="U504">
        <v>1740</v>
      </c>
      <c r="V504">
        <v>1775</v>
      </c>
      <c r="W504">
        <v>1377</v>
      </c>
      <c r="X504">
        <v>1245</v>
      </c>
      <c r="Y504">
        <v>1210</v>
      </c>
      <c r="Z504">
        <v>1287</v>
      </c>
      <c r="AA504">
        <v>1188</v>
      </c>
      <c r="AB504">
        <v>1210</v>
      </c>
      <c r="AC504">
        <v>1377</v>
      </c>
      <c r="AD504">
        <v>1517</v>
      </c>
      <c r="AE504">
        <v>1729</v>
      </c>
      <c r="AF504" s="927"/>
      <c r="AG504" s="927" t="s">
        <v>1420</v>
      </c>
      <c r="AH504" s="717"/>
      <c r="AK504" s="927"/>
      <c r="AO504" s="927"/>
      <c r="AP504" s="927"/>
      <c r="AQ504" s="927" t="s">
        <v>5416</v>
      </c>
    </row>
    <row r="505" spans="1:43">
      <c r="A505" s="927" t="s">
        <v>5417</v>
      </c>
      <c r="B505" s="927" t="s">
        <v>5418</v>
      </c>
      <c r="C505" s="927" t="s">
        <v>5419</v>
      </c>
      <c r="D505" s="927" t="s">
        <v>3613</v>
      </c>
      <c r="E505" s="717">
        <v>45758</v>
      </c>
      <c r="F505" s="927"/>
      <c r="G505" s="927" t="s">
        <v>5739</v>
      </c>
      <c r="H505" t="s">
        <v>5420</v>
      </c>
      <c r="I505" s="927"/>
      <c r="J505" s="131"/>
      <c r="K505" s="927" t="s">
        <v>5421</v>
      </c>
      <c r="L505" t="s">
        <v>5422</v>
      </c>
      <c r="M505" s="927" t="s">
        <v>320</v>
      </c>
      <c r="N505" s="927" t="s">
        <v>1168</v>
      </c>
      <c r="O505" s="927" t="s">
        <v>5423</v>
      </c>
      <c r="P505" s="927" t="s">
        <v>322</v>
      </c>
      <c r="Q505" s="927"/>
      <c r="R505" s="927"/>
      <c r="T505">
        <v>695</v>
      </c>
      <c r="U505">
        <v>695</v>
      </c>
      <c r="V505">
        <v>659</v>
      </c>
      <c r="W505">
        <v>586</v>
      </c>
      <c r="X505">
        <v>549</v>
      </c>
      <c r="Y505">
        <v>512</v>
      </c>
      <c r="Z505">
        <v>549</v>
      </c>
      <c r="AA505">
        <v>549</v>
      </c>
      <c r="AB505">
        <v>586</v>
      </c>
      <c r="AC505">
        <v>622</v>
      </c>
      <c r="AD505">
        <v>659</v>
      </c>
      <c r="AE505">
        <v>695</v>
      </c>
      <c r="AF505" s="927"/>
      <c r="AG505" s="927"/>
      <c r="AH505" s="717"/>
      <c r="AK505" s="927"/>
      <c r="AO505" s="927"/>
      <c r="AP505" s="927"/>
      <c r="AQ505" s="927" t="s">
        <v>5424</v>
      </c>
    </row>
    <row r="506" spans="1:43">
      <c r="A506" s="927" t="s">
        <v>5429</v>
      </c>
      <c r="B506" s="927" t="s">
        <v>5430</v>
      </c>
      <c r="C506" s="927" t="s">
        <v>5431</v>
      </c>
      <c r="D506" s="927" t="s">
        <v>3613</v>
      </c>
      <c r="E506" s="717">
        <v>45760</v>
      </c>
      <c r="F506" s="927"/>
      <c r="G506" s="927" t="s">
        <v>5739</v>
      </c>
      <c r="H506" t="s">
        <v>5432</v>
      </c>
      <c r="I506" s="927"/>
      <c r="J506" s="131"/>
      <c r="K506" s="927" t="s">
        <v>5433</v>
      </c>
      <c r="L506" t="s">
        <v>5434</v>
      </c>
      <c r="M506" s="927" t="s">
        <v>320</v>
      </c>
      <c r="N506" s="927" t="s">
        <v>1346</v>
      </c>
      <c r="O506" s="927" t="s">
        <v>1481</v>
      </c>
      <c r="P506" s="927" t="s">
        <v>322</v>
      </c>
      <c r="Q506" s="927"/>
      <c r="R506" s="927" t="s">
        <v>324</v>
      </c>
      <c r="T506">
        <v>2002</v>
      </c>
      <c r="U506">
        <v>2002</v>
      </c>
      <c r="V506">
        <v>1668</v>
      </c>
      <c r="W506">
        <v>1501</v>
      </c>
      <c r="X506">
        <v>1168</v>
      </c>
      <c r="Y506">
        <v>1001</v>
      </c>
      <c r="Z506">
        <v>1001</v>
      </c>
      <c r="AA506">
        <v>1168</v>
      </c>
      <c r="AB506">
        <v>1168</v>
      </c>
      <c r="AC506">
        <v>1168</v>
      </c>
      <c r="AD506">
        <v>1334</v>
      </c>
      <c r="AE506">
        <v>1668</v>
      </c>
      <c r="AF506" s="927"/>
      <c r="AG506" s="927" t="s">
        <v>1420</v>
      </c>
      <c r="AH506" s="717"/>
      <c r="AK506" s="927"/>
      <c r="AO506" s="927"/>
      <c r="AP506" s="927"/>
      <c r="AQ506" s="927" t="s">
        <v>5435</v>
      </c>
    </row>
    <row r="507" spans="1:43">
      <c r="A507" s="927" t="s">
        <v>5837</v>
      </c>
      <c r="B507" s="927" t="s">
        <v>5436</v>
      </c>
      <c r="C507" s="927" t="s">
        <v>5838</v>
      </c>
      <c r="D507" s="927" t="s">
        <v>3615</v>
      </c>
      <c r="E507" s="717">
        <v>45760</v>
      </c>
      <c r="F507" s="927"/>
      <c r="G507" s="927" t="s">
        <v>5839</v>
      </c>
      <c r="H507" t="s">
        <v>5437</v>
      </c>
      <c r="I507" s="927"/>
      <c r="J507" s="131"/>
      <c r="K507" s="927" t="s">
        <v>5447</v>
      </c>
      <c r="L507" t="s">
        <v>5448</v>
      </c>
      <c r="M507" s="927" t="s">
        <v>320</v>
      </c>
      <c r="N507" s="927" t="s">
        <v>1346</v>
      </c>
      <c r="O507" s="927" t="s">
        <v>3653</v>
      </c>
      <c r="P507" s="927" t="s">
        <v>322</v>
      </c>
      <c r="Q507" s="927" t="s">
        <v>323</v>
      </c>
      <c r="R507" s="927"/>
      <c r="S507">
        <v>3940833333333330</v>
      </c>
      <c r="T507">
        <v>562</v>
      </c>
      <c r="U507">
        <v>562</v>
      </c>
      <c r="V507">
        <v>468</v>
      </c>
      <c r="W507">
        <v>421</v>
      </c>
      <c r="X507">
        <v>328</v>
      </c>
      <c r="Y507">
        <v>281</v>
      </c>
      <c r="Z507">
        <v>281</v>
      </c>
      <c r="AA507">
        <v>328</v>
      </c>
      <c r="AB507">
        <v>328</v>
      </c>
      <c r="AC507">
        <v>328</v>
      </c>
      <c r="AD507">
        <v>374</v>
      </c>
      <c r="AE507">
        <v>468</v>
      </c>
      <c r="AF507" s="927"/>
      <c r="AG507" s="927" t="s">
        <v>5834</v>
      </c>
      <c r="AH507" s="717"/>
      <c r="AK507" s="927"/>
      <c r="AO507" s="927"/>
      <c r="AP507" s="927"/>
      <c r="AQ507" s="927" t="s">
        <v>5438</v>
      </c>
    </row>
    <row r="508" spans="1:43">
      <c r="A508" s="927" t="s">
        <v>5439</v>
      </c>
      <c r="B508" s="927" t="s">
        <v>5440</v>
      </c>
      <c r="C508" s="927" t="s">
        <v>5441</v>
      </c>
      <c r="D508" s="927" t="s">
        <v>3613</v>
      </c>
      <c r="E508" s="717">
        <v>45756</v>
      </c>
      <c r="F508" s="927"/>
      <c r="G508" s="927" t="s">
        <v>5739</v>
      </c>
      <c r="H508" t="s">
        <v>5442</v>
      </c>
      <c r="I508" s="927"/>
      <c r="J508" s="131"/>
      <c r="K508" s="927" t="s">
        <v>5443</v>
      </c>
      <c r="L508" t="s">
        <v>4146</v>
      </c>
      <c r="M508" s="927" t="s">
        <v>320</v>
      </c>
      <c r="N508" s="927" t="s">
        <v>5443</v>
      </c>
      <c r="O508" s="927" t="s">
        <v>1487</v>
      </c>
      <c r="P508" s="927" t="s">
        <v>379</v>
      </c>
      <c r="Q508" s="927"/>
      <c r="R508" s="927"/>
      <c r="T508">
        <v>562</v>
      </c>
      <c r="U508">
        <v>562</v>
      </c>
      <c r="V508">
        <v>468</v>
      </c>
      <c r="W508">
        <v>421</v>
      </c>
      <c r="X508">
        <v>328</v>
      </c>
      <c r="Y508">
        <v>281</v>
      </c>
      <c r="Z508">
        <v>281</v>
      </c>
      <c r="AA508">
        <v>328</v>
      </c>
      <c r="AB508">
        <v>328</v>
      </c>
      <c r="AC508">
        <v>328</v>
      </c>
      <c r="AD508">
        <v>374</v>
      </c>
      <c r="AE508">
        <v>468</v>
      </c>
      <c r="AF508" s="927"/>
      <c r="AG508" s="927" t="s">
        <v>1189</v>
      </c>
      <c r="AH508" s="717"/>
      <c r="AK508" s="927"/>
      <c r="AO508" s="927"/>
      <c r="AP508" s="927"/>
      <c r="AQ508" s="927" t="s">
        <v>5444</v>
      </c>
    </row>
    <row r="509" spans="1:43">
      <c r="A509" s="927" t="s">
        <v>5450</v>
      </c>
      <c r="B509" s="927" t="s">
        <v>5451</v>
      </c>
      <c r="C509" s="927" t="s">
        <v>5452</v>
      </c>
      <c r="D509" s="927" t="s">
        <v>3613</v>
      </c>
      <c r="E509" s="717">
        <v>45763</v>
      </c>
      <c r="F509" s="927"/>
      <c r="G509" s="927" t="s">
        <v>5739</v>
      </c>
      <c r="H509" t="s">
        <v>5454</v>
      </c>
      <c r="I509" s="927"/>
      <c r="J509" s="131"/>
      <c r="K509" s="927" t="s">
        <v>306</v>
      </c>
      <c r="M509" s="927" t="s">
        <v>306</v>
      </c>
      <c r="N509" s="927" t="s">
        <v>306</v>
      </c>
      <c r="O509" s="927" t="s">
        <v>306</v>
      </c>
      <c r="P509" s="927"/>
      <c r="Q509" s="927"/>
      <c r="R509" s="927"/>
      <c r="T509">
        <v>562</v>
      </c>
      <c r="U509">
        <v>562</v>
      </c>
      <c r="V509">
        <v>468</v>
      </c>
      <c r="W509">
        <v>421</v>
      </c>
      <c r="X509">
        <v>328</v>
      </c>
      <c r="Y509">
        <v>281</v>
      </c>
      <c r="Z509">
        <v>281</v>
      </c>
      <c r="AA509">
        <v>328</v>
      </c>
      <c r="AB509">
        <v>328</v>
      </c>
      <c r="AC509">
        <v>328</v>
      </c>
      <c r="AD509">
        <v>374</v>
      </c>
      <c r="AE509">
        <v>468</v>
      </c>
      <c r="AF509" s="927"/>
      <c r="AG509" s="927" t="s">
        <v>1189</v>
      </c>
      <c r="AH509" s="717"/>
      <c r="AK509" s="927"/>
      <c r="AO509" s="927"/>
      <c r="AP509" s="927"/>
      <c r="AQ509" s="927" t="s">
        <v>5453</v>
      </c>
    </row>
    <row r="510" spans="1:43">
      <c r="A510" s="927" t="s">
        <v>5455</v>
      </c>
      <c r="B510" s="927" t="s">
        <v>5456</v>
      </c>
      <c r="C510" s="927" t="s">
        <v>5457</v>
      </c>
      <c r="D510" s="927" t="s">
        <v>3613</v>
      </c>
      <c r="E510" s="717">
        <v>45768</v>
      </c>
      <c r="F510" s="927"/>
      <c r="G510" s="927" t="s">
        <v>5739</v>
      </c>
      <c r="H510" t="s">
        <v>5458</v>
      </c>
      <c r="I510" s="927"/>
      <c r="J510" s="131"/>
      <c r="K510" s="927" t="s">
        <v>5459</v>
      </c>
      <c r="L510" t="s">
        <v>5460</v>
      </c>
      <c r="M510" s="927" t="s">
        <v>320</v>
      </c>
      <c r="N510" s="927" t="s">
        <v>1346</v>
      </c>
      <c r="O510" s="927" t="s">
        <v>3653</v>
      </c>
      <c r="P510" s="927" t="s">
        <v>322</v>
      </c>
      <c r="Q510" s="927"/>
      <c r="R510" s="927"/>
      <c r="T510">
        <v>1094</v>
      </c>
      <c r="U510">
        <v>1094</v>
      </c>
      <c r="V510">
        <v>912</v>
      </c>
      <c r="W510">
        <v>821</v>
      </c>
      <c r="X510">
        <v>638</v>
      </c>
      <c r="Y510">
        <v>547</v>
      </c>
      <c r="Z510">
        <v>547</v>
      </c>
      <c r="AA510">
        <v>638</v>
      </c>
      <c r="AB510">
        <v>638</v>
      </c>
      <c r="AC510">
        <v>638</v>
      </c>
      <c r="AD510">
        <v>730</v>
      </c>
      <c r="AE510">
        <v>912</v>
      </c>
      <c r="AF510" s="927"/>
      <c r="AG510" s="927" t="s">
        <v>1189</v>
      </c>
      <c r="AH510" s="717"/>
      <c r="AK510" s="927"/>
      <c r="AO510" s="927"/>
      <c r="AP510" s="927"/>
      <c r="AQ510" s="927" t="s">
        <v>5474</v>
      </c>
    </row>
    <row r="511" spans="1:43">
      <c r="A511" s="927" t="s">
        <v>5461</v>
      </c>
      <c r="B511" s="927" t="s">
        <v>5462</v>
      </c>
      <c r="C511" s="927" t="s">
        <v>5463</v>
      </c>
      <c r="D511" s="927" t="s">
        <v>1371</v>
      </c>
      <c r="E511" s="717">
        <v>45767</v>
      </c>
      <c r="F511" s="927"/>
      <c r="G511" s="927" t="s">
        <v>5739</v>
      </c>
      <c r="H511" t="s">
        <v>5464</v>
      </c>
      <c r="I511" s="927"/>
      <c r="J511" s="131"/>
      <c r="K511" s="927" t="s">
        <v>5519</v>
      </c>
      <c r="L511" t="s">
        <v>5520</v>
      </c>
      <c r="M511" s="927" t="s">
        <v>320</v>
      </c>
      <c r="N511" s="927" t="s">
        <v>1346</v>
      </c>
      <c r="O511" s="927" t="s">
        <v>3961</v>
      </c>
      <c r="P511" s="927" t="s">
        <v>322</v>
      </c>
      <c r="Q511" s="927"/>
      <c r="R511" s="927" t="s">
        <v>324</v>
      </c>
      <c r="T511">
        <v>1067</v>
      </c>
      <c r="U511">
        <v>1470</v>
      </c>
      <c r="V511">
        <v>1524</v>
      </c>
      <c r="W511">
        <v>896</v>
      </c>
      <c r="X511">
        <v>777</v>
      </c>
      <c r="Y511">
        <v>767</v>
      </c>
      <c r="Z511">
        <v>642</v>
      </c>
      <c r="AA511">
        <v>612</v>
      </c>
      <c r="AB511">
        <v>710</v>
      </c>
      <c r="AC511">
        <v>932</v>
      </c>
      <c r="AD511">
        <v>957</v>
      </c>
      <c r="AE511">
        <v>779</v>
      </c>
      <c r="AF511" s="927"/>
      <c r="AG511" s="927" t="s">
        <v>1189</v>
      </c>
      <c r="AH511" s="717"/>
      <c r="AK511" s="927"/>
      <c r="AO511" s="927"/>
      <c r="AP511" s="927"/>
      <c r="AQ511" s="927" t="s">
        <v>5521</v>
      </c>
    </row>
    <row r="512" spans="1:43">
      <c r="A512" s="927" t="s">
        <v>5465</v>
      </c>
      <c r="B512" s="927" t="s">
        <v>5466</v>
      </c>
      <c r="C512" s="927" t="s">
        <v>5467</v>
      </c>
      <c r="D512" s="927" t="s">
        <v>3613</v>
      </c>
      <c r="E512" s="717">
        <v>45766</v>
      </c>
      <c r="F512" s="927"/>
      <c r="G512" s="927" t="s">
        <v>5739</v>
      </c>
      <c r="H512" t="s">
        <v>5468</v>
      </c>
      <c r="I512" s="927"/>
      <c r="J512" s="131"/>
      <c r="K512" s="927" t="s">
        <v>306</v>
      </c>
      <c r="M512" s="927" t="s">
        <v>306</v>
      </c>
      <c r="N512" s="927" t="s">
        <v>306</v>
      </c>
      <c r="O512" s="927" t="s">
        <v>306</v>
      </c>
      <c r="P512" s="927" t="s">
        <v>322</v>
      </c>
      <c r="Q512" s="927"/>
      <c r="R512" s="927" t="s">
        <v>324</v>
      </c>
      <c r="T512">
        <v>562</v>
      </c>
      <c r="U512">
        <v>562</v>
      </c>
      <c r="V512">
        <v>468</v>
      </c>
      <c r="W512">
        <v>421</v>
      </c>
      <c r="X512">
        <v>328</v>
      </c>
      <c r="Y512">
        <v>281</v>
      </c>
      <c r="Z512">
        <v>281</v>
      </c>
      <c r="AA512">
        <v>328</v>
      </c>
      <c r="AB512">
        <v>328</v>
      </c>
      <c r="AC512">
        <v>328</v>
      </c>
      <c r="AD512">
        <v>374</v>
      </c>
      <c r="AE512">
        <v>468</v>
      </c>
      <c r="AF512" s="927"/>
      <c r="AG512" s="927" t="s">
        <v>1189</v>
      </c>
      <c r="AH512" s="717"/>
      <c r="AK512" s="927"/>
      <c r="AO512" s="927"/>
      <c r="AP512" s="927"/>
      <c r="AQ512" s="927" t="s">
        <v>5469</v>
      </c>
    </row>
    <row r="513" spans="1:43">
      <c r="A513" s="927" t="s">
        <v>5470</v>
      </c>
      <c r="B513" s="927" t="s">
        <v>5471</v>
      </c>
      <c r="C513" s="927" t="s">
        <v>5472</v>
      </c>
      <c r="D513" s="927" t="s">
        <v>4301</v>
      </c>
      <c r="E513" s="717">
        <v>45767</v>
      </c>
      <c r="F513" s="927"/>
      <c r="G513" s="927" t="s">
        <v>5739</v>
      </c>
      <c r="I513" s="927"/>
      <c r="J513" s="131"/>
      <c r="K513" s="927" t="s">
        <v>4986</v>
      </c>
      <c r="L513" t="s">
        <v>3858</v>
      </c>
      <c r="M513" s="927" t="s">
        <v>320</v>
      </c>
      <c r="N513" s="927" t="s">
        <v>4986</v>
      </c>
      <c r="O513" s="927" t="s">
        <v>3895</v>
      </c>
      <c r="P513" s="927"/>
      <c r="Q513" s="927"/>
      <c r="R513" s="927"/>
      <c r="T513">
        <v>732</v>
      </c>
      <c r="U513">
        <v>780</v>
      </c>
      <c r="V513">
        <v>746</v>
      </c>
      <c r="W513">
        <v>636</v>
      </c>
      <c r="X513">
        <v>620</v>
      </c>
      <c r="Y513">
        <v>418</v>
      </c>
      <c r="Z513">
        <v>576</v>
      </c>
      <c r="AA513">
        <v>500</v>
      </c>
      <c r="AB513">
        <v>507</v>
      </c>
      <c r="AC513">
        <v>502</v>
      </c>
      <c r="AD513">
        <v>847</v>
      </c>
      <c r="AE513">
        <v>754</v>
      </c>
      <c r="AF513" s="927"/>
      <c r="AG513" s="927"/>
      <c r="AH513" s="717"/>
      <c r="AK513" s="927"/>
      <c r="AO513" s="927"/>
      <c r="AP513" s="927"/>
      <c r="AQ513" s="927" t="s">
        <v>5473</v>
      </c>
    </row>
    <row r="514" spans="1:43">
      <c r="A514" s="927" t="s">
        <v>5621</v>
      </c>
      <c r="B514" s="927" t="s">
        <v>5475</v>
      </c>
      <c r="C514" s="927" t="s">
        <v>5622</v>
      </c>
      <c r="D514" s="927" t="s">
        <v>1418</v>
      </c>
      <c r="E514" s="717">
        <v>45772</v>
      </c>
      <c r="F514" s="927"/>
      <c r="G514" s="927" t="s">
        <v>5739</v>
      </c>
      <c r="H514" t="s">
        <v>5623</v>
      </c>
      <c r="I514" s="927" t="s">
        <v>5767</v>
      </c>
      <c r="J514" s="131">
        <v>25416</v>
      </c>
      <c r="K514" s="927" t="s">
        <v>4040</v>
      </c>
      <c r="L514" t="s">
        <v>4041</v>
      </c>
      <c r="M514" s="927" t="s">
        <v>320</v>
      </c>
      <c r="N514" s="927" t="s">
        <v>1346</v>
      </c>
      <c r="O514" s="927" t="s">
        <v>3961</v>
      </c>
      <c r="P514" s="927" t="s">
        <v>322</v>
      </c>
      <c r="Q514" s="927"/>
      <c r="R514" s="927" t="s">
        <v>324</v>
      </c>
      <c r="T514">
        <v>317</v>
      </c>
      <c r="U514">
        <v>554</v>
      </c>
      <c r="V514">
        <v>611</v>
      </c>
      <c r="W514">
        <v>301</v>
      </c>
      <c r="X514">
        <v>365</v>
      </c>
      <c r="Y514">
        <v>289</v>
      </c>
      <c r="Z514">
        <v>220</v>
      </c>
      <c r="AA514">
        <v>203</v>
      </c>
      <c r="AB514">
        <v>220</v>
      </c>
      <c r="AC514">
        <v>292</v>
      </c>
      <c r="AD514">
        <v>279</v>
      </c>
      <c r="AE514">
        <v>317</v>
      </c>
      <c r="AF514" s="927" t="s">
        <v>1420</v>
      </c>
      <c r="AG514" s="927" t="s">
        <v>1189</v>
      </c>
      <c r="AH514" s="717"/>
      <c r="AI514">
        <v>9.15</v>
      </c>
      <c r="AJ514">
        <v>20500</v>
      </c>
      <c r="AK514" s="927"/>
      <c r="AL514">
        <v>15</v>
      </c>
      <c r="AM514">
        <v>610</v>
      </c>
      <c r="AO514" s="927"/>
      <c r="AP514" s="927"/>
      <c r="AQ514" s="927" t="s">
        <v>5624</v>
      </c>
    </row>
    <row r="515" spans="1:43">
      <c r="A515" s="927" t="s">
        <v>5476</v>
      </c>
      <c r="B515" s="927" t="s">
        <v>5477</v>
      </c>
      <c r="C515" s="927" t="s">
        <v>5478</v>
      </c>
      <c r="D515" s="927" t="s">
        <v>3613</v>
      </c>
      <c r="E515" s="717">
        <v>45762</v>
      </c>
      <c r="F515" s="927"/>
      <c r="G515" s="927" t="s">
        <v>5739</v>
      </c>
      <c r="H515" t="s">
        <v>5479</v>
      </c>
      <c r="I515" s="927"/>
      <c r="J515" s="131"/>
      <c r="K515" s="927" t="s">
        <v>5480</v>
      </c>
      <c r="L515" t="s">
        <v>5481</v>
      </c>
      <c r="M515" s="927" t="s">
        <v>320</v>
      </c>
      <c r="N515" s="927" t="s">
        <v>1346</v>
      </c>
      <c r="O515" s="927" t="s">
        <v>5482</v>
      </c>
      <c r="P515" s="927" t="s">
        <v>322</v>
      </c>
      <c r="Q515" s="927"/>
      <c r="R515" s="927"/>
      <c r="T515">
        <v>1152</v>
      </c>
      <c r="U515">
        <v>1152</v>
      </c>
      <c r="V515">
        <v>960</v>
      </c>
      <c r="W515">
        <v>864</v>
      </c>
      <c r="X515">
        <v>672</v>
      </c>
      <c r="Y515">
        <v>576</v>
      </c>
      <c r="Z515">
        <v>576</v>
      </c>
      <c r="AA515">
        <v>672</v>
      </c>
      <c r="AB515">
        <v>672</v>
      </c>
      <c r="AC515">
        <v>672</v>
      </c>
      <c r="AD515">
        <v>768</v>
      </c>
      <c r="AE515">
        <v>960</v>
      </c>
      <c r="AF515" s="927"/>
      <c r="AG515" s="927" t="s">
        <v>1189</v>
      </c>
      <c r="AH515" s="717"/>
      <c r="AK515" s="927"/>
      <c r="AO515" s="927"/>
      <c r="AP515" s="927"/>
      <c r="AQ515" s="927" t="s">
        <v>5483</v>
      </c>
    </row>
    <row r="516" spans="1:43">
      <c r="A516" s="927" t="s">
        <v>5485</v>
      </c>
      <c r="B516" s="927" t="s">
        <v>5486</v>
      </c>
      <c r="C516" s="927" t="s">
        <v>5487</v>
      </c>
      <c r="D516" s="927" t="s">
        <v>3613</v>
      </c>
      <c r="E516" s="717">
        <v>45547</v>
      </c>
      <c r="F516" s="927"/>
      <c r="G516" s="927" t="s">
        <v>5739</v>
      </c>
      <c r="H516" t="s">
        <v>5488</v>
      </c>
      <c r="I516" s="927"/>
      <c r="J516" s="131"/>
      <c r="K516" s="927" t="s">
        <v>5489</v>
      </c>
      <c r="L516" t="s">
        <v>5490</v>
      </c>
      <c r="M516" s="927" t="s">
        <v>320</v>
      </c>
      <c r="N516" s="927" t="s">
        <v>1346</v>
      </c>
      <c r="O516" s="927" t="s">
        <v>4905</v>
      </c>
      <c r="P516" s="927" t="s">
        <v>322</v>
      </c>
      <c r="Q516" s="927"/>
      <c r="R516" s="927"/>
      <c r="T516">
        <v>792</v>
      </c>
      <c r="U516">
        <v>792</v>
      </c>
      <c r="V516">
        <v>660</v>
      </c>
      <c r="W516">
        <v>594</v>
      </c>
      <c r="X516">
        <v>462</v>
      </c>
      <c r="Y516">
        <v>241</v>
      </c>
      <c r="Z516">
        <v>200</v>
      </c>
      <c r="AA516">
        <v>341</v>
      </c>
      <c r="AB516">
        <v>410</v>
      </c>
      <c r="AC516">
        <v>465</v>
      </c>
      <c r="AD516">
        <v>528</v>
      </c>
      <c r="AE516">
        <v>660</v>
      </c>
      <c r="AF516" s="927"/>
      <c r="AG516" s="927" t="s">
        <v>1189</v>
      </c>
      <c r="AH516" s="717"/>
      <c r="AK516" s="927"/>
      <c r="AO516" s="927"/>
      <c r="AP516" s="927"/>
      <c r="AQ516" s="927" t="s">
        <v>5511</v>
      </c>
    </row>
    <row r="517" spans="1:43">
      <c r="A517" s="927" t="s">
        <v>5491</v>
      </c>
      <c r="B517" s="927" t="s">
        <v>5492</v>
      </c>
      <c r="C517" s="927" t="s">
        <v>5493</v>
      </c>
      <c r="D517" s="927" t="s">
        <v>3613</v>
      </c>
      <c r="E517" s="717">
        <v>45764</v>
      </c>
      <c r="F517" s="927"/>
      <c r="G517" s="927" t="s">
        <v>5739</v>
      </c>
      <c r="H517" t="s">
        <v>5494</v>
      </c>
      <c r="I517" s="927"/>
      <c r="J517" s="131"/>
      <c r="K517" s="927" t="s">
        <v>306</v>
      </c>
      <c r="M517" s="927" t="s">
        <v>306</v>
      </c>
      <c r="N517" s="927" t="s">
        <v>306</v>
      </c>
      <c r="O517" s="927" t="s">
        <v>306</v>
      </c>
      <c r="P517" s="927" t="s">
        <v>322</v>
      </c>
      <c r="Q517" s="927"/>
      <c r="R517" s="927"/>
      <c r="T517">
        <v>562</v>
      </c>
      <c r="U517">
        <v>562</v>
      </c>
      <c r="V517">
        <v>468</v>
      </c>
      <c r="W517">
        <v>421</v>
      </c>
      <c r="X517">
        <v>328</v>
      </c>
      <c r="Y517">
        <v>281</v>
      </c>
      <c r="Z517">
        <v>281</v>
      </c>
      <c r="AA517">
        <v>328</v>
      </c>
      <c r="AB517">
        <v>328</v>
      </c>
      <c r="AC517">
        <v>328</v>
      </c>
      <c r="AD517">
        <v>374</v>
      </c>
      <c r="AE517">
        <v>468</v>
      </c>
      <c r="AF517" s="927"/>
      <c r="AG517" s="927"/>
      <c r="AH517" s="717"/>
      <c r="AK517" s="927"/>
      <c r="AO517" s="927"/>
      <c r="AP517" s="927"/>
      <c r="AQ517" s="927" t="s">
        <v>5495</v>
      </c>
    </row>
    <row r="518" spans="1:43">
      <c r="A518" s="927" t="s">
        <v>5496</v>
      </c>
      <c r="B518" s="927" t="s">
        <v>5497</v>
      </c>
      <c r="C518" s="927" t="s">
        <v>5498</v>
      </c>
      <c r="D518" s="927" t="s">
        <v>3613</v>
      </c>
      <c r="E518" s="717">
        <v>45547</v>
      </c>
      <c r="F518" s="927"/>
      <c r="G518" s="927" t="s">
        <v>5739</v>
      </c>
      <c r="H518" t="s">
        <v>5499</v>
      </c>
      <c r="I518" s="927"/>
      <c r="J518" s="131"/>
      <c r="K518" s="927" t="s">
        <v>5500</v>
      </c>
      <c r="L518" t="s">
        <v>3858</v>
      </c>
      <c r="M518" s="927" t="s">
        <v>320</v>
      </c>
      <c r="N518" s="927" t="s">
        <v>5500</v>
      </c>
      <c r="O518" s="927" t="s">
        <v>5501</v>
      </c>
      <c r="P518" s="927" t="s">
        <v>322</v>
      </c>
      <c r="Q518" s="927"/>
      <c r="R518" s="927"/>
      <c r="T518">
        <v>562</v>
      </c>
      <c r="U518">
        <v>562</v>
      </c>
      <c r="V518">
        <v>468</v>
      </c>
      <c r="W518">
        <v>421</v>
      </c>
      <c r="X518">
        <v>328</v>
      </c>
      <c r="Y518">
        <v>281</v>
      </c>
      <c r="Z518">
        <v>281</v>
      </c>
      <c r="AA518">
        <v>328</v>
      </c>
      <c r="AB518">
        <v>328</v>
      </c>
      <c r="AC518">
        <v>328</v>
      </c>
      <c r="AD518">
        <v>374</v>
      </c>
      <c r="AE518">
        <v>468</v>
      </c>
      <c r="AF518" s="927"/>
      <c r="AG518" s="927" t="s">
        <v>1189</v>
      </c>
      <c r="AH518" s="717"/>
      <c r="AK518" s="927"/>
      <c r="AO518" s="927"/>
      <c r="AP518" s="927"/>
      <c r="AQ518" s="927" t="s">
        <v>5502</v>
      </c>
    </row>
    <row r="519" spans="1:43">
      <c r="A519" s="927" t="s">
        <v>5768</v>
      </c>
      <c r="B519" s="927" t="s">
        <v>5503</v>
      </c>
      <c r="C519" s="927" t="s">
        <v>5769</v>
      </c>
      <c r="D519" s="927" t="s">
        <v>3613</v>
      </c>
      <c r="E519" s="717">
        <v>45762</v>
      </c>
      <c r="F519" s="927"/>
      <c r="G519" s="927" t="s">
        <v>5739</v>
      </c>
      <c r="H519" t="s">
        <v>5504</v>
      </c>
      <c r="I519" s="927"/>
      <c r="J519" s="131"/>
      <c r="K519" s="927" t="s">
        <v>5505</v>
      </c>
      <c r="L519" t="s">
        <v>3858</v>
      </c>
      <c r="M519" s="927" t="s">
        <v>320</v>
      </c>
      <c r="N519" s="927" t="s">
        <v>5505</v>
      </c>
      <c r="O519" s="927" t="s">
        <v>4060</v>
      </c>
      <c r="P519" s="927" t="s">
        <v>322</v>
      </c>
      <c r="Q519" s="927"/>
      <c r="R519" s="927"/>
      <c r="T519">
        <v>778</v>
      </c>
      <c r="U519">
        <v>778</v>
      </c>
      <c r="V519">
        <v>648</v>
      </c>
      <c r="W519">
        <v>583</v>
      </c>
      <c r="X519">
        <v>454</v>
      </c>
      <c r="Y519">
        <v>389</v>
      </c>
      <c r="Z519">
        <v>389</v>
      </c>
      <c r="AA519">
        <v>454</v>
      </c>
      <c r="AB519">
        <v>454</v>
      </c>
      <c r="AC519">
        <v>454</v>
      </c>
      <c r="AD519">
        <v>518</v>
      </c>
      <c r="AE519">
        <v>648</v>
      </c>
      <c r="AF519" s="927"/>
      <c r="AG519" s="927" t="s">
        <v>1189</v>
      </c>
      <c r="AH519" s="717"/>
      <c r="AK519" s="927"/>
      <c r="AO519" s="927"/>
      <c r="AP519" s="927"/>
      <c r="AQ519" s="927" t="s">
        <v>5506</v>
      </c>
    </row>
    <row r="520" spans="1:43">
      <c r="A520" s="927" t="s">
        <v>5507</v>
      </c>
      <c r="B520" s="927" t="s">
        <v>5508</v>
      </c>
      <c r="C520" s="927" t="s">
        <v>5509</v>
      </c>
      <c r="D520" s="927" t="s">
        <v>3613</v>
      </c>
      <c r="E520" s="717">
        <v>45754</v>
      </c>
      <c r="F520" s="927"/>
      <c r="G520" s="927" t="s">
        <v>5739</v>
      </c>
      <c r="I520" s="927"/>
      <c r="J520" s="131"/>
      <c r="K520" s="927" t="s">
        <v>306</v>
      </c>
      <c r="M520" s="927" t="s">
        <v>306</v>
      </c>
      <c r="N520" s="927" t="s">
        <v>306</v>
      </c>
      <c r="O520" s="927" t="s">
        <v>306</v>
      </c>
      <c r="P520" s="927"/>
      <c r="Q520" s="927"/>
      <c r="R520" s="927"/>
      <c r="T520">
        <v>893</v>
      </c>
      <c r="U520">
        <v>893</v>
      </c>
      <c r="V520">
        <v>744</v>
      </c>
      <c r="W520">
        <v>670</v>
      </c>
      <c r="X520">
        <v>521</v>
      </c>
      <c r="Y520">
        <v>446</v>
      </c>
      <c r="Z520">
        <v>446</v>
      </c>
      <c r="AA520">
        <v>521</v>
      </c>
      <c r="AB520">
        <v>521</v>
      </c>
      <c r="AC520">
        <v>521</v>
      </c>
      <c r="AD520">
        <v>595</v>
      </c>
      <c r="AE520">
        <v>744</v>
      </c>
      <c r="AF520" s="927"/>
      <c r="AG520" s="927" t="s">
        <v>1189</v>
      </c>
      <c r="AH520" s="717"/>
      <c r="AK520" s="927"/>
      <c r="AO520" s="927"/>
      <c r="AP520" s="927"/>
      <c r="AQ520" s="927" t="s">
        <v>5510</v>
      </c>
    </row>
    <row r="521" spans="1:43">
      <c r="A521" s="927" t="s">
        <v>5512</v>
      </c>
      <c r="B521" s="927" t="s">
        <v>5513</v>
      </c>
      <c r="C521" s="927" t="s">
        <v>5514</v>
      </c>
      <c r="D521" s="927" t="s">
        <v>3613</v>
      </c>
      <c r="E521" s="717">
        <v>45772</v>
      </c>
      <c r="F521" s="927"/>
      <c r="G521" s="927"/>
      <c r="H521" t="s">
        <v>5515</v>
      </c>
      <c r="I521" s="927"/>
      <c r="J521" s="131"/>
      <c r="K521" s="927" t="s">
        <v>306</v>
      </c>
      <c r="M521" s="927" t="s">
        <v>306</v>
      </c>
      <c r="N521" s="927" t="s">
        <v>306</v>
      </c>
      <c r="O521" s="927" t="s">
        <v>306</v>
      </c>
      <c r="P521" s="927"/>
      <c r="Q521" s="927"/>
      <c r="R521" s="927"/>
      <c r="T521">
        <v>1000</v>
      </c>
      <c r="U521">
        <v>1000</v>
      </c>
      <c r="V521">
        <v>1000</v>
      </c>
      <c r="W521">
        <v>1000</v>
      </c>
      <c r="X521">
        <v>1000</v>
      </c>
      <c r="Y521">
        <v>1000</v>
      </c>
      <c r="Z521">
        <v>1000</v>
      </c>
      <c r="AA521">
        <v>1000</v>
      </c>
      <c r="AB521">
        <v>1000</v>
      </c>
      <c r="AC521">
        <v>1000</v>
      </c>
      <c r="AD521">
        <v>1000</v>
      </c>
      <c r="AE521">
        <v>1000</v>
      </c>
      <c r="AF521" s="927"/>
      <c r="AG521" s="927"/>
      <c r="AH521" s="717"/>
      <c r="AK521" s="927"/>
      <c r="AO521" s="927"/>
      <c r="AP521" s="927"/>
      <c r="AQ521" s="927"/>
    </row>
    <row r="522" spans="1:43">
      <c r="A522" s="927" t="s">
        <v>5522</v>
      </c>
      <c r="B522" s="927" t="s">
        <v>5523</v>
      </c>
      <c r="C522" s="927" t="s">
        <v>5524</v>
      </c>
      <c r="D522" s="927" t="s">
        <v>3613</v>
      </c>
      <c r="E522" s="717">
        <v>45780</v>
      </c>
      <c r="F522" s="927"/>
      <c r="G522" s="927" t="s">
        <v>5739</v>
      </c>
      <c r="H522" t="s">
        <v>5525</v>
      </c>
      <c r="I522" s="927"/>
      <c r="J522" s="131"/>
      <c r="K522" s="927" t="s">
        <v>5526</v>
      </c>
      <c r="L522" t="s">
        <v>5527</v>
      </c>
      <c r="M522" s="927" t="s">
        <v>320</v>
      </c>
      <c r="N522" s="927" t="s">
        <v>1346</v>
      </c>
      <c r="O522" s="927" t="s">
        <v>4212</v>
      </c>
      <c r="P522" s="927"/>
      <c r="Q522" s="927"/>
      <c r="R522" s="927"/>
      <c r="T522">
        <v>720</v>
      </c>
      <c r="U522">
        <v>870</v>
      </c>
      <c r="V522">
        <v>1110</v>
      </c>
      <c r="W522">
        <v>730</v>
      </c>
      <c r="X522">
        <v>520</v>
      </c>
      <c r="Y522">
        <v>340</v>
      </c>
      <c r="Z522">
        <v>450</v>
      </c>
      <c r="AA522">
        <v>120</v>
      </c>
      <c r="AB522">
        <v>350</v>
      </c>
      <c r="AC522">
        <v>570</v>
      </c>
      <c r="AD522">
        <v>450</v>
      </c>
      <c r="AE522">
        <v>690</v>
      </c>
      <c r="AF522" s="927"/>
      <c r="AG522" s="927" t="s">
        <v>1189</v>
      </c>
      <c r="AH522" s="717"/>
      <c r="AK522" s="927"/>
      <c r="AO522" s="927"/>
      <c r="AP522" s="927"/>
      <c r="AQ522" s="927" t="s">
        <v>5528</v>
      </c>
    </row>
    <row r="523" spans="1:43">
      <c r="A523" s="927" t="s">
        <v>5537</v>
      </c>
      <c r="B523" s="927" t="s">
        <v>5538</v>
      </c>
      <c r="C523" s="927" t="s">
        <v>5539</v>
      </c>
      <c r="D523" s="927" t="s">
        <v>3613</v>
      </c>
      <c r="E523" s="717">
        <v>45783</v>
      </c>
      <c r="F523" s="927"/>
      <c r="G523" s="927" t="s">
        <v>5739</v>
      </c>
      <c r="H523" t="s">
        <v>5540</v>
      </c>
      <c r="I523" s="927"/>
      <c r="J523" s="131"/>
      <c r="K523" s="927" t="s">
        <v>5541</v>
      </c>
      <c r="L523" t="s">
        <v>3858</v>
      </c>
      <c r="M523" s="927" t="s">
        <v>320</v>
      </c>
      <c r="N523" s="927" t="s">
        <v>5541</v>
      </c>
      <c r="O523" s="927" t="s">
        <v>5542</v>
      </c>
      <c r="P523" s="927" t="s">
        <v>322</v>
      </c>
      <c r="Q523" s="927"/>
      <c r="R523" s="927"/>
      <c r="T523">
        <v>662</v>
      </c>
      <c r="U523">
        <v>662</v>
      </c>
      <c r="V523">
        <v>552</v>
      </c>
      <c r="W523">
        <v>497</v>
      </c>
      <c r="X523">
        <v>386</v>
      </c>
      <c r="Y523">
        <v>331</v>
      </c>
      <c r="Z523">
        <v>331</v>
      </c>
      <c r="AA523">
        <v>386</v>
      </c>
      <c r="AB523">
        <v>386</v>
      </c>
      <c r="AC523">
        <v>386</v>
      </c>
      <c r="AD523">
        <v>442</v>
      </c>
      <c r="AE523">
        <v>552</v>
      </c>
      <c r="AF523" s="927"/>
      <c r="AG523" s="927" t="s">
        <v>1189</v>
      </c>
      <c r="AH523" s="717"/>
      <c r="AK523" s="927"/>
      <c r="AO523" s="927"/>
      <c r="AP523" s="927"/>
      <c r="AQ523" s="927" t="s">
        <v>5543</v>
      </c>
    </row>
    <row r="524" spans="1:43">
      <c r="A524" s="927" t="s">
        <v>5546</v>
      </c>
      <c r="B524" s="927" t="s">
        <v>5547</v>
      </c>
      <c r="C524" s="927" t="s">
        <v>5548</v>
      </c>
      <c r="D524" s="927" t="s">
        <v>4209</v>
      </c>
      <c r="E524" s="717">
        <v>45785</v>
      </c>
      <c r="F524" s="927"/>
      <c r="G524" s="927" t="s">
        <v>5739</v>
      </c>
      <c r="H524" t="s">
        <v>5549</v>
      </c>
      <c r="I524" s="927"/>
      <c r="J524" s="131"/>
      <c r="K524" s="927" t="s">
        <v>5550</v>
      </c>
      <c r="L524" t="s">
        <v>5551</v>
      </c>
      <c r="M524" s="927" t="s">
        <v>320</v>
      </c>
      <c r="N524" s="927" t="s">
        <v>1346</v>
      </c>
      <c r="O524" s="927" t="s">
        <v>3712</v>
      </c>
      <c r="P524" s="927" t="s">
        <v>322</v>
      </c>
      <c r="Q524" s="927"/>
      <c r="R524" s="927"/>
      <c r="T524">
        <v>2304</v>
      </c>
      <c r="U524">
        <v>2304</v>
      </c>
      <c r="V524">
        <v>1920</v>
      </c>
      <c r="W524">
        <v>1728</v>
      </c>
      <c r="X524">
        <v>1344</v>
      </c>
      <c r="Y524">
        <v>1152</v>
      </c>
      <c r="Z524">
        <v>1152</v>
      </c>
      <c r="AA524">
        <v>1344</v>
      </c>
      <c r="AB524">
        <v>1344</v>
      </c>
      <c r="AC524">
        <v>1344</v>
      </c>
      <c r="AD524">
        <v>1536</v>
      </c>
      <c r="AE524">
        <v>1920</v>
      </c>
      <c r="AF524" s="927"/>
      <c r="AG524" s="927" t="s">
        <v>1189</v>
      </c>
      <c r="AH524" s="717"/>
      <c r="AK524" s="927"/>
      <c r="AO524" s="927"/>
      <c r="AP524" s="927"/>
      <c r="AQ524" s="927" t="s">
        <v>5556</v>
      </c>
    </row>
    <row r="525" spans="1:43">
      <c r="A525" s="927" t="s">
        <v>5552</v>
      </c>
      <c r="B525" s="927" t="s">
        <v>5553</v>
      </c>
      <c r="C525" s="927" t="s">
        <v>5554</v>
      </c>
      <c r="D525" s="927" t="s">
        <v>4209</v>
      </c>
      <c r="E525" s="717">
        <v>45733</v>
      </c>
      <c r="F525" s="927"/>
      <c r="G525" s="927" t="s">
        <v>5739</v>
      </c>
      <c r="I525" s="927"/>
      <c r="J525" s="131"/>
      <c r="K525" s="927" t="s">
        <v>1419</v>
      </c>
      <c r="L525" t="s">
        <v>3833</v>
      </c>
      <c r="M525" s="927" t="s">
        <v>320</v>
      </c>
      <c r="N525" s="927" t="s">
        <v>1346</v>
      </c>
      <c r="O525" s="927" t="s">
        <v>3653</v>
      </c>
      <c r="P525" s="927" t="s">
        <v>322</v>
      </c>
      <c r="Q525" s="927"/>
      <c r="R525" s="927"/>
      <c r="AF525" s="927"/>
      <c r="AG525" s="927"/>
      <c r="AH525" s="717"/>
      <c r="AK525" s="927"/>
      <c r="AO525" s="927"/>
      <c r="AP525" s="927"/>
      <c r="AQ525" s="927" t="s">
        <v>5555</v>
      </c>
    </row>
    <row r="526" spans="1:43">
      <c r="A526" s="927" t="s">
        <v>5557</v>
      </c>
      <c r="B526" s="927" t="s">
        <v>5558</v>
      </c>
      <c r="C526" s="927" t="s">
        <v>5559</v>
      </c>
      <c r="D526" s="927" t="s">
        <v>3613</v>
      </c>
      <c r="E526" s="717">
        <v>45791</v>
      </c>
      <c r="F526" s="927"/>
      <c r="G526" s="927" t="s">
        <v>5739</v>
      </c>
      <c r="H526" t="s">
        <v>5560</v>
      </c>
      <c r="I526" s="927"/>
      <c r="J526" s="131"/>
      <c r="K526" s="927" t="s">
        <v>5561</v>
      </c>
      <c r="L526" t="s">
        <v>5562</v>
      </c>
      <c r="M526" s="927" t="s">
        <v>320</v>
      </c>
      <c r="N526" s="927" t="s">
        <v>3661</v>
      </c>
      <c r="O526" s="927" t="s">
        <v>5328</v>
      </c>
      <c r="P526" s="927"/>
      <c r="Q526" s="927"/>
      <c r="R526" s="927"/>
      <c r="T526">
        <v>3326</v>
      </c>
      <c r="U526">
        <v>3326</v>
      </c>
      <c r="V526">
        <v>2772</v>
      </c>
      <c r="W526">
        <v>2495</v>
      </c>
      <c r="X526">
        <v>1940</v>
      </c>
      <c r="Y526">
        <v>1663</v>
      </c>
      <c r="Z526">
        <v>1663</v>
      </c>
      <c r="AA526">
        <v>1940</v>
      </c>
      <c r="AB526">
        <v>1940</v>
      </c>
      <c r="AC526">
        <v>1940</v>
      </c>
      <c r="AD526">
        <v>2218</v>
      </c>
      <c r="AE526">
        <v>2772</v>
      </c>
      <c r="AF526" s="927"/>
      <c r="AG526" s="927" t="s">
        <v>1189</v>
      </c>
      <c r="AH526" s="717"/>
      <c r="AK526" s="927"/>
      <c r="AO526" s="927"/>
      <c r="AP526" s="927"/>
      <c r="AQ526" s="927" t="s">
        <v>5563</v>
      </c>
    </row>
    <row r="527" spans="1:43">
      <c r="A527" s="927" t="s">
        <v>5564</v>
      </c>
      <c r="B527" s="927" t="s">
        <v>5565</v>
      </c>
      <c r="C527" s="927" t="s">
        <v>5566</v>
      </c>
      <c r="D527" s="927" t="s">
        <v>3613</v>
      </c>
      <c r="E527" s="717">
        <v>45792</v>
      </c>
      <c r="F527" s="927"/>
      <c r="G527" s="927" t="s">
        <v>5739</v>
      </c>
      <c r="H527" t="s">
        <v>5567</v>
      </c>
      <c r="I527" s="927"/>
      <c r="J527" s="131"/>
      <c r="K527" s="927" t="s">
        <v>4646</v>
      </c>
      <c r="L527" t="s">
        <v>3858</v>
      </c>
      <c r="M527" s="927" t="s">
        <v>320</v>
      </c>
      <c r="N527" s="927" t="s">
        <v>4646</v>
      </c>
      <c r="O527" s="927" t="s">
        <v>3712</v>
      </c>
      <c r="P527" s="927" t="s">
        <v>322</v>
      </c>
      <c r="Q527" s="927"/>
      <c r="R527" s="927"/>
      <c r="T527">
        <v>1008</v>
      </c>
      <c r="U527">
        <v>1008</v>
      </c>
      <c r="V527">
        <v>840</v>
      </c>
      <c r="W527">
        <v>756</v>
      </c>
      <c r="X527">
        <v>588</v>
      </c>
      <c r="Y527">
        <v>504</v>
      </c>
      <c r="Z527">
        <v>504</v>
      </c>
      <c r="AA527">
        <v>588</v>
      </c>
      <c r="AB527">
        <v>588</v>
      </c>
      <c r="AC527">
        <v>588</v>
      </c>
      <c r="AD527">
        <v>672</v>
      </c>
      <c r="AE527">
        <v>840</v>
      </c>
      <c r="AF527" s="927"/>
      <c r="AG527" s="927" t="s">
        <v>1189</v>
      </c>
      <c r="AH527" s="717"/>
      <c r="AK527" s="927"/>
      <c r="AO527" s="927"/>
      <c r="AP527" s="927"/>
      <c r="AQ527" s="927" t="s">
        <v>5568</v>
      </c>
    </row>
    <row r="528" spans="1:43">
      <c r="A528" s="927" t="s">
        <v>5569</v>
      </c>
      <c r="B528" s="927" t="s">
        <v>5570</v>
      </c>
      <c r="C528" s="927" t="s">
        <v>5571</v>
      </c>
      <c r="D528" s="927" t="s">
        <v>3613</v>
      </c>
      <c r="E528" s="717">
        <v>45793</v>
      </c>
      <c r="F528" s="927"/>
      <c r="G528" s="927" t="s">
        <v>5739</v>
      </c>
      <c r="H528" t="s">
        <v>5572</v>
      </c>
      <c r="I528" s="927"/>
      <c r="J528" s="131"/>
      <c r="K528" s="927" t="s">
        <v>4269</v>
      </c>
      <c r="L528" t="s">
        <v>3858</v>
      </c>
      <c r="M528" s="927" t="s">
        <v>320</v>
      </c>
      <c r="N528" s="927" t="s">
        <v>4269</v>
      </c>
      <c r="O528" s="927" t="s">
        <v>3666</v>
      </c>
      <c r="P528" s="927" t="s">
        <v>322</v>
      </c>
      <c r="Q528" s="927"/>
      <c r="R528" s="927"/>
      <c r="T528">
        <v>1008</v>
      </c>
      <c r="U528">
        <v>1008</v>
      </c>
      <c r="V528">
        <v>840</v>
      </c>
      <c r="W528">
        <v>756</v>
      </c>
      <c r="X528">
        <v>588</v>
      </c>
      <c r="Y528">
        <v>504</v>
      </c>
      <c r="Z528">
        <v>504</v>
      </c>
      <c r="AA528">
        <v>588</v>
      </c>
      <c r="AB528">
        <v>588</v>
      </c>
      <c r="AC528">
        <v>588</v>
      </c>
      <c r="AD528">
        <v>672</v>
      </c>
      <c r="AE528">
        <v>840</v>
      </c>
      <c r="AF528" s="927"/>
      <c r="AG528" s="927" t="s">
        <v>1189</v>
      </c>
      <c r="AH528" s="717"/>
      <c r="AK528" s="927"/>
      <c r="AO528" s="927"/>
      <c r="AP528" s="927"/>
      <c r="AQ528" s="927" t="s">
        <v>5573</v>
      </c>
    </row>
    <row r="529" spans="1:43">
      <c r="A529" s="927" t="s">
        <v>5574</v>
      </c>
      <c r="B529" s="927" t="s">
        <v>5575</v>
      </c>
      <c r="C529" s="927" t="s">
        <v>5576</v>
      </c>
      <c r="D529" s="927" t="s">
        <v>3613</v>
      </c>
      <c r="E529" s="717">
        <v>45793</v>
      </c>
      <c r="F529" s="927"/>
      <c r="G529" s="927" t="s">
        <v>5739</v>
      </c>
      <c r="H529" t="s">
        <v>5577</v>
      </c>
      <c r="I529" s="927"/>
      <c r="J529" s="131"/>
      <c r="K529" s="927" t="s">
        <v>5578</v>
      </c>
      <c r="L529" t="s">
        <v>5579</v>
      </c>
      <c r="M529" s="927" t="s">
        <v>1346</v>
      </c>
      <c r="N529" s="927" t="s">
        <v>5578</v>
      </c>
      <c r="O529" s="927" t="s">
        <v>1346</v>
      </c>
      <c r="P529" s="927" t="s">
        <v>322</v>
      </c>
      <c r="Q529" s="927"/>
      <c r="R529" s="927"/>
      <c r="T529">
        <v>893</v>
      </c>
      <c r="U529">
        <v>893</v>
      </c>
      <c r="V529">
        <v>744</v>
      </c>
      <c r="W529">
        <v>670</v>
      </c>
      <c r="X529">
        <v>521</v>
      </c>
      <c r="Y529">
        <v>446</v>
      </c>
      <c r="Z529">
        <v>446</v>
      </c>
      <c r="AA529">
        <v>521</v>
      </c>
      <c r="AB529">
        <v>521</v>
      </c>
      <c r="AC529">
        <v>521</v>
      </c>
      <c r="AD529">
        <v>595</v>
      </c>
      <c r="AE529">
        <v>744</v>
      </c>
      <c r="AF529" s="927"/>
      <c r="AG529" s="927" t="s">
        <v>1189</v>
      </c>
      <c r="AH529" s="717"/>
      <c r="AK529" s="927"/>
      <c r="AO529" s="927"/>
      <c r="AP529" s="927"/>
      <c r="AQ529" s="927" t="s">
        <v>5580</v>
      </c>
    </row>
    <row r="530" spans="1:43">
      <c r="A530" s="927" t="s">
        <v>5581</v>
      </c>
      <c r="B530" s="927" t="s">
        <v>5582</v>
      </c>
      <c r="C530" s="927" t="s">
        <v>5583</v>
      </c>
      <c r="D530" s="927" t="s">
        <v>3613</v>
      </c>
      <c r="E530" s="717">
        <v>45798</v>
      </c>
      <c r="F530" s="927"/>
      <c r="G530" s="927" t="s">
        <v>5739</v>
      </c>
      <c r="I530" s="927"/>
      <c r="J530" s="131"/>
      <c r="K530" s="927" t="s">
        <v>5584</v>
      </c>
      <c r="L530" t="s">
        <v>5585</v>
      </c>
      <c r="M530" s="927" t="s">
        <v>320</v>
      </c>
      <c r="N530" s="927" t="s">
        <v>1346</v>
      </c>
      <c r="O530" s="927" t="s">
        <v>5586</v>
      </c>
      <c r="P530" s="927" t="s">
        <v>322</v>
      </c>
      <c r="Q530" s="927"/>
      <c r="R530" s="927"/>
      <c r="T530">
        <v>96900</v>
      </c>
      <c r="U530">
        <v>96900</v>
      </c>
      <c r="V530">
        <v>91800</v>
      </c>
      <c r="W530">
        <v>81600</v>
      </c>
      <c r="X530">
        <v>76500</v>
      </c>
      <c r="Y530">
        <v>71400</v>
      </c>
      <c r="Z530">
        <v>76500</v>
      </c>
      <c r="AA530">
        <v>76500</v>
      </c>
      <c r="AB530">
        <v>81600</v>
      </c>
      <c r="AC530">
        <v>86700</v>
      </c>
      <c r="AD530">
        <v>91800</v>
      </c>
      <c r="AE530">
        <v>96900</v>
      </c>
      <c r="AF530" s="927"/>
      <c r="AG530" s="927"/>
      <c r="AH530" s="717"/>
      <c r="AK530" s="927"/>
      <c r="AO530" s="927"/>
      <c r="AP530" s="927"/>
      <c r="AQ530" s="927" t="s">
        <v>5587</v>
      </c>
    </row>
    <row r="531" spans="1:43">
      <c r="A531" s="927" t="s">
        <v>5588</v>
      </c>
      <c r="B531" s="927" t="s">
        <v>5589</v>
      </c>
      <c r="C531" s="927" t="s">
        <v>5590</v>
      </c>
      <c r="D531" s="927" t="s">
        <v>3613</v>
      </c>
      <c r="E531" s="717">
        <v>45797</v>
      </c>
      <c r="F531" s="927"/>
      <c r="G531" s="927" t="s">
        <v>5739</v>
      </c>
      <c r="H531" t="s">
        <v>5659</v>
      </c>
      <c r="I531" s="927" t="s">
        <v>5660</v>
      </c>
      <c r="J531" s="131"/>
      <c r="K531" s="927" t="s">
        <v>5591</v>
      </c>
      <c r="L531" t="s">
        <v>5592</v>
      </c>
      <c r="M531" s="927" t="s">
        <v>320</v>
      </c>
      <c r="N531" s="927" t="s">
        <v>1346</v>
      </c>
      <c r="O531" s="927" t="s">
        <v>1347</v>
      </c>
      <c r="P531" s="927" t="s">
        <v>322</v>
      </c>
      <c r="Q531" s="927"/>
      <c r="R531" s="927"/>
      <c r="T531">
        <v>994</v>
      </c>
      <c r="U531">
        <v>994</v>
      </c>
      <c r="V531">
        <v>828</v>
      </c>
      <c r="W531">
        <v>745</v>
      </c>
      <c r="X531">
        <v>580</v>
      </c>
      <c r="Y531">
        <v>497</v>
      </c>
      <c r="Z531">
        <v>497</v>
      </c>
      <c r="AA531">
        <v>580</v>
      </c>
      <c r="AB531">
        <v>580</v>
      </c>
      <c r="AC531">
        <v>580</v>
      </c>
      <c r="AD531">
        <v>662</v>
      </c>
      <c r="AE531">
        <v>828</v>
      </c>
      <c r="AF531" s="927"/>
      <c r="AG531" s="927" t="s">
        <v>1420</v>
      </c>
      <c r="AH531" s="717"/>
      <c r="AK531" s="927"/>
      <c r="AO531" s="927"/>
      <c r="AP531" s="927"/>
      <c r="AQ531" s="927" t="s">
        <v>5593</v>
      </c>
    </row>
    <row r="532" spans="1:43">
      <c r="A532" s="927" t="s">
        <v>5594</v>
      </c>
      <c r="B532" s="927" t="s">
        <v>5595</v>
      </c>
      <c r="C532" s="927" t="s">
        <v>5596</v>
      </c>
      <c r="D532" s="927" t="s">
        <v>3613</v>
      </c>
      <c r="E532" s="717">
        <v>45799</v>
      </c>
      <c r="F532" s="927"/>
      <c r="G532" s="927" t="s">
        <v>5739</v>
      </c>
      <c r="I532" s="927"/>
      <c r="J532" s="131"/>
      <c r="K532" s="927" t="s">
        <v>5597</v>
      </c>
      <c r="L532" t="s">
        <v>5598</v>
      </c>
      <c r="M532" s="927" t="s">
        <v>320</v>
      </c>
      <c r="N532" s="927" t="s">
        <v>1346</v>
      </c>
      <c r="O532" s="927" t="s">
        <v>1347</v>
      </c>
      <c r="P532" s="927"/>
      <c r="Q532" s="927"/>
      <c r="R532" s="927"/>
      <c r="T532">
        <v>15433</v>
      </c>
      <c r="U532">
        <v>17007</v>
      </c>
      <c r="V532">
        <v>17626</v>
      </c>
      <c r="W532">
        <v>15595</v>
      </c>
      <c r="X532">
        <v>15591</v>
      </c>
      <c r="Y532">
        <v>14811</v>
      </c>
      <c r="Z532">
        <v>15095</v>
      </c>
      <c r="AA532">
        <v>15029</v>
      </c>
      <c r="AB532">
        <v>15319</v>
      </c>
      <c r="AC532">
        <v>14025</v>
      </c>
      <c r="AD532">
        <v>15454</v>
      </c>
      <c r="AE532">
        <v>14919</v>
      </c>
      <c r="AF532" s="927"/>
      <c r="AG532" s="927"/>
      <c r="AH532" s="717"/>
      <c r="AK532" s="927"/>
      <c r="AO532" s="927"/>
      <c r="AP532" s="927"/>
      <c r="AQ532" s="927" t="s">
        <v>5599</v>
      </c>
    </row>
    <row r="533" spans="1:43">
      <c r="A533" s="927" t="s">
        <v>5600</v>
      </c>
      <c r="B533" s="927" t="s">
        <v>5601</v>
      </c>
      <c r="C533" s="927" t="s">
        <v>5602</v>
      </c>
      <c r="D533" s="927" t="s">
        <v>3613</v>
      </c>
      <c r="E533" s="717">
        <v>45799</v>
      </c>
      <c r="F533" s="927"/>
      <c r="G533" s="927"/>
      <c r="H533" t="s">
        <v>5603</v>
      </c>
      <c r="I533" s="927"/>
      <c r="J533" s="131"/>
      <c r="K533" s="927" t="s">
        <v>5604</v>
      </c>
      <c r="L533" t="s">
        <v>5605</v>
      </c>
      <c r="M533" s="927" t="s">
        <v>320</v>
      </c>
      <c r="N533" s="927" t="s">
        <v>1346</v>
      </c>
      <c r="O533" s="927" t="s">
        <v>3895</v>
      </c>
      <c r="P533" s="927" t="s">
        <v>322</v>
      </c>
      <c r="Q533" s="927"/>
      <c r="R533" s="927"/>
      <c r="T533">
        <v>994</v>
      </c>
      <c r="U533">
        <v>994</v>
      </c>
      <c r="V533">
        <v>828</v>
      </c>
      <c r="W533">
        <v>745</v>
      </c>
      <c r="X533">
        <v>580</v>
      </c>
      <c r="Y533">
        <v>497</v>
      </c>
      <c r="Z533">
        <v>497</v>
      </c>
      <c r="AA533">
        <v>580</v>
      </c>
      <c r="AB533">
        <v>580</v>
      </c>
      <c r="AC533">
        <v>580</v>
      </c>
      <c r="AD533">
        <v>662</v>
      </c>
      <c r="AE533">
        <v>828</v>
      </c>
      <c r="AF533" s="927"/>
      <c r="AG533" s="927"/>
      <c r="AH533" s="717"/>
      <c r="AK533" s="927"/>
      <c r="AO533" s="927"/>
      <c r="AP533" s="927"/>
      <c r="AQ533" s="927" t="s">
        <v>5606</v>
      </c>
    </row>
    <row r="534" spans="1:43">
      <c r="A534" s="927" t="s">
        <v>5610</v>
      </c>
      <c r="B534" s="927" t="s">
        <v>5611</v>
      </c>
      <c r="C534" s="927" t="s">
        <v>5612</v>
      </c>
      <c r="D534" s="927" t="s">
        <v>3613</v>
      </c>
      <c r="E534" s="717">
        <v>45797</v>
      </c>
      <c r="F534" s="927"/>
      <c r="G534" s="927" t="s">
        <v>5739</v>
      </c>
      <c r="H534" t="s">
        <v>5613</v>
      </c>
      <c r="I534" s="927"/>
      <c r="J534" s="131"/>
      <c r="K534" s="927" t="s">
        <v>5614</v>
      </c>
      <c r="L534" t="s">
        <v>5615</v>
      </c>
      <c r="M534" s="927" t="s">
        <v>320</v>
      </c>
      <c r="N534" s="927" t="s">
        <v>1346</v>
      </c>
      <c r="O534" s="927" t="s">
        <v>1347</v>
      </c>
      <c r="P534" s="927"/>
      <c r="Q534" s="927"/>
      <c r="R534" s="927"/>
      <c r="T534">
        <v>9918</v>
      </c>
      <c r="U534">
        <v>9918</v>
      </c>
      <c r="V534">
        <v>9396</v>
      </c>
      <c r="W534">
        <v>8352</v>
      </c>
      <c r="X534">
        <v>7830</v>
      </c>
      <c r="Y534">
        <v>7308</v>
      </c>
      <c r="Z534">
        <v>7830</v>
      </c>
      <c r="AA534">
        <v>7830</v>
      </c>
      <c r="AB534">
        <v>8352</v>
      </c>
      <c r="AC534">
        <v>8874</v>
      </c>
      <c r="AD534">
        <v>9396</v>
      </c>
      <c r="AE534">
        <v>9918</v>
      </c>
      <c r="AF534" s="927"/>
      <c r="AG534" s="927" t="s">
        <v>1420</v>
      </c>
      <c r="AH534" s="717"/>
      <c r="AK534" s="927"/>
      <c r="AO534" s="927"/>
      <c r="AP534" s="927"/>
      <c r="AQ534" s="927" t="s">
        <v>5616</v>
      </c>
    </row>
    <row r="535" spans="1:43">
      <c r="A535" s="927" t="s">
        <v>5617</v>
      </c>
      <c r="B535" s="927" t="s">
        <v>5618</v>
      </c>
      <c r="C535" s="927" t="s">
        <v>5619</v>
      </c>
      <c r="D535" s="927" t="s">
        <v>3613</v>
      </c>
      <c r="E535" s="717">
        <v>45801</v>
      </c>
      <c r="F535" s="927"/>
      <c r="G535" s="927" t="s">
        <v>5739</v>
      </c>
      <c r="I535" s="927"/>
      <c r="J535" s="131"/>
      <c r="K535" s="927" t="s">
        <v>4646</v>
      </c>
      <c r="L535" t="s">
        <v>3858</v>
      </c>
      <c r="M535" s="927" t="s">
        <v>320</v>
      </c>
      <c r="N535" s="927" t="s">
        <v>4646</v>
      </c>
      <c r="O535" s="927" t="s">
        <v>3712</v>
      </c>
      <c r="P535" s="927" t="s">
        <v>322</v>
      </c>
      <c r="Q535" s="927"/>
      <c r="R535" s="927"/>
      <c r="T535">
        <v>562</v>
      </c>
      <c r="U535">
        <v>562</v>
      </c>
      <c r="V535">
        <v>468</v>
      </c>
      <c r="W535">
        <v>421</v>
      </c>
      <c r="X535">
        <v>328</v>
      </c>
      <c r="Y535">
        <v>281</v>
      </c>
      <c r="Z535">
        <v>281</v>
      </c>
      <c r="AA535">
        <v>328</v>
      </c>
      <c r="AB535">
        <v>328</v>
      </c>
      <c r="AC535">
        <v>328</v>
      </c>
      <c r="AD535">
        <v>374</v>
      </c>
      <c r="AE535">
        <v>468</v>
      </c>
      <c r="AF535" s="927"/>
      <c r="AG535" s="927" t="s">
        <v>1189</v>
      </c>
      <c r="AH535" s="717"/>
      <c r="AK535" s="927"/>
      <c r="AO535" s="927"/>
      <c r="AP535" s="927"/>
      <c r="AQ535" s="927" t="s">
        <v>5620</v>
      </c>
    </row>
    <row r="536" spans="1:43">
      <c r="A536" s="927" t="s">
        <v>5840</v>
      </c>
      <c r="B536" s="927" t="s">
        <v>5629</v>
      </c>
      <c r="C536" s="927" t="s">
        <v>5841</v>
      </c>
      <c r="D536" s="927" t="s">
        <v>3615</v>
      </c>
      <c r="E536" s="717">
        <v>45805</v>
      </c>
      <c r="F536" s="927"/>
      <c r="G536" s="927" t="s">
        <v>5842</v>
      </c>
      <c r="I536" s="927"/>
      <c r="J536" s="131"/>
      <c r="K536" s="927" t="s">
        <v>5447</v>
      </c>
      <c r="L536" t="s">
        <v>5448</v>
      </c>
      <c r="M536" s="927" t="s">
        <v>320</v>
      </c>
      <c r="N536" s="927" t="s">
        <v>1346</v>
      </c>
      <c r="O536" s="927" t="s">
        <v>3653</v>
      </c>
      <c r="P536" s="927" t="s">
        <v>322</v>
      </c>
      <c r="Q536" s="927" t="s">
        <v>323</v>
      </c>
      <c r="R536" s="927" t="s">
        <v>324</v>
      </c>
      <c r="S536">
        <v>57175</v>
      </c>
      <c r="T536">
        <v>606</v>
      </c>
      <c r="U536">
        <v>773</v>
      </c>
      <c r="V536">
        <v>901</v>
      </c>
      <c r="W536">
        <v>710</v>
      </c>
      <c r="X536">
        <v>802</v>
      </c>
      <c r="Y536">
        <v>503</v>
      </c>
      <c r="Z536">
        <v>429</v>
      </c>
      <c r="AA536">
        <v>322</v>
      </c>
      <c r="AB536">
        <v>346</v>
      </c>
      <c r="AC536">
        <v>474</v>
      </c>
      <c r="AD536">
        <v>443</v>
      </c>
      <c r="AE536">
        <v>552</v>
      </c>
      <c r="AF536" s="927"/>
      <c r="AG536" s="927" t="s">
        <v>963</v>
      </c>
      <c r="AH536" s="717"/>
      <c r="AK536" s="927"/>
      <c r="AO536" s="927"/>
      <c r="AP536" s="927"/>
      <c r="AQ536" s="927" t="s">
        <v>5630</v>
      </c>
    </row>
    <row r="537" spans="1:43">
      <c r="A537" s="927" t="s">
        <v>5635</v>
      </c>
      <c r="B537" s="927" t="s">
        <v>5636</v>
      </c>
      <c r="C537" s="927" t="s">
        <v>5637</v>
      </c>
      <c r="D537" s="927" t="s">
        <v>3613</v>
      </c>
      <c r="E537" s="717">
        <v>45804</v>
      </c>
      <c r="F537" s="927"/>
      <c r="G537" s="927"/>
      <c r="H537" t="s">
        <v>5638</v>
      </c>
      <c r="I537" s="927" t="s">
        <v>5639</v>
      </c>
      <c r="J537" s="131"/>
      <c r="K537" s="927" t="s">
        <v>5640</v>
      </c>
      <c r="L537" t="s">
        <v>5641</v>
      </c>
      <c r="M537" s="927" t="s">
        <v>320</v>
      </c>
      <c r="N537" s="927" t="s">
        <v>1346</v>
      </c>
      <c r="O537" s="927" t="s">
        <v>5642</v>
      </c>
      <c r="P537" s="927" t="s">
        <v>322</v>
      </c>
      <c r="Q537" s="927"/>
      <c r="R537" s="927"/>
      <c r="T537">
        <v>13213</v>
      </c>
      <c r="U537">
        <v>13213</v>
      </c>
      <c r="V537">
        <v>12517</v>
      </c>
      <c r="W537">
        <v>11126</v>
      </c>
      <c r="X537">
        <v>10431</v>
      </c>
      <c r="Y537">
        <v>9736</v>
      </c>
      <c r="Z537">
        <v>10431</v>
      </c>
      <c r="AA537">
        <v>10431</v>
      </c>
      <c r="AB537">
        <v>11126</v>
      </c>
      <c r="AC537">
        <v>11822</v>
      </c>
      <c r="AD537">
        <v>12517</v>
      </c>
      <c r="AE537">
        <v>13213</v>
      </c>
      <c r="AF537" s="927"/>
      <c r="AG537" s="927" t="s">
        <v>1420</v>
      </c>
      <c r="AH537" s="717"/>
      <c r="AK537" s="927"/>
      <c r="AO537" s="927"/>
      <c r="AP537" s="927"/>
      <c r="AQ537" s="927" t="s">
        <v>5643</v>
      </c>
    </row>
    <row r="538" spans="1:43">
      <c r="A538" s="927" t="s">
        <v>5718</v>
      </c>
      <c r="B538" s="927" t="s">
        <v>5644</v>
      </c>
      <c r="C538" s="927" t="s">
        <v>5719</v>
      </c>
      <c r="D538" s="927" t="s">
        <v>1371</v>
      </c>
      <c r="E538" s="717">
        <v>45811</v>
      </c>
      <c r="F538" s="927"/>
      <c r="G538" s="927" t="s">
        <v>5739</v>
      </c>
      <c r="H538" t="s">
        <v>5661</v>
      </c>
      <c r="I538" s="927" t="s">
        <v>5720</v>
      </c>
      <c r="J538" s="131">
        <v>24334</v>
      </c>
      <c r="K538" s="927" t="s">
        <v>4040</v>
      </c>
      <c r="L538" t="s">
        <v>4041</v>
      </c>
      <c r="M538" s="927" t="s">
        <v>320</v>
      </c>
      <c r="N538" s="927" t="s">
        <v>1346</v>
      </c>
      <c r="O538" s="927" t="s">
        <v>3961</v>
      </c>
      <c r="P538" s="927" t="s">
        <v>322</v>
      </c>
      <c r="Q538" s="927"/>
      <c r="R538" s="927" t="s">
        <v>324</v>
      </c>
      <c r="T538">
        <v>349</v>
      </c>
      <c r="U538">
        <v>480</v>
      </c>
      <c r="V538">
        <v>447</v>
      </c>
      <c r="W538">
        <v>305</v>
      </c>
      <c r="X538">
        <v>266</v>
      </c>
      <c r="Y538">
        <v>294</v>
      </c>
      <c r="Z538">
        <v>270</v>
      </c>
      <c r="AA538">
        <v>315</v>
      </c>
      <c r="AB538">
        <v>273</v>
      </c>
      <c r="AC538">
        <v>320</v>
      </c>
      <c r="AD538">
        <v>348</v>
      </c>
      <c r="AE538">
        <v>353</v>
      </c>
      <c r="AF538" s="927"/>
      <c r="AG538" s="927" t="s">
        <v>1189</v>
      </c>
      <c r="AH538" s="717"/>
      <c r="AI538">
        <v>4.68</v>
      </c>
      <c r="AK538" s="927"/>
      <c r="AL538">
        <v>8</v>
      </c>
      <c r="AM538">
        <v>585</v>
      </c>
      <c r="AO538" s="927"/>
      <c r="AP538" s="927"/>
      <c r="AQ538" s="927" t="s">
        <v>5721</v>
      </c>
    </row>
    <row r="539" spans="1:43">
      <c r="A539" s="927" t="s">
        <v>5645</v>
      </c>
      <c r="B539" s="927" t="s">
        <v>5646</v>
      </c>
      <c r="C539" s="927" t="s">
        <v>5647</v>
      </c>
      <c r="D539" s="927" t="s">
        <v>3613</v>
      </c>
      <c r="E539" s="717">
        <v>45812</v>
      </c>
      <c r="F539" s="927"/>
      <c r="G539" s="927"/>
      <c r="H539" t="s">
        <v>5648</v>
      </c>
      <c r="I539" s="927"/>
      <c r="J539" s="131"/>
      <c r="K539" s="927" t="s">
        <v>5649</v>
      </c>
      <c r="L539" t="s">
        <v>3858</v>
      </c>
      <c r="M539" s="927" t="s">
        <v>320</v>
      </c>
      <c r="N539" s="927" t="s">
        <v>5649</v>
      </c>
      <c r="O539" s="927" t="s">
        <v>5650</v>
      </c>
      <c r="P539" s="927" t="s">
        <v>322</v>
      </c>
      <c r="Q539" s="927"/>
      <c r="R539" s="927" t="s">
        <v>324</v>
      </c>
      <c r="T539">
        <v>662</v>
      </c>
      <c r="U539">
        <v>662</v>
      </c>
      <c r="V539">
        <v>552</v>
      </c>
      <c r="W539">
        <v>497</v>
      </c>
      <c r="X539">
        <v>386</v>
      </c>
      <c r="Y539">
        <v>331</v>
      </c>
      <c r="Z539">
        <v>331</v>
      </c>
      <c r="AA539">
        <v>386</v>
      </c>
      <c r="AB539">
        <v>386</v>
      </c>
      <c r="AC539">
        <v>386</v>
      </c>
      <c r="AD539">
        <v>442</v>
      </c>
      <c r="AE539">
        <v>552</v>
      </c>
      <c r="AF539" s="927"/>
      <c r="AG539" s="927" t="s">
        <v>1189</v>
      </c>
      <c r="AH539" s="717"/>
      <c r="AK539" s="927"/>
      <c r="AO539" s="927"/>
      <c r="AP539" s="927"/>
      <c r="AQ539" s="927" t="s">
        <v>5651</v>
      </c>
    </row>
    <row r="540" spans="1:43">
      <c r="A540" s="927" t="s">
        <v>5652</v>
      </c>
      <c r="B540" s="927" t="s">
        <v>5653</v>
      </c>
      <c r="C540" s="927" t="s">
        <v>5654</v>
      </c>
      <c r="D540" s="927" t="s">
        <v>3613</v>
      </c>
      <c r="E540" s="717">
        <v>45811</v>
      </c>
      <c r="F540" s="927"/>
      <c r="G540" s="927" t="s">
        <v>5739</v>
      </c>
      <c r="I540" s="927"/>
      <c r="J540" s="131"/>
      <c r="K540" s="927" t="s">
        <v>5655</v>
      </c>
      <c r="L540" t="s">
        <v>5656</v>
      </c>
      <c r="M540" s="927" t="s">
        <v>320</v>
      </c>
      <c r="N540" s="927" t="s">
        <v>1346</v>
      </c>
      <c r="O540" s="927" t="s">
        <v>5657</v>
      </c>
      <c r="P540" s="927" t="s">
        <v>322</v>
      </c>
      <c r="Q540" s="927"/>
      <c r="R540" s="927"/>
      <c r="T540">
        <v>533</v>
      </c>
      <c r="U540">
        <v>533</v>
      </c>
      <c r="V540">
        <v>444</v>
      </c>
      <c r="W540">
        <v>400</v>
      </c>
      <c r="X540">
        <v>311</v>
      </c>
      <c r="Y540">
        <v>266</v>
      </c>
      <c r="Z540">
        <v>266</v>
      </c>
      <c r="AA540">
        <v>311</v>
      </c>
      <c r="AB540">
        <v>311</v>
      </c>
      <c r="AC540">
        <v>311</v>
      </c>
      <c r="AD540">
        <v>355</v>
      </c>
      <c r="AE540">
        <v>444</v>
      </c>
      <c r="AF540" s="927"/>
      <c r="AG540" s="927" t="s">
        <v>1189</v>
      </c>
      <c r="AH540" s="717"/>
      <c r="AK540" s="927"/>
      <c r="AO540" s="927"/>
      <c r="AP540" s="927"/>
      <c r="AQ540" s="927" t="s">
        <v>5658</v>
      </c>
    </row>
    <row r="541" spans="1:43">
      <c r="A541" s="927" t="s">
        <v>5662</v>
      </c>
      <c r="B541" s="927" t="s">
        <v>5663</v>
      </c>
      <c r="C541" s="927" t="s">
        <v>5664</v>
      </c>
      <c r="D541" s="927" t="s">
        <v>3613</v>
      </c>
      <c r="E541" s="717">
        <v>45818</v>
      </c>
      <c r="F541" s="927"/>
      <c r="G541" s="927" t="s">
        <v>5739</v>
      </c>
      <c r="I541" s="927"/>
      <c r="J541" s="131"/>
      <c r="K541" s="927" t="s">
        <v>1419</v>
      </c>
      <c r="L541" t="s">
        <v>3833</v>
      </c>
      <c r="M541" s="927" t="s">
        <v>320</v>
      </c>
      <c r="N541" s="927" t="s">
        <v>1346</v>
      </c>
      <c r="O541" s="927" t="s">
        <v>3653</v>
      </c>
      <c r="P541" s="927" t="s">
        <v>322</v>
      </c>
      <c r="Q541" s="927"/>
      <c r="R541" s="927"/>
      <c r="T541">
        <v>651</v>
      </c>
      <c r="U541">
        <v>587</v>
      </c>
      <c r="V541">
        <v>750</v>
      </c>
      <c r="W541">
        <v>533</v>
      </c>
      <c r="X541">
        <v>517</v>
      </c>
      <c r="Y541">
        <v>479</v>
      </c>
      <c r="Z541">
        <v>421</v>
      </c>
      <c r="AA541">
        <v>320</v>
      </c>
      <c r="AB541">
        <v>423</v>
      </c>
      <c r="AC541">
        <v>574</v>
      </c>
      <c r="AD541">
        <v>491</v>
      </c>
      <c r="AE541">
        <v>599</v>
      </c>
      <c r="AF541" s="927"/>
      <c r="AG541" s="927" t="s">
        <v>1189</v>
      </c>
      <c r="AH541" s="717"/>
      <c r="AK541" s="927"/>
      <c r="AO541" s="927"/>
      <c r="AP541" s="927"/>
      <c r="AQ541" s="927" t="s">
        <v>5665</v>
      </c>
    </row>
    <row r="542" spans="1:43">
      <c r="A542" s="927" t="s">
        <v>5666</v>
      </c>
      <c r="B542" s="927" t="s">
        <v>5667</v>
      </c>
      <c r="C542" s="927" t="s">
        <v>5668</v>
      </c>
      <c r="D542" s="927" t="s">
        <v>3613</v>
      </c>
      <c r="E542" s="717">
        <v>45818</v>
      </c>
      <c r="F542" s="927"/>
      <c r="G542" s="927" t="s">
        <v>5739</v>
      </c>
      <c r="H542" t="s">
        <v>5669</v>
      </c>
      <c r="I542" s="927"/>
      <c r="J542" s="131"/>
      <c r="K542" s="927" t="s">
        <v>5670</v>
      </c>
      <c r="L542" t="s">
        <v>3858</v>
      </c>
      <c r="M542" s="927" t="s">
        <v>320</v>
      </c>
      <c r="N542" s="927" t="s">
        <v>5670</v>
      </c>
      <c r="O542" s="927" t="s">
        <v>3934</v>
      </c>
      <c r="P542" s="927"/>
      <c r="Q542" s="927"/>
      <c r="R542" s="927"/>
      <c r="T542">
        <v>1052</v>
      </c>
      <c r="U542">
        <v>1052</v>
      </c>
      <c r="V542">
        <v>960</v>
      </c>
      <c r="W542">
        <v>864</v>
      </c>
      <c r="X542">
        <v>672</v>
      </c>
      <c r="Y542">
        <v>576</v>
      </c>
      <c r="Z542">
        <v>576</v>
      </c>
      <c r="AA542">
        <v>672</v>
      </c>
      <c r="AB542">
        <v>672</v>
      </c>
      <c r="AC542">
        <v>672</v>
      </c>
      <c r="AD542">
        <v>768</v>
      </c>
      <c r="AE542">
        <v>960</v>
      </c>
      <c r="AF542" s="927"/>
      <c r="AG542" s="927" t="s">
        <v>1189</v>
      </c>
      <c r="AH542" s="717"/>
      <c r="AK542" s="927"/>
      <c r="AO542" s="927"/>
      <c r="AP542" s="927"/>
      <c r="AQ542" s="927" t="s">
        <v>5671</v>
      </c>
    </row>
    <row r="543" spans="1:43">
      <c r="A543" s="927" t="s">
        <v>5672</v>
      </c>
      <c r="B543" s="927" t="s">
        <v>5673</v>
      </c>
      <c r="C543" s="927" t="s">
        <v>5674</v>
      </c>
      <c r="D543" s="927" t="s">
        <v>3613</v>
      </c>
      <c r="E543" s="717">
        <v>45806</v>
      </c>
      <c r="F543" s="927"/>
      <c r="G543" s="927" t="s">
        <v>5739</v>
      </c>
      <c r="I543" s="927"/>
      <c r="J543" s="131"/>
      <c r="K543" s="927" t="s">
        <v>5675</v>
      </c>
      <c r="L543" t="s">
        <v>5676</v>
      </c>
      <c r="M543" s="927" t="s">
        <v>320</v>
      </c>
      <c r="N543" s="927" t="s">
        <v>1346</v>
      </c>
      <c r="O543" s="927" t="s">
        <v>4204</v>
      </c>
      <c r="P543" s="927" t="s">
        <v>322</v>
      </c>
      <c r="Q543" s="927"/>
      <c r="R543" s="927" t="s">
        <v>324</v>
      </c>
      <c r="T543">
        <v>4990</v>
      </c>
      <c r="U543">
        <v>4990</v>
      </c>
      <c r="V543">
        <v>4780</v>
      </c>
      <c r="W543">
        <v>4360</v>
      </c>
      <c r="X543">
        <v>4150</v>
      </c>
      <c r="Y543">
        <v>3940</v>
      </c>
      <c r="Z543">
        <v>4150</v>
      </c>
      <c r="AA543">
        <v>4150</v>
      </c>
      <c r="AB543">
        <v>4360</v>
      </c>
      <c r="AC543">
        <v>4570</v>
      </c>
      <c r="AD543">
        <v>4780</v>
      </c>
      <c r="AE543">
        <v>4990</v>
      </c>
      <c r="AF543" s="927"/>
      <c r="AG543" s="927" t="s">
        <v>1420</v>
      </c>
      <c r="AH543" s="717"/>
      <c r="AK543" s="927"/>
      <c r="AO543" s="927"/>
      <c r="AP543" s="927"/>
      <c r="AQ543" s="927" t="s">
        <v>5677</v>
      </c>
    </row>
    <row r="544" spans="1:43">
      <c r="A544" s="927" t="s">
        <v>5678</v>
      </c>
      <c r="B544" s="927" t="s">
        <v>5679</v>
      </c>
      <c r="C544" s="927" t="s">
        <v>5680</v>
      </c>
      <c r="D544" s="927" t="s">
        <v>3613</v>
      </c>
      <c r="E544" s="717">
        <v>45818</v>
      </c>
      <c r="F544" s="927"/>
      <c r="G544" s="927" t="s">
        <v>5739</v>
      </c>
      <c r="H544" t="s">
        <v>5681</v>
      </c>
      <c r="I544" s="927"/>
      <c r="J544" s="131"/>
      <c r="K544" s="927" t="s">
        <v>3939</v>
      </c>
      <c r="L544" t="s">
        <v>3858</v>
      </c>
      <c r="M544" s="927" t="s">
        <v>320</v>
      </c>
      <c r="N544" s="927" t="s">
        <v>3939</v>
      </c>
      <c r="O544" s="927" t="s">
        <v>3923</v>
      </c>
      <c r="P544" s="927" t="s">
        <v>322</v>
      </c>
      <c r="Q544" s="927"/>
      <c r="R544" s="927"/>
      <c r="T544">
        <v>547</v>
      </c>
      <c r="U544">
        <v>547</v>
      </c>
      <c r="V544">
        <v>456</v>
      </c>
      <c r="W544">
        <v>410</v>
      </c>
      <c r="X544">
        <v>319</v>
      </c>
      <c r="Y544">
        <v>274</v>
      </c>
      <c r="Z544">
        <v>274</v>
      </c>
      <c r="AA544">
        <v>319</v>
      </c>
      <c r="AB544">
        <v>319</v>
      </c>
      <c r="AC544">
        <v>319</v>
      </c>
      <c r="AD544">
        <v>365</v>
      </c>
      <c r="AE544">
        <v>456</v>
      </c>
      <c r="AF544" s="927"/>
      <c r="AG544" s="927" t="s">
        <v>1189</v>
      </c>
      <c r="AH544" s="717"/>
      <c r="AK544" s="927"/>
      <c r="AO544" s="927"/>
      <c r="AP544" s="927"/>
      <c r="AQ544" s="927" t="s">
        <v>5682</v>
      </c>
    </row>
    <row r="545" spans="1:43">
      <c r="A545" s="927" t="s">
        <v>5683</v>
      </c>
      <c r="B545" s="927" t="s">
        <v>5684</v>
      </c>
      <c r="C545" s="927" t="s">
        <v>5685</v>
      </c>
      <c r="D545" s="927" t="s">
        <v>3613</v>
      </c>
      <c r="E545" s="717">
        <v>45762</v>
      </c>
      <c r="F545" s="927"/>
      <c r="G545" s="927" t="s">
        <v>5739</v>
      </c>
      <c r="H545" t="s">
        <v>5686</v>
      </c>
      <c r="I545" s="927"/>
      <c r="J545" s="131"/>
      <c r="K545" s="927" t="s">
        <v>5687</v>
      </c>
      <c r="L545" t="s">
        <v>5688</v>
      </c>
      <c r="M545" s="927" t="s">
        <v>320</v>
      </c>
      <c r="N545" s="927" t="s">
        <v>1168</v>
      </c>
      <c r="O545" s="927" t="s">
        <v>1481</v>
      </c>
      <c r="P545" s="927" t="s">
        <v>322</v>
      </c>
      <c r="Q545" s="927"/>
      <c r="R545" s="927"/>
      <c r="T545">
        <v>2622</v>
      </c>
      <c r="U545">
        <v>2622</v>
      </c>
      <c r="V545">
        <v>2484</v>
      </c>
      <c r="W545">
        <v>2208</v>
      </c>
      <c r="X545">
        <v>2070</v>
      </c>
      <c r="Y545">
        <v>1932</v>
      </c>
      <c r="Z545">
        <v>2070</v>
      </c>
      <c r="AA545">
        <v>2070</v>
      </c>
      <c r="AB545">
        <v>2208</v>
      </c>
      <c r="AC545">
        <v>2346</v>
      </c>
      <c r="AD545">
        <v>2484</v>
      </c>
      <c r="AE545">
        <v>2622</v>
      </c>
      <c r="AF545" s="927"/>
      <c r="AG545" s="927" t="s">
        <v>1420</v>
      </c>
      <c r="AH545" s="717"/>
      <c r="AK545" s="927"/>
      <c r="AO545" s="927"/>
      <c r="AP545" s="927"/>
      <c r="AQ545" s="927" t="s">
        <v>5689</v>
      </c>
    </row>
    <row r="546" spans="1:43">
      <c r="A546" s="927" t="s">
        <v>5690</v>
      </c>
      <c r="B546" s="927" t="s">
        <v>5691</v>
      </c>
      <c r="C546" s="927" t="s">
        <v>5692</v>
      </c>
      <c r="D546" s="927" t="s">
        <v>3613</v>
      </c>
      <c r="E546" s="717">
        <v>45818</v>
      </c>
      <c r="F546" s="927"/>
      <c r="G546" s="927" t="s">
        <v>5739</v>
      </c>
      <c r="H546" t="s">
        <v>5693</v>
      </c>
      <c r="I546" s="927" t="s">
        <v>5694</v>
      </c>
      <c r="J546" s="131"/>
      <c r="K546" s="927" t="s">
        <v>5414</v>
      </c>
      <c r="L546" t="s">
        <v>5415</v>
      </c>
      <c r="M546" s="927" t="s">
        <v>320</v>
      </c>
      <c r="N546" s="927" t="s">
        <v>1346</v>
      </c>
      <c r="O546" s="927" t="s">
        <v>3961</v>
      </c>
      <c r="P546" s="927" t="s">
        <v>322</v>
      </c>
      <c r="Q546" s="927"/>
      <c r="R546" s="927"/>
      <c r="T546">
        <v>935</v>
      </c>
      <c r="U546">
        <v>935</v>
      </c>
      <c r="V546">
        <v>886</v>
      </c>
      <c r="W546">
        <v>787</v>
      </c>
      <c r="X546">
        <v>738</v>
      </c>
      <c r="Y546">
        <v>689</v>
      </c>
      <c r="Z546">
        <v>738</v>
      </c>
      <c r="AA546">
        <v>738</v>
      </c>
      <c r="AB546">
        <v>787</v>
      </c>
      <c r="AC546">
        <v>886</v>
      </c>
      <c r="AD546">
        <v>836</v>
      </c>
      <c r="AE546">
        <v>935</v>
      </c>
      <c r="AF546" s="927"/>
      <c r="AG546" s="927" t="s">
        <v>1420</v>
      </c>
      <c r="AH546" s="717"/>
      <c r="AK546" s="927"/>
      <c r="AO546" s="927"/>
      <c r="AP546" s="927"/>
      <c r="AQ546" s="927" t="s">
        <v>5695</v>
      </c>
    </row>
    <row r="547" spans="1:43">
      <c r="A547" s="927" t="s">
        <v>5696</v>
      </c>
      <c r="B547" s="927" t="s">
        <v>5697</v>
      </c>
      <c r="C547" s="927" t="s">
        <v>5698</v>
      </c>
      <c r="D547" s="927" t="s">
        <v>3613</v>
      </c>
      <c r="E547" s="717">
        <v>45824</v>
      </c>
      <c r="F547" s="927"/>
      <c r="G547" s="927" t="s">
        <v>5739</v>
      </c>
      <c r="H547" t="s">
        <v>5699</v>
      </c>
      <c r="I547" s="927"/>
      <c r="J547" s="131"/>
      <c r="K547" s="927" t="s">
        <v>5700</v>
      </c>
      <c r="L547" t="s">
        <v>5701</v>
      </c>
      <c r="M547" s="927" t="s">
        <v>320</v>
      </c>
      <c r="N547" s="927" t="s">
        <v>1346</v>
      </c>
      <c r="O547" s="927" t="s">
        <v>82</v>
      </c>
      <c r="P547" s="927" t="s">
        <v>322</v>
      </c>
      <c r="Q547" s="927"/>
      <c r="R547" s="927"/>
      <c r="T547">
        <v>936</v>
      </c>
      <c r="U547">
        <v>936</v>
      </c>
      <c r="V547">
        <v>780</v>
      </c>
      <c r="W547">
        <v>702</v>
      </c>
      <c r="X547">
        <v>546</v>
      </c>
      <c r="Y547">
        <v>468</v>
      </c>
      <c r="Z547">
        <v>468</v>
      </c>
      <c r="AA547">
        <v>546</v>
      </c>
      <c r="AB547">
        <v>546</v>
      </c>
      <c r="AC547">
        <v>546</v>
      </c>
      <c r="AD547">
        <v>624</v>
      </c>
      <c r="AE547">
        <v>780</v>
      </c>
      <c r="AF547" s="927"/>
      <c r="AG547" s="927" t="s">
        <v>1189</v>
      </c>
      <c r="AH547" s="717"/>
      <c r="AK547" s="927"/>
      <c r="AO547" s="927"/>
      <c r="AP547" s="927"/>
      <c r="AQ547" s="927" t="s">
        <v>5702</v>
      </c>
    </row>
    <row r="548" spans="1:43">
      <c r="A548" s="927" t="s">
        <v>5703</v>
      </c>
      <c r="B548" s="927" t="s">
        <v>5704</v>
      </c>
      <c r="C548" s="927" t="s">
        <v>5705</v>
      </c>
      <c r="D548" s="927" t="s">
        <v>3613</v>
      </c>
      <c r="E548" s="717">
        <v>45828</v>
      </c>
      <c r="F548" s="927"/>
      <c r="G548" s="927" t="s">
        <v>5739</v>
      </c>
      <c r="H548" t="s">
        <v>5706</v>
      </c>
      <c r="I548" s="927"/>
      <c r="J548" s="131"/>
      <c r="K548" s="927" t="s">
        <v>5707</v>
      </c>
      <c r="L548" t="s">
        <v>5708</v>
      </c>
      <c r="M548" s="927" t="s">
        <v>320</v>
      </c>
      <c r="N548" s="927" t="s">
        <v>5707</v>
      </c>
      <c r="O548" s="927" t="s">
        <v>5709</v>
      </c>
      <c r="P548" s="927" t="s">
        <v>322</v>
      </c>
      <c r="Q548" s="927"/>
      <c r="R548" s="927"/>
      <c r="T548">
        <v>576</v>
      </c>
      <c r="U548">
        <v>576</v>
      </c>
      <c r="V548">
        <v>480</v>
      </c>
      <c r="W548">
        <v>432</v>
      </c>
      <c r="X548">
        <v>336</v>
      </c>
      <c r="Y548">
        <v>288</v>
      </c>
      <c r="Z548">
        <v>288</v>
      </c>
      <c r="AA548">
        <v>336</v>
      </c>
      <c r="AB548">
        <v>336</v>
      </c>
      <c r="AC548">
        <v>336</v>
      </c>
      <c r="AD548">
        <v>384</v>
      </c>
      <c r="AE548">
        <v>480</v>
      </c>
      <c r="AF548" s="927"/>
      <c r="AG548" s="927" t="s">
        <v>1189</v>
      </c>
      <c r="AH548" s="717"/>
      <c r="AK548" s="927"/>
      <c r="AO548" s="927"/>
      <c r="AP548" s="927"/>
      <c r="AQ548" s="927" t="s">
        <v>5710</v>
      </c>
    </row>
    <row r="549" spans="1:43">
      <c r="A549" s="927" t="s">
        <v>5722</v>
      </c>
      <c r="B549" s="927" t="s">
        <v>5723</v>
      </c>
      <c r="C549" s="927" t="s">
        <v>5724</v>
      </c>
      <c r="D549" s="927" t="s">
        <v>3615</v>
      </c>
      <c r="E549" s="717">
        <v>45834</v>
      </c>
      <c r="F549" s="927"/>
      <c r="G549" s="927" t="s">
        <v>5739</v>
      </c>
      <c r="H549" t="s">
        <v>5725</v>
      </c>
      <c r="I549" s="927" t="s">
        <v>5777</v>
      </c>
      <c r="J549" s="131"/>
      <c r="K549" s="927" t="s">
        <v>5726</v>
      </c>
      <c r="L549" t="s">
        <v>5727</v>
      </c>
      <c r="M549" s="927" t="s">
        <v>320</v>
      </c>
      <c r="N549" s="927" t="s">
        <v>1346</v>
      </c>
      <c r="O549" s="927" t="s">
        <v>2071</v>
      </c>
      <c r="P549" s="927" t="s">
        <v>322</v>
      </c>
      <c r="Q549" s="927" t="s">
        <v>323</v>
      </c>
      <c r="R549" s="927" t="s">
        <v>438</v>
      </c>
      <c r="S549">
        <v>3922</v>
      </c>
      <c r="T549">
        <v>4446</v>
      </c>
      <c r="U549">
        <v>4446</v>
      </c>
      <c r="V549">
        <v>4212</v>
      </c>
      <c r="W549">
        <v>3744</v>
      </c>
      <c r="X549">
        <v>3510</v>
      </c>
      <c r="Y549">
        <v>3276</v>
      </c>
      <c r="Z549">
        <v>3510</v>
      </c>
      <c r="AA549">
        <v>3510</v>
      </c>
      <c r="AB549">
        <v>3744</v>
      </c>
      <c r="AC549">
        <v>3978</v>
      </c>
      <c r="AD549">
        <v>4212</v>
      </c>
      <c r="AE549">
        <v>4476</v>
      </c>
      <c r="AF549" s="927" t="s">
        <v>1189</v>
      </c>
      <c r="AG549" s="927" t="s">
        <v>5778</v>
      </c>
      <c r="AH549" s="717"/>
      <c r="AK549" s="927"/>
      <c r="AO549" s="927"/>
      <c r="AP549" s="927"/>
      <c r="AQ549" s="927" t="s">
        <v>5779</v>
      </c>
    </row>
    <row r="550" spans="1:43">
      <c r="A550" s="927" t="s">
        <v>5770</v>
      </c>
      <c r="B550" s="927" t="s">
        <v>5771</v>
      </c>
      <c r="C550" s="927" t="s">
        <v>5772</v>
      </c>
      <c r="D550" s="927" t="s">
        <v>3613</v>
      </c>
      <c r="E550" s="717">
        <v>45799</v>
      </c>
      <c r="F550" s="927"/>
      <c r="G550" s="927" t="s">
        <v>5780</v>
      </c>
      <c r="I550" s="927" t="s">
        <v>5773</v>
      </c>
      <c r="J550" s="131"/>
      <c r="K550" s="927" t="s">
        <v>5774</v>
      </c>
      <c r="L550" t="s">
        <v>5775</v>
      </c>
      <c r="M550" s="927" t="s">
        <v>320</v>
      </c>
      <c r="N550" s="927" t="s">
        <v>1346</v>
      </c>
      <c r="O550" s="927" t="s">
        <v>5586</v>
      </c>
      <c r="P550" s="927" t="s">
        <v>322</v>
      </c>
      <c r="Q550" s="927"/>
      <c r="R550" s="927"/>
      <c r="S550">
        <v>1608</v>
      </c>
      <c r="T550">
        <v>1824</v>
      </c>
      <c r="U550">
        <v>1824</v>
      </c>
      <c r="V550">
        <v>1728</v>
      </c>
      <c r="W550">
        <v>1536</v>
      </c>
      <c r="X550">
        <v>1440</v>
      </c>
      <c r="Y550">
        <v>1344</v>
      </c>
      <c r="Z550">
        <v>1440</v>
      </c>
      <c r="AA550">
        <v>1440</v>
      </c>
      <c r="AB550">
        <v>1536</v>
      </c>
      <c r="AC550">
        <v>1632</v>
      </c>
      <c r="AD550">
        <v>1728</v>
      </c>
      <c r="AE550">
        <v>1824</v>
      </c>
      <c r="AF550" s="927" t="s">
        <v>1189</v>
      </c>
      <c r="AG550" s="927" t="s">
        <v>270</v>
      </c>
      <c r="AH550" s="717"/>
      <c r="AK550" s="927"/>
      <c r="AO550" s="927"/>
      <c r="AP550" s="927"/>
      <c r="AQ550" s="927" t="s">
        <v>5776</v>
      </c>
    </row>
    <row r="551" spans="1:43">
      <c r="A551" s="927" t="s">
        <v>5781</v>
      </c>
      <c r="B551" s="927" t="s">
        <v>5782</v>
      </c>
      <c r="C551" s="927" t="s">
        <v>5783</v>
      </c>
      <c r="D551" s="927" t="s">
        <v>3613</v>
      </c>
      <c r="E551" s="717">
        <v>45838</v>
      </c>
      <c r="F551" s="927"/>
      <c r="G551" s="927" t="s">
        <v>5784</v>
      </c>
      <c r="I551" s="927"/>
      <c r="J551" s="131"/>
      <c r="K551" s="927" t="s">
        <v>5785</v>
      </c>
      <c r="L551" t="s">
        <v>5786</v>
      </c>
      <c r="M551" s="927" t="s">
        <v>320</v>
      </c>
      <c r="N551" s="927" t="s">
        <v>1346</v>
      </c>
      <c r="O551" s="927" t="s">
        <v>3895</v>
      </c>
      <c r="P551" s="927" t="s">
        <v>322</v>
      </c>
      <c r="Q551" s="927" t="s">
        <v>323</v>
      </c>
      <c r="R551" s="927" t="s">
        <v>324</v>
      </c>
      <c r="S551">
        <v>950</v>
      </c>
      <c r="T551">
        <v>1200</v>
      </c>
      <c r="U551">
        <v>1200</v>
      </c>
      <c r="V551">
        <v>1100</v>
      </c>
      <c r="W551">
        <v>900</v>
      </c>
      <c r="X551">
        <v>850</v>
      </c>
      <c r="Y551">
        <v>800</v>
      </c>
      <c r="Z551">
        <v>750</v>
      </c>
      <c r="AA551">
        <v>750</v>
      </c>
      <c r="AB551">
        <v>850</v>
      </c>
      <c r="AC551">
        <v>900</v>
      </c>
      <c r="AD551">
        <v>1000</v>
      </c>
      <c r="AE551">
        <v>1100</v>
      </c>
      <c r="AF551" s="927" t="s">
        <v>1189</v>
      </c>
      <c r="AG551" s="927" t="s">
        <v>963</v>
      </c>
      <c r="AH551" s="717"/>
      <c r="AK551" s="927"/>
      <c r="AO551" s="927"/>
      <c r="AP551" s="927"/>
      <c r="AQ551" s="927" t="s">
        <v>5787</v>
      </c>
    </row>
    <row r="552" spans="1:43">
      <c r="A552" s="927" t="s">
        <v>5788</v>
      </c>
      <c r="B552" s="927" t="s">
        <v>5789</v>
      </c>
      <c r="C552" s="927" t="s">
        <v>5790</v>
      </c>
      <c r="D552" s="927" t="s">
        <v>3613</v>
      </c>
      <c r="E552" s="717">
        <v>45839</v>
      </c>
      <c r="F552" s="927"/>
      <c r="G552" s="927" t="s">
        <v>5791</v>
      </c>
      <c r="I552" s="927"/>
      <c r="J552" s="131"/>
      <c r="K552" s="927" t="s">
        <v>5792</v>
      </c>
      <c r="L552" t="s">
        <v>3858</v>
      </c>
      <c r="M552" s="927" t="s">
        <v>320</v>
      </c>
      <c r="N552" s="927" t="s">
        <v>5792</v>
      </c>
      <c r="O552" s="927" t="s">
        <v>5586</v>
      </c>
      <c r="P552" s="927" t="s">
        <v>322</v>
      </c>
      <c r="Q552" s="927"/>
      <c r="R552" s="927"/>
      <c r="S552">
        <v>505</v>
      </c>
      <c r="T552">
        <v>720</v>
      </c>
      <c r="U552">
        <v>720</v>
      </c>
      <c r="V552">
        <v>600</v>
      </c>
      <c r="W552">
        <v>540</v>
      </c>
      <c r="X552">
        <v>420</v>
      </c>
      <c r="Y552">
        <v>360</v>
      </c>
      <c r="Z552">
        <v>360</v>
      </c>
      <c r="AA552">
        <v>420</v>
      </c>
      <c r="AB552">
        <v>420</v>
      </c>
      <c r="AC552">
        <v>420</v>
      </c>
      <c r="AD552">
        <v>480</v>
      </c>
      <c r="AE552">
        <v>600</v>
      </c>
      <c r="AF552" s="927"/>
      <c r="AG552" s="927" t="s">
        <v>963</v>
      </c>
      <c r="AH552" s="717"/>
      <c r="AK552" s="927"/>
      <c r="AO552" s="927"/>
      <c r="AP552" s="927"/>
      <c r="AQ552" s="927" t="s">
        <v>5793</v>
      </c>
    </row>
    <row r="553" spans="1:43">
      <c r="A553" s="927" t="s">
        <v>5794</v>
      </c>
      <c r="B553" s="927" t="s">
        <v>5795</v>
      </c>
      <c r="C553" s="927" t="s">
        <v>5796</v>
      </c>
      <c r="D553" s="927" t="s">
        <v>3613</v>
      </c>
      <c r="E553" s="717">
        <v>45838</v>
      </c>
      <c r="F553" s="927"/>
      <c r="G553" s="927" t="s">
        <v>5797</v>
      </c>
      <c r="H553" t="s">
        <v>5798</v>
      </c>
      <c r="I553" s="927"/>
      <c r="J553" s="131"/>
      <c r="K553" s="927" t="s">
        <v>3656</v>
      </c>
      <c r="L553" t="s">
        <v>5799</v>
      </c>
      <c r="M553" s="927" t="s">
        <v>320</v>
      </c>
      <c r="N553" s="927" t="s">
        <v>5800</v>
      </c>
      <c r="O553" s="927" t="s">
        <v>5801</v>
      </c>
      <c r="P553" s="927"/>
      <c r="Q553" s="927" t="s">
        <v>323</v>
      </c>
      <c r="R553" s="927"/>
      <c r="S553">
        <v>42425</v>
      </c>
      <c r="T553">
        <v>605</v>
      </c>
      <c r="U553">
        <v>605</v>
      </c>
      <c r="V553">
        <v>504</v>
      </c>
      <c r="W553">
        <v>454</v>
      </c>
      <c r="X553">
        <v>353</v>
      </c>
      <c r="Y553">
        <v>302</v>
      </c>
      <c r="Z553">
        <v>302</v>
      </c>
      <c r="AA553">
        <v>353</v>
      </c>
      <c r="AB553">
        <v>353</v>
      </c>
      <c r="AC553">
        <v>353</v>
      </c>
      <c r="AD553">
        <v>403</v>
      </c>
      <c r="AE553">
        <v>504</v>
      </c>
      <c r="AF553" s="927"/>
      <c r="AG553" s="927" t="s">
        <v>963</v>
      </c>
      <c r="AH553" s="717"/>
      <c r="AK553" s="927"/>
      <c r="AO553" s="927"/>
      <c r="AP553" s="927"/>
      <c r="AQ553" s="927" t="s">
        <v>5802</v>
      </c>
    </row>
    <row r="554" spans="1:43">
      <c r="A554" s="927" t="s">
        <v>5803</v>
      </c>
      <c r="B554" s="927" t="s">
        <v>5804</v>
      </c>
      <c r="C554" s="927" t="s">
        <v>5805</v>
      </c>
      <c r="D554" s="927" t="s">
        <v>3613</v>
      </c>
      <c r="E554" s="717">
        <v>45835</v>
      </c>
      <c r="F554" s="927"/>
      <c r="G554" s="927" t="s">
        <v>5806</v>
      </c>
      <c r="H554" t="s">
        <v>5807</v>
      </c>
      <c r="I554" s="927"/>
      <c r="J554" s="131"/>
      <c r="K554" s="927" t="s">
        <v>5808</v>
      </c>
      <c r="L554" t="s">
        <v>5809</v>
      </c>
      <c r="M554" s="927" t="s">
        <v>320</v>
      </c>
      <c r="N554" s="927" t="s">
        <v>1346</v>
      </c>
      <c r="O554" s="927" t="s">
        <v>3906</v>
      </c>
      <c r="P554" s="927" t="s">
        <v>322</v>
      </c>
      <c r="Q554" s="927"/>
      <c r="R554" s="927"/>
      <c r="S554">
        <v>9045</v>
      </c>
      <c r="T554">
        <v>1026</v>
      </c>
      <c r="U554">
        <v>1026</v>
      </c>
      <c r="V554">
        <v>972</v>
      </c>
      <c r="W554">
        <v>864</v>
      </c>
      <c r="X554">
        <v>810</v>
      </c>
      <c r="Y554">
        <v>756</v>
      </c>
      <c r="Z554">
        <v>810</v>
      </c>
      <c r="AA554">
        <v>810</v>
      </c>
      <c r="AB554">
        <v>864</v>
      </c>
      <c r="AC554">
        <v>918</v>
      </c>
      <c r="AD554">
        <v>972</v>
      </c>
      <c r="AE554">
        <v>1026</v>
      </c>
      <c r="AF554" s="927"/>
      <c r="AG554" s="927" t="s">
        <v>270</v>
      </c>
      <c r="AH554" s="717"/>
      <c r="AK554" s="927"/>
      <c r="AO554" s="927"/>
      <c r="AP554" s="927"/>
      <c r="AQ554" s="927" t="s">
        <v>5810</v>
      </c>
    </row>
    <row r="555" spans="1:43">
      <c r="A555" s="927" t="s">
        <v>5811</v>
      </c>
      <c r="B555" s="927" t="s">
        <v>5812</v>
      </c>
      <c r="C555" s="927" t="s">
        <v>5813</v>
      </c>
      <c r="D555" s="927" t="s">
        <v>3613</v>
      </c>
      <c r="E555" s="717">
        <v>45840</v>
      </c>
      <c r="F555" s="927"/>
      <c r="G555" s="927" t="s">
        <v>5814</v>
      </c>
      <c r="H555" t="s">
        <v>5815</v>
      </c>
      <c r="I555" s="927"/>
      <c r="J555" s="131"/>
      <c r="K555" s="927" t="s">
        <v>4949</v>
      </c>
      <c r="L555" t="s">
        <v>3858</v>
      </c>
      <c r="M555" s="927" t="s">
        <v>320</v>
      </c>
      <c r="N555" s="927" t="s">
        <v>4949</v>
      </c>
      <c r="O555" s="927" t="s">
        <v>3653</v>
      </c>
      <c r="P555" s="927" t="s">
        <v>322</v>
      </c>
      <c r="Q555" s="927"/>
      <c r="R555" s="927"/>
      <c r="S555">
        <v>1.11183333333333E+16</v>
      </c>
      <c r="T555">
        <v>1584</v>
      </c>
      <c r="U555">
        <v>1584</v>
      </c>
      <c r="V555">
        <v>1320</v>
      </c>
      <c r="W555">
        <v>1188</v>
      </c>
      <c r="X555">
        <v>924</v>
      </c>
      <c r="Y555">
        <v>792</v>
      </c>
      <c r="Z555">
        <v>792</v>
      </c>
      <c r="AA555">
        <v>924</v>
      </c>
      <c r="AB555">
        <v>924</v>
      </c>
      <c r="AC555">
        <v>924</v>
      </c>
      <c r="AD555">
        <v>1066</v>
      </c>
      <c r="AE555">
        <v>1320</v>
      </c>
      <c r="AF555" s="927"/>
      <c r="AG555" s="927" t="s">
        <v>270</v>
      </c>
      <c r="AH555" s="717"/>
      <c r="AK555" s="927"/>
      <c r="AO555" s="927"/>
      <c r="AP555" s="927"/>
      <c r="AQ555" s="927" t="s">
        <v>5816</v>
      </c>
    </row>
    <row r="556" spans="1:43">
      <c r="A556" s="927" t="s">
        <v>5817</v>
      </c>
      <c r="B556" s="927" t="s">
        <v>5818</v>
      </c>
      <c r="C556" s="927" t="s">
        <v>5819</v>
      </c>
      <c r="D556" s="927" t="s">
        <v>3613</v>
      </c>
      <c r="E556" s="717">
        <v>45838</v>
      </c>
      <c r="F556" s="927"/>
      <c r="G556" s="927" t="s">
        <v>5820</v>
      </c>
      <c r="H556" t="s">
        <v>5821</v>
      </c>
      <c r="I556" s="927"/>
      <c r="J556" s="131"/>
      <c r="K556" s="927" t="s">
        <v>306</v>
      </c>
      <c r="M556" s="927" t="s">
        <v>306</v>
      </c>
      <c r="N556" s="927" t="s">
        <v>306</v>
      </c>
      <c r="O556" s="927" t="s">
        <v>306</v>
      </c>
      <c r="P556" s="927" t="s">
        <v>322</v>
      </c>
      <c r="Q556" s="927"/>
      <c r="R556" s="927"/>
      <c r="S556">
        <v>4644166666666660</v>
      </c>
      <c r="T556">
        <v>662</v>
      </c>
      <c r="U556">
        <v>662</v>
      </c>
      <c r="V556">
        <v>552</v>
      </c>
      <c r="W556">
        <v>497</v>
      </c>
      <c r="X556">
        <v>386</v>
      </c>
      <c r="Y556">
        <v>331</v>
      </c>
      <c r="Z556">
        <v>331</v>
      </c>
      <c r="AA556">
        <v>386</v>
      </c>
      <c r="AB556">
        <v>386</v>
      </c>
      <c r="AC556">
        <v>386</v>
      </c>
      <c r="AD556">
        <v>442</v>
      </c>
      <c r="AE556">
        <v>552</v>
      </c>
      <c r="AF556" s="927"/>
      <c r="AG556" s="927" t="s">
        <v>270</v>
      </c>
      <c r="AH556" s="717"/>
      <c r="AK556" s="927"/>
      <c r="AO556" s="927"/>
      <c r="AP556" s="927"/>
      <c r="AQ556" s="927" t="s">
        <v>5836</v>
      </c>
    </row>
    <row r="557" spans="1:43">
      <c r="A557" s="927" t="s">
        <v>5822</v>
      </c>
      <c r="B557" s="927" t="s">
        <v>5823</v>
      </c>
      <c r="C557" s="927" t="s">
        <v>5824</v>
      </c>
      <c r="D557" s="927" t="s">
        <v>4195</v>
      </c>
      <c r="E557" s="717">
        <v>45848</v>
      </c>
      <c r="F557" s="927"/>
      <c r="G557" s="927" t="s">
        <v>5825</v>
      </c>
      <c r="I557" s="927"/>
      <c r="J557" s="131"/>
      <c r="K557" s="927" t="s">
        <v>5826</v>
      </c>
      <c r="L557" t="s">
        <v>5827</v>
      </c>
      <c r="M557" s="927" t="s">
        <v>320</v>
      </c>
      <c r="N557" s="927" t="s">
        <v>1346</v>
      </c>
      <c r="O557" s="927" t="s">
        <v>3895</v>
      </c>
      <c r="P557" s="927" t="s">
        <v>322</v>
      </c>
      <c r="Q557" s="927"/>
      <c r="R557" s="927"/>
      <c r="S557">
        <v>3015</v>
      </c>
      <c r="T557">
        <v>3420</v>
      </c>
      <c r="U557">
        <v>3420</v>
      </c>
      <c r="V557">
        <v>3240</v>
      </c>
      <c r="W557">
        <v>2880</v>
      </c>
      <c r="X557">
        <v>2700</v>
      </c>
      <c r="Y557">
        <v>2520</v>
      </c>
      <c r="Z557">
        <v>2700</v>
      </c>
      <c r="AA557">
        <v>2700</v>
      </c>
      <c r="AB557">
        <v>2880</v>
      </c>
      <c r="AC557">
        <v>3060</v>
      </c>
      <c r="AD557">
        <v>3240</v>
      </c>
      <c r="AE557">
        <v>3420</v>
      </c>
      <c r="AF557" s="927"/>
      <c r="AG557" s="927" t="s">
        <v>270</v>
      </c>
      <c r="AH557" s="717"/>
      <c r="AK557" s="927"/>
      <c r="AO557" s="927"/>
      <c r="AP557" s="927"/>
      <c r="AQ557" s="927" t="s">
        <v>5828</v>
      </c>
    </row>
    <row r="558" spans="1:43">
      <c r="A558" s="927" t="s">
        <v>5829</v>
      </c>
      <c r="B558" s="927" t="s">
        <v>5830</v>
      </c>
      <c r="C558" s="927" t="s">
        <v>5831</v>
      </c>
      <c r="D558" s="927" t="s">
        <v>4195</v>
      </c>
      <c r="E558" s="717">
        <v>45848</v>
      </c>
      <c r="F558" s="927"/>
      <c r="G558" s="927"/>
      <c r="I558" s="927"/>
      <c r="J558" s="131"/>
      <c r="K558" s="927" t="s">
        <v>5832</v>
      </c>
      <c r="L558" t="s">
        <v>5833</v>
      </c>
      <c r="M558" s="927" t="s">
        <v>320</v>
      </c>
      <c r="N558" s="927" t="s">
        <v>1346</v>
      </c>
      <c r="O558" s="927" t="s">
        <v>1347</v>
      </c>
      <c r="P558" s="927" t="s">
        <v>322</v>
      </c>
      <c r="Q558" s="927"/>
      <c r="R558" s="927"/>
      <c r="S558">
        <v>10050</v>
      </c>
      <c r="T558">
        <v>11400</v>
      </c>
      <c r="U558">
        <v>11400</v>
      </c>
      <c r="V558">
        <v>10800</v>
      </c>
      <c r="W558">
        <v>9600</v>
      </c>
      <c r="X558">
        <v>9000</v>
      </c>
      <c r="Y558">
        <v>8400</v>
      </c>
      <c r="Z558">
        <v>9000</v>
      </c>
      <c r="AA558">
        <v>9000</v>
      </c>
      <c r="AB558">
        <v>9600</v>
      </c>
      <c r="AC558">
        <v>10200</v>
      </c>
      <c r="AD558">
        <v>10800</v>
      </c>
      <c r="AE558">
        <v>11400</v>
      </c>
      <c r="AF558" s="927"/>
      <c r="AG558" s="927" t="s">
        <v>5834</v>
      </c>
      <c r="AH558" s="717"/>
      <c r="AI558">
        <v>5499</v>
      </c>
      <c r="AK558" s="927"/>
      <c r="AL558">
        <v>94</v>
      </c>
      <c r="AM558">
        <v>585</v>
      </c>
      <c r="AO558" s="927"/>
      <c r="AP558" s="927"/>
      <c r="AQ558" s="927" t="s">
        <v>5835</v>
      </c>
    </row>
    <row r="559" spans="1:43">
      <c r="A559" s="927" t="s">
        <v>7531</v>
      </c>
      <c r="B559" s="927" t="s">
        <v>7532</v>
      </c>
      <c r="C559" s="927" t="s">
        <v>7533</v>
      </c>
      <c r="D559" s="927" t="s">
        <v>3613</v>
      </c>
      <c r="E559" s="717">
        <v>45849</v>
      </c>
      <c r="F559" s="927"/>
      <c r="G559" s="927" t="s">
        <v>7534</v>
      </c>
      <c r="H559" t="s">
        <v>7535</v>
      </c>
      <c r="I559" s="927"/>
      <c r="J559" s="131"/>
      <c r="K559" s="927" t="s">
        <v>7536</v>
      </c>
      <c r="L559" t="s">
        <v>7537</v>
      </c>
      <c r="M559" s="927" t="s">
        <v>320</v>
      </c>
      <c r="N559" s="927" t="s">
        <v>1346</v>
      </c>
      <c r="O559" s="927" t="s">
        <v>7538</v>
      </c>
      <c r="P559" s="927" t="s">
        <v>322</v>
      </c>
      <c r="Q559" s="927" t="s">
        <v>323</v>
      </c>
      <c r="R559" s="927" t="s">
        <v>324</v>
      </c>
      <c r="S559">
        <v>6029166666666660</v>
      </c>
      <c r="T559">
        <v>605</v>
      </c>
      <c r="U559">
        <v>853</v>
      </c>
      <c r="V559">
        <v>1180</v>
      </c>
      <c r="W559">
        <v>749</v>
      </c>
      <c r="X559">
        <v>516</v>
      </c>
      <c r="Y559">
        <v>408</v>
      </c>
      <c r="Z559">
        <v>425</v>
      </c>
      <c r="AA559">
        <v>409</v>
      </c>
      <c r="AB559">
        <v>408</v>
      </c>
      <c r="AC559">
        <v>580</v>
      </c>
      <c r="AD559">
        <v>495</v>
      </c>
      <c r="AE559">
        <v>607</v>
      </c>
      <c r="AF559" s="927"/>
      <c r="AG559" s="927" t="s">
        <v>963</v>
      </c>
      <c r="AH559" s="717"/>
      <c r="AK559" s="927"/>
      <c r="AO559" s="927"/>
      <c r="AP559" s="927"/>
      <c r="AQ559" s="927" t="s">
        <v>7539</v>
      </c>
    </row>
    <row r="560" spans="1:43">
      <c r="A560" s="927" t="s">
        <v>7542</v>
      </c>
      <c r="B560" s="927" t="s">
        <v>7540</v>
      </c>
      <c r="C560" s="927" t="s">
        <v>7543</v>
      </c>
      <c r="D560" s="927" t="s">
        <v>1326</v>
      </c>
      <c r="E560" s="717">
        <v>45852</v>
      </c>
      <c r="F560" s="927"/>
      <c r="G560" s="927"/>
      <c r="I560" s="927"/>
      <c r="J560" s="131"/>
      <c r="K560" s="927" t="s">
        <v>306</v>
      </c>
      <c r="M560" s="927" t="s">
        <v>306</v>
      </c>
      <c r="N560" s="927" t="s">
        <v>306</v>
      </c>
      <c r="O560" s="927" t="s">
        <v>306</v>
      </c>
      <c r="P560" s="927"/>
      <c r="Q560" s="927"/>
      <c r="R560" s="927"/>
      <c r="S560">
        <v>6428333333333330</v>
      </c>
      <c r="T560">
        <v>854</v>
      </c>
      <c r="U560">
        <v>854</v>
      </c>
      <c r="V560">
        <v>780</v>
      </c>
      <c r="W560">
        <v>702</v>
      </c>
      <c r="X560">
        <v>546</v>
      </c>
      <c r="Y560">
        <v>468</v>
      </c>
      <c r="Z560">
        <v>468</v>
      </c>
      <c r="AA560">
        <v>546</v>
      </c>
      <c r="AB560">
        <v>546</v>
      </c>
      <c r="AC560">
        <v>546</v>
      </c>
      <c r="AD560">
        <v>624</v>
      </c>
      <c r="AE560">
        <v>780</v>
      </c>
      <c r="AF560" s="927"/>
      <c r="AG560" s="927" t="s">
        <v>5834</v>
      </c>
      <c r="AH560" s="717"/>
      <c r="AK560" s="927"/>
      <c r="AO560" s="927"/>
      <c r="AP560" s="927"/>
      <c r="AQ560" s="927" t="s">
        <v>7541</v>
      </c>
    </row>
    <row r="561" spans="1:43">
      <c r="A561" s="927" t="s">
        <v>7547</v>
      </c>
      <c r="B561" s="927" t="s">
        <v>7548</v>
      </c>
      <c r="C561" s="927" t="s">
        <v>7549</v>
      </c>
      <c r="D561" s="927" t="s">
        <v>3613</v>
      </c>
      <c r="E561" s="717">
        <v>45852</v>
      </c>
      <c r="F561" s="927"/>
      <c r="G561" s="927" t="s">
        <v>7550</v>
      </c>
      <c r="H561" t="s">
        <v>7551</v>
      </c>
      <c r="I561" s="927"/>
      <c r="J561" s="131"/>
      <c r="K561" s="927" t="s">
        <v>5006</v>
      </c>
      <c r="L561" t="s">
        <v>3858</v>
      </c>
      <c r="M561" s="927" t="s">
        <v>320</v>
      </c>
      <c r="N561" s="927" t="s">
        <v>5006</v>
      </c>
      <c r="O561" s="927" t="s">
        <v>5007</v>
      </c>
      <c r="P561" s="927" t="s">
        <v>322</v>
      </c>
      <c r="Q561" s="927"/>
      <c r="R561" s="927" t="s">
        <v>324</v>
      </c>
      <c r="S561">
        <v>5421666666666660</v>
      </c>
      <c r="T561">
        <v>491</v>
      </c>
      <c r="U561">
        <v>541</v>
      </c>
      <c r="V561">
        <v>709</v>
      </c>
      <c r="W561">
        <v>595</v>
      </c>
      <c r="X561">
        <v>572</v>
      </c>
      <c r="Y561">
        <v>511</v>
      </c>
      <c r="Z561">
        <v>523</v>
      </c>
      <c r="AA561">
        <v>466</v>
      </c>
      <c r="AB561">
        <v>498</v>
      </c>
      <c r="AC561">
        <v>526</v>
      </c>
      <c r="AD561">
        <v>497</v>
      </c>
      <c r="AE561">
        <v>577</v>
      </c>
      <c r="AF561" s="927"/>
      <c r="AG561" s="927" t="s">
        <v>963</v>
      </c>
      <c r="AH561" s="717"/>
      <c r="AK561" s="927"/>
      <c r="AO561" s="927"/>
      <c r="AP561" s="927"/>
      <c r="AQ561" s="927" t="s">
        <v>7552</v>
      </c>
    </row>
    <row r="562" spans="1:43">
      <c r="A562" s="927" t="s">
        <v>7553</v>
      </c>
      <c r="B562" s="927" t="s">
        <v>7554</v>
      </c>
      <c r="C562" s="927" t="s">
        <v>7555</v>
      </c>
      <c r="D562" s="927" t="s">
        <v>3613</v>
      </c>
      <c r="E562" s="717">
        <v>45854</v>
      </c>
      <c r="F562" s="927"/>
      <c r="G562" s="927" t="s">
        <v>7556</v>
      </c>
      <c r="H562" t="s">
        <v>7557</v>
      </c>
      <c r="I562" s="927"/>
      <c r="J562" s="131"/>
      <c r="K562" s="927" t="s">
        <v>7558</v>
      </c>
      <c r="L562" t="s">
        <v>3858</v>
      </c>
      <c r="M562" s="927" t="s">
        <v>320</v>
      </c>
      <c r="N562" s="927" t="s">
        <v>7558</v>
      </c>
      <c r="O562" s="927" t="s">
        <v>7559</v>
      </c>
      <c r="P562" s="927" t="s">
        <v>322</v>
      </c>
      <c r="Q562" s="927" t="s">
        <v>323</v>
      </c>
      <c r="R562" s="927"/>
      <c r="S562">
        <v>3940833333333330</v>
      </c>
      <c r="T562">
        <v>562</v>
      </c>
      <c r="U562">
        <v>562</v>
      </c>
      <c r="V562">
        <v>468</v>
      </c>
      <c r="W562">
        <v>421</v>
      </c>
      <c r="X562">
        <v>328</v>
      </c>
      <c r="Y562">
        <v>281</v>
      </c>
      <c r="Z562">
        <v>281</v>
      </c>
      <c r="AA562">
        <v>328</v>
      </c>
      <c r="AB562">
        <v>328</v>
      </c>
      <c r="AC562">
        <v>328</v>
      </c>
      <c r="AD562">
        <v>374</v>
      </c>
      <c r="AE562">
        <v>468</v>
      </c>
      <c r="AF562" s="927"/>
      <c r="AG562" s="927" t="s">
        <v>963</v>
      </c>
      <c r="AH562" s="717"/>
      <c r="AK562" s="927"/>
      <c r="AO562" s="927"/>
      <c r="AP562" s="927"/>
      <c r="AQ562" s="927" t="s">
        <v>7560</v>
      </c>
    </row>
    <row r="563" spans="1:43">
      <c r="A563" s="927" t="s">
        <v>7561</v>
      </c>
      <c r="B563" s="927" t="s">
        <v>7562</v>
      </c>
      <c r="C563" s="927" t="s">
        <v>7563</v>
      </c>
      <c r="D563" s="927" t="s">
        <v>3613</v>
      </c>
      <c r="E563" s="717">
        <v>45854</v>
      </c>
      <c r="F563" s="927"/>
      <c r="G563" s="927" t="s">
        <v>7564</v>
      </c>
      <c r="I563" s="927"/>
      <c r="J563" s="131"/>
      <c r="K563" s="927" t="s">
        <v>306</v>
      </c>
      <c r="M563" s="927" t="s">
        <v>306</v>
      </c>
      <c r="N563" s="927" t="s">
        <v>306</v>
      </c>
      <c r="O563" s="927" t="s">
        <v>306</v>
      </c>
      <c r="P563" s="927" t="s">
        <v>322</v>
      </c>
      <c r="Q563" s="927"/>
      <c r="R563" s="927" t="s">
        <v>324</v>
      </c>
      <c r="S563">
        <v>4555</v>
      </c>
      <c r="T563">
        <v>648</v>
      </c>
      <c r="U563">
        <v>648</v>
      </c>
      <c r="V563">
        <v>540</v>
      </c>
      <c r="W563">
        <v>486</v>
      </c>
      <c r="X563">
        <v>378</v>
      </c>
      <c r="Y563">
        <v>324</v>
      </c>
      <c r="Z563">
        <v>324</v>
      </c>
      <c r="AA563">
        <v>378</v>
      </c>
      <c r="AB563">
        <v>378</v>
      </c>
      <c r="AC563">
        <v>390</v>
      </c>
      <c r="AD563">
        <v>432</v>
      </c>
      <c r="AE563">
        <v>540</v>
      </c>
      <c r="AF563" s="927"/>
      <c r="AG563" s="927" t="s">
        <v>963</v>
      </c>
      <c r="AH563" s="717"/>
      <c r="AK563" s="927"/>
      <c r="AO563" s="927"/>
      <c r="AP563" s="927"/>
      <c r="AQ563" s="927" t="s">
        <v>7565</v>
      </c>
    </row>
    <row r="564" spans="1:43">
      <c r="A564" s="927" t="s">
        <v>7566</v>
      </c>
      <c r="B564" s="927" t="s">
        <v>7567</v>
      </c>
      <c r="C564" s="927" t="s">
        <v>7568</v>
      </c>
      <c r="D564" s="927" t="s">
        <v>3613</v>
      </c>
      <c r="E564" s="717">
        <v>45855</v>
      </c>
      <c r="F564" s="927"/>
      <c r="G564" s="927" t="s">
        <v>7569</v>
      </c>
      <c r="H564" t="s">
        <v>7570</v>
      </c>
      <c r="I564" s="927"/>
      <c r="J564" s="131"/>
      <c r="K564" s="927" t="s">
        <v>7571</v>
      </c>
      <c r="L564" t="s">
        <v>4794</v>
      </c>
      <c r="M564" s="927" t="s">
        <v>320</v>
      </c>
      <c r="N564" s="927" t="s">
        <v>1346</v>
      </c>
      <c r="O564" s="927" t="s">
        <v>3988</v>
      </c>
      <c r="P564" s="927" t="s">
        <v>322</v>
      </c>
      <c r="Q564" s="927" t="s">
        <v>323</v>
      </c>
      <c r="R564" s="927" t="s">
        <v>438</v>
      </c>
      <c r="S564">
        <v>2.59158333333333E+16</v>
      </c>
      <c r="T564">
        <v>3114</v>
      </c>
      <c r="U564">
        <v>2818</v>
      </c>
      <c r="V564">
        <v>2908</v>
      </c>
      <c r="W564">
        <v>2521</v>
      </c>
      <c r="X564">
        <v>2225</v>
      </c>
      <c r="Y564">
        <v>2017</v>
      </c>
      <c r="Z564">
        <v>2137</v>
      </c>
      <c r="AA564">
        <v>2373</v>
      </c>
      <c r="AB564">
        <v>2639</v>
      </c>
      <c r="AC564">
        <v>2818</v>
      </c>
      <c r="AD564">
        <v>2710</v>
      </c>
      <c r="AE564">
        <v>2819</v>
      </c>
      <c r="AF564" s="927"/>
      <c r="AG564" s="927" t="s">
        <v>963</v>
      </c>
      <c r="AH564" s="717"/>
      <c r="AK564" s="927"/>
      <c r="AO564" s="927"/>
      <c r="AP564" s="927"/>
      <c r="AQ564" s="927" t="s">
        <v>7572</v>
      </c>
    </row>
    <row r="565" spans="1:43">
      <c r="A565" s="927" t="s">
        <v>7573</v>
      </c>
      <c r="B565" s="927" t="s">
        <v>7574</v>
      </c>
      <c r="C565" s="927" t="s">
        <v>7575</v>
      </c>
      <c r="D565" s="927" t="s">
        <v>3613</v>
      </c>
      <c r="E565" s="717">
        <v>45854</v>
      </c>
      <c r="F565" s="927"/>
      <c r="G565" s="927" t="s">
        <v>7576</v>
      </c>
      <c r="I565" s="927"/>
      <c r="J565" s="131"/>
      <c r="K565" s="927" t="s">
        <v>4622</v>
      </c>
      <c r="L565" t="s">
        <v>4623</v>
      </c>
      <c r="M565" s="927" t="s">
        <v>4624</v>
      </c>
      <c r="N565" s="927" t="s">
        <v>4622</v>
      </c>
      <c r="O565" s="927" t="s">
        <v>4624</v>
      </c>
      <c r="P565" s="927" t="s">
        <v>322</v>
      </c>
      <c r="Q565" s="927" t="s">
        <v>323</v>
      </c>
      <c r="R565" s="927"/>
      <c r="S565">
        <v>808</v>
      </c>
      <c r="T565">
        <v>1152</v>
      </c>
      <c r="U565">
        <v>1152</v>
      </c>
      <c r="V565">
        <v>960</v>
      </c>
      <c r="W565">
        <v>864</v>
      </c>
      <c r="X565">
        <v>672</v>
      </c>
      <c r="Y565">
        <v>576</v>
      </c>
      <c r="Z565">
        <v>576</v>
      </c>
      <c r="AA565">
        <v>672</v>
      </c>
      <c r="AB565">
        <v>672</v>
      </c>
      <c r="AC565">
        <v>672</v>
      </c>
      <c r="AD565">
        <v>768</v>
      </c>
      <c r="AE565">
        <v>960</v>
      </c>
      <c r="AF565" s="927"/>
      <c r="AG565" s="927" t="s">
        <v>963</v>
      </c>
      <c r="AH565" s="717"/>
      <c r="AK565" s="927"/>
      <c r="AO565" s="927"/>
      <c r="AP565" s="927"/>
      <c r="AQ565" s="927" t="s">
        <v>7577</v>
      </c>
    </row>
    <row r="566" spans="1:43">
      <c r="A566" s="927" t="s">
        <v>7578</v>
      </c>
      <c r="B566" s="927" t="s">
        <v>7579</v>
      </c>
      <c r="C566" s="927" t="s">
        <v>7580</v>
      </c>
      <c r="D566" s="927" t="s">
        <v>3613</v>
      </c>
      <c r="E566" s="717">
        <v>45854</v>
      </c>
      <c r="F566" s="927"/>
      <c r="G566" s="927" t="s">
        <v>7581</v>
      </c>
      <c r="H566" t="s">
        <v>7582</v>
      </c>
      <c r="I566" s="927" t="s">
        <v>7583</v>
      </c>
      <c r="J566" s="131"/>
      <c r="K566" s="927" t="s">
        <v>306</v>
      </c>
      <c r="M566" s="927" t="s">
        <v>306</v>
      </c>
      <c r="N566" s="927" t="s">
        <v>306</v>
      </c>
      <c r="O566" s="927" t="s">
        <v>306</v>
      </c>
      <c r="P566" s="927" t="s">
        <v>322</v>
      </c>
      <c r="Q566" s="927" t="s">
        <v>706</v>
      </c>
      <c r="R566" s="927"/>
      <c r="S566">
        <v>5350</v>
      </c>
      <c r="T566">
        <v>6300</v>
      </c>
      <c r="U566">
        <v>6000</v>
      </c>
      <c r="V566">
        <v>5800</v>
      </c>
      <c r="W566">
        <v>5400</v>
      </c>
      <c r="X566">
        <v>5100</v>
      </c>
      <c r="Y566">
        <v>4500</v>
      </c>
      <c r="Z566">
        <v>4700</v>
      </c>
      <c r="AA566">
        <v>4600</v>
      </c>
      <c r="AB566">
        <v>4800</v>
      </c>
      <c r="AC566">
        <v>5200</v>
      </c>
      <c r="AD566">
        <v>5700</v>
      </c>
      <c r="AE566">
        <v>6100</v>
      </c>
      <c r="AF566" s="927"/>
      <c r="AG566" s="927" t="s">
        <v>270</v>
      </c>
      <c r="AH566" s="717"/>
      <c r="AK566" s="927"/>
      <c r="AO566" s="927"/>
      <c r="AP566" s="927"/>
      <c r="AQ566" s="927" t="s">
        <v>7584</v>
      </c>
    </row>
    <row r="567" spans="1:43">
      <c r="A567" s="927" t="s">
        <v>7585</v>
      </c>
      <c r="B567" s="927" t="s">
        <v>7586</v>
      </c>
      <c r="C567" s="927" t="s">
        <v>7587</v>
      </c>
      <c r="D567" s="927" t="s">
        <v>3613</v>
      </c>
      <c r="E567" s="717">
        <v>45861</v>
      </c>
      <c r="F567" s="927"/>
      <c r="G567" s="927" t="s">
        <v>7588</v>
      </c>
      <c r="H567" t="s">
        <v>7589</v>
      </c>
      <c r="I567" s="927"/>
      <c r="J567" s="131"/>
      <c r="K567" s="927" t="s">
        <v>7590</v>
      </c>
      <c r="L567" t="s">
        <v>7591</v>
      </c>
      <c r="M567" s="927" t="s">
        <v>320</v>
      </c>
      <c r="N567" s="927" t="s">
        <v>1346</v>
      </c>
      <c r="O567" s="927" t="s">
        <v>3969</v>
      </c>
      <c r="P567" s="927" t="s">
        <v>322</v>
      </c>
      <c r="Q567" s="927"/>
      <c r="R567" s="927"/>
      <c r="S567">
        <v>2121</v>
      </c>
      <c r="T567">
        <v>3024</v>
      </c>
      <c r="U567">
        <v>3024</v>
      </c>
      <c r="V567">
        <v>2520</v>
      </c>
      <c r="W567">
        <v>2268</v>
      </c>
      <c r="X567">
        <v>1764</v>
      </c>
      <c r="Y567">
        <v>1512</v>
      </c>
      <c r="Z567">
        <v>1512</v>
      </c>
      <c r="AA567">
        <v>1764</v>
      </c>
      <c r="AB567">
        <v>1764</v>
      </c>
      <c r="AC567">
        <v>1764</v>
      </c>
      <c r="AD567">
        <v>2016</v>
      </c>
      <c r="AE567">
        <v>2520</v>
      </c>
      <c r="AF567" s="927"/>
      <c r="AG567" s="927" t="s">
        <v>5834</v>
      </c>
      <c r="AH567" s="717"/>
      <c r="AK567" s="927"/>
      <c r="AO567" s="927"/>
      <c r="AP567" s="927"/>
      <c r="AQ567" s="927" t="s">
        <v>7592</v>
      </c>
    </row>
    <row r="568" spans="1:43">
      <c r="A568" s="927" t="s">
        <v>7594</v>
      </c>
      <c r="B568" s="927" t="s">
        <v>7595</v>
      </c>
      <c r="C568" s="927" t="s">
        <v>7596</v>
      </c>
      <c r="D568" s="927" t="s">
        <v>3613</v>
      </c>
      <c r="E568" s="717">
        <v>45856</v>
      </c>
      <c r="F568" s="927"/>
      <c r="G568" s="927" t="s">
        <v>7597</v>
      </c>
      <c r="H568" t="s">
        <v>7598</v>
      </c>
      <c r="I568" s="927"/>
      <c r="J568" s="131"/>
      <c r="K568" s="927" t="s">
        <v>306</v>
      </c>
      <c r="M568" s="927" t="s">
        <v>306</v>
      </c>
      <c r="N568" s="927" t="s">
        <v>306</v>
      </c>
      <c r="O568" s="927" t="s">
        <v>306</v>
      </c>
      <c r="P568" s="927" t="s">
        <v>322</v>
      </c>
      <c r="Q568" s="927" t="s">
        <v>323</v>
      </c>
      <c r="R568" s="927"/>
      <c r="S568">
        <v>808</v>
      </c>
      <c r="T568">
        <v>1152</v>
      </c>
      <c r="U568">
        <v>1152</v>
      </c>
      <c r="V568">
        <v>960</v>
      </c>
      <c r="W568">
        <v>864</v>
      </c>
      <c r="X568">
        <v>672</v>
      </c>
      <c r="Y568">
        <v>576</v>
      </c>
      <c r="Z568">
        <v>576</v>
      </c>
      <c r="AA568">
        <v>672</v>
      </c>
      <c r="AB568">
        <v>672</v>
      </c>
      <c r="AC568">
        <v>672</v>
      </c>
      <c r="AD568">
        <v>768</v>
      </c>
      <c r="AE568">
        <v>960</v>
      </c>
      <c r="AF568" s="927"/>
      <c r="AG568" s="927" t="s">
        <v>963</v>
      </c>
      <c r="AH568" s="717"/>
      <c r="AK568" s="927"/>
      <c r="AO568" s="927"/>
      <c r="AP568" s="927"/>
      <c r="AQ568" s="927" t="s">
        <v>7599</v>
      </c>
    </row>
    <row r="569" spans="1:43">
      <c r="A569" s="927" t="s">
        <v>7600</v>
      </c>
      <c r="B569" s="927" t="s">
        <v>7601</v>
      </c>
      <c r="C569" s="927" t="s">
        <v>7602</v>
      </c>
      <c r="D569" s="927" t="s">
        <v>3613</v>
      </c>
      <c r="E569" s="717">
        <v>45857</v>
      </c>
      <c r="F569" s="927"/>
      <c r="G569" s="927" t="s">
        <v>7603</v>
      </c>
      <c r="H569" t="s">
        <v>7604</v>
      </c>
      <c r="I569" s="927"/>
      <c r="J569" s="131"/>
      <c r="K569" s="927" t="s">
        <v>7605</v>
      </c>
      <c r="L569" t="s">
        <v>7606</v>
      </c>
      <c r="M569" s="927" t="s">
        <v>320</v>
      </c>
      <c r="N569" s="927" t="s">
        <v>1346</v>
      </c>
      <c r="O569" s="927" t="s">
        <v>3988</v>
      </c>
      <c r="P569" s="927" t="s">
        <v>322</v>
      </c>
      <c r="Q569" s="927"/>
      <c r="R569" s="927"/>
      <c r="S569">
        <v>2323</v>
      </c>
      <c r="T569">
        <v>3312</v>
      </c>
      <c r="U569">
        <v>3312</v>
      </c>
      <c r="V569">
        <v>2760</v>
      </c>
      <c r="W569">
        <v>2484</v>
      </c>
      <c r="X569">
        <v>1932</v>
      </c>
      <c r="Y569">
        <v>1656</v>
      </c>
      <c r="Z569">
        <v>1656</v>
      </c>
      <c r="AA569">
        <v>1932</v>
      </c>
      <c r="AB569">
        <v>1932</v>
      </c>
      <c r="AC569">
        <v>1932</v>
      </c>
      <c r="AD569">
        <v>2208</v>
      </c>
      <c r="AE569">
        <v>2760</v>
      </c>
      <c r="AF569" s="927"/>
      <c r="AG569" s="927" t="s">
        <v>5834</v>
      </c>
      <c r="AH569" s="717"/>
      <c r="AK569" s="927"/>
      <c r="AO569" s="927"/>
      <c r="AP569" s="927"/>
      <c r="AQ569" s="927" t="s">
        <v>7607</v>
      </c>
    </row>
  </sheetData>
  <sheetProtection formatRows="0"/>
  <pageMargins left="0.511811024" right="0.511811024" top="0.78740157499999996" bottom="0.78740157499999996" header="0.31496062000000002" footer="0.31496062000000002"/>
  <tableParts count="1">
    <tablePart r:id="rId1"/>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1E4DB-A295-4C69-967D-F61BD18DBB39}">
  <sheetPr codeName="Planilha8"/>
  <dimension ref="A1:CR153"/>
  <sheetViews>
    <sheetView showGridLines="0" topLeftCell="A3" zoomScale="85" zoomScaleNormal="85" workbookViewId="0">
      <selection activeCell="E26" sqref="E26"/>
    </sheetView>
  </sheetViews>
  <sheetFormatPr defaultColWidth="8.85546875" defaultRowHeight="15"/>
  <cols>
    <col min="1" max="1" width="14.85546875" style="444" customWidth="1"/>
    <col min="2" max="2" width="25.42578125" style="444" customWidth="1"/>
    <col min="3" max="3" width="11" style="444" customWidth="1"/>
    <col min="4" max="6" width="14.42578125" style="444" customWidth="1"/>
    <col min="7" max="7" width="20.5703125" style="444" customWidth="1"/>
    <col min="8" max="8" width="14.42578125" style="444" customWidth="1"/>
    <col min="9" max="9" width="17.42578125" style="444" customWidth="1"/>
    <col min="10" max="12" width="14.42578125" style="444" customWidth="1"/>
    <col min="13" max="13" width="7.28515625" style="444" customWidth="1"/>
    <col min="14" max="14" width="12.28515625" style="444" customWidth="1"/>
    <col min="15" max="15" width="1.140625" style="444" customWidth="1"/>
    <col min="16" max="16" width="2.42578125" style="523" customWidth="1"/>
    <col min="17" max="17" width="9.5703125" style="444" customWidth="1"/>
    <col min="18" max="18" width="8.42578125" style="444" customWidth="1"/>
    <col min="19" max="21" width="9.5703125" style="444" customWidth="1"/>
    <col min="22" max="28" width="8.85546875" style="444" customWidth="1"/>
    <col min="29" max="29" width="10.7109375" style="444" bestFit="1" customWidth="1"/>
    <col min="30" max="33" width="8.85546875" style="444"/>
    <col min="34" max="35" width="10.7109375" style="444" bestFit="1" customWidth="1"/>
    <col min="36" max="36" width="10.7109375" bestFit="1" customWidth="1"/>
    <col min="37" max="37" width="12.140625" bestFit="1" customWidth="1"/>
    <col min="38" max="38" width="7.85546875" bestFit="1" customWidth="1"/>
    <col min="39" max="39" width="10.7109375" bestFit="1" customWidth="1"/>
    <col min="40" max="40" width="10.7109375" customWidth="1"/>
    <col min="41" max="41" width="28.85546875" bestFit="1" customWidth="1"/>
    <col min="42" max="90" width="5" customWidth="1"/>
    <col min="91" max="91" width="8.85546875" style="444"/>
    <col min="96" max="96" width="3.140625" style="522" customWidth="1"/>
    <col min="97" max="97" width="18" bestFit="1" customWidth="1"/>
    <col min="98" max="99" width="16" bestFit="1" customWidth="1"/>
    <col min="100" max="100" width="12.28515625" customWidth="1"/>
    <col min="16359" max="16384" width="5.5703125" customWidth="1"/>
  </cols>
  <sheetData>
    <row r="1" spans="1:90">
      <c r="A1" s="765" t="s">
        <v>79</v>
      </c>
      <c r="B1" s="765"/>
      <c r="Q1" s="524" t="s">
        <v>80</v>
      </c>
      <c r="R1" s="525" t="s">
        <v>81</v>
      </c>
      <c r="S1" s="525" t="s">
        <v>82</v>
      </c>
      <c r="T1" s="525" t="s">
        <v>83</v>
      </c>
      <c r="U1" s="525" t="s">
        <v>84</v>
      </c>
      <c r="V1" s="525" t="s">
        <v>85</v>
      </c>
      <c r="W1" s="525" t="s">
        <v>86</v>
      </c>
      <c r="X1" s="525"/>
      <c r="Y1" s="525"/>
      <c r="Z1" s="525"/>
      <c r="AA1" s="505"/>
      <c r="AC1" s="766" t="s">
        <v>87</v>
      </c>
      <c r="AD1" s="766"/>
      <c r="AJ1" s="444"/>
      <c r="AK1" s="444"/>
      <c r="AL1" s="444"/>
      <c r="AM1" s="444"/>
      <c r="AN1" s="444"/>
      <c r="AO1" s="444"/>
      <c r="AP1" s="444"/>
      <c r="AQ1" s="444"/>
      <c r="AR1" s="444"/>
      <c r="AS1" s="444"/>
      <c r="AT1" s="444"/>
      <c r="AU1" s="444"/>
      <c r="AV1" s="444"/>
      <c r="AW1" s="444"/>
      <c r="AX1" s="444"/>
      <c r="AY1" s="444"/>
      <c r="AZ1" s="444"/>
      <c r="BA1" s="444"/>
      <c r="BB1" s="444"/>
      <c r="BC1" s="444"/>
      <c r="BD1" s="444"/>
      <c r="BE1" s="444"/>
      <c r="BF1" s="444"/>
      <c r="BG1" s="444"/>
      <c r="BH1" s="444"/>
      <c r="BI1" s="444"/>
      <c r="BJ1" s="444"/>
      <c r="BK1" s="444"/>
      <c r="BL1" s="444"/>
      <c r="BM1" s="444"/>
      <c r="BN1" s="444"/>
      <c r="BO1" s="444"/>
      <c r="BP1" s="444"/>
      <c r="BQ1" s="444"/>
      <c r="BR1" s="444"/>
      <c r="BS1" s="444"/>
      <c r="BT1" s="444"/>
      <c r="BU1" s="444"/>
      <c r="BV1" s="444"/>
      <c r="BW1" s="444"/>
      <c r="BX1" s="444"/>
      <c r="BY1" s="444"/>
      <c r="BZ1" s="444"/>
      <c r="CA1" s="444"/>
      <c r="CB1" s="444"/>
      <c r="CC1" s="444"/>
      <c r="CD1" s="444"/>
      <c r="CE1" s="444"/>
      <c r="CF1" s="444"/>
      <c r="CG1" s="444"/>
      <c r="CH1" s="444"/>
      <c r="CI1" s="444"/>
      <c r="CJ1" s="444"/>
      <c r="CK1" s="444"/>
      <c r="CL1" s="444"/>
    </row>
    <row r="2" spans="1:90">
      <c r="A2" s="524" t="s">
        <v>88</v>
      </c>
      <c r="B2" s="505"/>
      <c r="Q2" s="524" t="s">
        <v>89</v>
      </c>
      <c r="R2" s="525" t="str">
        <f t="shared" ref="R2:R16" ca="1" si="0">OFFSET(R2,,$R$18)</f>
        <v>Maior Média anual</v>
      </c>
      <c r="S2" s="525" t="s">
        <v>90</v>
      </c>
      <c r="T2" s="525" t="s">
        <v>90</v>
      </c>
      <c r="U2" s="525" t="s">
        <v>90</v>
      </c>
      <c r="V2" s="525" t="s">
        <v>90</v>
      </c>
      <c r="W2" s="525" t="s">
        <v>90</v>
      </c>
      <c r="X2" s="525"/>
      <c r="Y2" s="525"/>
      <c r="Z2" s="525"/>
      <c r="AA2" s="505"/>
      <c r="AC2" s="444" t="s">
        <v>91</v>
      </c>
      <c r="AD2" s="444" t="s">
        <v>92</v>
      </c>
      <c r="AJ2" s="444"/>
      <c r="AK2" s="444"/>
      <c r="AL2" s="444"/>
      <c r="AM2" s="444"/>
      <c r="AN2" s="444"/>
      <c r="AO2" s="444"/>
      <c r="AP2" s="444"/>
      <c r="AQ2" s="444"/>
      <c r="AR2" s="444"/>
      <c r="AS2" s="444"/>
      <c r="AT2" s="444"/>
      <c r="AU2" s="444"/>
      <c r="AV2" s="444"/>
      <c r="AW2" s="444"/>
      <c r="AX2" s="444"/>
      <c r="AY2" s="444"/>
      <c r="AZ2" s="444"/>
      <c r="BA2" s="444"/>
      <c r="BB2" s="444"/>
      <c r="BC2" s="444"/>
      <c r="BD2" s="444"/>
      <c r="BE2" s="444"/>
      <c r="BF2" s="444"/>
      <c r="BG2" s="444"/>
      <c r="BH2" s="444"/>
      <c r="BI2" s="444"/>
      <c r="BJ2" s="444"/>
      <c r="BK2" s="444"/>
      <c r="BL2" s="444"/>
      <c r="BM2" s="444"/>
      <c r="BN2" s="444"/>
      <c r="BO2" s="444"/>
      <c r="BP2" s="444"/>
      <c r="BQ2" s="444"/>
      <c r="BR2" s="444"/>
      <c r="BS2" s="444"/>
      <c r="BT2" s="444"/>
      <c r="BU2" s="444"/>
      <c r="BV2" s="444"/>
      <c r="BW2" s="444"/>
      <c r="BX2" s="444"/>
      <c r="BY2" s="444"/>
      <c r="BZ2" s="444"/>
      <c r="CA2" s="444"/>
      <c r="CB2" s="444"/>
      <c r="CC2" s="444"/>
      <c r="CD2" s="444"/>
      <c r="CE2" s="444"/>
      <c r="CF2" s="444"/>
      <c r="CG2" s="444"/>
      <c r="CH2" s="444"/>
      <c r="CI2" s="444"/>
      <c r="CJ2" s="444"/>
      <c r="CK2" s="444"/>
      <c r="CL2" s="444"/>
    </row>
    <row r="3" spans="1:90">
      <c r="A3" s="526" t="s">
        <v>93</v>
      </c>
      <c r="B3" s="506" t="str">
        <f>UPPER(B2)</f>
        <v/>
      </c>
      <c r="Q3" s="526" t="s">
        <v>94</v>
      </c>
      <c r="R3" s="527">
        <f t="shared" ca="1" si="0"/>
        <v>20</v>
      </c>
      <c r="S3" s="527">
        <v>20</v>
      </c>
      <c r="T3" s="527">
        <v>20</v>
      </c>
      <c r="U3" s="527">
        <v>20</v>
      </c>
      <c r="V3" s="527">
        <v>20</v>
      </c>
      <c r="W3" s="527">
        <v>21</v>
      </c>
      <c r="X3" s="527"/>
      <c r="Y3" s="527"/>
      <c r="Z3" s="527"/>
      <c r="AA3" s="506"/>
      <c r="AC3" s="528">
        <v>44197</v>
      </c>
      <c r="AD3" s="444" t="s">
        <v>95</v>
      </c>
      <c r="AJ3" s="444"/>
      <c r="AK3" s="444"/>
      <c r="AL3" s="444"/>
      <c r="AM3" s="444"/>
      <c r="AN3" s="444"/>
      <c r="AO3" s="444"/>
      <c r="AP3" s="444"/>
      <c r="AQ3" s="444"/>
      <c r="AR3" s="444"/>
      <c r="AS3" s="444"/>
      <c r="AT3" s="444"/>
      <c r="AU3" s="444"/>
      <c r="AV3" s="444"/>
      <c r="AW3" s="444"/>
      <c r="AX3" s="444"/>
      <c r="AY3" s="444"/>
      <c r="AZ3" s="444"/>
      <c r="BA3" s="444"/>
      <c r="BB3" s="444"/>
      <c r="BC3" s="444"/>
      <c r="BD3" s="444"/>
      <c r="BE3" s="444"/>
      <c r="BF3" s="444"/>
      <c r="BG3" s="444"/>
      <c r="BH3" s="444"/>
      <c r="BI3" s="444"/>
      <c r="BJ3" s="444"/>
      <c r="BK3" s="444"/>
      <c r="BL3" s="444"/>
      <c r="BM3" s="444"/>
      <c r="BN3" s="444"/>
      <c r="BO3" s="444"/>
      <c r="BP3" s="444"/>
      <c r="BQ3" s="444"/>
      <c r="BR3" s="444"/>
      <c r="BS3" s="444"/>
      <c r="BT3" s="444"/>
      <c r="BU3" s="444"/>
      <c r="BV3" s="444"/>
      <c r="BW3" s="444"/>
      <c r="BX3" s="444"/>
      <c r="BY3" s="444"/>
      <c r="BZ3" s="444"/>
      <c r="CA3" s="444"/>
      <c r="CB3" s="444"/>
      <c r="CC3" s="444"/>
      <c r="CD3" s="444"/>
      <c r="CE3" s="444"/>
      <c r="CF3" s="444"/>
      <c r="CG3" s="444"/>
      <c r="CH3" s="444"/>
      <c r="CI3" s="444"/>
      <c r="CJ3" s="444"/>
      <c r="CK3" s="444"/>
      <c r="CL3" s="444"/>
    </row>
    <row r="4" spans="1:90">
      <c r="Q4" s="524" t="s">
        <v>96</v>
      </c>
      <c r="R4" s="525">
        <f t="shared" ca="1" si="0"/>
        <v>5.58</v>
      </c>
      <c r="S4" s="525">
        <v>5.58</v>
      </c>
      <c r="T4" s="525">
        <v>5.39</v>
      </c>
      <c r="U4" s="525">
        <v>5.48</v>
      </c>
      <c r="V4" s="525">
        <v>5.52</v>
      </c>
      <c r="W4" s="444">
        <v>4.83</v>
      </c>
      <c r="X4" s="525"/>
      <c r="Y4" s="525"/>
      <c r="Z4" s="525"/>
      <c r="AA4" s="505"/>
      <c r="AC4" s="528">
        <v>44242</v>
      </c>
      <c r="AD4" s="444" t="s">
        <v>97</v>
      </c>
      <c r="AJ4" s="444"/>
      <c r="AK4" s="444"/>
      <c r="AL4" s="444"/>
      <c r="AM4" s="444"/>
      <c r="AN4" s="444"/>
      <c r="AO4" s="444"/>
      <c r="AP4" s="444"/>
      <c r="AQ4" s="444"/>
      <c r="AR4" s="444"/>
      <c r="AS4" s="444"/>
      <c r="AT4" s="444"/>
      <c r="AU4" s="444"/>
      <c r="AV4" s="444"/>
      <c r="AW4" s="444"/>
      <c r="AX4" s="444"/>
      <c r="AY4" s="444"/>
      <c r="AZ4" s="529"/>
      <c r="BA4" s="444"/>
      <c r="BB4" s="444"/>
      <c r="BC4" s="444"/>
      <c r="BD4" s="444"/>
      <c r="BE4" s="444"/>
      <c r="BF4" s="444"/>
      <c r="BG4" s="444"/>
      <c r="BH4" s="444"/>
      <c r="BI4" s="444"/>
      <c r="BJ4" s="444"/>
      <c r="BK4" s="444"/>
      <c r="BL4" s="444"/>
      <c r="BM4" s="444"/>
      <c r="BN4" s="444"/>
      <c r="BO4" s="444"/>
      <c r="BP4" s="444"/>
      <c r="BQ4" s="444"/>
      <c r="BR4" s="444"/>
      <c r="BS4" s="444"/>
      <c r="BT4" s="444"/>
      <c r="BU4" s="444"/>
      <c r="BV4" s="444"/>
      <c r="BW4" s="444"/>
      <c r="BX4" s="444"/>
      <c r="BY4" s="444"/>
      <c r="BZ4" s="444"/>
      <c r="CA4" s="444"/>
      <c r="CB4" s="444"/>
      <c r="CC4" s="444"/>
      <c r="CD4" s="444"/>
      <c r="CE4" s="444"/>
      <c r="CF4" s="444"/>
      <c r="CG4" s="444"/>
      <c r="CH4" s="444"/>
      <c r="CI4" s="444"/>
      <c r="CJ4" s="444"/>
      <c r="CK4" s="444"/>
      <c r="CL4" s="444"/>
    </row>
    <row r="5" spans="1:90" ht="15.75" thickBot="1">
      <c r="Q5" s="530" t="s">
        <v>98</v>
      </c>
      <c r="R5" s="444">
        <f t="shared" ca="1" si="0"/>
        <v>6.02</v>
      </c>
      <c r="S5" s="444">
        <v>6.02</v>
      </c>
      <c r="T5" s="444">
        <v>5.84</v>
      </c>
      <c r="U5" s="444">
        <v>5.92</v>
      </c>
      <c r="V5" s="444">
        <v>5.9</v>
      </c>
      <c r="W5" s="444">
        <v>5.4</v>
      </c>
      <c r="AA5" s="531"/>
      <c r="AC5" s="528">
        <v>44243</v>
      </c>
      <c r="AD5" s="444" t="s">
        <v>97</v>
      </c>
      <c r="AJ5" s="444"/>
      <c r="AK5" s="444"/>
      <c r="AL5" s="444"/>
      <c r="AM5" s="444"/>
      <c r="AN5" s="444"/>
      <c r="AO5" s="444"/>
      <c r="AP5" s="444">
        <v>0</v>
      </c>
      <c r="AQ5" s="444"/>
      <c r="AR5" s="444"/>
      <c r="AS5" s="444"/>
      <c r="AT5" s="444"/>
      <c r="AU5" s="444"/>
      <c r="AV5" s="444"/>
      <c r="AW5" s="444"/>
      <c r="AX5" s="444"/>
      <c r="AY5" s="444"/>
      <c r="AZ5" s="444"/>
      <c r="BA5" s="444"/>
      <c r="BB5" s="444"/>
      <c r="BC5" s="444"/>
      <c r="BD5" s="444"/>
      <c r="BE5" s="444"/>
      <c r="BF5" s="444"/>
      <c r="BG5" s="444"/>
      <c r="BH5" s="444"/>
      <c r="BI5" s="444"/>
      <c r="BJ5" s="444"/>
      <c r="BK5" s="444"/>
      <c r="BL5" s="444"/>
      <c r="BM5" s="444"/>
      <c r="BN5" s="444"/>
      <c r="BO5" s="444"/>
      <c r="BP5" s="444"/>
      <c r="BQ5" s="444"/>
      <c r="BR5" s="444"/>
      <c r="BS5" s="444"/>
      <c r="BT5" s="444"/>
      <c r="BU5" s="444"/>
      <c r="BV5" s="444"/>
      <c r="BW5" s="444"/>
      <c r="BX5" s="444"/>
      <c r="BY5" s="444"/>
      <c r="BZ5" s="444"/>
      <c r="CA5" s="444"/>
      <c r="CB5" s="444"/>
      <c r="CC5" s="444"/>
      <c r="CD5" s="444"/>
      <c r="CE5" s="444"/>
      <c r="CF5" s="444"/>
      <c r="CG5" s="444"/>
      <c r="CH5" s="444"/>
      <c r="CI5" s="444"/>
      <c r="CJ5" s="444"/>
      <c r="CK5" s="444"/>
      <c r="CL5" s="444"/>
    </row>
    <row r="6" spans="1:90" ht="15.75" thickTop="1">
      <c r="Q6" s="530" t="s">
        <v>99</v>
      </c>
      <c r="R6" s="444">
        <f t="shared" ca="1" si="0"/>
        <v>5.24</v>
      </c>
      <c r="S6" s="444">
        <v>5.24</v>
      </c>
      <c r="T6" s="444">
        <v>5.1100000000000003</v>
      </c>
      <c r="U6" s="444">
        <v>5.17</v>
      </c>
      <c r="V6" s="444">
        <v>5.07</v>
      </c>
      <c r="W6" s="444">
        <v>4.63</v>
      </c>
      <c r="AA6" s="531"/>
      <c r="AC6" s="528">
        <v>44288</v>
      </c>
      <c r="AD6" s="444" t="s">
        <v>100</v>
      </c>
      <c r="AJ6" s="444"/>
      <c r="AK6" s="444"/>
      <c r="AL6" s="444"/>
      <c r="AM6" s="496" t="s">
        <v>101</v>
      </c>
      <c r="AN6" s="492">
        <f>NETWORKDAYS.INTL(AO7,AN22,1,AC3:AC67)</f>
        <v>28</v>
      </c>
      <c r="AO6" s="691" t="s">
        <v>102</v>
      </c>
      <c r="AP6" s="767">
        <f>AP7</f>
        <v>45424</v>
      </c>
      <c r="AQ6" s="768"/>
      <c r="AR6" s="768"/>
      <c r="AS6" s="768"/>
      <c r="AT6" s="768"/>
      <c r="AU6" s="768"/>
      <c r="AV6" s="769"/>
      <c r="AW6" s="767">
        <f>AW7</f>
        <v>45431</v>
      </c>
      <c r="AX6" s="768"/>
      <c r="AY6" s="768"/>
      <c r="AZ6" s="768"/>
      <c r="BA6" s="768"/>
      <c r="BB6" s="768"/>
      <c r="BC6" s="769"/>
      <c r="BD6" s="767">
        <f>BD7</f>
        <v>45438</v>
      </c>
      <c r="BE6" s="768"/>
      <c r="BF6" s="768"/>
      <c r="BG6" s="768"/>
      <c r="BH6" s="768"/>
      <c r="BI6" s="768"/>
      <c r="BJ6" s="769"/>
      <c r="BK6" s="767">
        <f>BK7</f>
        <v>45445</v>
      </c>
      <c r="BL6" s="768"/>
      <c r="BM6" s="768"/>
      <c r="BN6" s="768"/>
      <c r="BO6" s="768"/>
      <c r="BP6" s="768"/>
      <c r="BQ6" s="769"/>
      <c r="BR6" s="767">
        <f>BR7</f>
        <v>45452</v>
      </c>
      <c r="BS6" s="768"/>
      <c r="BT6" s="768"/>
      <c r="BU6" s="768"/>
      <c r="BV6" s="768"/>
      <c r="BW6" s="768"/>
      <c r="BX6" s="769"/>
      <c r="BY6" s="767">
        <f>BY7</f>
        <v>45459</v>
      </c>
      <c r="BZ6" s="768"/>
      <c r="CA6" s="768"/>
      <c r="CB6" s="768"/>
      <c r="CC6" s="768"/>
      <c r="CD6" s="768"/>
      <c r="CE6" s="769"/>
      <c r="CF6" s="767">
        <f>CF7</f>
        <v>45466</v>
      </c>
      <c r="CG6" s="768"/>
      <c r="CH6" s="768"/>
      <c r="CI6" s="768"/>
      <c r="CJ6" s="768"/>
      <c r="CK6" s="768"/>
      <c r="CL6" s="769"/>
    </row>
    <row r="7" spans="1:90" ht="15.75" thickBot="1">
      <c r="Q7" s="530" t="s">
        <v>103</v>
      </c>
      <c r="R7" s="444">
        <f t="shared" ca="1" si="0"/>
        <v>4.92</v>
      </c>
      <c r="S7" s="444">
        <v>4.92</v>
      </c>
      <c r="T7" s="444">
        <v>4.8899999999999997</v>
      </c>
      <c r="U7" s="444">
        <v>4.8899999999999997</v>
      </c>
      <c r="V7" s="444">
        <v>4.83</v>
      </c>
      <c r="W7" s="444">
        <v>4.55</v>
      </c>
      <c r="AA7" s="531"/>
      <c r="AC7" s="528">
        <v>44307</v>
      </c>
      <c r="AD7" s="444" t="s">
        <v>104</v>
      </c>
      <c r="AJ7" s="444"/>
      <c r="AK7" s="444"/>
      <c r="AL7" s="444"/>
      <c r="AM7" s="496" t="s">
        <v>105</v>
      </c>
      <c r="AN7" s="492">
        <f>AN22-AM9</f>
        <v>40</v>
      </c>
      <c r="AO7" s="692">
        <v>45427</v>
      </c>
      <c r="AP7" s="532">
        <f>AO7-WEEKDAY(AO7,2)+AP5</f>
        <v>45424</v>
      </c>
      <c r="AQ7" s="533">
        <f t="shared" ref="AQ7:CL7" si="1">AP7+1</f>
        <v>45425</v>
      </c>
      <c r="AR7" s="533">
        <f t="shared" si="1"/>
        <v>45426</v>
      </c>
      <c r="AS7" s="533">
        <f t="shared" si="1"/>
        <v>45427</v>
      </c>
      <c r="AT7" s="533">
        <f t="shared" si="1"/>
        <v>45428</v>
      </c>
      <c r="AU7" s="533">
        <f t="shared" si="1"/>
        <v>45429</v>
      </c>
      <c r="AV7" s="534">
        <f t="shared" si="1"/>
        <v>45430</v>
      </c>
      <c r="AW7" s="532">
        <f t="shared" si="1"/>
        <v>45431</v>
      </c>
      <c r="AX7" s="533">
        <f t="shared" si="1"/>
        <v>45432</v>
      </c>
      <c r="AY7" s="533">
        <f t="shared" si="1"/>
        <v>45433</v>
      </c>
      <c r="AZ7" s="533">
        <f t="shared" si="1"/>
        <v>45434</v>
      </c>
      <c r="BA7" s="533">
        <f t="shared" si="1"/>
        <v>45435</v>
      </c>
      <c r="BB7" s="533">
        <f t="shared" si="1"/>
        <v>45436</v>
      </c>
      <c r="BC7" s="534">
        <f t="shared" si="1"/>
        <v>45437</v>
      </c>
      <c r="BD7" s="532">
        <f t="shared" si="1"/>
        <v>45438</v>
      </c>
      <c r="BE7" s="533">
        <f t="shared" si="1"/>
        <v>45439</v>
      </c>
      <c r="BF7" s="533">
        <f t="shared" si="1"/>
        <v>45440</v>
      </c>
      <c r="BG7" s="533">
        <f t="shared" si="1"/>
        <v>45441</v>
      </c>
      <c r="BH7" s="533">
        <f t="shared" si="1"/>
        <v>45442</v>
      </c>
      <c r="BI7" s="533">
        <f t="shared" si="1"/>
        <v>45443</v>
      </c>
      <c r="BJ7" s="534">
        <f t="shared" si="1"/>
        <v>45444</v>
      </c>
      <c r="BK7" s="532">
        <f t="shared" si="1"/>
        <v>45445</v>
      </c>
      <c r="BL7" s="533">
        <f t="shared" si="1"/>
        <v>45446</v>
      </c>
      <c r="BM7" s="533">
        <f t="shared" si="1"/>
        <v>45447</v>
      </c>
      <c r="BN7" s="533">
        <f t="shared" si="1"/>
        <v>45448</v>
      </c>
      <c r="BO7" s="533">
        <f t="shared" si="1"/>
        <v>45449</v>
      </c>
      <c r="BP7" s="533">
        <f t="shared" si="1"/>
        <v>45450</v>
      </c>
      <c r="BQ7" s="534">
        <f t="shared" si="1"/>
        <v>45451</v>
      </c>
      <c r="BR7" s="532">
        <f t="shared" si="1"/>
        <v>45452</v>
      </c>
      <c r="BS7" s="533">
        <f t="shared" si="1"/>
        <v>45453</v>
      </c>
      <c r="BT7" s="533">
        <f t="shared" si="1"/>
        <v>45454</v>
      </c>
      <c r="BU7" s="533">
        <f t="shared" si="1"/>
        <v>45455</v>
      </c>
      <c r="BV7" s="533">
        <f t="shared" si="1"/>
        <v>45456</v>
      </c>
      <c r="BW7" s="533">
        <f t="shared" si="1"/>
        <v>45457</v>
      </c>
      <c r="BX7" s="534">
        <f t="shared" si="1"/>
        <v>45458</v>
      </c>
      <c r="BY7" s="532">
        <f t="shared" si="1"/>
        <v>45459</v>
      </c>
      <c r="BZ7" s="533">
        <f t="shared" si="1"/>
        <v>45460</v>
      </c>
      <c r="CA7" s="533">
        <f t="shared" si="1"/>
        <v>45461</v>
      </c>
      <c r="CB7" s="533">
        <f t="shared" si="1"/>
        <v>45462</v>
      </c>
      <c r="CC7" s="533">
        <f t="shared" si="1"/>
        <v>45463</v>
      </c>
      <c r="CD7" s="533">
        <f t="shared" si="1"/>
        <v>45464</v>
      </c>
      <c r="CE7" s="534">
        <f t="shared" si="1"/>
        <v>45465</v>
      </c>
      <c r="CF7" s="532">
        <f t="shared" si="1"/>
        <v>45466</v>
      </c>
      <c r="CG7" s="533">
        <f t="shared" si="1"/>
        <v>45467</v>
      </c>
      <c r="CH7" s="533">
        <f t="shared" si="1"/>
        <v>45468</v>
      </c>
      <c r="CI7" s="533">
        <f t="shared" si="1"/>
        <v>45469</v>
      </c>
      <c r="CJ7" s="533">
        <f t="shared" si="1"/>
        <v>45470</v>
      </c>
      <c r="CK7" s="533">
        <f t="shared" si="1"/>
        <v>45471</v>
      </c>
      <c r="CL7" s="534">
        <f t="shared" si="1"/>
        <v>45472</v>
      </c>
    </row>
    <row r="8" spans="1:90" ht="15.75" thickTop="1">
      <c r="Q8" s="530" t="s">
        <v>106</v>
      </c>
      <c r="R8" s="444">
        <f t="shared" ca="1" si="0"/>
        <v>4.32</v>
      </c>
      <c r="S8" s="444">
        <v>4.32</v>
      </c>
      <c r="T8" s="444">
        <v>4.34</v>
      </c>
      <c r="U8" s="444">
        <v>4.37</v>
      </c>
      <c r="V8" s="444">
        <v>4.26</v>
      </c>
      <c r="W8" s="444">
        <v>4.17</v>
      </c>
      <c r="AA8" s="531"/>
      <c r="AC8" s="528">
        <v>44290</v>
      </c>
      <c r="AD8" s="444" t="s">
        <v>107</v>
      </c>
      <c r="AJ8" s="535" t="s">
        <v>108</v>
      </c>
      <c r="AK8" s="535" t="s">
        <v>109</v>
      </c>
      <c r="AL8" s="535" t="s">
        <v>10</v>
      </c>
      <c r="AM8" s="535" t="s">
        <v>8</v>
      </c>
      <c r="AN8" s="535" t="s">
        <v>110</v>
      </c>
      <c r="AO8" s="535" t="s">
        <v>111</v>
      </c>
      <c r="AP8" s="536" t="str">
        <f t="shared" ref="AP8:BT8" si="2">UPPER(LEFT(TEXT(AP7,"DDD"),1))</f>
        <v>D</v>
      </c>
      <c r="AQ8" s="535" t="str">
        <f t="shared" si="2"/>
        <v>S</v>
      </c>
      <c r="AR8" s="535" t="str">
        <f t="shared" si="2"/>
        <v>T</v>
      </c>
      <c r="AS8" s="535" t="str">
        <f t="shared" si="2"/>
        <v>Q</v>
      </c>
      <c r="AT8" s="535" t="str">
        <f t="shared" si="2"/>
        <v>Q</v>
      </c>
      <c r="AU8" s="535" t="str">
        <f t="shared" si="2"/>
        <v>S</v>
      </c>
      <c r="AV8" s="537" t="str">
        <f t="shared" si="2"/>
        <v>S</v>
      </c>
      <c r="AW8" s="536" t="str">
        <f t="shared" si="2"/>
        <v>D</v>
      </c>
      <c r="AX8" s="535" t="str">
        <f t="shared" si="2"/>
        <v>S</v>
      </c>
      <c r="AY8" s="535" t="str">
        <f t="shared" si="2"/>
        <v>T</v>
      </c>
      <c r="AZ8" s="535" t="str">
        <f t="shared" si="2"/>
        <v>Q</v>
      </c>
      <c r="BA8" s="535" t="str">
        <f t="shared" si="2"/>
        <v>Q</v>
      </c>
      <c r="BB8" s="535" t="str">
        <f t="shared" si="2"/>
        <v>S</v>
      </c>
      <c r="BC8" s="537" t="str">
        <f t="shared" si="2"/>
        <v>S</v>
      </c>
      <c r="BD8" s="536" t="str">
        <f t="shared" si="2"/>
        <v>D</v>
      </c>
      <c r="BE8" s="535" t="str">
        <f t="shared" si="2"/>
        <v>S</v>
      </c>
      <c r="BF8" s="535" t="str">
        <f t="shared" si="2"/>
        <v>T</v>
      </c>
      <c r="BG8" s="535" t="str">
        <f t="shared" si="2"/>
        <v>Q</v>
      </c>
      <c r="BH8" s="535" t="str">
        <f t="shared" si="2"/>
        <v>Q</v>
      </c>
      <c r="BI8" s="535" t="str">
        <f t="shared" si="2"/>
        <v>S</v>
      </c>
      <c r="BJ8" s="537" t="str">
        <f t="shared" si="2"/>
        <v>S</v>
      </c>
      <c r="BK8" s="536" t="str">
        <f t="shared" si="2"/>
        <v>D</v>
      </c>
      <c r="BL8" s="535" t="str">
        <f t="shared" si="2"/>
        <v>S</v>
      </c>
      <c r="BM8" s="535" t="str">
        <f t="shared" si="2"/>
        <v>T</v>
      </c>
      <c r="BN8" s="535" t="str">
        <f t="shared" si="2"/>
        <v>Q</v>
      </c>
      <c r="BO8" s="535" t="str">
        <f t="shared" si="2"/>
        <v>Q</v>
      </c>
      <c r="BP8" s="535" t="str">
        <f t="shared" si="2"/>
        <v>S</v>
      </c>
      <c r="BQ8" s="537" t="str">
        <f t="shared" si="2"/>
        <v>S</v>
      </c>
      <c r="BR8" s="536" t="str">
        <f t="shared" si="2"/>
        <v>D</v>
      </c>
      <c r="BS8" s="535" t="str">
        <f t="shared" si="2"/>
        <v>S</v>
      </c>
      <c r="BT8" s="535" t="str">
        <f t="shared" si="2"/>
        <v>T</v>
      </c>
      <c r="BU8" s="575" t="s">
        <v>112</v>
      </c>
      <c r="BV8" s="535" t="str">
        <f t="shared" ref="BV8:CL8" si="3">UPPER(LEFT(TEXT(BV7,"DDD"),1))</f>
        <v>Q</v>
      </c>
      <c r="BW8" s="535" t="str">
        <f t="shared" si="3"/>
        <v>S</v>
      </c>
      <c r="BX8" s="537" t="str">
        <f t="shared" si="3"/>
        <v>S</v>
      </c>
      <c r="BY8" s="536" t="str">
        <f t="shared" si="3"/>
        <v>D</v>
      </c>
      <c r="BZ8" s="535" t="str">
        <f t="shared" si="3"/>
        <v>S</v>
      </c>
      <c r="CA8" s="535" t="str">
        <f t="shared" si="3"/>
        <v>T</v>
      </c>
      <c r="CB8" s="535" t="str">
        <f t="shared" si="3"/>
        <v>Q</v>
      </c>
      <c r="CC8" s="535" t="str">
        <f t="shared" si="3"/>
        <v>Q</v>
      </c>
      <c r="CD8" s="535" t="str">
        <f t="shared" si="3"/>
        <v>S</v>
      </c>
      <c r="CE8" s="537" t="str">
        <f t="shared" si="3"/>
        <v>S</v>
      </c>
      <c r="CF8" s="536" t="str">
        <f t="shared" si="3"/>
        <v>D</v>
      </c>
      <c r="CG8" s="535" t="str">
        <f t="shared" si="3"/>
        <v>S</v>
      </c>
      <c r="CH8" s="535" t="str">
        <f t="shared" si="3"/>
        <v>T</v>
      </c>
      <c r="CI8" s="535" t="str">
        <f t="shared" si="3"/>
        <v>Q</v>
      </c>
      <c r="CJ8" s="535" t="str">
        <f t="shared" si="3"/>
        <v>Q</v>
      </c>
      <c r="CK8" s="535" t="str">
        <f t="shared" si="3"/>
        <v>S</v>
      </c>
      <c r="CL8" s="537" t="str">
        <f t="shared" si="3"/>
        <v>S</v>
      </c>
    </row>
    <row r="9" spans="1:90">
      <c r="A9" s="766" t="s">
        <v>113</v>
      </c>
      <c r="B9" s="766"/>
      <c r="C9" s="766"/>
      <c r="D9" s="766"/>
      <c r="E9" s="766"/>
      <c r="F9" s="766"/>
      <c r="G9" s="766"/>
      <c r="H9" s="766"/>
      <c r="I9" s="766"/>
      <c r="J9" s="766"/>
      <c r="K9" s="766"/>
      <c r="L9" s="766"/>
      <c r="Q9" s="530" t="s">
        <v>114</v>
      </c>
      <c r="R9" s="444">
        <f t="shared" ca="1" si="0"/>
        <v>4.18</v>
      </c>
      <c r="S9" s="444">
        <v>4.18</v>
      </c>
      <c r="T9" s="444">
        <v>4.2699999999999996</v>
      </c>
      <c r="U9" s="444">
        <v>4.28</v>
      </c>
      <c r="V9" s="444">
        <v>4.0999999999999996</v>
      </c>
      <c r="W9" s="444">
        <v>3.96</v>
      </c>
      <c r="AA9" s="531"/>
      <c r="AC9" s="528">
        <v>44317</v>
      </c>
      <c r="AD9" s="444" t="s">
        <v>115</v>
      </c>
      <c r="AJ9" s="538"/>
      <c r="AK9" s="539"/>
      <c r="AL9" s="540">
        <v>1</v>
      </c>
      <c r="AM9" s="693">
        <f>AO7</f>
        <v>45427</v>
      </c>
      <c r="AN9" s="541">
        <f t="shared" ref="AN9:AN17" si="4">WORKDAY.INTL(AM9,AL9-1,1,AC3:AC67)</f>
        <v>45427</v>
      </c>
      <c r="AO9" s="694" t="s">
        <v>116</v>
      </c>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76"/>
      <c r="BU9" s="542"/>
      <c r="BV9" s="542"/>
      <c r="BW9" s="542"/>
      <c r="BX9" s="542"/>
      <c r="BY9" s="542"/>
      <c r="BZ9" s="542"/>
      <c r="CA9" s="542"/>
      <c r="CB9" s="542"/>
      <c r="CC9" s="542"/>
      <c r="CD9" s="542"/>
      <c r="CE9" s="542"/>
      <c r="CF9" s="542"/>
      <c r="CG9" s="542"/>
      <c r="CH9" s="542"/>
      <c r="CI9" s="542"/>
      <c r="CJ9" s="542"/>
      <c r="CK9" s="542"/>
      <c r="CL9" s="542"/>
    </row>
    <row r="10" spans="1:90">
      <c r="E10" s="496" t="s">
        <v>117</v>
      </c>
      <c r="F10" s="543">
        <v>3000</v>
      </c>
      <c r="H10" s="496" t="s">
        <v>118</v>
      </c>
      <c r="I10" s="14">
        <f ca="1">((F10*Financeiro!$B$307/(1-(IFERROR(INDEX(Financeiro!$I$307:$L$307,MATCH(F10-0.01,Financeiro!$I$306:$K$306,1)+1),Financeiro!$I$307)+Financeiro!$G$307+Financeiro!$H$307)))+IFERROR(INDEX(Financeiro!$M$307:$AS$307,MATCH(F10-0.001,Financeiro!$M$306:$AR$306,1)+1),Financeiro!$M$307))</f>
        <v>3467.9697631267272</v>
      </c>
      <c r="Q10" s="530" t="s">
        <v>119</v>
      </c>
      <c r="R10" s="444">
        <f t="shared" ca="1" si="0"/>
        <v>4.08</v>
      </c>
      <c r="S10" s="444">
        <v>4.08</v>
      </c>
      <c r="T10" s="444">
        <v>4.1500000000000004</v>
      </c>
      <c r="U10" s="444">
        <v>4.16</v>
      </c>
      <c r="V10" s="444">
        <v>4.01</v>
      </c>
      <c r="W10" s="444">
        <v>3.88</v>
      </c>
      <c r="AA10" s="531"/>
      <c r="AC10" s="528">
        <v>44350</v>
      </c>
      <c r="AD10" s="444" t="s">
        <v>120</v>
      </c>
      <c r="AJ10" s="545"/>
      <c r="AK10" s="546"/>
      <c r="AL10" s="547">
        <v>2</v>
      </c>
      <c r="AM10" s="546">
        <f>AM9</f>
        <v>45427</v>
      </c>
      <c r="AN10" s="548">
        <f t="shared" si="4"/>
        <v>45428</v>
      </c>
      <c r="AO10" s="695" t="s">
        <v>121</v>
      </c>
      <c r="AP10" s="549"/>
      <c r="AQ10" s="549"/>
      <c r="AR10" s="549"/>
      <c r="AS10" s="549"/>
      <c r="AT10" s="549"/>
      <c r="AU10" s="549"/>
      <c r="AV10" s="549"/>
      <c r="AW10" s="549"/>
      <c r="AX10" s="549"/>
      <c r="AY10" s="549"/>
      <c r="AZ10" s="549"/>
      <c r="BA10" s="549"/>
      <c r="BB10" s="549"/>
      <c r="BC10" s="549"/>
      <c r="BD10" s="549"/>
      <c r="BE10" s="549"/>
      <c r="BF10" s="549"/>
      <c r="BG10" s="549"/>
      <c r="BH10" s="549"/>
      <c r="BI10" s="549"/>
      <c r="BJ10" s="549"/>
      <c r="BK10" s="549"/>
      <c r="BL10" s="549"/>
      <c r="BM10" s="549"/>
      <c r="BN10" s="549"/>
      <c r="BO10" s="549"/>
      <c r="BP10" s="549"/>
      <c r="BQ10" s="549"/>
      <c r="BR10" s="549"/>
      <c r="BS10" s="549"/>
      <c r="BT10" s="577"/>
      <c r="BU10" s="549"/>
      <c r="BV10" s="549"/>
      <c r="BW10" s="549"/>
      <c r="BX10" s="549"/>
      <c r="BY10" s="549"/>
      <c r="BZ10" s="549"/>
      <c r="CA10" s="549"/>
      <c r="CB10" s="549"/>
      <c r="CC10" s="549"/>
      <c r="CD10" s="549"/>
      <c r="CE10" s="549"/>
      <c r="CF10" s="549"/>
      <c r="CG10" s="549"/>
      <c r="CH10" s="549"/>
      <c r="CI10" s="549"/>
      <c r="CJ10" s="549"/>
      <c r="CK10" s="549"/>
      <c r="CL10" s="549"/>
    </row>
    <row r="11" spans="1:90">
      <c r="A11" s="43" t="s">
        <v>96</v>
      </c>
      <c r="B11" s="43" t="s">
        <v>98</v>
      </c>
      <c r="C11" s="43" t="s">
        <v>99</v>
      </c>
      <c r="D11" s="43" t="s">
        <v>103</v>
      </c>
      <c r="E11" s="43" t="s">
        <v>106</v>
      </c>
      <c r="F11" s="43" t="s">
        <v>114</v>
      </c>
      <c r="G11" s="43" t="s">
        <v>119</v>
      </c>
      <c r="H11" s="43" t="s">
        <v>122</v>
      </c>
      <c r="I11" s="43" t="s">
        <v>123</v>
      </c>
      <c r="J11" s="43" t="s">
        <v>124</v>
      </c>
      <c r="K11" s="43" t="s">
        <v>125</v>
      </c>
      <c r="L11" s="43" t="s">
        <v>126</v>
      </c>
      <c r="Q11" s="530" t="s">
        <v>122</v>
      </c>
      <c r="R11" s="444">
        <f t="shared" ca="1" si="0"/>
        <v>4.8099999999999996</v>
      </c>
      <c r="S11" s="444">
        <v>4.8099999999999996</v>
      </c>
      <c r="T11" s="444">
        <v>4.84</v>
      </c>
      <c r="U11" s="444">
        <v>4.91</v>
      </c>
      <c r="V11" s="444">
        <v>4.7300000000000004</v>
      </c>
      <c r="W11" s="444">
        <v>4.5599999999999996</v>
      </c>
      <c r="AA11" s="531"/>
      <c r="AC11" s="528">
        <v>44446</v>
      </c>
      <c r="AD11" s="444" t="s">
        <v>127</v>
      </c>
      <c r="AJ11" s="545"/>
      <c r="AK11" s="546"/>
      <c r="AL11" s="547">
        <v>4</v>
      </c>
      <c r="AM11" s="546">
        <f>AM9</f>
        <v>45427</v>
      </c>
      <c r="AN11" s="548">
        <f t="shared" si="4"/>
        <v>45432</v>
      </c>
      <c r="AO11" s="695" t="s">
        <v>128</v>
      </c>
      <c r="AP11" s="549"/>
      <c r="AQ11" s="549"/>
      <c r="AR11" s="549"/>
      <c r="AS11" s="549"/>
      <c r="AT11" s="549"/>
      <c r="AU11" s="549"/>
      <c r="AV11" s="549"/>
      <c r="AW11" s="549"/>
      <c r="AX11" s="549"/>
      <c r="AY11" s="549"/>
      <c r="AZ11" s="549"/>
      <c r="BA11" s="549"/>
      <c r="BB11" s="549"/>
      <c r="BC11" s="549"/>
      <c r="BD11" s="549"/>
      <c r="BE11" s="549"/>
      <c r="BF11" s="549"/>
      <c r="BG11" s="549"/>
      <c r="BH11" s="549"/>
      <c r="BI11" s="549"/>
      <c r="BJ11" s="549"/>
      <c r="BK11" s="549"/>
      <c r="BL11" s="549"/>
      <c r="BM11" s="549"/>
      <c r="BN11" s="549"/>
      <c r="BO11" s="549"/>
      <c r="BP11" s="549"/>
      <c r="BQ11" s="549"/>
      <c r="BR11" s="549"/>
      <c r="BS11" s="549"/>
      <c r="BT11" s="549"/>
      <c r="BU11" s="549"/>
      <c r="BV11" s="549"/>
      <c r="BW11" s="549"/>
      <c r="BX11" s="549"/>
      <c r="BY11" s="549"/>
      <c r="BZ11" s="549"/>
      <c r="CA11" s="549"/>
      <c r="CB11" s="549"/>
      <c r="CC11" s="549"/>
      <c r="CD11" s="549"/>
      <c r="CE11" s="549"/>
      <c r="CF11" s="549"/>
      <c r="CG11" s="549"/>
      <c r="CH11" s="549"/>
      <c r="CI11" s="549"/>
      <c r="CJ11" s="549"/>
      <c r="CK11" s="549"/>
      <c r="CL11" s="549"/>
    </row>
    <row r="12" spans="1:90">
      <c r="A12" s="729">
        <f>ROUND($F$10*12*A13,0)</f>
        <v>4320</v>
      </c>
      <c r="B12" s="729">
        <f t="shared" ref="B12:L12" si="5">ROUND($F$10*12*B13,0)</f>
        <v>4140</v>
      </c>
      <c r="C12" s="729">
        <f t="shared" si="5"/>
        <v>3456</v>
      </c>
      <c r="D12" s="729">
        <f t="shared" si="5"/>
        <v>3204</v>
      </c>
      <c r="E12" s="729">
        <f t="shared" si="5"/>
        <v>2340</v>
      </c>
      <c r="F12" s="729">
        <f t="shared" si="5"/>
        <v>2160</v>
      </c>
      <c r="G12" s="729">
        <f t="shared" si="5"/>
        <v>2304</v>
      </c>
      <c r="H12" s="729">
        <f t="shared" si="5"/>
        <v>2412</v>
      </c>
      <c r="I12" s="729">
        <f t="shared" si="5"/>
        <v>2520</v>
      </c>
      <c r="J12" s="729">
        <f t="shared" si="5"/>
        <v>2628</v>
      </c>
      <c r="K12" s="729">
        <f t="shared" si="5"/>
        <v>2880</v>
      </c>
      <c r="L12" s="729">
        <f t="shared" si="5"/>
        <v>3600</v>
      </c>
      <c r="Q12" s="530" t="s">
        <v>123</v>
      </c>
      <c r="R12" s="444">
        <f t="shared" ca="1" si="0"/>
        <v>4.62</v>
      </c>
      <c r="S12" s="444">
        <v>4.62</v>
      </c>
      <c r="T12" s="444">
        <v>4.5999999999999996</v>
      </c>
      <c r="U12" s="444">
        <v>4.7</v>
      </c>
      <c r="V12" s="444">
        <v>4.5199999999999996</v>
      </c>
      <c r="W12" s="444">
        <v>4.21</v>
      </c>
      <c r="AA12" s="531"/>
      <c r="AC12" s="528">
        <v>44481</v>
      </c>
      <c r="AD12" s="444" t="s">
        <v>129</v>
      </c>
      <c r="AJ12" s="545"/>
      <c r="AK12" s="546"/>
      <c r="AL12" s="547">
        <v>3</v>
      </c>
      <c r="AM12" s="546">
        <f>AM9+2</f>
        <v>45429</v>
      </c>
      <c r="AN12" s="548">
        <f t="shared" si="4"/>
        <v>45433</v>
      </c>
      <c r="AO12" s="550" t="s">
        <v>130</v>
      </c>
      <c r="AP12" s="549"/>
      <c r="AQ12" s="549"/>
      <c r="AR12" s="549"/>
      <c r="AS12" s="549"/>
      <c r="AT12" s="549"/>
      <c r="AU12" s="549"/>
      <c r="AV12" s="549"/>
      <c r="AW12" s="549"/>
      <c r="AX12" s="549"/>
      <c r="AY12" s="549"/>
      <c r="AZ12" s="549"/>
      <c r="BA12" s="549"/>
      <c r="BB12" s="549"/>
      <c r="BC12" s="549"/>
      <c r="BD12" s="549"/>
      <c r="BE12" s="549"/>
      <c r="BF12" s="549"/>
      <c r="BG12" s="549"/>
      <c r="BH12" s="549"/>
      <c r="BI12" s="549"/>
      <c r="BJ12" s="549"/>
      <c r="BK12" s="549"/>
      <c r="BL12" s="549"/>
      <c r="BM12" s="549"/>
      <c r="BN12" s="549"/>
      <c r="BO12" s="549"/>
      <c r="BP12" s="549"/>
      <c r="BQ12" s="549"/>
      <c r="BR12" s="549"/>
      <c r="BS12" s="549"/>
      <c r="BT12" s="549"/>
      <c r="BU12" s="549"/>
      <c r="BV12" s="549"/>
      <c r="BW12" s="549"/>
      <c r="BX12" s="549"/>
      <c r="BY12" s="549"/>
      <c r="BZ12" s="549"/>
      <c r="CA12" s="549"/>
      <c r="CB12" s="549"/>
      <c r="CC12" s="549"/>
      <c r="CD12" s="549"/>
      <c r="CE12" s="549"/>
      <c r="CF12" s="549"/>
      <c r="CG12" s="549"/>
      <c r="CH12" s="549"/>
      <c r="CI12" s="549"/>
      <c r="CJ12" s="549"/>
      <c r="CK12" s="549"/>
      <c r="CL12" s="549"/>
    </row>
    <row r="13" spans="1:90">
      <c r="A13" s="730">
        <v>0.12</v>
      </c>
      <c r="B13" s="730">
        <v>0.115</v>
      </c>
      <c r="C13" s="730">
        <v>9.6000000000000002E-2</v>
      </c>
      <c r="D13" s="730">
        <v>8.8999999999999996E-2</v>
      </c>
      <c r="E13" s="730">
        <v>6.5000000000000002E-2</v>
      </c>
      <c r="F13" s="744">
        <v>0.06</v>
      </c>
      <c r="G13" s="730">
        <v>6.4000000000000001E-2</v>
      </c>
      <c r="H13" s="730">
        <v>6.7000000000000004E-2</v>
      </c>
      <c r="I13" s="730">
        <v>7.0000000000000007E-2</v>
      </c>
      <c r="J13" s="730">
        <v>7.2999999999999995E-2</v>
      </c>
      <c r="K13" s="730">
        <v>0.08</v>
      </c>
      <c r="L13" s="730">
        <v>0.1</v>
      </c>
      <c r="Q13" s="530" t="s">
        <v>124</v>
      </c>
      <c r="R13" s="444">
        <f t="shared" ca="1" si="0"/>
        <v>4.95</v>
      </c>
      <c r="S13" s="444">
        <v>4.95</v>
      </c>
      <c r="T13" s="444">
        <v>4.78</v>
      </c>
      <c r="U13" s="444">
        <v>4.9400000000000004</v>
      </c>
      <c r="V13" s="444">
        <v>4.83</v>
      </c>
      <c r="W13" s="444">
        <v>4.28</v>
      </c>
      <c r="AA13" s="531"/>
      <c r="AC13" s="528">
        <v>44502</v>
      </c>
      <c r="AD13" s="444" t="s">
        <v>131</v>
      </c>
      <c r="AJ13" s="545"/>
      <c r="AK13" s="546"/>
      <c r="AL13" s="547">
        <v>2</v>
      </c>
      <c r="AM13" s="546">
        <f>AN12</f>
        <v>45433</v>
      </c>
      <c r="AN13" s="548">
        <f t="shared" si="4"/>
        <v>45434</v>
      </c>
      <c r="AO13" s="695" t="s">
        <v>132</v>
      </c>
      <c r="AP13" s="549"/>
      <c r="AQ13" s="549"/>
      <c r="AR13" s="549"/>
      <c r="AS13" s="549"/>
      <c r="AT13" s="549"/>
      <c r="AU13" s="549"/>
      <c r="AV13" s="549"/>
      <c r="AW13" s="549"/>
      <c r="AX13" s="549"/>
      <c r="AY13" s="549"/>
      <c r="AZ13" s="549"/>
      <c r="BA13" s="549"/>
      <c r="BB13" s="549"/>
      <c r="BC13" s="549"/>
      <c r="BD13" s="549"/>
      <c r="BE13" s="549"/>
      <c r="BF13" s="549"/>
      <c r="BG13" s="549"/>
      <c r="BH13" s="549"/>
      <c r="BI13" s="549"/>
      <c r="BJ13" s="549"/>
      <c r="BK13" s="549"/>
      <c r="BL13" s="549"/>
      <c r="BM13" s="549"/>
      <c r="BN13" s="549"/>
      <c r="BO13" s="549"/>
      <c r="BP13" s="549"/>
      <c r="BQ13" s="549"/>
      <c r="BR13" s="549"/>
      <c r="BS13" s="549"/>
      <c r="BT13" s="549"/>
      <c r="BU13" s="549"/>
      <c r="BV13" s="549"/>
      <c r="BW13" s="549"/>
      <c r="BX13" s="549"/>
      <c r="BY13" s="549"/>
      <c r="BZ13" s="549"/>
      <c r="CA13" s="549"/>
      <c r="CB13" s="549"/>
      <c r="CC13" s="549"/>
      <c r="CD13" s="549"/>
      <c r="CE13" s="549"/>
      <c r="CF13" s="549"/>
      <c r="CG13" s="549"/>
      <c r="CH13" s="549"/>
      <c r="CI13" s="549"/>
      <c r="CJ13" s="549"/>
      <c r="CK13" s="549"/>
      <c r="CL13" s="549"/>
    </row>
    <row r="14" spans="1:90">
      <c r="A14" t="s">
        <v>133</v>
      </c>
      <c r="B14"/>
      <c r="C14"/>
      <c r="D14"/>
      <c r="E14"/>
      <c r="F14"/>
      <c r="G14"/>
      <c r="H14"/>
      <c r="I14"/>
      <c r="J14"/>
      <c r="K14"/>
      <c r="L14"/>
      <c r="N14" s="551"/>
      <c r="Q14" s="530" t="s">
        <v>125</v>
      </c>
      <c r="R14" s="444">
        <f t="shared" ca="1" si="0"/>
        <v>4.83</v>
      </c>
      <c r="S14" s="444">
        <v>4.83</v>
      </c>
      <c r="T14" s="444">
        <v>4.5599999999999996</v>
      </c>
      <c r="U14" s="444">
        <v>4.7300000000000004</v>
      </c>
      <c r="V14" s="444">
        <v>4.71</v>
      </c>
      <c r="W14" s="444">
        <v>4.1100000000000003</v>
      </c>
      <c r="AA14" s="531"/>
      <c r="AC14" s="528">
        <v>44515</v>
      </c>
      <c r="AD14" s="444" t="s">
        <v>134</v>
      </c>
      <c r="AJ14" s="545"/>
      <c r="AK14" s="546"/>
      <c r="AL14" s="547">
        <v>5</v>
      </c>
      <c r="AM14" s="546">
        <f>AN11</f>
        <v>45432</v>
      </c>
      <c r="AN14" s="548">
        <f t="shared" si="4"/>
        <v>45436</v>
      </c>
      <c r="AO14" s="550" t="s">
        <v>135</v>
      </c>
      <c r="AP14" s="549"/>
      <c r="AQ14" s="549"/>
      <c r="AR14" s="549"/>
      <c r="AS14" s="549"/>
      <c r="AT14" s="549"/>
      <c r="AU14" s="549"/>
      <c r="AV14" s="549"/>
      <c r="AW14" s="549"/>
      <c r="AX14" s="549"/>
      <c r="AY14" s="549"/>
      <c r="AZ14" s="549"/>
      <c r="BA14" s="549"/>
      <c r="BB14" s="549"/>
      <c r="BC14" s="549"/>
      <c r="BD14" s="549"/>
      <c r="BE14" s="549"/>
      <c r="BF14" s="549"/>
      <c r="BG14" s="549"/>
      <c r="BH14" s="549"/>
      <c r="BI14" s="549"/>
      <c r="BJ14" s="549"/>
      <c r="BK14" s="549"/>
      <c r="BL14" s="549"/>
      <c r="BM14" s="549"/>
      <c r="BN14" s="549"/>
      <c r="BO14" s="549"/>
      <c r="BP14" s="549"/>
      <c r="BQ14" s="549"/>
      <c r="BR14" s="549"/>
      <c r="BS14" s="549"/>
      <c r="BT14" s="549"/>
      <c r="BU14" s="549"/>
      <c r="BV14" s="549"/>
      <c r="BW14" s="549"/>
      <c r="BX14" s="549"/>
      <c r="BY14" s="549"/>
      <c r="BZ14" s="549"/>
      <c r="CA14" s="549"/>
      <c r="CB14" s="549"/>
      <c r="CC14" s="549"/>
      <c r="CD14" s="549"/>
      <c r="CE14" s="549"/>
      <c r="CF14" s="549"/>
      <c r="CG14" s="549"/>
      <c r="CH14" s="549"/>
      <c r="CI14" s="549"/>
      <c r="CJ14" s="549"/>
      <c r="CK14" s="549"/>
      <c r="CL14" s="549"/>
    </row>
    <row r="15" spans="1:90">
      <c r="Q15" s="526" t="s">
        <v>126</v>
      </c>
      <c r="R15" s="527">
        <f t="shared" ca="1" si="0"/>
        <v>5.36</v>
      </c>
      <c r="S15" s="527">
        <v>5.36</v>
      </c>
      <c r="T15" s="527">
        <v>5.1100000000000003</v>
      </c>
      <c r="U15" s="527">
        <v>5.23</v>
      </c>
      <c r="V15" s="527">
        <v>5.27</v>
      </c>
      <c r="W15" s="444">
        <v>4.57</v>
      </c>
      <c r="X15" s="527"/>
      <c r="Y15" s="527"/>
      <c r="Z15" s="527"/>
      <c r="AA15" s="506"/>
      <c r="AC15" s="528">
        <v>44555</v>
      </c>
      <c r="AD15" s="444" t="s">
        <v>136</v>
      </c>
      <c r="AJ15" s="552"/>
      <c r="AK15" s="553"/>
      <c r="AL15" s="554">
        <v>14</v>
      </c>
      <c r="AM15" s="553">
        <f>AN14</f>
        <v>45436</v>
      </c>
      <c r="AN15" s="555">
        <f t="shared" si="4"/>
        <v>45456</v>
      </c>
      <c r="AO15" s="556" t="s">
        <v>137</v>
      </c>
      <c r="AP15" s="701"/>
      <c r="AQ15" s="701"/>
      <c r="AR15" s="701"/>
      <c r="AS15" s="701"/>
      <c r="AT15" s="701"/>
      <c r="AU15" s="701"/>
      <c r="AV15" s="701"/>
      <c r="AW15" s="701"/>
      <c r="AX15" s="701"/>
      <c r="AY15" s="701"/>
      <c r="AZ15" s="701"/>
      <c r="BA15" s="701"/>
      <c r="BB15" s="701"/>
      <c r="BC15" s="701"/>
      <c r="BD15" s="701"/>
      <c r="BE15" s="701"/>
      <c r="BF15" s="701"/>
      <c r="BG15" s="701"/>
      <c r="BH15" s="701"/>
      <c r="BI15" s="701"/>
      <c r="BJ15" s="701"/>
      <c r="BK15" s="701"/>
      <c r="BL15" s="701"/>
      <c r="BM15" s="701"/>
      <c r="BN15" s="701"/>
      <c r="BO15" s="701"/>
      <c r="BP15" s="701"/>
      <c r="BQ15" s="701"/>
      <c r="BR15" s="701"/>
      <c r="BS15" s="701"/>
      <c r="BT15" s="701"/>
      <c r="BU15" s="701"/>
      <c r="BV15" s="701"/>
      <c r="BW15" s="701"/>
      <c r="BX15" s="701"/>
      <c r="BY15" s="701"/>
      <c r="BZ15" s="701"/>
      <c r="CA15" s="701"/>
      <c r="CB15" s="701"/>
      <c r="CC15" s="701"/>
      <c r="CD15" s="701"/>
      <c r="CE15" s="701"/>
      <c r="CF15" s="701"/>
      <c r="CG15" s="701"/>
      <c r="CH15" s="701"/>
      <c r="CI15" s="701"/>
      <c r="CJ15" s="701"/>
      <c r="CK15" s="701"/>
      <c r="CL15" s="701"/>
    </row>
    <row r="16" spans="1:90">
      <c r="Q16" s="526" t="s">
        <v>138</v>
      </c>
      <c r="R16" s="558">
        <f t="shared" ca="1" si="0"/>
        <v>4.9091666666666667</v>
      </c>
      <c r="S16" s="558">
        <f>AVERAGE(S4:S15)</f>
        <v>4.9091666666666667</v>
      </c>
      <c r="T16" s="558">
        <f>AVERAGE(T4:T15)</f>
        <v>4.8233333333333333</v>
      </c>
      <c r="U16" s="558">
        <f>AVERAGE(U4:U15)</f>
        <v>4.8983333333333343</v>
      </c>
      <c r="V16" s="558">
        <f>AVERAGE(V4:V15)</f>
        <v>4.8125</v>
      </c>
      <c r="W16" s="558">
        <f>AVERAGE(W4:W15)</f>
        <v>4.4291666666666663</v>
      </c>
      <c r="X16" s="527"/>
      <c r="Y16" s="527"/>
      <c r="Z16" s="527"/>
      <c r="AA16" s="506"/>
      <c r="AC16" s="528">
        <v>44562</v>
      </c>
      <c r="AD16" s="444" t="s">
        <v>95</v>
      </c>
      <c r="AJ16" s="545"/>
      <c r="AK16" s="546"/>
      <c r="AL16" s="547">
        <v>13</v>
      </c>
      <c r="AM16" s="546">
        <f>WORKDAY.INTL(AN11,AL16-1,1,AC9:AC73)</f>
        <v>45449</v>
      </c>
      <c r="AN16" s="548">
        <f>AM16</f>
        <v>45449</v>
      </c>
      <c r="AO16" s="695" t="s">
        <v>139</v>
      </c>
      <c r="AP16" s="702"/>
      <c r="AQ16" s="702"/>
      <c r="AR16" s="702"/>
      <c r="AS16" s="702"/>
      <c r="AT16" s="702"/>
      <c r="AU16" s="702"/>
      <c r="AV16" s="702"/>
      <c r="AW16" s="702"/>
      <c r="AX16" s="702"/>
      <c r="AY16" s="702"/>
      <c r="AZ16" s="702"/>
      <c r="BA16" s="702"/>
      <c r="BB16" s="702"/>
      <c r="BC16" s="702"/>
      <c r="BD16" s="702"/>
      <c r="BE16" s="702"/>
      <c r="BF16" s="702"/>
      <c r="BG16" s="702"/>
      <c r="BH16" s="702"/>
      <c r="BI16" s="702"/>
      <c r="BJ16" s="702"/>
      <c r="BK16" s="702"/>
      <c r="BL16" s="702"/>
      <c r="BM16" s="702"/>
      <c r="BN16" s="702"/>
      <c r="BO16" s="702"/>
      <c r="BP16" s="702"/>
      <c r="BQ16" s="702"/>
      <c r="BR16" s="702"/>
      <c r="BS16" s="702"/>
      <c r="BT16" s="702"/>
      <c r="BU16" s="702"/>
      <c r="BV16" s="702"/>
      <c r="BW16" s="702"/>
      <c r="BX16" s="702"/>
      <c r="BY16" s="702"/>
      <c r="BZ16" s="702"/>
      <c r="CA16" s="702"/>
      <c r="CB16" s="702"/>
      <c r="CC16" s="702"/>
      <c r="CD16" s="702"/>
      <c r="CE16" s="702"/>
      <c r="CF16" s="702"/>
      <c r="CG16" s="702"/>
      <c r="CH16" s="702"/>
      <c r="CI16" s="702"/>
      <c r="CJ16" s="702"/>
      <c r="CK16" s="702"/>
      <c r="CL16" s="702"/>
    </row>
    <row r="17" spans="1:90">
      <c r="F17" s="560"/>
      <c r="Q17" s="530" t="s">
        <v>140</v>
      </c>
      <c r="AC17" s="528">
        <v>44620</v>
      </c>
      <c r="AD17" s="444" t="s">
        <v>97</v>
      </c>
      <c r="AJ17" s="552"/>
      <c r="AK17" s="553"/>
      <c r="AL17" s="554">
        <v>1</v>
      </c>
      <c r="AM17" s="553">
        <f>AN16</f>
        <v>45449</v>
      </c>
      <c r="AN17" s="555">
        <f t="shared" si="4"/>
        <v>45449</v>
      </c>
      <c r="AO17" s="703" t="s">
        <v>141</v>
      </c>
      <c r="AP17" s="702"/>
      <c r="AQ17" s="702"/>
      <c r="AR17" s="702"/>
      <c r="AS17" s="702"/>
      <c r="AT17" s="702"/>
      <c r="AU17" s="702"/>
      <c r="AV17" s="702"/>
      <c r="AW17" s="702"/>
      <c r="AX17" s="702"/>
      <c r="AY17" s="702"/>
      <c r="AZ17" s="702"/>
      <c r="BA17" s="702"/>
      <c r="BB17" s="702"/>
      <c r="BC17" s="702"/>
      <c r="BD17" s="702"/>
      <c r="BE17" s="702"/>
      <c r="BF17" s="702"/>
      <c r="BG17" s="702"/>
      <c r="BH17" s="702"/>
      <c r="BI17" s="702"/>
      <c r="BJ17" s="702"/>
      <c r="BK17" s="702"/>
      <c r="BL17" s="702"/>
      <c r="BM17" s="702"/>
      <c r="BN17" s="702"/>
      <c r="BO17" s="702"/>
      <c r="BP17" s="702"/>
      <c r="BQ17" s="702"/>
      <c r="BR17" s="702"/>
      <c r="BS17" s="702"/>
      <c r="BT17" s="702"/>
      <c r="BU17" s="702"/>
      <c r="BV17" s="702"/>
      <c r="BW17" s="702"/>
      <c r="BX17" s="702"/>
      <c r="BY17" s="702"/>
      <c r="BZ17" s="702"/>
      <c r="CA17" s="702"/>
      <c r="CB17" s="702"/>
      <c r="CC17" s="702"/>
      <c r="CD17" s="702"/>
      <c r="CE17" s="702"/>
      <c r="CF17" s="702"/>
      <c r="CG17" s="702"/>
      <c r="CH17" s="702"/>
      <c r="CI17" s="702"/>
      <c r="CJ17" s="702"/>
      <c r="CK17" s="702"/>
      <c r="CL17" s="702"/>
    </row>
    <row r="18" spans="1:90">
      <c r="Q18" s="530" t="s">
        <v>142</v>
      </c>
      <c r="R18" s="444" cm="1">
        <f t="array" ref="R18">IFERROR(MATCH(INDEX(PROSPECTOS[Bairro],Resumo!$F$2),S1:AA1),1)</f>
        <v>1</v>
      </c>
      <c r="AC18" s="528">
        <v>44621</v>
      </c>
      <c r="AD18" s="444" t="s">
        <v>97</v>
      </c>
      <c r="AJ18" s="552"/>
      <c r="AK18" s="553"/>
      <c r="AL18" s="554">
        <v>4</v>
      </c>
      <c r="AM18" s="553">
        <f>AN17+4</f>
        <v>45453</v>
      </c>
      <c r="AN18" s="555">
        <f>WORKDAY.INTL(AM18,AL18-1,1,AC9:AC73)</f>
        <v>45456</v>
      </c>
      <c r="AO18" s="559" t="s">
        <v>143</v>
      </c>
      <c r="AP18" s="702"/>
      <c r="AQ18" s="702"/>
      <c r="AR18" s="702"/>
      <c r="AS18" s="702"/>
      <c r="AT18" s="702"/>
      <c r="AU18" s="702"/>
      <c r="AV18" s="702"/>
      <c r="AW18" s="702"/>
      <c r="AX18" s="702"/>
      <c r="AY18" s="702"/>
      <c r="AZ18" s="702"/>
      <c r="BA18" s="702"/>
      <c r="BB18" s="702"/>
      <c r="BC18" s="702"/>
      <c r="BD18" s="702"/>
      <c r="BE18" s="702"/>
      <c r="BF18" s="702"/>
      <c r="BG18" s="702"/>
      <c r="BH18" s="702"/>
      <c r="BI18" s="702"/>
      <c r="BJ18" s="702"/>
      <c r="BK18" s="702"/>
      <c r="BL18" s="702"/>
      <c r="BM18" s="702"/>
      <c r="BN18" s="702"/>
      <c r="BO18" s="702"/>
      <c r="BP18" s="702"/>
      <c r="BQ18" s="702"/>
      <c r="BR18" s="702"/>
      <c r="BS18" s="702"/>
      <c r="BT18" s="702"/>
      <c r="BU18" s="702"/>
      <c r="BV18" s="702"/>
      <c r="BW18" s="702"/>
      <c r="BX18" s="702"/>
      <c r="BY18" s="702"/>
      <c r="BZ18" s="702"/>
      <c r="CA18" s="702"/>
      <c r="CB18" s="702"/>
      <c r="CC18" s="702"/>
      <c r="CD18" s="702"/>
      <c r="CE18" s="702"/>
      <c r="CF18" s="702"/>
      <c r="CG18" s="702"/>
      <c r="CH18" s="702"/>
      <c r="CI18" s="702"/>
      <c r="CJ18" s="702"/>
      <c r="CK18" s="702"/>
      <c r="CL18" s="702"/>
    </row>
    <row r="19" spans="1:90">
      <c r="Q19" s="530" t="s">
        <v>144</v>
      </c>
      <c r="AC19" s="528">
        <v>44666</v>
      </c>
      <c r="AD19" s="444" t="s">
        <v>100</v>
      </c>
      <c r="AJ19" s="552"/>
      <c r="AK19" s="553"/>
      <c r="AL19" s="554">
        <v>1</v>
      </c>
      <c r="AM19" s="553">
        <f>AN18+1</f>
        <v>45457</v>
      </c>
      <c r="AN19" s="555">
        <f>MAX(WORKDAY.INTL(AM19,AL19-1,1,AC10:AC74),AN15)</f>
        <v>45457</v>
      </c>
      <c r="AO19" s="559" t="s">
        <v>145</v>
      </c>
      <c r="AP19" s="704"/>
      <c r="AQ19" s="704"/>
      <c r="AR19" s="704"/>
      <c r="AS19" s="704"/>
      <c r="AT19" s="704"/>
      <c r="AU19" s="704"/>
      <c r="AV19" s="704"/>
      <c r="AW19" s="704"/>
      <c r="AX19" s="704"/>
      <c r="AY19" s="704"/>
      <c r="AZ19" s="704"/>
      <c r="BA19" s="704"/>
      <c r="BB19" s="704"/>
      <c r="BC19" s="704"/>
      <c r="BD19" s="704"/>
      <c r="BE19" s="704"/>
      <c r="BF19" s="704"/>
      <c r="BG19" s="704"/>
      <c r="BH19" s="704"/>
      <c r="BI19" s="704"/>
      <c r="BJ19" s="704"/>
      <c r="BK19" s="704"/>
      <c r="BL19" s="704"/>
      <c r="BM19" s="704"/>
      <c r="BN19" s="704"/>
      <c r="BO19" s="704"/>
      <c r="BP19" s="704"/>
      <c r="BQ19" s="704"/>
      <c r="BR19" s="704"/>
      <c r="BS19" s="704"/>
      <c r="BT19" s="704"/>
      <c r="BU19" s="704"/>
      <c r="BV19" s="704"/>
      <c r="BW19" s="704"/>
      <c r="BX19" s="704"/>
      <c r="BY19" s="704"/>
      <c r="BZ19" s="704"/>
      <c r="CA19" s="704"/>
      <c r="CB19" s="704"/>
      <c r="CC19" s="704"/>
      <c r="CD19" s="704"/>
      <c r="CE19" s="704"/>
      <c r="CF19" s="704"/>
      <c r="CG19" s="704"/>
      <c r="CH19" s="704"/>
      <c r="CI19" s="704"/>
      <c r="CJ19" s="704"/>
      <c r="CK19" s="704"/>
      <c r="CL19" s="704"/>
    </row>
    <row r="20" spans="1:90">
      <c r="AC20" s="528">
        <v>44672</v>
      </c>
      <c r="AD20" s="444" t="s">
        <v>104</v>
      </c>
      <c r="AJ20" s="552"/>
      <c r="AK20" s="553"/>
      <c r="AL20" s="554">
        <v>1</v>
      </c>
      <c r="AM20" s="553">
        <f>MAX(AN19,AN15)</f>
        <v>45457</v>
      </c>
      <c r="AN20" s="555">
        <f>WORKDAY.INTL(AM20,AL20-1,1,AC11:AC75)</f>
        <v>45457</v>
      </c>
      <c r="AO20" s="703" t="s">
        <v>146</v>
      </c>
      <c r="AP20" s="557"/>
      <c r="AQ20" s="557"/>
      <c r="AR20" s="557"/>
      <c r="AS20" s="557"/>
      <c r="AT20" s="557"/>
      <c r="AU20" s="557"/>
      <c r="AV20" s="557"/>
      <c r="AW20" s="557"/>
      <c r="AX20" s="557"/>
      <c r="AY20" s="557"/>
      <c r="AZ20" s="557"/>
      <c r="BA20" s="557"/>
      <c r="BB20" s="557"/>
      <c r="BC20" s="557"/>
      <c r="BD20" s="557"/>
      <c r="BE20" s="557"/>
      <c r="BF20" s="557"/>
      <c r="BG20" s="557"/>
      <c r="BH20" s="557"/>
      <c r="BI20" s="557"/>
      <c r="BJ20" s="557"/>
      <c r="BK20" s="557"/>
      <c r="BL20" s="557"/>
      <c r="BM20" s="557"/>
      <c r="BN20" s="557"/>
      <c r="BO20" s="557"/>
      <c r="BP20" s="557"/>
      <c r="BQ20" s="557"/>
      <c r="BR20" s="557"/>
      <c r="BS20" s="557"/>
      <c r="BT20" s="557"/>
      <c r="BU20" s="557"/>
      <c r="BV20" s="557"/>
      <c r="BW20" s="557"/>
      <c r="BX20" s="557"/>
      <c r="BY20" s="557"/>
      <c r="BZ20" s="557"/>
      <c r="CA20" s="557"/>
      <c r="CB20" s="557"/>
      <c r="CC20" s="557"/>
      <c r="CD20" s="557"/>
      <c r="CE20" s="557"/>
      <c r="CF20" s="557"/>
      <c r="CG20" s="557"/>
      <c r="CH20" s="557"/>
      <c r="CI20" s="557"/>
      <c r="CJ20" s="557"/>
      <c r="CK20" s="557"/>
      <c r="CL20" s="557"/>
    </row>
    <row r="21" spans="1:90">
      <c r="A21" s="444" t="s">
        <v>147</v>
      </c>
      <c r="AC21" s="528">
        <v>44668</v>
      </c>
      <c r="AD21" s="444" t="s">
        <v>107</v>
      </c>
      <c r="AJ21" s="552"/>
      <c r="AK21" s="553"/>
      <c r="AL21" s="554">
        <v>7</v>
      </c>
      <c r="AM21" s="553">
        <f>AN20</f>
        <v>45457</v>
      </c>
      <c r="AN21" s="555">
        <f>WORKDAY.INTL(AM21,AL21-1,1,AC12:AC76)</f>
        <v>45467</v>
      </c>
      <c r="AO21" s="556" t="s">
        <v>148</v>
      </c>
      <c r="AP21" s="557"/>
      <c r="AQ21" s="557"/>
      <c r="AR21" s="557"/>
      <c r="AS21" s="557"/>
      <c r="AT21" s="557"/>
      <c r="AU21" s="557"/>
      <c r="AV21" s="557"/>
      <c r="AW21" s="557"/>
      <c r="AX21" s="557"/>
      <c r="AY21" s="557"/>
      <c r="AZ21" s="557"/>
      <c r="BA21" s="557"/>
      <c r="BB21" s="557"/>
      <c r="BC21" s="557"/>
      <c r="BD21" s="557"/>
      <c r="BE21" s="557"/>
      <c r="BF21" s="557"/>
      <c r="BG21" s="557"/>
      <c r="BH21" s="557"/>
      <c r="BI21" s="557"/>
      <c r="BJ21" s="557"/>
      <c r="BK21" s="557"/>
      <c r="BL21" s="557"/>
      <c r="BM21" s="557"/>
      <c r="BN21" s="557"/>
      <c r="BO21" s="557"/>
      <c r="BP21" s="557"/>
      <c r="BQ21" s="557"/>
      <c r="BR21" s="557"/>
      <c r="BS21" s="557"/>
      <c r="BT21" s="557"/>
      <c r="BU21" s="557"/>
      <c r="BV21" s="557"/>
      <c r="BW21" s="557"/>
      <c r="BX21" s="557"/>
      <c r="BY21" s="557"/>
      <c r="BZ21" s="557"/>
      <c r="CA21" s="557"/>
      <c r="CB21" s="557"/>
      <c r="CC21" s="557"/>
      <c r="CD21" s="557"/>
      <c r="CE21" s="557"/>
      <c r="CF21" s="557"/>
      <c r="CG21" s="557"/>
      <c r="CH21" s="557"/>
      <c r="CI21" s="557"/>
      <c r="CJ21" s="557"/>
      <c r="CK21" s="557"/>
      <c r="CL21" s="557"/>
    </row>
    <row r="22" spans="1:90">
      <c r="A22" s="587" t="s">
        <v>149</v>
      </c>
      <c r="B22" s="444" t="s">
        <v>150</v>
      </c>
      <c r="C22" s="444" t="s">
        <v>151</v>
      </c>
      <c r="D22" s="444" t="s">
        <v>152</v>
      </c>
      <c r="E22" s="444" t="s">
        <v>153</v>
      </c>
      <c r="F22" s="587" t="s">
        <v>154</v>
      </c>
      <c r="G22" s="587" t="s">
        <v>155</v>
      </c>
      <c r="H22" s="444" t="s">
        <v>156</v>
      </c>
      <c r="J22" s="593" t="s">
        <v>157</v>
      </c>
      <c r="K22" s="492">
        <v>5</v>
      </c>
      <c r="AC22" s="528">
        <v>44682</v>
      </c>
      <c r="AD22" s="444" t="s">
        <v>115</v>
      </c>
      <c r="AJ22" s="552"/>
      <c r="AK22" s="553"/>
      <c r="AL22" s="554">
        <v>1</v>
      </c>
      <c r="AM22" s="553">
        <f>AN21</f>
        <v>45467</v>
      </c>
      <c r="AN22" s="696">
        <f>WORKDAY.INTL(AM22,AL22-1,1,AC13:AC77)</f>
        <v>45467</v>
      </c>
      <c r="AO22" s="695" t="s">
        <v>158</v>
      </c>
      <c r="AP22" s="557"/>
      <c r="AQ22" s="557"/>
      <c r="AR22" s="557"/>
      <c r="AS22" s="557"/>
      <c r="AT22" s="557"/>
      <c r="AU22" s="557"/>
      <c r="AV22" s="557"/>
      <c r="AW22" s="557"/>
      <c r="AX22" s="557"/>
      <c r="AY22" s="557"/>
      <c r="AZ22" s="557"/>
      <c r="BA22" s="557"/>
      <c r="BB22" s="557"/>
      <c r="BC22" s="557"/>
      <c r="BD22" s="557"/>
      <c r="BE22" s="557"/>
      <c r="BF22" s="557"/>
      <c r="BG22" s="557"/>
      <c r="BH22" s="557"/>
      <c r="BI22" s="557"/>
      <c r="BJ22" s="557"/>
      <c r="BK22" s="557"/>
      <c r="BL22" s="557"/>
      <c r="BM22" s="557"/>
      <c r="BN22" s="557"/>
      <c r="BO22" s="557"/>
      <c r="BP22" s="557"/>
      <c r="BQ22" s="557"/>
      <c r="BR22" s="557"/>
      <c r="BS22" s="557"/>
      <c r="BT22" s="557"/>
      <c r="BU22" s="557"/>
      <c r="BV22" s="557"/>
      <c r="BW22" s="557"/>
      <c r="BX22" s="557"/>
      <c r="BY22" s="557"/>
      <c r="BZ22" s="557"/>
      <c r="CA22" s="557"/>
      <c r="CB22" s="557"/>
      <c r="CC22" s="557"/>
      <c r="CD22" s="557"/>
      <c r="CE22" s="557"/>
      <c r="CF22" s="557"/>
      <c r="CG22" s="557"/>
      <c r="CH22" s="557"/>
      <c r="CI22" s="557"/>
      <c r="CJ22" s="557"/>
      <c r="CK22" s="557"/>
      <c r="CL22" s="557"/>
    </row>
    <row r="23" spans="1:90">
      <c r="A23" s="586">
        <f>_xlfn.XLOOKUP(Tabela8[[#This Row],[Equipamento]],ConsumoEquipamentos[Equipamento],ConsumoEquipamentos[1h*30d (kWh)],"",0)</f>
        <v>210</v>
      </c>
      <c r="B23" s="444" t="s">
        <v>191</v>
      </c>
      <c r="F23" s="594">
        <f>IFERROR((Tabela8[[#This Row],[Quantidade]]/30)*Tabela8[[#This Row],[Consumo médio]]*Tabela8[[#This Row],[Dias de uso]]*Tabela8[[#This Row],[horas por dia]],"")</f>
        <v>0</v>
      </c>
      <c r="G23" s="594">
        <f>IFERROR(Tabela8[[#This Row],[Consumo]]/12*$K$22,"")</f>
        <v>0</v>
      </c>
      <c r="H23" s="444" t="str">
        <f>_xlfn.XLOOKUP(Tabela8[[#This Row],[Equipamento]],ConsumoEquipamentos[Equipamento],ConsumoEquipamentos[Obs.],"",0)</f>
        <v>Considerado um fogão de 7kW, usados 4 bocas na potência máxima, 20min por dia, 30 dias no mês</v>
      </c>
      <c r="J23" s="444" t="s">
        <v>160</v>
      </c>
      <c r="Q23" s="444" t="s">
        <v>161</v>
      </c>
      <c r="AC23" s="528">
        <v>44728</v>
      </c>
      <c r="AD23" s="444" t="s">
        <v>120</v>
      </c>
      <c r="AJ23" s="552"/>
      <c r="AK23" s="553"/>
      <c r="AL23" s="554"/>
      <c r="AM23" s="553"/>
      <c r="AN23" s="555"/>
      <c r="AO23" s="697"/>
      <c r="AP23" s="557"/>
      <c r="AQ23" s="557"/>
      <c r="AR23" s="557"/>
      <c r="AS23" s="557"/>
      <c r="AT23" s="557"/>
      <c r="AU23" s="557"/>
      <c r="AV23" s="557"/>
      <c r="AW23" s="557"/>
      <c r="AX23" s="557"/>
      <c r="AY23" s="557"/>
      <c r="AZ23" s="557"/>
      <c r="BA23" s="557"/>
      <c r="BB23" s="557"/>
      <c r="BC23" s="557"/>
      <c r="BD23" s="557"/>
      <c r="BE23" s="557"/>
      <c r="BF23" s="557"/>
      <c r="BG23" s="557"/>
      <c r="BH23" s="557"/>
      <c r="BI23" s="557"/>
      <c r="BJ23" s="557"/>
      <c r="BK23" s="557"/>
      <c r="BL23" s="557"/>
      <c r="BM23" s="557"/>
      <c r="BN23" s="557"/>
      <c r="BO23" s="557"/>
      <c r="BP23" s="557"/>
      <c r="BQ23" s="557"/>
      <c r="BR23" s="557"/>
      <c r="BS23" s="557"/>
      <c r="BT23" s="557"/>
      <c r="BU23" s="557"/>
      <c r="BV23" s="557"/>
      <c r="BW23" s="557"/>
      <c r="BX23" s="557"/>
      <c r="BY23" s="557"/>
      <c r="BZ23" s="557"/>
      <c r="CA23" s="557"/>
      <c r="CB23" s="557"/>
      <c r="CC23" s="557"/>
      <c r="CD23" s="557"/>
      <c r="CE23" s="557"/>
      <c r="CF23" s="557"/>
      <c r="CG23" s="557"/>
      <c r="CH23" s="557"/>
      <c r="CI23" s="557"/>
      <c r="CJ23" s="557"/>
      <c r="CK23" s="557"/>
      <c r="CL23" s="557"/>
    </row>
    <row r="24" spans="1:90">
      <c r="A24" s="586">
        <f>_xlfn.XLOOKUP(Tabela8[[#This Row],[Equipamento]],ConsumoEquipamentos[Equipamento],ConsumoEquipamentos[1h*30d (kWh)],"",0)</f>
        <v>36</v>
      </c>
      <c r="B24" s="444" t="s">
        <v>4163</v>
      </c>
      <c r="C24" s="444">
        <v>0</v>
      </c>
      <c r="F24" s="594">
        <f>IFERROR((Tabela8[[#This Row],[Quantidade]]/30)*Tabela8[[#This Row],[Consumo médio]]*Tabela8[[#This Row],[Dias de uso]]*Tabela8[[#This Row],[horas por dia]],"")</f>
        <v>0</v>
      </c>
      <c r="G24" s="594">
        <f>IFERROR(Tabela8[[#This Row],[Consumo]]/12*$K$22,"")</f>
        <v>0</v>
      </c>
      <c r="H24" s="444" t="str">
        <f>_xlfn.XLOOKUP(Tabela8[[#This Row],[Equipamento]],ConsumoEquipamentos[Equipamento],ConsumoEquipamentos[Obs.],"",0)</f>
        <v>Considerando uma airfryer de 1,2kWh</v>
      </c>
      <c r="Q24" s="444" t="s">
        <v>163</v>
      </c>
      <c r="AC24" s="528">
        <v>44811</v>
      </c>
      <c r="AD24" s="444" t="s">
        <v>127</v>
      </c>
      <c r="AJ24" s="496"/>
      <c r="AK24" s="528"/>
      <c r="AL24" s="444"/>
      <c r="AM24" s="444"/>
      <c r="AN24" s="444"/>
      <c r="AO24" s="444"/>
      <c r="AP24" s="444"/>
      <c r="AQ24" s="444"/>
      <c r="AR24" s="444"/>
      <c r="AS24" s="444"/>
      <c r="AT24" s="444"/>
      <c r="AU24" s="444"/>
      <c r="AV24" s="444"/>
      <c r="AW24" s="444"/>
      <c r="AX24" s="444"/>
      <c r="AY24" s="444"/>
      <c r="AZ24" s="444"/>
      <c r="BA24" s="444"/>
      <c r="BB24" s="444"/>
      <c r="BC24" s="444"/>
      <c r="BD24" s="444"/>
      <c r="BE24" s="444"/>
      <c r="BF24" s="444"/>
      <c r="BG24" s="444"/>
      <c r="BH24" s="444"/>
      <c r="BI24" s="444"/>
      <c r="BJ24" s="444"/>
      <c r="BK24" s="444"/>
      <c r="BL24" s="444"/>
      <c r="BM24" s="444"/>
      <c r="BN24" s="444"/>
      <c r="BO24" s="444"/>
      <c r="BP24" s="444"/>
      <c r="BQ24" s="444"/>
      <c r="BR24" s="444"/>
      <c r="BS24" s="444"/>
      <c r="BT24" s="444"/>
      <c r="BU24" s="444"/>
      <c r="BV24" s="444"/>
      <c r="BW24" s="444"/>
      <c r="BX24" s="444"/>
      <c r="BY24" s="444"/>
      <c r="BZ24" s="444"/>
      <c r="CA24" s="444"/>
      <c r="CB24" s="444"/>
      <c r="CC24" s="444"/>
      <c r="CD24" s="444"/>
      <c r="CE24" s="444"/>
      <c r="CF24" s="444"/>
      <c r="CG24" s="444"/>
      <c r="CH24" s="444"/>
      <c r="CI24" s="444"/>
      <c r="CJ24" s="444"/>
      <c r="CK24" s="444"/>
      <c r="CL24" s="444"/>
    </row>
    <row r="25" spans="1:90">
      <c r="A25" s="586">
        <f>_xlfn.XLOOKUP(Tabela8[[#This Row],[Equipamento]],ConsumoEquipamentos[Equipamento],ConsumoEquipamentos[1h*30d (kWh)],"",0)</f>
        <v>17.5</v>
      </c>
      <c r="B25" s="444" t="s">
        <v>172</v>
      </c>
      <c r="C25" s="444">
        <v>2</v>
      </c>
      <c r="D25" s="444">
        <v>6</v>
      </c>
      <c r="E25" s="444">
        <v>30</v>
      </c>
      <c r="F25" s="594">
        <f>IFERROR((Tabela8[[#This Row],[Quantidade]]/30)*Tabela8[[#This Row],[Consumo médio]]*Tabela8[[#This Row],[Dias de uso]]*Tabela8[[#This Row],[horas por dia]],"")</f>
        <v>210</v>
      </c>
      <c r="G25" s="594">
        <f>IFERROR(Tabela8[[#This Row],[Consumo]]/12*$K$22,"")</f>
        <v>87.5</v>
      </c>
      <c r="H25" s="444" t="str">
        <f>_xlfn.XLOOKUP(Tabela8[[#This Row],[Equipamento]],ConsumoEquipamentos[Equipamento],ConsumoEquipamentos[Obs.],"",0)</f>
        <v>12m²</v>
      </c>
      <c r="AC25" s="528">
        <v>44846</v>
      </c>
      <c r="AD25" s="444" t="s">
        <v>129</v>
      </c>
      <c r="AJ25" s="444"/>
      <c r="AK25" s="444"/>
      <c r="AL25" s="444"/>
      <c r="AM25" s="444"/>
      <c r="AN25" s="444"/>
      <c r="AO25" s="444"/>
      <c r="AP25" s="444"/>
      <c r="AQ25" s="444"/>
      <c r="AR25" s="444"/>
      <c r="AS25" s="444"/>
      <c r="AT25" s="444"/>
      <c r="AU25" s="444"/>
      <c r="AV25" s="444"/>
      <c r="AW25" s="444"/>
      <c r="AX25" s="444"/>
      <c r="AY25" s="444"/>
      <c r="AZ25" s="444"/>
      <c r="BA25" s="444"/>
      <c r="BB25" s="444"/>
      <c r="BC25" s="444"/>
      <c r="BD25" s="444"/>
      <c r="BE25" s="444"/>
      <c r="BF25" s="444"/>
      <c r="BG25" s="444"/>
      <c r="BH25" s="444"/>
      <c r="BI25" s="444"/>
      <c r="BJ25" s="444"/>
      <c r="BK25" s="444"/>
      <c r="BL25" s="444"/>
      <c r="BM25" s="444"/>
      <c r="BN25" s="444"/>
      <c r="BO25" s="444"/>
      <c r="BP25" s="444"/>
      <c r="BQ25" s="444"/>
      <c r="BR25" s="444"/>
      <c r="BS25" s="444"/>
      <c r="BT25" s="444"/>
      <c r="BU25" s="444"/>
      <c r="BV25" s="444"/>
      <c r="BW25" s="444"/>
      <c r="BX25" s="444"/>
      <c r="BY25" s="444"/>
      <c r="BZ25" s="444"/>
      <c r="CA25" s="444"/>
      <c r="CB25" s="444"/>
      <c r="CC25" s="444"/>
      <c r="CD25" s="444"/>
      <c r="CE25" s="444"/>
      <c r="CF25" s="444"/>
      <c r="CG25" s="444"/>
      <c r="CH25" s="444"/>
      <c r="CI25" s="444"/>
      <c r="CJ25" s="444"/>
      <c r="CK25" s="444"/>
      <c r="CL25" s="444"/>
    </row>
    <row r="26" spans="1:90">
      <c r="A26" s="586">
        <f>_xlfn.XLOOKUP(Tabela8[[#This Row],[Equipamento]],ConsumoEquipamentos[Equipamento],ConsumoEquipamentos[1h*30d (kWh)],"",0)</f>
        <v>29</v>
      </c>
      <c r="B26" s="444" t="s">
        <v>162</v>
      </c>
      <c r="C26" s="444">
        <v>1</v>
      </c>
      <c r="D26" s="444">
        <v>6</v>
      </c>
      <c r="E26" s="444">
        <v>30</v>
      </c>
      <c r="F26" s="594">
        <f>IFERROR((Tabela8[[#This Row],[Quantidade]]/30)*Tabela8[[#This Row],[Consumo médio]]*Tabela8[[#This Row],[Dias de uso]]*Tabela8[[#This Row],[horas por dia]],"")</f>
        <v>174</v>
      </c>
      <c r="G26" s="594">
        <f>IFERROR(Tabela8[[#This Row],[Consumo]]/12*$K$22,"")</f>
        <v>72.5</v>
      </c>
      <c r="H26" s="444" t="str">
        <f>_xlfn.XLOOKUP(Tabela8[[#This Row],[Equipamento]],ConsumoEquipamentos[Equipamento],ConsumoEquipamentos[Obs.],"",0)</f>
        <v>17m²</v>
      </c>
      <c r="Q26" s="444" t="s">
        <v>3672</v>
      </c>
      <c r="AC26" s="528">
        <v>44867</v>
      </c>
      <c r="AD26" s="444" t="s">
        <v>131</v>
      </c>
      <c r="AJ26" s="444"/>
      <c r="AK26" s="444"/>
      <c r="AL26" s="444"/>
      <c r="AM26" s="444"/>
      <c r="AN26" s="444"/>
      <c r="AO26" s="444"/>
      <c r="AP26" s="444"/>
      <c r="AQ26" s="444"/>
      <c r="AR26" s="444"/>
      <c r="AS26" s="444"/>
      <c r="AT26" s="444"/>
      <c r="AU26" s="444"/>
      <c r="AV26" s="444"/>
      <c r="AW26" s="444"/>
      <c r="AX26" s="444"/>
      <c r="AY26" s="444"/>
      <c r="AZ26" s="444"/>
      <c r="BA26" s="444"/>
      <c r="BB26" s="444"/>
      <c r="BC26" s="444"/>
      <c r="BD26" s="444"/>
      <c r="BE26" s="444"/>
      <c r="BF26" s="444"/>
      <c r="BG26" s="444"/>
      <c r="BH26" s="444"/>
      <c r="BI26" s="444"/>
      <c r="BJ26" s="444"/>
      <c r="BK26" s="444"/>
      <c r="BL26" s="444"/>
      <c r="BM26" s="444"/>
      <c r="BN26" s="444"/>
      <c r="BO26" s="444"/>
      <c r="BP26" s="444"/>
      <c r="BQ26" s="444"/>
      <c r="BR26" s="444"/>
      <c r="BS26" s="444"/>
      <c r="BT26" s="444"/>
      <c r="BU26" s="444"/>
      <c r="BV26" s="444"/>
      <c r="BW26" s="444"/>
      <c r="BX26" s="444"/>
      <c r="BY26" s="444"/>
      <c r="BZ26" s="444"/>
      <c r="CA26" s="444"/>
      <c r="CB26" s="444"/>
      <c r="CC26" s="444"/>
      <c r="CD26" s="444"/>
      <c r="CE26" s="444"/>
      <c r="CF26" s="444"/>
      <c r="CG26" s="444"/>
      <c r="CH26" s="444"/>
      <c r="CI26" s="444"/>
      <c r="CJ26" s="444"/>
      <c r="CK26" s="444"/>
      <c r="CL26" s="444"/>
    </row>
    <row r="27" spans="1:90">
      <c r="A27" s="586" t="str">
        <f>_xlfn.XLOOKUP(Tabela8[[#This Row],[Equipamento]],ConsumoEquipamentos[Equipamento],ConsumoEquipamentos[1h*30d (kWh)],"",0)</f>
        <v/>
      </c>
      <c r="F27" s="594" t="str">
        <f>IFERROR((Tabela8[[#This Row],[Quantidade]]/30)*Tabela8[[#This Row],[Consumo médio]]*Tabela8[[#This Row],[Dias de uso]]*Tabela8[[#This Row],[horas por dia]],"")</f>
        <v/>
      </c>
      <c r="G27" s="594" t="str">
        <f>IFERROR(Tabela8[[#This Row],[Consumo]]/12*$K$22,"")</f>
        <v/>
      </c>
      <c r="H27" s="444" t="str">
        <f>_xlfn.XLOOKUP(Tabela8[[#This Row],[Equipamento]],ConsumoEquipamentos[Equipamento],ConsumoEquipamentos[Obs.],"",0)</f>
        <v/>
      </c>
      <c r="AC27" s="528">
        <v>44880</v>
      </c>
      <c r="AD27" s="444" t="s">
        <v>134</v>
      </c>
      <c r="AJ27" s="444"/>
      <c r="AK27" s="444"/>
      <c r="AL27" s="444"/>
      <c r="AM27" s="444"/>
      <c r="AN27" s="444"/>
      <c r="AO27" s="444"/>
      <c r="AP27" s="444"/>
      <c r="AQ27" s="444"/>
      <c r="AR27" s="444"/>
      <c r="AS27" s="444"/>
      <c r="AT27" s="444"/>
      <c r="AU27" s="444"/>
      <c r="AV27" s="444"/>
      <c r="AW27" s="444"/>
      <c r="AX27" s="444"/>
      <c r="AY27" s="444"/>
      <c r="AZ27" s="444"/>
      <c r="BA27" s="444"/>
      <c r="BB27" s="444"/>
      <c r="BC27" s="444"/>
      <c r="BD27" s="444"/>
      <c r="BE27" s="444"/>
      <c r="BF27" s="444"/>
      <c r="BG27" s="444"/>
      <c r="BH27" s="444"/>
      <c r="BI27" s="444"/>
      <c r="BJ27" s="444"/>
      <c r="BK27" s="444"/>
      <c r="BL27" s="444"/>
      <c r="BM27" s="444"/>
      <c r="BN27" s="444"/>
      <c r="BO27" s="444"/>
      <c r="BP27" s="444"/>
      <c r="BQ27" s="444"/>
      <c r="BR27" s="444"/>
      <c r="BS27" s="444"/>
      <c r="BT27" s="444"/>
      <c r="BU27" s="444"/>
      <c r="BV27" s="444"/>
      <c r="BW27" s="444"/>
      <c r="BX27" s="444"/>
      <c r="BY27" s="444"/>
      <c r="BZ27" s="444"/>
      <c r="CA27" s="444"/>
      <c r="CB27" s="444"/>
      <c r="CC27" s="444"/>
      <c r="CD27" s="444"/>
      <c r="CE27" s="444"/>
      <c r="CF27" s="444"/>
      <c r="CG27" s="444"/>
      <c r="CH27" s="444"/>
      <c r="CI27" s="444"/>
      <c r="CJ27" s="444"/>
      <c r="CK27" s="444"/>
      <c r="CL27" s="444"/>
    </row>
    <row r="28" spans="1:90">
      <c r="A28" s="586" t="str">
        <f>_xlfn.XLOOKUP(Tabela8[[#This Row],[Equipamento]],ConsumoEquipamentos[Equipamento],ConsumoEquipamentos[1h*30d (kWh)],"",0)</f>
        <v/>
      </c>
      <c r="D28" s="551"/>
      <c r="F28" s="594" t="str">
        <f>IFERROR((Tabela8[[#This Row],[Quantidade]]/30)*Tabela8[[#This Row],[Consumo médio]]*Tabela8[[#This Row],[Dias de uso]]*Tabela8[[#This Row],[horas por dia]],"")</f>
        <v/>
      </c>
      <c r="G28" s="594" t="str">
        <f>IFERROR(Tabela8[[#This Row],[Consumo]]/12*$K$22,"")</f>
        <v/>
      </c>
      <c r="H28" s="444" t="str">
        <f>_xlfn.XLOOKUP(Tabela8[[#This Row],[Equipamento]],ConsumoEquipamentos[Equipamento],ConsumoEquipamentos[Obs.],"",0)</f>
        <v/>
      </c>
      <c r="AC28" s="528">
        <v>44920</v>
      </c>
      <c r="AD28" s="444" t="s">
        <v>136</v>
      </c>
      <c r="AJ28" s="444"/>
      <c r="AK28" s="444"/>
      <c r="AL28" s="444"/>
      <c r="AM28" s="444"/>
      <c r="AN28" s="444"/>
      <c r="AO28" s="444"/>
      <c r="AP28" s="444"/>
      <c r="AQ28" s="444"/>
      <c r="AR28" s="444"/>
      <c r="AS28" s="444"/>
      <c r="AT28" s="444"/>
      <c r="AU28" s="444"/>
      <c r="AV28" s="444"/>
      <c r="AW28" s="444"/>
      <c r="AX28" s="444"/>
      <c r="AY28" s="444"/>
      <c r="AZ28" s="444"/>
      <c r="BA28" s="444"/>
      <c r="BB28" s="444"/>
      <c r="BC28" s="444"/>
      <c r="BD28" s="444"/>
      <c r="BE28" s="444"/>
      <c r="BF28" s="444"/>
      <c r="BG28" s="444"/>
      <c r="BH28" s="444"/>
      <c r="BI28" s="444"/>
      <c r="BJ28" s="444"/>
      <c r="BK28" s="444"/>
      <c r="BL28" s="444"/>
      <c r="BM28" s="444"/>
      <c r="BN28" s="444"/>
      <c r="BO28" s="444"/>
      <c r="BP28" s="444"/>
      <c r="BQ28" s="444"/>
      <c r="BR28" s="444"/>
      <c r="BS28" s="444"/>
      <c r="BT28" s="444"/>
      <c r="BU28" s="444"/>
      <c r="BV28" s="444"/>
      <c r="BW28" s="444"/>
      <c r="BX28" s="444"/>
      <c r="BY28" s="444"/>
      <c r="BZ28" s="444"/>
      <c r="CA28" s="444"/>
      <c r="CB28" s="444"/>
      <c r="CC28" s="444"/>
      <c r="CD28" s="444"/>
      <c r="CE28" s="444"/>
      <c r="CF28" s="444"/>
      <c r="CG28" s="444"/>
      <c r="CH28" s="444"/>
      <c r="CI28" s="444"/>
      <c r="CJ28" s="444"/>
      <c r="CK28" s="444"/>
      <c r="CL28" s="444"/>
    </row>
    <row r="29" spans="1:90">
      <c r="A29" s="586" t="str">
        <f>_xlfn.XLOOKUP(Tabela8[[#This Row],[Equipamento]],ConsumoEquipamentos[Equipamento],ConsumoEquipamentos[1h*30d (kWh)],"",0)</f>
        <v/>
      </c>
      <c r="D29" s="551"/>
      <c r="F29" s="594" t="str">
        <f>IFERROR((Tabela8[[#This Row],[Quantidade]]/30)*Tabela8[[#This Row],[Consumo médio]]*Tabela8[[#This Row],[Dias de uso]]*Tabela8[[#This Row],[horas por dia]],"")</f>
        <v/>
      </c>
      <c r="G29" s="594" t="str">
        <f>IFERROR(Tabela8[[#This Row],[Consumo]]/12*$K$22,"")</f>
        <v/>
      </c>
      <c r="H29" s="444" t="str">
        <f>_xlfn.XLOOKUP(Tabela8[[#This Row],[Equipamento]],ConsumoEquipamentos[Equipamento],ConsumoEquipamentos[Obs.],"",0)</f>
        <v/>
      </c>
      <c r="AC29" s="528">
        <v>44927</v>
      </c>
      <c r="AD29" s="444" t="s">
        <v>95</v>
      </c>
      <c r="AJ29" s="444"/>
      <c r="AK29" s="444"/>
      <c r="AL29" s="444"/>
      <c r="AM29" s="444"/>
      <c r="AN29" s="444"/>
      <c r="AO29" s="444"/>
      <c r="AP29" s="444"/>
      <c r="AQ29" s="444"/>
      <c r="AR29" s="444"/>
      <c r="AS29" s="444"/>
      <c r="AT29" s="444"/>
      <c r="AU29" s="444"/>
      <c r="AV29" s="444"/>
      <c r="AW29" s="444"/>
      <c r="AX29" s="444"/>
      <c r="AY29" s="444"/>
      <c r="AZ29" s="444"/>
      <c r="BA29" s="444"/>
      <c r="BB29" s="444"/>
      <c r="BC29" s="444"/>
      <c r="BD29" s="444"/>
      <c r="BE29" s="444"/>
      <c r="BF29" s="444"/>
      <c r="BG29" s="444"/>
      <c r="BH29" s="444"/>
      <c r="BI29" s="444"/>
      <c r="BJ29" s="444"/>
      <c r="BK29" s="444"/>
      <c r="BL29" s="444"/>
      <c r="BM29" s="444"/>
      <c r="BN29" s="444"/>
      <c r="BO29" s="444"/>
      <c r="BP29" s="444"/>
      <c r="BQ29" s="444"/>
      <c r="BR29" s="444"/>
      <c r="BS29" s="444"/>
      <c r="BT29" s="444"/>
      <c r="BU29" s="444"/>
      <c r="BV29" s="444"/>
      <c r="BW29" s="444"/>
      <c r="BX29" s="444"/>
      <c r="BY29" s="444"/>
      <c r="BZ29" s="444"/>
      <c r="CA29" s="444"/>
      <c r="CB29" s="444"/>
      <c r="CC29" s="444"/>
      <c r="CD29" s="444"/>
      <c r="CE29" s="444"/>
      <c r="CF29" s="444"/>
      <c r="CG29" s="444"/>
      <c r="CH29" s="444"/>
      <c r="CI29" s="444"/>
      <c r="CJ29" s="444"/>
      <c r="CK29" s="444"/>
      <c r="CL29" s="444"/>
    </row>
    <row r="30" spans="1:90">
      <c r="A30" s="586" t="str">
        <f>_xlfn.XLOOKUP(Tabela8[[#This Row],[Equipamento]],ConsumoEquipamentos[Equipamento],ConsumoEquipamentos[1h*30d (kWh)],"",0)</f>
        <v/>
      </c>
      <c r="F30" s="594" t="str">
        <f>IFERROR((Tabela8[[#This Row],[Quantidade]]/30)*Tabela8[[#This Row],[Consumo médio]]*Tabela8[[#This Row],[Dias de uso]]*Tabela8[[#This Row],[horas por dia]],"")</f>
        <v/>
      </c>
      <c r="G30" s="594" t="str">
        <f>IFERROR(Tabela8[[#This Row],[Consumo]]/12*$K$22,"")</f>
        <v/>
      </c>
      <c r="H30" s="444" t="str">
        <f>_xlfn.XLOOKUP(Tabela8[[#This Row],[Equipamento]],ConsumoEquipamentos[Equipamento],ConsumoEquipamentos[Obs.],"",0)</f>
        <v/>
      </c>
      <c r="AC30" s="528">
        <v>44977</v>
      </c>
      <c r="AD30" s="444" t="s">
        <v>97</v>
      </c>
      <c r="AJ30" s="444"/>
      <c r="AK30" s="444"/>
      <c r="AL30" s="444"/>
      <c r="AM30" s="444"/>
      <c r="AN30" s="444"/>
      <c r="AO30" s="444"/>
      <c r="AP30" s="444"/>
      <c r="AQ30" s="444"/>
      <c r="AR30" s="444"/>
      <c r="AS30" s="444"/>
      <c r="AT30" s="444"/>
      <c r="AU30" s="444"/>
      <c r="AV30" s="444"/>
      <c r="AW30" s="444"/>
      <c r="AX30" s="444"/>
      <c r="AY30" s="444"/>
      <c r="AZ30" s="444"/>
      <c r="BA30" s="444"/>
      <c r="BB30" s="444"/>
      <c r="BC30" s="444"/>
      <c r="BD30" s="444"/>
      <c r="BE30" s="444"/>
      <c r="BF30" s="444"/>
      <c r="BG30" s="444"/>
      <c r="BH30" s="444"/>
      <c r="BI30" s="444"/>
      <c r="BJ30" s="444"/>
      <c r="BK30" s="444"/>
      <c r="BL30" s="444"/>
      <c r="BM30" s="444"/>
      <c r="BN30" s="444"/>
      <c r="BO30" s="444"/>
      <c r="BP30" s="444"/>
      <c r="BQ30" s="444"/>
      <c r="BR30" s="444"/>
      <c r="BS30" s="444"/>
      <c r="BT30" s="444"/>
      <c r="BU30" s="444"/>
      <c r="BV30" s="444"/>
      <c r="BW30" s="444"/>
      <c r="BX30" s="444"/>
      <c r="BY30" s="444"/>
      <c r="BZ30" s="444"/>
      <c r="CA30" s="444"/>
      <c r="CB30" s="444"/>
      <c r="CC30" s="444"/>
      <c r="CD30" s="444"/>
      <c r="CE30" s="444"/>
      <c r="CF30" s="444"/>
      <c r="CG30" s="444"/>
      <c r="CH30" s="444"/>
      <c r="CI30" s="444"/>
      <c r="CJ30" s="444"/>
      <c r="CK30" s="444"/>
      <c r="CL30" s="444"/>
    </row>
    <row r="31" spans="1:90">
      <c r="A31" s="586" t="str">
        <f>_xlfn.XLOOKUP(Tabela8[[#This Row],[Equipamento]],ConsumoEquipamentos[Equipamento],ConsumoEquipamentos[1h*30d (kWh)],"",0)</f>
        <v/>
      </c>
      <c r="F31" s="594" t="str">
        <f>IFERROR((Tabela8[[#This Row],[Quantidade]]/30)*Tabela8[[#This Row],[Consumo médio]]*Tabela8[[#This Row],[Dias de uso]]*Tabela8[[#This Row],[horas por dia]],"")</f>
        <v/>
      </c>
      <c r="G31" s="594" t="str">
        <f>IFERROR(Tabela8[[#This Row],[Consumo]]/12*$K$22,"")</f>
        <v/>
      </c>
      <c r="H31" s="444" t="str">
        <f>_xlfn.XLOOKUP(Tabela8[[#This Row],[Equipamento]],ConsumoEquipamentos[Equipamento],ConsumoEquipamentos[Obs.],"",0)</f>
        <v/>
      </c>
      <c r="AC31" s="528">
        <v>44978</v>
      </c>
      <c r="AD31" s="444" t="s">
        <v>97</v>
      </c>
      <c r="AJ31" s="444"/>
      <c r="AK31" s="444"/>
      <c r="AL31" s="444"/>
      <c r="AM31" s="444"/>
      <c r="AN31" s="444"/>
      <c r="AO31" s="444"/>
      <c r="AP31" s="444"/>
      <c r="AQ31" s="444"/>
      <c r="AR31" s="444"/>
      <c r="AS31" s="444"/>
      <c r="AT31" s="444"/>
      <c r="AU31" s="444"/>
      <c r="AV31" s="444"/>
      <c r="AW31" s="444"/>
      <c r="AX31" s="444"/>
      <c r="AY31" s="444"/>
      <c r="AZ31" s="444"/>
      <c r="BA31" s="444"/>
      <c r="BB31" s="444"/>
      <c r="BC31" s="444"/>
      <c r="BD31" s="444"/>
      <c r="BE31" s="444"/>
      <c r="BF31" s="444"/>
      <c r="BG31" s="444"/>
      <c r="BH31" s="444"/>
      <c r="BI31" s="444"/>
      <c r="BJ31" s="444"/>
      <c r="BK31" s="444"/>
      <c r="BL31" s="444"/>
      <c r="BM31" s="444"/>
      <c r="BN31" s="444"/>
      <c r="BO31" s="444"/>
      <c r="BP31" s="444"/>
      <c r="BQ31" s="444"/>
      <c r="BR31" s="444"/>
      <c r="BS31" s="444"/>
      <c r="BT31" s="444"/>
      <c r="BU31" s="444"/>
      <c r="BV31" s="444"/>
      <c r="BW31" s="444"/>
      <c r="BX31" s="444"/>
      <c r="BY31" s="444"/>
      <c r="BZ31" s="444"/>
      <c r="CA31" s="444"/>
      <c r="CB31" s="444"/>
      <c r="CC31" s="444"/>
      <c r="CD31" s="444"/>
      <c r="CE31" s="444"/>
      <c r="CF31" s="444"/>
      <c r="CG31" s="444"/>
      <c r="CH31" s="444"/>
      <c r="CI31" s="444"/>
      <c r="CJ31" s="444"/>
      <c r="CK31" s="444"/>
      <c r="CL31" s="444"/>
    </row>
    <row r="32" spans="1:90">
      <c r="A32" s="586" t="str">
        <f>_xlfn.XLOOKUP(Tabela8[[#This Row],[Equipamento]],ConsumoEquipamentos[Equipamento],ConsumoEquipamentos[1h*30d (kWh)],"",0)</f>
        <v/>
      </c>
      <c r="F32" s="594" t="str">
        <f>IFERROR((Tabela8[[#This Row],[Quantidade]]/30)*Tabela8[[#This Row],[Consumo médio]]*Tabela8[[#This Row],[Dias de uso]]*Tabela8[[#This Row],[horas por dia]],"")</f>
        <v/>
      </c>
      <c r="G32" s="594" t="str">
        <f>IFERROR(Tabela8[[#This Row],[Consumo]]/12*$K$22,"")</f>
        <v/>
      </c>
      <c r="H32" s="444" t="str">
        <f>_xlfn.XLOOKUP(Tabela8[[#This Row],[Equipamento]],ConsumoEquipamentos[Equipamento],ConsumoEquipamentos[Obs.],"",0)</f>
        <v/>
      </c>
      <c r="AC32" s="528">
        <v>45023</v>
      </c>
      <c r="AD32" s="444" t="s">
        <v>100</v>
      </c>
      <c r="AJ32" s="444"/>
      <c r="AK32" s="444"/>
      <c r="AL32" s="444"/>
      <c r="AM32" s="444"/>
      <c r="AN32" s="444"/>
      <c r="AO32" s="444"/>
      <c r="AP32" s="444"/>
      <c r="AQ32" s="444"/>
      <c r="AR32" s="444"/>
      <c r="AS32" s="444"/>
      <c r="AT32" s="444"/>
      <c r="AU32" s="444"/>
      <c r="AV32" s="444"/>
      <c r="AW32" s="444"/>
      <c r="AX32" s="444"/>
      <c r="AY32" s="444"/>
      <c r="AZ32" s="444"/>
      <c r="BA32" s="444"/>
      <c r="BB32" s="444"/>
      <c r="BC32" s="444"/>
      <c r="BD32" s="444"/>
      <c r="BE32" s="444"/>
      <c r="BF32" s="444"/>
      <c r="BG32" s="444"/>
      <c r="BH32" s="444"/>
      <c r="BI32" s="444"/>
      <c r="BJ32" s="444"/>
      <c r="BK32" s="444"/>
      <c r="BL32" s="444"/>
      <c r="BM32" s="444"/>
      <c r="BN32" s="444"/>
      <c r="BO32" s="444"/>
      <c r="BP32" s="444"/>
      <c r="BQ32" s="444"/>
      <c r="BR32" s="444"/>
      <c r="BS32" s="444"/>
      <c r="BT32" s="444"/>
      <c r="BU32" s="444"/>
      <c r="BV32" s="444"/>
      <c r="BW32" s="444"/>
      <c r="BX32" s="444"/>
      <c r="BY32" s="444"/>
      <c r="BZ32" s="444"/>
      <c r="CA32" s="444"/>
      <c r="CB32" s="444"/>
      <c r="CC32" s="444"/>
      <c r="CD32" s="444"/>
      <c r="CE32" s="444"/>
      <c r="CF32" s="444"/>
      <c r="CG32" s="444"/>
      <c r="CH32" s="444"/>
      <c r="CI32" s="444"/>
      <c r="CJ32" s="444"/>
      <c r="CK32" s="444"/>
      <c r="CL32" s="444"/>
    </row>
    <row r="33" spans="1:30">
      <c r="A33" s="586" t="str">
        <f>_xlfn.XLOOKUP(Tabela8[[#This Row],[Equipamento]],ConsumoEquipamentos[Equipamento],ConsumoEquipamentos[1h*30d (kWh)],"",0)</f>
        <v/>
      </c>
      <c r="F33" s="594" t="str">
        <f>IFERROR((Tabela8[[#This Row],[Quantidade]]/30)*Tabela8[[#This Row],[Consumo médio]]*Tabela8[[#This Row],[Dias de uso]]*Tabela8[[#This Row],[horas por dia]],"")</f>
        <v/>
      </c>
      <c r="G33" s="594" t="str">
        <f>IFERROR(Tabela8[[#This Row],[Consumo]]/12*$K$22,"")</f>
        <v/>
      </c>
      <c r="H33" s="444" t="str">
        <f>_xlfn.XLOOKUP(Tabela8[[#This Row],[Equipamento]],ConsumoEquipamentos[Equipamento],ConsumoEquipamentos[Obs.],"",0)</f>
        <v/>
      </c>
      <c r="AC33" s="528">
        <v>45037</v>
      </c>
      <c r="AD33" s="444" t="s">
        <v>104</v>
      </c>
    </row>
    <row r="34" spans="1:30">
      <c r="A34" s="586" t="str">
        <f>_xlfn.XLOOKUP(Tabela8[[#This Row],[Equipamento]],ConsumoEquipamentos[Equipamento],ConsumoEquipamentos[1h*30d (kWh)],"",0)</f>
        <v/>
      </c>
      <c r="F34" s="594" t="str">
        <f>IFERROR((Tabela8[[#This Row],[Quantidade]]/30)*Tabela8[[#This Row],[Consumo médio]]*Tabela8[[#This Row],[Dias de uso]]*Tabela8[[#This Row],[horas por dia]],"")</f>
        <v/>
      </c>
      <c r="G34" s="594" t="str">
        <f>IFERROR(Tabela8[[#This Row],[Consumo]]/12*$K$22,"")</f>
        <v/>
      </c>
      <c r="H34" s="444" t="str">
        <f>_xlfn.XLOOKUP(Tabela8[[#This Row],[Equipamento]],ConsumoEquipamentos[Equipamento],ConsumoEquipamentos[Obs.],"",0)</f>
        <v/>
      </c>
      <c r="AC34" s="528">
        <v>45025</v>
      </c>
      <c r="AD34" s="444" t="s">
        <v>107</v>
      </c>
    </row>
    <row r="35" spans="1:30">
      <c r="A35" s="586" t="str">
        <f>_xlfn.XLOOKUP(Tabela8[[#This Row],[Equipamento]],ConsumoEquipamentos[Equipamento],ConsumoEquipamentos[1h*30d (kWh)],"",0)</f>
        <v/>
      </c>
      <c r="F35" s="594" t="str">
        <f>IFERROR((Tabela8[[#This Row],[Quantidade]]/30)*Tabela8[[#This Row],[Consumo médio]]*Tabela8[[#This Row],[Dias de uso]]*Tabela8[[#This Row],[horas por dia]],"")</f>
        <v/>
      </c>
      <c r="G35" s="594" t="str">
        <f>IFERROR(Tabela8[[#This Row],[Consumo]]/12*$K$22,"")</f>
        <v/>
      </c>
      <c r="H35" s="444" t="str">
        <f>_xlfn.XLOOKUP(Tabela8[[#This Row],[Equipamento]],ConsumoEquipamentos[Equipamento],ConsumoEquipamentos[Obs.],"",0)</f>
        <v/>
      </c>
      <c r="J35" s="444">
        <f>LEN(Início!Q3)</f>
        <v>495</v>
      </c>
      <c r="AC35" s="528">
        <v>45047</v>
      </c>
      <c r="AD35" s="444" t="s">
        <v>115</v>
      </c>
    </row>
    <row r="36" spans="1:30">
      <c r="A36" s="438"/>
      <c r="B36" s="444" t="s">
        <v>164</v>
      </c>
      <c r="F36" s="594">
        <f>SUBTOTAL(109,Tabela8[Consumo])</f>
        <v>384</v>
      </c>
      <c r="G36" s="594">
        <f>SUBTOTAL(109,Tabela8[Méd. sazonal])</f>
        <v>160</v>
      </c>
      <c r="AC36" s="528">
        <v>45085</v>
      </c>
      <c r="AD36" s="444" t="s">
        <v>120</v>
      </c>
    </row>
    <row r="37" spans="1:30">
      <c r="H37" s="551"/>
      <c r="AC37" s="528">
        <v>45176</v>
      </c>
      <c r="AD37" s="444" t="s">
        <v>127</v>
      </c>
    </row>
    <row r="38" spans="1:30">
      <c r="A38" s="561" t="s">
        <v>165</v>
      </c>
      <c r="H38" s="551"/>
      <c r="AC38" s="528">
        <v>45211</v>
      </c>
      <c r="AD38" s="444" t="s">
        <v>129</v>
      </c>
    </row>
    <row r="39" spans="1:30">
      <c r="A39" s="444" t="s">
        <v>166</v>
      </c>
      <c r="B39" s="444" t="s">
        <v>167</v>
      </c>
      <c r="C39" s="444" t="s">
        <v>150</v>
      </c>
      <c r="D39" s="444" t="s">
        <v>168</v>
      </c>
      <c r="E39" s="562" t="s">
        <v>169</v>
      </c>
      <c r="H39" s="551"/>
      <c r="AC39" s="528">
        <v>45232</v>
      </c>
      <c r="AD39" s="444" t="s">
        <v>131</v>
      </c>
    </row>
    <row r="40" spans="1:30">
      <c r="A40" s="444" t="s">
        <v>170</v>
      </c>
      <c r="B40" s="444" t="s">
        <v>171</v>
      </c>
      <c r="C40" s="444" t="s">
        <v>172</v>
      </c>
      <c r="D40" s="444">
        <v>17.5</v>
      </c>
      <c r="E40" s="562" t="s">
        <v>173</v>
      </c>
      <c r="H40" s="551"/>
      <c r="I40" s="551"/>
      <c r="AC40" s="528">
        <v>45245</v>
      </c>
      <c r="AD40" s="444" t="s">
        <v>134</v>
      </c>
    </row>
    <row r="41" spans="1:30">
      <c r="A41" s="444" t="s">
        <v>174</v>
      </c>
      <c r="B41" s="444" t="s">
        <v>171</v>
      </c>
      <c r="C41" s="444" t="s">
        <v>162</v>
      </c>
      <c r="D41" s="444">
        <v>29</v>
      </c>
      <c r="E41" s="562" t="s">
        <v>175</v>
      </c>
      <c r="H41" s="551"/>
      <c r="I41" s="551"/>
      <c r="AC41" s="528">
        <v>45285</v>
      </c>
      <c r="AD41" s="444" t="s">
        <v>136</v>
      </c>
    </row>
    <row r="42" spans="1:30">
      <c r="A42" s="444" t="s">
        <v>176</v>
      </c>
      <c r="B42" s="444" t="s">
        <v>171</v>
      </c>
      <c r="C42" s="444" t="s">
        <v>159</v>
      </c>
      <c r="D42" s="444">
        <v>33</v>
      </c>
      <c r="E42" s="562" t="s">
        <v>177</v>
      </c>
      <c r="H42" s="551"/>
      <c r="I42" s="551"/>
      <c r="AC42" s="528">
        <v>45292</v>
      </c>
      <c r="AD42" s="444" t="s">
        <v>95</v>
      </c>
    </row>
    <row r="43" spans="1:30">
      <c r="A43" s="444" t="s">
        <v>178</v>
      </c>
      <c r="B43" s="444" t="s">
        <v>171</v>
      </c>
      <c r="C43" s="444" t="s">
        <v>179</v>
      </c>
      <c r="D43" s="444">
        <v>44</v>
      </c>
      <c r="E43" s="562" t="s">
        <v>180</v>
      </c>
      <c r="H43" s="551"/>
      <c r="I43" s="551"/>
      <c r="AC43" s="528">
        <v>45334</v>
      </c>
      <c r="AD43" s="444" t="s">
        <v>97</v>
      </c>
    </row>
    <row r="44" spans="1:30">
      <c r="A44" s="444" t="s">
        <v>181</v>
      </c>
      <c r="B44" s="444" t="s">
        <v>171</v>
      </c>
      <c r="C44" s="444" t="s">
        <v>182</v>
      </c>
      <c r="D44" s="444">
        <v>58</v>
      </c>
      <c r="E44" s="562" t="s">
        <v>183</v>
      </c>
      <c r="H44" s="551"/>
      <c r="I44" s="551"/>
      <c r="AC44" s="528">
        <v>45335</v>
      </c>
      <c r="AD44" s="444" t="s">
        <v>97</v>
      </c>
    </row>
    <row r="45" spans="1:30">
      <c r="B45" s="444" t="s">
        <v>184</v>
      </c>
      <c r="C45" s="444" t="s">
        <v>185</v>
      </c>
      <c r="D45" s="444">
        <f>3*30</f>
        <v>90</v>
      </c>
      <c r="E45" s="444" t="s">
        <v>186</v>
      </c>
      <c r="H45" s="551"/>
      <c r="I45" s="551"/>
      <c r="AC45" s="528">
        <v>45380</v>
      </c>
      <c r="AD45" s="444" t="s">
        <v>100</v>
      </c>
    </row>
    <row r="46" spans="1:30">
      <c r="B46" s="444" t="s">
        <v>184</v>
      </c>
      <c r="C46" s="444" t="s">
        <v>187</v>
      </c>
      <c r="D46" s="444">
        <v>204</v>
      </c>
      <c r="E46" s="444" t="s">
        <v>188</v>
      </c>
      <c r="AC46" s="528">
        <v>45403</v>
      </c>
      <c r="AD46" s="444" t="s">
        <v>104</v>
      </c>
    </row>
    <row r="47" spans="1:30">
      <c r="B47" s="444" t="s">
        <v>189</v>
      </c>
      <c r="C47" s="444" t="s">
        <v>190</v>
      </c>
      <c r="D47" s="444">
        <f>0.7*30</f>
        <v>21</v>
      </c>
      <c r="E47" s="551"/>
      <c r="AC47" s="528">
        <v>45382</v>
      </c>
      <c r="AD47" s="444" t="s">
        <v>107</v>
      </c>
    </row>
    <row r="48" spans="1:30">
      <c r="B48" s="444" t="s">
        <v>189</v>
      </c>
      <c r="C48" s="444" t="s">
        <v>191</v>
      </c>
      <c r="D48" s="444">
        <f>7*30</f>
        <v>210</v>
      </c>
      <c r="E48" s="444" t="s">
        <v>192</v>
      </c>
      <c r="AC48" s="528">
        <v>45413</v>
      </c>
      <c r="AD48" s="444" t="s">
        <v>115</v>
      </c>
    </row>
    <row r="49" spans="1:30">
      <c r="B49" s="444" t="s">
        <v>189</v>
      </c>
      <c r="C49" s="444" t="s">
        <v>193</v>
      </c>
      <c r="D49" s="444">
        <v>36</v>
      </c>
      <c r="E49" s="444" t="s">
        <v>194</v>
      </c>
      <c r="AC49" s="528">
        <v>45442</v>
      </c>
      <c r="AD49" s="444" t="s">
        <v>120</v>
      </c>
    </row>
    <row r="50" spans="1:30">
      <c r="B50" s="444" t="s">
        <v>195</v>
      </c>
      <c r="C50" s="444" t="s">
        <v>196</v>
      </c>
      <c r="D50" s="444">
        <f>0.37*30</f>
        <v>11.1</v>
      </c>
      <c r="E50" s="444" t="s">
        <v>197</v>
      </c>
      <c r="AC50" s="528">
        <v>45542</v>
      </c>
      <c r="AD50" s="444" t="s">
        <v>127</v>
      </c>
    </row>
    <row r="51" spans="1:30">
      <c r="B51" s="444" t="s">
        <v>195</v>
      </c>
      <c r="C51" s="444" t="s">
        <v>198</v>
      </c>
      <c r="D51" s="444">
        <f>1.3*30</f>
        <v>39</v>
      </c>
      <c r="AC51" s="528">
        <v>45577</v>
      </c>
      <c r="AD51" s="444" t="s">
        <v>129</v>
      </c>
    </row>
    <row r="52" spans="1:30">
      <c r="B52" s="444" t="s">
        <v>195</v>
      </c>
      <c r="C52" s="444" t="s">
        <v>199</v>
      </c>
      <c r="D52" s="444">
        <f>1.3*30</f>
        <v>39</v>
      </c>
      <c r="AC52" s="528">
        <v>45598</v>
      </c>
      <c r="AD52" s="444" t="s">
        <v>131</v>
      </c>
    </row>
    <row r="53" spans="1:30">
      <c r="A53" s="444" t="s">
        <v>200</v>
      </c>
      <c r="B53" s="444" t="s">
        <v>201</v>
      </c>
      <c r="C53" s="444" t="s">
        <v>202</v>
      </c>
      <c r="D53" s="444">
        <v>1.1000000000000001</v>
      </c>
      <c r="E53" s="444" t="s">
        <v>203</v>
      </c>
      <c r="AC53" s="528">
        <v>45611</v>
      </c>
      <c r="AD53" s="444" t="s">
        <v>134</v>
      </c>
    </row>
    <row r="54" spans="1:30">
      <c r="B54" s="444" t="s">
        <v>201</v>
      </c>
      <c r="C54" s="444" t="s">
        <v>204</v>
      </c>
      <c r="D54" s="444">
        <v>2.37</v>
      </c>
      <c r="E54" s="444" t="s">
        <v>203</v>
      </c>
      <c r="AC54" s="528">
        <v>45651</v>
      </c>
      <c r="AD54" s="444" t="s">
        <v>136</v>
      </c>
    </row>
    <row r="55" spans="1:30">
      <c r="B55" s="444" t="s">
        <v>205</v>
      </c>
      <c r="C55" s="444" t="s">
        <v>205</v>
      </c>
      <c r="D55" s="444">
        <f>1/8*30</f>
        <v>3.75</v>
      </c>
      <c r="E55" s="444" t="s">
        <v>206</v>
      </c>
      <c r="AC55" s="528">
        <v>45658</v>
      </c>
      <c r="AD55" s="444" t="s">
        <v>95</v>
      </c>
    </row>
    <row r="56" spans="1:30">
      <c r="B56" s="444" t="s">
        <v>189</v>
      </c>
      <c r="C56" s="444" t="s">
        <v>4163</v>
      </c>
      <c r="D56" s="444">
        <v>36</v>
      </c>
      <c r="E56" s="444" t="s">
        <v>4162</v>
      </c>
      <c r="AC56" s="528">
        <v>45719</v>
      </c>
      <c r="AD56" s="444" t="s">
        <v>97</v>
      </c>
    </row>
    <row r="57" spans="1:30">
      <c r="C57" s="444" t="s">
        <v>207</v>
      </c>
      <c r="D57" s="444">
        <v>4.5</v>
      </c>
      <c r="AC57" s="528">
        <v>45720</v>
      </c>
      <c r="AD57" s="444" t="s">
        <v>97</v>
      </c>
    </row>
    <row r="58" spans="1:30">
      <c r="C58" s="444" t="s">
        <v>208</v>
      </c>
      <c r="D58" s="444">
        <v>90</v>
      </c>
      <c r="E58" s="444" t="s">
        <v>209</v>
      </c>
      <c r="AC58" s="528">
        <v>45765</v>
      </c>
      <c r="AD58" s="444" t="s">
        <v>100</v>
      </c>
    </row>
    <row r="59" spans="1:30">
      <c r="AC59" s="528">
        <v>45768</v>
      </c>
      <c r="AD59" s="444" t="s">
        <v>104</v>
      </c>
    </row>
    <row r="60" spans="1:30">
      <c r="AC60" s="528">
        <v>45767</v>
      </c>
      <c r="AD60" s="444" t="s">
        <v>107</v>
      </c>
    </row>
    <row r="61" spans="1:30">
      <c r="AC61" s="528">
        <v>45778</v>
      </c>
      <c r="AD61" s="444" t="s">
        <v>115</v>
      </c>
    </row>
    <row r="62" spans="1:30">
      <c r="AC62" s="528">
        <v>45827</v>
      </c>
      <c r="AD62" s="444" t="s">
        <v>120</v>
      </c>
    </row>
    <row r="63" spans="1:30">
      <c r="AC63" s="528">
        <v>45907</v>
      </c>
      <c r="AD63" s="444" t="s">
        <v>127</v>
      </c>
    </row>
    <row r="64" spans="1:30">
      <c r="G64" s="444" t="s">
        <v>210</v>
      </c>
      <c r="AC64" s="528">
        <v>45942</v>
      </c>
      <c r="AD64" s="444" t="s">
        <v>129</v>
      </c>
    </row>
    <row r="65" spans="1:30">
      <c r="B65" s="444" t="s">
        <v>211</v>
      </c>
      <c r="G65" s="444">
        <v>3</v>
      </c>
      <c r="H65" s="444">
        <f>100+(50*G65)</f>
        <v>250</v>
      </c>
      <c r="AC65" s="528">
        <v>45963</v>
      </c>
      <c r="AD65" s="444" t="s">
        <v>131</v>
      </c>
    </row>
    <row r="66" spans="1:30">
      <c r="A66" s="444" t="s">
        <v>212</v>
      </c>
      <c r="AC66" s="528">
        <v>45976</v>
      </c>
      <c r="AD66" s="444" t="s">
        <v>134</v>
      </c>
    </row>
    <row r="67" spans="1:30">
      <c r="A67" s="444" t="s">
        <v>213</v>
      </c>
      <c r="AC67" s="528">
        <v>46016</v>
      </c>
      <c r="AD67" s="444" t="s">
        <v>136</v>
      </c>
    </row>
    <row r="68" spans="1:30">
      <c r="A68" s="481" t="s">
        <v>214</v>
      </c>
    </row>
    <row r="69" spans="1:30">
      <c r="A69" s="481" t="s">
        <v>215</v>
      </c>
    </row>
    <row r="71" spans="1:30">
      <c r="B71" s="444" t="s">
        <v>216</v>
      </c>
    </row>
    <row r="72" spans="1:30">
      <c r="A72" s="504" t="s">
        <v>217</v>
      </c>
      <c r="B72" s="504" t="s">
        <v>218</v>
      </c>
      <c r="C72" s="504" t="s">
        <v>219</v>
      </c>
      <c r="D72" s="504" t="s">
        <v>220</v>
      </c>
      <c r="E72" s="504" t="s">
        <v>221</v>
      </c>
      <c r="F72" s="504" t="s">
        <v>222</v>
      </c>
      <c r="G72" s="504" t="s">
        <v>223</v>
      </c>
      <c r="H72" s="504" t="s">
        <v>224</v>
      </c>
      <c r="I72" s="563" t="s">
        <v>225</v>
      </c>
      <c r="J72" s="564" t="s">
        <v>226</v>
      </c>
      <c r="K72" s="564" t="s">
        <v>227</v>
      </c>
      <c r="L72" s="564" t="s">
        <v>228</v>
      </c>
      <c r="M72" s="564" t="s">
        <v>229</v>
      </c>
      <c r="N72" s="564" t="s">
        <v>230</v>
      </c>
      <c r="O72" s="564" t="s">
        <v>231</v>
      </c>
    </row>
    <row r="73" spans="1:30">
      <c r="A73" s="565" t="s">
        <v>232</v>
      </c>
      <c r="B73" s="504" t="s">
        <v>233</v>
      </c>
      <c r="C73" s="566" t="s">
        <v>234</v>
      </c>
      <c r="D73" s="567">
        <v>4.95</v>
      </c>
      <c r="E73" s="568">
        <f>Tabela25[[#This Row],[Geração média]]+Início!$K$10</f>
        <v>622</v>
      </c>
      <c r="F73" s="569">
        <v>22000</v>
      </c>
      <c r="G73" s="569">
        <f>Tabela25[[#This Row],[Preço Final]]/Tabela25[[#This Row],[kWp]]/1000</f>
        <v>4.4444444444444446</v>
      </c>
      <c r="H73" s="565" t="str">
        <f>_xlfn.CONCAT(INT(Tabela25[[#This Row],[PB]])," anos e ",INT((Tabela25[[#This Row],[PB]]-INT(Tabela25[[#This Row],[PB]]))*12)," meses")</f>
        <v>3 anos e 1 meses</v>
      </c>
      <c r="I73" s="567">
        <v>522</v>
      </c>
      <c r="J73" s="565">
        <v>3.1</v>
      </c>
      <c r="K73" s="569">
        <f>Tabela25[[#This Row],[Preço Final]]/Tabela25[[#This Row],[Geração média]]</f>
        <v>42.145593869731798</v>
      </c>
      <c r="L73" s="569">
        <v>15707</v>
      </c>
      <c r="M73" s="569">
        <f t="shared" ref="M73:M80" si="6">L73/D73/1000</f>
        <v>3.173131313131313</v>
      </c>
      <c r="N73" s="569">
        <v>3693.67</v>
      </c>
      <c r="O73" s="570">
        <f>Tabela25[[#This Row],[Lucro]]/Tabela25[[#This Row],[Preço Final]]</f>
        <v>0.16789409090909091</v>
      </c>
    </row>
    <row r="74" spans="1:30">
      <c r="A74" s="504" t="s">
        <v>235</v>
      </c>
      <c r="B74" s="504"/>
      <c r="C74" s="444" t="str">
        <f>Simulação_Dados!E33</f>
        <v>8*DAH-585W</v>
      </c>
      <c r="D74" s="571">
        <f>Simulação_Dados!C33</f>
        <v>4.68</v>
      </c>
      <c r="E74" s="568">
        <f>Tabela25[[#This Row],[Geração média]]+Início!$K$10</f>
        <v>100</v>
      </c>
      <c r="F74" s="572"/>
      <c r="G74" s="572">
        <f>Tabela25[[#This Row],[Preço Final]]/Tabela25[[#This Row],[kWp]]/1000</f>
        <v>0</v>
      </c>
      <c r="H74" s="504" t="str">
        <f>_xlfn.CONCAT(INT(Tabela25[[#This Row],[PB]])," anos e ",INT((Tabela25[[#This Row],[PB]]-INT(Tabela25[[#This Row],[PB]]))*12)," meses")</f>
        <v>0 anos e 0 meses</v>
      </c>
      <c r="I74" s="571">
        <f>Simulação_Dados!E48</f>
        <v>0</v>
      </c>
      <c r="J74" s="565"/>
      <c r="K74" s="569" t="e">
        <f>Tabela25[[#This Row],[Preço Final]]/Tabela25[[#This Row],[Geração média]]</f>
        <v>#DIV/0!</v>
      </c>
      <c r="L74" s="573">
        <f>Simulação_Dados!Y33</f>
        <v>0</v>
      </c>
      <c r="M74" s="569">
        <f t="shared" si="6"/>
        <v>0</v>
      </c>
      <c r="N74" s="569"/>
      <c r="O74" s="570" t="e">
        <f>Tabela25[[#This Row],[Lucro]]/Tabela25[[#This Row],[Preço Final]]</f>
        <v>#DIV/0!</v>
      </c>
    </row>
    <row r="75" spans="1:30">
      <c r="A75" s="504" t="s">
        <v>236</v>
      </c>
      <c r="B75" s="504" t="s">
        <v>237</v>
      </c>
      <c r="C75" s="444" t="str">
        <f>Simulação_Dados!E49</f>
        <v>8*DAH-585W</v>
      </c>
      <c r="D75" s="571">
        <f>Simulação_Dados!C49</f>
        <v>4.68</v>
      </c>
      <c r="E75" s="568">
        <f>Tabela25[[#This Row],[Geração média]]+Início!$K$10</f>
        <v>100</v>
      </c>
      <c r="F75" s="572">
        <v>21100</v>
      </c>
      <c r="G75" s="572">
        <f>Tabela25[[#This Row],[Preço Final]]/Tabela25[[#This Row],[kWp]]/1000</f>
        <v>4.5085470085470085</v>
      </c>
      <c r="H75" s="504" t="str">
        <f>_xlfn.CONCAT(INT(Tabela25[[#This Row],[PB]])," anos e ",INT((Tabela25[[#This Row],[PB]]-INT(Tabela25[[#This Row],[PB]]))*12)," meses")</f>
        <v>3 anos e 2 meses</v>
      </c>
      <c r="I75" s="571">
        <f>Simulação_Dados!E64</f>
        <v>0</v>
      </c>
      <c r="J75" s="565">
        <v>3.17</v>
      </c>
      <c r="K75" s="569" t="e">
        <f>Tabela25[[#This Row],[Preço Final]]/Tabela25[[#This Row],[Geração média]]</f>
        <v>#DIV/0!</v>
      </c>
      <c r="L75" s="573">
        <f>Simulação_Dados!L49</f>
        <v>0</v>
      </c>
      <c r="M75" s="569">
        <f t="shared" si="6"/>
        <v>0</v>
      </c>
      <c r="N75" s="569">
        <v>4543.87</v>
      </c>
      <c r="O75" s="570">
        <f>Tabela25[[#This Row],[Lucro]]/Tabela25[[#This Row],[Preço Final]]</f>
        <v>0.21534928909952605</v>
      </c>
    </row>
    <row r="76" spans="1:30">
      <c r="A76" s="504" t="s">
        <v>238</v>
      </c>
      <c r="B76" s="504" t="s">
        <v>239</v>
      </c>
      <c r="C76" s="444" t="str">
        <f>Simulação_Dados!E65</f>
        <v>8*DAH-585W</v>
      </c>
      <c r="D76" s="571">
        <f>Simulação_Dados!C65</f>
        <v>4.68</v>
      </c>
      <c r="E76" s="568">
        <f>Tabela25[[#This Row],[Geração média]]+Início!$K$10</f>
        <v>100</v>
      </c>
      <c r="F76" s="572">
        <v>21400</v>
      </c>
      <c r="G76" s="572">
        <f>Tabela25[[#This Row],[Preço Final]]/Tabela25[[#This Row],[kWp]]/1000</f>
        <v>4.5726495726495733</v>
      </c>
      <c r="H76" s="504" t="str">
        <f>_xlfn.CONCAT(INT(Tabela25[[#This Row],[PB]])," anos e ",INT((Tabela25[[#This Row],[PB]]-INT(Tabela25[[#This Row],[PB]]))*12)," meses")</f>
        <v>3 anos e 2 meses</v>
      </c>
      <c r="I76" s="571">
        <f>Simulação_Dados!E80</f>
        <v>0</v>
      </c>
      <c r="J76" s="565">
        <v>3.18</v>
      </c>
      <c r="K76" s="569" t="e">
        <f>Tabela25[[#This Row],[Preço Final]]/Tabela25[[#This Row],[Geração média]]</f>
        <v>#DIV/0!</v>
      </c>
      <c r="L76" s="573">
        <f>Simulação_Dados!L65</f>
        <v>0</v>
      </c>
      <c r="M76" s="569">
        <f t="shared" si="6"/>
        <v>0</v>
      </c>
      <c r="N76" s="569">
        <v>4402.92</v>
      </c>
      <c r="O76" s="570">
        <f>Tabela25[[#This Row],[Lucro]]/Tabela25[[#This Row],[Preço Final]]</f>
        <v>0.20574392523364488</v>
      </c>
    </row>
    <row r="77" spans="1:30">
      <c r="A77" s="504" t="s">
        <v>240</v>
      </c>
      <c r="B77" s="504" t="s">
        <v>237</v>
      </c>
      <c r="C77" s="444" t="str">
        <f>Simulação_Dados!E81</f>
        <v>8*DAH-585W</v>
      </c>
      <c r="D77" s="571">
        <f>Simulação_Dados!C81</f>
        <v>4.68</v>
      </c>
      <c r="E77" s="568">
        <f>Tabela25[[#This Row],[Geração média]]+Início!$K$10</f>
        <v>100</v>
      </c>
      <c r="F77" s="572">
        <v>22600</v>
      </c>
      <c r="G77" s="572">
        <f>Tabela25[[#This Row],[Preço Final]]/Tabela25[[#This Row],[kWp]]/1000</f>
        <v>4.8290598290598288</v>
      </c>
      <c r="H77" s="504" t="str">
        <f>_xlfn.CONCAT(INT(Tabela25[[#This Row],[PB]])," anos e ",INT((Tabela25[[#This Row],[PB]]-INT(Tabela25[[#This Row],[PB]]))*12)," meses")</f>
        <v>3 anos e 1 meses</v>
      </c>
      <c r="I77" s="571">
        <f>Simulação_Dados!E96</f>
        <v>0</v>
      </c>
      <c r="J77" s="565">
        <v>3.15</v>
      </c>
      <c r="K77" s="569" t="e">
        <f>Tabela25[[#This Row],[Preço Final]]/Tabela25[[#This Row],[Geração média]]</f>
        <v>#DIV/0!</v>
      </c>
      <c r="L77" s="573">
        <f>Simulação_Dados!L81</f>
        <v>0</v>
      </c>
      <c r="M77" s="569">
        <f t="shared" si="6"/>
        <v>0</v>
      </c>
      <c r="N77" s="569">
        <v>4086.53</v>
      </c>
      <c r="O77" s="570">
        <f>Tabela25[[#This Row],[Lucro]]/Tabela25[[#This Row],[Preço Final]]</f>
        <v>0.18081991150442478</v>
      </c>
    </row>
    <row r="78" spans="1:30">
      <c r="A78" s="504" t="s">
        <v>241</v>
      </c>
      <c r="B78" s="504" t="s">
        <v>242</v>
      </c>
      <c r="C78" s="444" t="str">
        <f>Simulação_Dados!E97</f>
        <v>8*DAH-585W</v>
      </c>
      <c r="D78" s="571">
        <f>Simulação_Dados!C97</f>
        <v>4.68</v>
      </c>
      <c r="E78" s="568">
        <f>Tabela25[[#This Row],[Geração média]]+Início!$K$10</f>
        <v>100</v>
      </c>
      <c r="F78" s="572">
        <v>23800</v>
      </c>
      <c r="G78" s="572">
        <f>Tabela25[[#This Row],[Preço Final]]/Tabela25[[#This Row],[kWp]]/1000</f>
        <v>5.0854700854700861</v>
      </c>
      <c r="H78" s="504" t="str">
        <f>_xlfn.CONCAT(INT(Tabela25[[#This Row],[PB]])," anos e ",INT((Tabela25[[#This Row],[PB]]-INT(Tabela25[[#This Row],[PB]]))*12)," meses")</f>
        <v>3 anos e 2 meses</v>
      </c>
      <c r="I78" s="571">
        <f>Simulação_Dados!E112</f>
        <v>0</v>
      </c>
      <c r="J78" s="565">
        <v>3.22</v>
      </c>
      <c r="K78" s="569" t="e">
        <f>Tabela25[[#This Row],[Preço Final]]/Tabela25[[#This Row],[Geração média]]</f>
        <v>#DIV/0!</v>
      </c>
      <c r="L78" s="573">
        <f>Simulação_Dados!L97</f>
        <v>0</v>
      </c>
      <c r="M78" s="569">
        <f t="shared" si="6"/>
        <v>0</v>
      </c>
      <c r="N78" s="569">
        <v>4459.63</v>
      </c>
      <c r="O78" s="570">
        <f>Tabela25[[#This Row],[Lucro]]/Tabela25[[#This Row],[Preço Final]]</f>
        <v>0.18737941176470588</v>
      </c>
    </row>
    <row r="79" spans="1:30">
      <c r="A79" s="504" t="s">
        <v>243</v>
      </c>
      <c r="B79" s="504"/>
      <c r="C79" s="444" t="str">
        <f>Simulação_Dados!E113</f>
        <v>8*DAH-585W</v>
      </c>
      <c r="D79" s="571">
        <f>Simulação_Dados!C113</f>
        <v>4.68</v>
      </c>
      <c r="E79" s="568">
        <f>Tabela25[[#This Row],[Geração média]]+Início!$K$10</f>
        <v>100</v>
      </c>
      <c r="F79" s="572"/>
      <c r="G79" s="572">
        <f>Tabela25[[#This Row],[Preço Final]]/Tabela25[[#This Row],[kWp]]/1000</f>
        <v>0</v>
      </c>
      <c r="H79" s="504" t="str">
        <f>_xlfn.CONCAT(INT(Tabela25[[#This Row],[PB]])," anos e ",INT((Tabela25[[#This Row],[PB]]-INT(Tabela25[[#This Row],[PB]]))*12)," meses")</f>
        <v>0 anos e 0 meses</v>
      </c>
      <c r="I79" s="571">
        <f>Simulação_Dados!E128</f>
        <v>0</v>
      </c>
      <c r="J79" s="565"/>
      <c r="K79" s="569" t="e">
        <f>Tabela25[[#This Row],[Preço Final]]/Tabela25[[#This Row],[Geração média]]</f>
        <v>#DIV/0!</v>
      </c>
      <c r="L79" s="573">
        <f>Simulação_Dados!L113</f>
        <v>0</v>
      </c>
      <c r="M79" s="569">
        <f t="shared" si="6"/>
        <v>0</v>
      </c>
      <c r="N79" s="569"/>
      <c r="O79" s="570" t="e">
        <f>Tabela25[[#This Row],[Lucro]]/Tabela25[[#This Row],[Preço Final]]</f>
        <v>#DIV/0!</v>
      </c>
    </row>
    <row r="80" spans="1:30">
      <c r="A80" s="504" t="s">
        <v>244</v>
      </c>
      <c r="B80" s="504"/>
      <c r="C80" s="444" t="str">
        <f>Simulação_Dados!E129</f>
        <v>8*DAH-585W</v>
      </c>
      <c r="D80" s="571">
        <f>Simulação_Dados!C129</f>
        <v>4.68</v>
      </c>
      <c r="E80" s="568">
        <f>Tabela25[[#This Row],[Geração média]]+Início!$K$10</f>
        <v>100</v>
      </c>
      <c r="F80" s="572"/>
      <c r="G80" s="572">
        <f>Tabela25[[#This Row],[Preço Final]]/Tabela25[[#This Row],[kWp]]/1000</f>
        <v>0</v>
      </c>
      <c r="H80" s="504" t="str">
        <f>_xlfn.CONCAT(INT(Tabela25[[#This Row],[PB]])," anos e ",INT((Tabela25[[#This Row],[PB]]-INT(Tabela25[[#This Row],[PB]]))*12)," meses")</f>
        <v>0 anos e 0 meses</v>
      </c>
      <c r="I80" s="571">
        <f>Simulação_Dados!E144</f>
        <v>0</v>
      </c>
      <c r="J80" s="565"/>
      <c r="K80" s="569" t="e">
        <f>Tabela25[[#This Row],[Preço Final]]/Tabela25[[#This Row],[Geração média]]</f>
        <v>#DIV/0!</v>
      </c>
      <c r="L80" s="573">
        <f>Simulação_Dados!L129</f>
        <v>0</v>
      </c>
      <c r="M80" s="569">
        <f t="shared" si="6"/>
        <v>0</v>
      </c>
      <c r="N80" s="569"/>
      <c r="O80" s="570" t="e">
        <f>Tabela25[[#This Row],[Lucro]]/Tabela25[[#This Row],[Preço Final]]</f>
        <v>#DIV/0!</v>
      </c>
    </row>
    <row r="83" spans="1:30">
      <c r="A83" s="444" t="s">
        <v>245</v>
      </c>
    </row>
    <row r="84" spans="1:30">
      <c r="A84" s="444" t="str">
        <f>"V"&amp;Simulação!I32</f>
        <v>V1</v>
      </c>
      <c r="B84" s="444" t="str">
        <f>Resumo!E201</f>
        <v>Q1-2500-E</v>
      </c>
      <c r="C84" s="444" t="str">
        <f>Resumo!E187&amp;"*"&amp;Resumo!E223</f>
        <v>14*DHN-72X16/BF/FS - 585W</v>
      </c>
      <c r="D84" s="444">
        <f>Resumo!E189</f>
        <v>8.19</v>
      </c>
      <c r="F84" s="544" t="str">
        <f>Resumo!$E$347</f>
        <v>R$ 23.440,00</v>
      </c>
      <c r="G84" s="544">
        <f>F84/D84/1000</f>
        <v>2.8620268620268621</v>
      </c>
      <c r="H84" s="444" t="str">
        <f ca="1">Orçamento!I2</f>
        <v>2 anos e 2 meses</v>
      </c>
      <c r="I84" s="551">
        <f ca="1">Resumo!F147</f>
        <v>851.9902700862491</v>
      </c>
      <c r="J84" s="551">
        <f ca="1">Orçamento!I1</f>
        <v>2.2472488191573019</v>
      </c>
      <c r="L84" s="544">
        <f>Orçamento!I8</f>
        <v>13003.91</v>
      </c>
      <c r="M84" s="544">
        <f>L84/D84/1000</f>
        <v>1.5877789987789988</v>
      </c>
      <c r="N84" s="544">
        <f>Orçamento!I19</f>
        <v>0</v>
      </c>
      <c r="O84" s="574">
        <f>N84/F84</f>
        <v>0</v>
      </c>
    </row>
    <row r="90" spans="1:30">
      <c r="A90" s="444" t="s">
        <v>246</v>
      </c>
      <c r="C90" s="444" t="s">
        <v>247</v>
      </c>
      <c r="D90" s="444">
        <v>3.3</v>
      </c>
    </row>
    <row r="92" spans="1:30">
      <c r="B92" s="444" t="s">
        <v>248</v>
      </c>
      <c r="C92" s="444" t="s">
        <v>219</v>
      </c>
      <c r="D92" s="444" t="s">
        <v>249</v>
      </c>
      <c r="E92" s="444" t="s">
        <v>222</v>
      </c>
      <c r="F92" s="444" t="s">
        <v>223</v>
      </c>
      <c r="H92" s="444" t="s">
        <v>250</v>
      </c>
      <c r="AD92" s="592"/>
    </row>
    <row r="93" spans="1:30">
      <c r="B93" s="444" t="s">
        <v>251</v>
      </c>
      <c r="C93" s="444" t="s">
        <v>252</v>
      </c>
      <c r="D93" s="444">
        <v>2.65</v>
      </c>
      <c r="E93" s="495">
        <v>14000</v>
      </c>
      <c r="F93" s="544">
        <f>E93/D93/1000</f>
        <v>5.283018867924528</v>
      </c>
      <c r="H93" s="544">
        <f>F93*$D$90*1000</f>
        <v>17433.962264150941</v>
      </c>
      <c r="AD93" s="592"/>
    </row>
    <row r="94" spans="1:30">
      <c r="B94" s="444" t="s">
        <v>251</v>
      </c>
      <c r="C94" s="444" t="s">
        <v>253</v>
      </c>
      <c r="D94" s="444">
        <v>3.18</v>
      </c>
      <c r="E94" s="495">
        <v>15680</v>
      </c>
      <c r="F94" s="544">
        <f>E94/D94/1000</f>
        <v>4.9308176100628929</v>
      </c>
      <c r="H94" s="544">
        <f>F94*$D$90*1000</f>
        <v>16271.698113207545</v>
      </c>
      <c r="R94" s="591"/>
      <c r="S94" s="591"/>
      <c r="T94" s="591"/>
      <c r="U94" s="591"/>
      <c r="V94" s="591"/>
      <c r="W94" s="591"/>
      <c r="X94" s="591"/>
      <c r="Y94" s="591"/>
      <c r="Z94" s="591"/>
      <c r="AA94" s="591"/>
      <c r="AB94" s="591"/>
      <c r="AC94" s="591"/>
      <c r="AD94" s="592"/>
    </row>
    <row r="95" spans="1:30">
      <c r="B95" s="444" t="s">
        <v>254</v>
      </c>
      <c r="C95" s="444" t="s">
        <v>255</v>
      </c>
      <c r="D95" s="444">
        <v>3.3</v>
      </c>
      <c r="E95" s="495">
        <v>17850</v>
      </c>
      <c r="F95" s="544">
        <f>E95/D95/1000</f>
        <v>5.4090909090909092</v>
      </c>
      <c r="H95" s="544">
        <f>F95*$D$90*1000</f>
        <v>17849.999999999996</v>
      </c>
    </row>
    <row r="96" spans="1:30">
      <c r="B96" s="444" t="s">
        <v>251</v>
      </c>
      <c r="C96" s="444" t="s">
        <v>255</v>
      </c>
      <c r="D96" s="444">
        <v>3.3</v>
      </c>
      <c r="E96" s="495">
        <v>18100</v>
      </c>
      <c r="F96" s="544">
        <f>E96/D96/1000</f>
        <v>5.4848484848484853</v>
      </c>
      <c r="H96" s="544">
        <f>F96*$D$90*1000</f>
        <v>18100</v>
      </c>
    </row>
    <row r="99" spans="1:15">
      <c r="A99" s="444" t="s">
        <v>256</v>
      </c>
    </row>
    <row r="100" spans="1:15">
      <c r="A100" s="590" t="s">
        <v>257</v>
      </c>
      <c r="B100" s="590" t="s">
        <v>258</v>
      </c>
      <c r="C100" s="590" t="s">
        <v>259</v>
      </c>
      <c r="D100" s="590" t="s">
        <v>260</v>
      </c>
      <c r="E100" s="590" t="s">
        <v>261</v>
      </c>
      <c r="F100" s="590" t="s">
        <v>262</v>
      </c>
      <c r="G100" s="590" t="s">
        <v>263</v>
      </c>
      <c r="H100" s="590" t="s">
        <v>264</v>
      </c>
      <c r="I100" s="590" t="s">
        <v>265</v>
      </c>
      <c r="J100" s="590" t="s">
        <v>266</v>
      </c>
      <c r="K100" s="590" t="s">
        <v>267</v>
      </c>
      <c r="L100" s="590" t="s">
        <v>268</v>
      </c>
      <c r="M100" s="590" t="s">
        <v>269</v>
      </c>
      <c r="N100" s="590" t="s">
        <v>270</v>
      </c>
      <c r="O100" s="590"/>
    </row>
    <row r="101" spans="1:15">
      <c r="A101" s="444" t="str">
        <f>SUBSTITUTE(A100,",",)</f>
        <v>1151</v>
      </c>
      <c r="B101" s="444" t="str">
        <f t="shared" ref="B101:L101" si="7">SUBSTITUTE(B100,",",)</f>
        <v>819</v>
      </c>
      <c r="C101" s="444" t="str">
        <f t="shared" si="7"/>
        <v>1373</v>
      </c>
      <c r="D101" s="444" t="str">
        <f t="shared" si="7"/>
        <v>865</v>
      </c>
      <c r="E101" s="444" t="str">
        <f t="shared" si="7"/>
        <v>585</v>
      </c>
      <c r="F101" s="444" t="str">
        <f t="shared" si="7"/>
        <v>506</v>
      </c>
      <c r="G101" s="444" t="str">
        <f t="shared" si="7"/>
        <v>387</v>
      </c>
      <c r="H101" s="444" t="str">
        <f t="shared" si="7"/>
        <v>756</v>
      </c>
      <c r="I101" s="444" t="str">
        <f t="shared" si="7"/>
        <v>776</v>
      </c>
      <c r="J101" s="444" t="str">
        <f t="shared" si="7"/>
        <v>785</v>
      </c>
      <c r="K101" s="444" t="str">
        <f t="shared" si="7"/>
        <v>725</v>
      </c>
      <c r="L101" s="444" t="str">
        <f t="shared" si="7"/>
        <v>745</v>
      </c>
      <c r="M101" s="590" t="str">
        <f>M100</f>
        <v>Junto à Carga</v>
      </c>
      <c r="N101" s="590" t="str">
        <f>N100</f>
        <v>COMERCIAL</v>
      </c>
    </row>
    <row r="107" spans="1:15">
      <c r="A107" s="444" t="s">
        <v>271</v>
      </c>
      <c r="B107" s="444" t="s">
        <v>35</v>
      </c>
      <c r="C107" s="444" t="s">
        <v>41</v>
      </c>
      <c r="D107" s="444" t="s">
        <v>45</v>
      </c>
      <c r="E107" s="444" t="s">
        <v>47</v>
      </c>
      <c r="F107" s="444" t="s">
        <v>49</v>
      </c>
      <c r="G107" s="444" t="s">
        <v>51</v>
      </c>
      <c r="H107" s="444" t="s">
        <v>53</v>
      </c>
      <c r="I107" s="444" t="s">
        <v>56</v>
      </c>
      <c r="J107" s="444" t="s">
        <v>59</v>
      </c>
      <c r="K107" s="444" t="s">
        <v>62</v>
      </c>
      <c r="L107" s="444" t="s">
        <v>63</v>
      </c>
      <c r="M107" s="444" t="s">
        <v>64</v>
      </c>
      <c r="N107" s="444" t="s">
        <v>138</v>
      </c>
    </row>
    <row r="108" spans="1:15">
      <c r="A108" s="444">
        <v>8077810</v>
      </c>
      <c r="B108" s="444">
        <v>3345</v>
      </c>
      <c r="C108" s="444">
        <v>2729</v>
      </c>
      <c r="D108" s="444">
        <v>3137</v>
      </c>
      <c r="E108" s="444">
        <v>3403</v>
      </c>
      <c r="F108" s="444">
        <v>2836</v>
      </c>
      <c r="G108" s="444">
        <v>2560</v>
      </c>
      <c r="H108" s="444">
        <v>2183</v>
      </c>
      <c r="I108" s="444">
        <v>2490</v>
      </c>
      <c r="J108" s="444">
        <v>2910</v>
      </c>
      <c r="K108" s="444">
        <v>2539</v>
      </c>
      <c r="L108" s="444">
        <v>2479</v>
      </c>
      <c r="M108" s="444">
        <v>2953</v>
      </c>
      <c r="N108" s="592">
        <f>AVERAGE(B108:M108)</f>
        <v>2797</v>
      </c>
    </row>
    <row r="109" spans="1:15">
      <c r="A109" s="444">
        <v>5047061</v>
      </c>
      <c r="B109" s="444">
        <v>547</v>
      </c>
      <c r="C109" s="444">
        <v>586</v>
      </c>
      <c r="D109" s="444">
        <v>458</v>
      </c>
      <c r="E109" s="444">
        <v>518</v>
      </c>
      <c r="F109" s="444">
        <v>323</v>
      </c>
      <c r="G109" s="444">
        <v>320</v>
      </c>
      <c r="H109" s="444">
        <v>294</v>
      </c>
      <c r="I109" s="444">
        <v>225</v>
      </c>
      <c r="J109" s="444">
        <v>387</v>
      </c>
      <c r="K109" s="444">
        <v>562</v>
      </c>
      <c r="L109" s="444">
        <v>768</v>
      </c>
      <c r="M109" s="444">
        <v>659</v>
      </c>
      <c r="N109" s="592">
        <f t="shared" ref="N109:N110" si="8">AVERAGE(B109:M109)</f>
        <v>470.58333333333331</v>
      </c>
    </row>
    <row r="110" spans="1:15">
      <c r="A110" s="444" t="s">
        <v>272</v>
      </c>
      <c r="B110" s="444">
        <v>603</v>
      </c>
      <c r="C110" s="444">
        <v>581</v>
      </c>
      <c r="D110" s="444">
        <v>670</v>
      </c>
      <c r="E110" s="444">
        <v>720</v>
      </c>
      <c r="F110" s="444">
        <v>701</v>
      </c>
      <c r="G110" s="444">
        <v>824</v>
      </c>
      <c r="H110" s="444">
        <v>702</v>
      </c>
      <c r="I110" s="444">
        <v>747</v>
      </c>
      <c r="J110" s="444">
        <v>837</v>
      </c>
      <c r="K110" s="444">
        <v>693</v>
      </c>
      <c r="L110" s="444">
        <v>644</v>
      </c>
      <c r="M110" s="444">
        <v>613</v>
      </c>
      <c r="N110" s="592">
        <f t="shared" si="8"/>
        <v>694.58333333333337</v>
      </c>
    </row>
    <row r="111" spans="1:15">
      <c r="A111" s="444">
        <v>6273108</v>
      </c>
      <c r="B111" s="444">
        <v>888</v>
      </c>
      <c r="C111" s="444">
        <v>887</v>
      </c>
      <c r="D111" s="444">
        <v>918</v>
      </c>
      <c r="E111" s="444">
        <v>743</v>
      </c>
      <c r="F111" s="444">
        <v>559</v>
      </c>
      <c r="G111" s="444">
        <v>581</v>
      </c>
      <c r="H111" s="444">
        <v>494</v>
      </c>
      <c r="I111" s="444">
        <v>542</v>
      </c>
      <c r="J111" s="444">
        <v>566</v>
      </c>
      <c r="K111" s="444">
        <v>642</v>
      </c>
      <c r="L111" s="444">
        <v>625</v>
      </c>
      <c r="M111" s="444">
        <v>824</v>
      </c>
      <c r="N111" s="592">
        <f t="shared" ref="N111:N112" si="9">AVERAGE(B111:M111)</f>
        <v>689.08333333333337</v>
      </c>
    </row>
    <row r="112" spans="1:15">
      <c r="A112" s="444" t="s">
        <v>164</v>
      </c>
      <c r="B112" s="591">
        <f t="shared" ref="B112:M112" si="10">SUM(B108:B111)</f>
        <v>5383</v>
      </c>
      <c r="C112" s="591">
        <f t="shared" si="10"/>
        <v>4783</v>
      </c>
      <c r="D112" s="591">
        <f t="shared" si="10"/>
        <v>5183</v>
      </c>
      <c r="E112" s="591">
        <f t="shared" si="10"/>
        <v>5384</v>
      </c>
      <c r="F112" s="591">
        <f t="shared" si="10"/>
        <v>4419</v>
      </c>
      <c r="G112" s="591">
        <f t="shared" si="10"/>
        <v>4285</v>
      </c>
      <c r="H112" s="591">
        <f t="shared" si="10"/>
        <v>3673</v>
      </c>
      <c r="I112" s="591">
        <f t="shared" si="10"/>
        <v>4004</v>
      </c>
      <c r="J112" s="591">
        <f t="shared" si="10"/>
        <v>4700</v>
      </c>
      <c r="K112" s="591">
        <f t="shared" si="10"/>
        <v>4436</v>
      </c>
      <c r="L112" s="591">
        <f t="shared" si="10"/>
        <v>4516</v>
      </c>
      <c r="M112" s="591">
        <f t="shared" si="10"/>
        <v>5049</v>
      </c>
      <c r="N112" s="592">
        <f t="shared" si="9"/>
        <v>4651.25</v>
      </c>
    </row>
    <row r="118" spans="1:7">
      <c r="A118" s="444" t="s">
        <v>5103</v>
      </c>
    </row>
    <row r="120" spans="1:7">
      <c r="B120" s="496" t="s">
        <v>5104</v>
      </c>
      <c r="C120" s="444">
        <v>2.1059999999999999</v>
      </c>
      <c r="D120" s="444" t="s">
        <v>5105</v>
      </c>
    </row>
    <row r="121" spans="1:7">
      <c r="B121" s="496" t="s">
        <v>5106</v>
      </c>
      <c r="C121" s="444">
        <v>11</v>
      </c>
    </row>
    <row r="122" spans="1:7">
      <c r="B122" s="496" t="s">
        <v>5107</v>
      </c>
      <c r="C122" s="444">
        <f>C121*C120</f>
        <v>23.165999999999997</v>
      </c>
      <c r="D122" s="444" t="s">
        <v>5105</v>
      </c>
    </row>
    <row r="124" spans="1:7">
      <c r="A124" s="496" t="s">
        <v>5108</v>
      </c>
      <c r="B124" s="444">
        <v>3</v>
      </c>
      <c r="C124" s="757">
        <f>$C$120*B124</f>
        <v>6.3179999999999996</v>
      </c>
      <c r="D124" s="756">
        <f>C124/220*1000</f>
        <v>28.718181818181815</v>
      </c>
      <c r="E124" s="444" t="s">
        <v>5120</v>
      </c>
      <c r="F124" s="444" t="s">
        <v>5121</v>
      </c>
      <c r="G124" s="444" t="s">
        <v>5126</v>
      </c>
    </row>
    <row r="125" spans="1:7">
      <c r="A125" s="496" t="s">
        <v>5109</v>
      </c>
      <c r="B125" s="444">
        <v>3</v>
      </c>
      <c r="C125" s="757">
        <f t="shared" ref="C125:C135" si="11">$C$120*B125</f>
        <v>6.3179999999999996</v>
      </c>
      <c r="D125" s="756">
        <f t="shared" ref="D125:D134" si="12">C125/220*1000</f>
        <v>28.718181818181815</v>
      </c>
      <c r="E125" s="444" t="s">
        <v>5122</v>
      </c>
      <c r="F125" s="444" t="s">
        <v>5120</v>
      </c>
      <c r="G125" s="444" t="s">
        <v>5125</v>
      </c>
    </row>
    <row r="126" spans="1:7">
      <c r="A126" s="496" t="s">
        <v>5110</v>
      </c>
      <c r="B126" s="444">
        <v>3</v>
      </c>
      <c r="C126" s="757">
        <f t="shared" si="11"/>
        <v>6.3179999999999996</v>
      </c>
      <c r="D126" s="756">
        <f t="shared" si="12"/>
        <v>28.718181818181815</v>
      </c>
      <c r="E126" s="444" t="s">
        <v>5121</v>
      </c>
      <c r="F126" s="444" t="s">
        <v>5122</v>
      </c>
      <c r="G126" s="444" t="s">
        <v>5128</v>
      </c>
    </row>
    <row r="127" spans="1:7">
      <c r="A127" s="496" t="s">
        <v>5111</v>
      </c>
      <c r="B127" s="444">
        <v>2</v>
      </c>
      <c r="C127" s="757">
        <f t="shared" si="11"/>
        <v>4.2119999999999997</v>
      </c>
      <c r="D127" s="756">
        <f t="shared" si="12"/>
        <v>19.145454545454545</v>
      </c>
      <c r="E127" s="444" t="s">
        <v>5120</v>
      </c>
      <c r="F127" s="444" t="s">
        <v>5121</v>
      </c>
      <c r="G127" s="444" t="s">
        <v>5127</v>
      </c>
    </row>
    <row r="128" spans="1:7">
      <c r="A128" s="496" t="s">
        <v>5112</v>
      </c>
      <c r="C128" s="757">
        <f t="shared" si="11"/>
        <v>0</v>
      </c>
      <c r="D128" s="756">
        <f t="shared" si="12"/>
        <v>0</v>
      </c>
      <c r="E128" s="444" t="s">
        <v>5122</v>
      </c>
      <c r="F128" s="444" t="s">
        <v>5120</v>
      </c>
    </row>
    <row r="129" spans="1:6">
      <c r="A129" s="496" t="s">
        <v>5113</v>
      </c>
      <c r="C129" s="757">
        <f t="shared" si="11"/>
        <v>0</v>
      </c>
      <c r="D129" s="756">
        <f t="shared" si="12"/>
        <v>0</v>
      </c>
      <c r="E129" s="444" t="s">
        <v>5121</v>
      </c>
      <c r="F129" s="444" t="s">
        <v>5122</v>
      </c>
    </row>
    <row r="130" spans="1:6">
      <c r="A130" s="496" t="s">
        <v>5114</v>
      </c>
      <c r="C130" s="757">
        <f t="shared" si="11"/>
        <v>0</v>
      </c>
      <c r="D130" s="756">
        <f t="shared" si="12"/>
        <v>0</v>
      </c>
      <c r="E130" s="444" t="s">
        <v>5120</v>
      </c>
      <c r="F130" s="444" t="s">
        <v>5121</v>
      </c>
    </row>
    <row r="131" spans="1:6">
      <c r="A131" s="496" t="s">
        <v>5115</v>
      </c>
      <c r="C131" s="757">
        <f t="shared" si="11"/>
        <v>0</v>
      </c>
      <c r="D131" s="756">
        <f t="shared" si="12"/>
        <v>0</v>
      </c>
      <c r="E131" s="444" t="s">
        <v>5122</v>
      </c>
      <c r="F131" s="444" t="s">
        <v>5120</v>
      </c>
    </row>
    <row r="132" spans="1:6">
      <c r="A132" s="496" t="s">
        <v>5116</v>
      </c>
      <c r="C132" s="757">
        <f t="shared" si="11"/>
        <v>0</v>
      </c>
      <c r="D132" s="756">
        <f t="shared" si="12"/>
        <v>0</v>
      </c>
      <c r="E132" s="444" t="s">
        <v>5121</v>
      </c>
      <c r="F132" s="444" t="s">
        <v>5122</v>
      </c>
    </row>
    <row r="133" spans="1:6">
      <c r="A133" s="496" t="s">
        <v>5117</v>
      </c>
      <c r="C133" s="757">
        <f t="shared" si="11"/>
        <v>0</v>
      </c>
      <c r="D133" s="756">
        <f t="shared" si="12"/>
        <v>0</v>
      </c>
      <c r="E133" s="444" t="s">
        <v>5120</v>
      </c>
      <c r="F133" s="444" t="s">
        <v>5121</v>
      </c>
    </row>
    <row r="134" spans="1:6">
      <c r="A134" s="496" t="s">
        <v>5118</v>
      </c>
      <c r="C134" s="757">
        <f t="shared" si="11"/>
        <v>0</v>
      </c>
      <c r="D134" s="756">
        <f t="shared" si="12"/>
        <v>0</v>
      </c>
      <c r="E134" s="444" t="s">
        <v>5122</v>
      </c>
      <c r="F134" s="444" t="s">
        <v>5120</v>
      </c>
    </row>
    <row r="135" spans="1:6">
      <c r="A135" s="496" t="s">
        <v>5119</v>
      </c>
      <c r="C135" s="757">
        <f t="shared" si="11"/>
        <v>0</v>
      </c>
      <c r="D135" s="756"/>
      <c r="E135" s="444" t="s">
        <v>5121</v>
      </c>
      <c r="F135" s="444" t="s">
        <v>5122</v>
      </c>
    </row>
    <row r="137" spans="1:6">
      <c r="B137" s="444" t="s">
        <v>5123</v>
      </c>
    </row>
    <row r="138" spans="1:6">
      <c r="B138" s="504" t="s">
        <v>5120</v>
      </c>
      <c r="C138" s="758">
        <f>SUMIF($E$124:$E$135,B138,$D$124:$D$135)+SUMIF($F$124:$F$135,B138,$D$124:$D$135)</f>
        <v>76.581818181818178</v>
      </c>
    </row>
    <row r="139" spans="1:6">
      <c r="B139" s="504" t="s">
        <v>5121</v>
      </c>
      <c r="C139" s="758">
        <f>SUMIF($E$124:$E$135,B139,$D$124:$D$135)+SUMIF($F$124:$F$135,B139,$D$124:$D$135)</f>
        <v>76.581818181818178</v>
      </c>
    </row>
    <row r="140" spans="1:6">
      <c r="B140" s="504" t="s">
        <v>5122</v>
      </c>
      <c r="C140" s="758">
        <f>SUMIF($E$124:$E$135,B140,$D$124:$D$135)+SUMIF($F$124:$F$135,B140,$D$124:$D$135)</f>
        <v>57.43636363636363</v>
      </c>
    </row>
    <row r="141" spans="1:6">
      <c r="B141" s="444" t="s">
        <v>5124</v>
      </c>
      <c r="C141" s="758">
        <f>C122/127/3*1000/0.9</f>
        <v>67.559055118110223</v>
      </c>
    </row>
    <row r="151" spans="2:2">
      <c r="B151" s="648">
        <v>45402.462743055556</v>
      </c>
    </row>
    <row r="152" spans="2:2">
      <c r="B152" s="648">
        <v>45402.46365740741</v>
      </c>
    </row>
    <row r="153" spans="2:2">
      <c r="B153" s="648">
        <v>45402.464594907404</v>
      </c>
    </row>
  </sheetData>
  <sheetProtection formatRows="0"/>
  <mergeCells count="10">
    <mergeCell ref="A1:B1"/>
    <mergeCell ref="A9:L9"/>
    <mergeCell ref="AC1:AD1"/>
    <mergeCell ref="BY6:CE6"/>
    <mergeCell ref="CF6:CL6"/>
    <mergeCell ref="AP6:AV6"/>
    <mergeCell ref="AW6:BC6"/>
    <mergeCell ref="BD6:BJ6"/>
    <mergeCell ref="BK6:BQ6"/>
    <mergeCell ref="BR6:BX6"/>
  </mergeCells>
  <phoneticPr fontId="2" type="noConversion"/>
  <conditionalFormatting sqref="AP22:CL23">
    <cfRule type="expression" dxfId="89" priority="1">
      <formula>MATCH(AP$7,$AA$20:$AA$67,0)</formula>
    </cfRule>
    <cfRule type="expression" dxfId="88" priority="2">
      <formula>OR(WEEKDAY(AP$7)=1,WEEKDAY(AP$7)=7)</formula>
    </cfRule>
    <cfRule type="expression" dxfId="87" priority="3">
      <formula>IF(#REF!="",FALSE,IF(#REF!="",AND(AP$7&gt;=#REF!,AP$7&lt;=TODAY()),AND(AP$7&gt;=#REF!,AP$7&lt;=#REF!)))</formula>
    </cfRule>
    <cfRule type="expression" dxfId="86" priority="4">
      <formula>AP$7=TODAY()</formula>
    </cfRule>
    <cfRule type="expression" dxfId="85" priority="5">
      <formula>AND(AP$7&gt;=#REF!,AP$7&lt;=#REF!)</formula>
    </cfRule>
  </conditionalFormatting>
  <conditionalFormatting sqref="AP9:CL23">
    <cfRule type="expression" dxfId="84" priority="6">
      <formula>AP$7=TODAY()</formula>
    </cfRule>
    <cfRule type="expression" dxfId="83" priority="7">
      <formula>MATCH(AP$7,$AC$3:$AC$67,0)</formula>
    </cfRule>
    <cfRule type="expression" dxfId="82" priority="8">
      <formula>OR(WEEKDAY(AP$7)=1,WEEKDAY(AP$7)=7)</formula>
    </cfRule>
    <cfRule type="expression" dxfId="81" priority="9">
      <formula>IF($AJ9="",FALSE,IF($AK9="",AND(AP$7&gt;=$AJ9,AP$7&lt;=TODAY()),AND(AP$7&gt;=$AJ9,AP$7&lt;=$AK9)))</formula>
    </cfRule>
    <cfRule type="expression" dxfId="80" priority="10">
      <formula>AND(AP$7&gt;=$AM9,AP$7&lt;=$AN9)</formula>
    </cfRule>
  </conditionalFormatting>
  <conditionalFormatting sqref="AP19:CL21">
    <cfRule type="expression" dxfId="79" priority="11">
      <formula>AP$7=TODAY()</formula>
    </cfRule>
    <cfRule type="expression" dxfId="78" priority="12">
      <formula>MATCH(AP$7,$AC$3:$AC$67,0)</formula>
    </cfRule>
    <cfRule type="expression" dxfId="77" priority="13">
      <formula>OR(WEEKDAY(AP$7)=1,WEEKDAY(AP$7)=7)</formula>
    </cfRule>
    <cfRule type="expression" dxfId="76" priority="14">
      <formula>IF($X16="",FALSE,IF($Y16="",AND(AP$7&gt;=$X16,AP$7&lt;=TODAY()),AND(AP$7&gt;=$X16,AP$7&lt;=$Y16)))</formula>
    </cfRule>
    <cfRule type="expression" dxfId="75" priority="15">
      <formula>AND(AP$7&gt;=$AM19,AP$7&lt;=$AN19)</formula>
    </cfRule>
  </conditionalFormatting>
  <dataValidations count="1">
    <dataValidation type="list" allowBlank="1" showInputMessage="1" showErrorMessage="1" sqref="B23:B35" xr:uid="{34D6A5D0-FC83-4ED6-AEE4-60C80CB13580}">
      <formula1>INDIRECT("Equipamentos")</formula1>
    </dataValidation>
  </dataValidations>
  <hyperlinks>
    <hyperlink ref="A68" r:id="rId1" xr:uid="{3B2A38CD-9EE3-40A6-8B23-AD886ACD7701}"/>
    <hyperlink ref="A69" r:id="rId2" xr:uid="{F0A28E97-85F0-4314-B137-E39B8281143E}"/>
  </hyperlinks>
  <pageMargins left="0.511811024" right="0.511811024" top="0.78740157499999996" bottom="0.78740157499999996" header="0.31496062000000002" footer="0.31496062000000002"/>
  <pageSetup orientation="portrait" r:id="rId3"/>
  <drawing r:id="rId4"/>
  <legacyDrawing r:id="rId5"/>
  <mc:AlternateContent xmlns:mc="http://schemas.openxmlformats.org/markup-compatibility/2006">
    <mc:Choice Requires="x14">
      <controls>
        <mc:AlternateContent xmlns:mc="http://schemas.openxmlformats.org/markup-compatibility/2006">
          <mc:Choice Requires="x14">
            <control shapeId="233474" r:id="rId6" name="Scroll Bar 1">
              <controlPr defaultSize="0" autoPict="0">
                <anchor moveWithCells="1">
                  <from>
                    <xdr:col>40</xdr:col>
                    <xdr:colOff>1971675</xdr:colOff>
                    <xdr:row>3</xdr:row>
                    <xdr:rowOff>123825</xdr:rowOff>
                  </from>
                  <to>
                    <xdr:col>70</xdr:col>
                    <xdr:colOff>57150</xdr:colOff>
                    <xdr:row>5</xdr:row>
                    <xdr:rowOff>0</xdr:rowOff>
                  </to>
                </anchor>
              </controlPr>
            </control>
          </mc:Choice>
        </mc:AlternateContent>
        <mc:AlternateContent xmlns:mc="http://schemas.openxmlformats.org/markup-compatibility/2006">
          <mc:Choice Requires="x14">
            <control shapeId="233475" r:id="rId7" name="Scroll Bar 1027">
              <controlPr defaultSize="0" autoPict="0">
                <anchor moveWithCells="1">
                  <from>
                    <xdr:col>40</xdr:col>
                    <xdr:colOff>1971675</xdr:colOff>
                    <xdr:row>3</xdr:row>
                    <xdr:rowOff>123825</xdr:rowOff>
                  </from>
                  <to>
                    <xdr:col>70</xdr:col>
                    <xdr:colOff>57150</xdr:colOff>
                    <xdr:row>5</xdr:row>
                    <xdr:rowOff>0</xdr:rowOff>
                  </to>
                </anchor>
              </controlPr>
            </control>
          </mc:Choice>
        </mc:AlternateContent>
      </controls>
    </mc:Choice>
  </mc:AlternateContent>
  <tableParts count="3">
    <tablePart r:id="rId8"/>
    <tablePart r:id="rId9"/>
    <tablePart r:id="rId10"/>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848A2-8BFD-44A7-B946-FD49FB13F1A2}">
  <sheetPr codeName="Planilha3">
    <outlinePr showOutlineSymbols="0"/>
  </sheetPr>
  <dimension ref="A1:W41"/>
  <sheetViews>
    <sheetView showGridLines="0" zoomScale="85" zoomScaleNormal="85" workbookViewId="0">
      <selection activeCell="Q3" sqref="Q3:U25"/>
    </sheetView>
  </sheetViews>
  <sheetFormatPr defaultColWidth="0" defaultRowHeight="15" zeroHeight="1" outlineLevelCol="1"/>
  <cols>
    <col min="1" max="1" width="1.7109375" style="603" customWidth="1"/>
    <col min="2" max="2" width="8.85546875" customWidth="1"/>
    <col min="3" max="3" width="17.140625" customWidth="1"/>
    <col min="4" max="4" width="21.28515625" bestFit="1" customWidth="1"/>
    <col min="5" max="5" width="3.42578125" customWidth="1"/>
    <col min="6" max="6" width="30.85546875" bestFit="1" customWidth="1"/>
    <col min="7" max="7" width="5.28515625" customWidth="1"/>
    <col min="8" max="8" width="1.140625" customWidth="1"/>
    <col min="9" max="9" width="30" bestFit="1" customWidth="1"/>
    <col min="10" max="10" width="2.7109375" customWidth="1"/>
    <col min="11" max="11" width="15.5703125" bestFit="1" customWidth="1"/>
    <col min="12" max="15" width="15.5703125" hidden="1" customWidth="1" outlineLevel="1"/>
    <col min="16" max="16" width="8.85546875" customWidth="1" collapsed="1"/>
    <col min="17" max="17" width="17.7109375" bestFit="1" customWidth="1"/>
    <col min="18" max="18" width="6" customWidth="1"/>
    <col min="19" max="19" width="16.7109375" customWidth="1"/>
    <col min="20" max="20" width="8.85546875" customWidth="1"/>
    <col min="21" max="21" width="20.28515625" customWidth="1"/>
    <col min="22" max="22" width="2" customWidth="1"/>
    <col min="23" max="23" width="1.7109375" style="603" customWidth="1"/>
    <col min="24" max="16384" width="8.85546875" hidden="1"/>
  </cols>
  <sheetData>
    <row r="1" spans="4:21" s="603" customFormat="1" ht="14.45" customHeight="1"/>
    <row r="2" spans="4:21" ht="27" customHeight="1">
      <c r="D2" s="698" t="s">
        <v>1539</v>
      </c>
      <c r="F2" s="699" t="s">
        <v>7594</v>
      </c>
      <c r="Q2" s="651"/>
      <c r="S2" s="35" t="s">
        <v>1556</v>
      </c>
    </row>
    <row r="3" spans="4:21" ht="15" customHeight="1">
      <c r="Q3" s="771" t="str" cm="1">
        <f t="array" ref="Q3">INDEX(PROSPECTOS[Obs.:],Resumo!$F$2)</f>
        <v>INFORMAÇÕES IMPORTANTES 
Ligação estava muito ruim
Disse que são dois relógios embaixo e em cima 
Esse valor de 1k está com um pouco se sobra, disse que tem um terreno enorme atrás e caso futuramente algum filho construa 
Disse para Bia que se chama Renata 
flavialouzada@uol.com.br 
17h 
07/18/2025 01:42-ComparativoConta-[Bairro][Aberto]-[CBO][cadastro][20241120]
Quando Pretende Instalar: apenas_curiosidade
Valor Médio da Conta: r$1.000
Telefone: 
+5521988662268
Cidade: Rio de Janeiro</v>
      </c>
      <c r="R3" s="772"/>
      <c r="S3" s="772"/>
      <c r="T3" s="772"/>
      <c r="U3" s="773"/>
    </row>
    <row r="4" spans="4:21" ht="15" customHeight="1">
      <c r="D4" s="284" t="s">
        <v>1540</v>
      </c>
      <c r="E4" s="190"/>
      <c r="F4" s="190"/>
      <c r="I4" s="284" t="s">
        <v>1541</v>
      </c>
      <c r="J4" s="190"/>
      <c r="K4" s="190"/>
      <c r="Q4" s="774"/>
      <c r="R4" s="775"/>
      <c r="S4" s="775"/>
      <c r="T4" s="775"/>
      <c r="U4" s="776"/>
    </row>
    <row r="5" spans="4:21" ht="8.4499999999999993" customHeight="1">
      <c r="Q5" s="774"/>
      <c r="R5" s="775"/>
      <c r="S5" s="775"/>
      <c r="T5" s="775"/>
      <c r="U5" s="776"/>
    </row>
    <row r="6" spans="4:21" ht="15.75">
      <c r="D6" s="35" t="s">
        <v>1542</v>
      </c>
      <c r="F6" s="43" t="s">
        <v>2477</v>
      </c>
      <c r="O6" t="s">
        <v>164</v>
      </c>
      <c r="Q6" s="774"/>
      <c r="R6" s="775"/>
      <c r="S6" s="775"/>
      <c r="T6" s="775"/>
      <c r="U6" s="776"/>
    </row>
    <row r="7" spans="4:21" ht="15.75">
      <c r="D7" s="35" t="s">
        <v>88</v>
      </c>
      <c r="F7" s="473" t="str" cm="1">
        <f t="array" ref="F7">_xlfn.TEXTAFTER(INDEX(PROSPECTOS[Nome],Resumo!$F$2),"] ",,,,INDEX(PROSPECTOS[Nome],Resumo!$F$2))</f>
        <v>Flavia Louzada</v>
      </c>
      <c r="I7" s="35" t="s">
        <v>284</v>
      </c>
      <c r="K7" s="36" t="str" cm="1">
        <f t="array" ref="K7">INDEX(PROSPECTOS[Concessionária],Resumo!$F$2)</f>
        <v>Light</v>
      </c>
      <c r="L7" s="444"/>
      <c r="M7" s="444"/>
      <c r="N7" s="444"/>
      <c r="Q7" s="774"/>
      <c r="R7" s="775"/>
      <c r="S7" s="775"/>
      <c r="T7" s="775"/>
      <c r="U7" s="776"/>
    </row>
    <row r="8" spans="4:21" ht="15.75">
      <c r="D8" s="35" t="str">
        <f>IF($D$9="CNPJ","Representante Legal","")</f>
        <v/>
      </c>
      <c r="I8" s="35" t="s">
        <v>1543</v>
      </c>
      <c r="K8" s="36" t="str" cm="1">
        <f t="array" ref="K8">INDEX(PROSPECTOS[Grupo/Sub-Grupo],Resumo!$F$2)</f>
        <v>B1 - Residencial</v>
      </c>
      <c r="L8" s="444"/>
      <c r="M8" s="444"/>
      <c r="N8" s="444"/>
      <c r="Q8" s="774"/>
      <c r="R8" s="775"/>
      <c r="S8" s="775"/>
      <c r="T8" s="775"/>
      <c r="U8" s="776"/>
    </row>
    <row r="9" spans="4:21" ht="15.75">
      <c r="D9" s="35" t="str">
        <f>$F$6</f>
        <v>CPF</v>
      </c>
      <c r="F9" s="474" t="str" cm="1">
        <f t="array" ref="F9">IF(INDEX(PROSPECTOS[CPF],Resumo!$F$2)=0,"",INDEX(PROSPECTOS[CPF],Resumo!$F$2))</f>
        <v/>
      </c>
      <c r="I9" s="35" t="s">
        <v>1544</v>
      </c>
      <c r="K9" s="36" cm="1">
        <f t="array" ref="K9">INDEX(PROSPECTOS[Fornecimento],Resumo!$F$2)</f>
        <v>0</v>
      </c>
      <c r="L9" s="487"/>
      <c r="M9" s="487"/>
      <c r="N9" s="487"/>
      <c r="Q9" s="774"/>
      <c r="R9" s="775"/>
      <c r="S9" s="775"/>
      <c r="T9" s="775"/>
      <c r="U9" s="776"/>
    </row>
    <row r="10" spans="4:21" ht="15.75">
      <c r="D10" s="35" t="str">
        <f>IF($D$9="CNPJ","CPF do Representante","")</f>
        <v/>
      </c>
      <c r="I10" s="35" t="s">
        <v>1545</v>
      </c>
      <c r="K10" s="41">
        <f>IF(K9="Monofásico",30, IF(K9="Bifásico",50,IF(K9="Trifásico",100,IF(K9="","",IF(K9=0,100,"Verificiar")))))</f>
        <v>100</v>
      </c>
      <c r="L10" s="41"/>
      <c r="M10" s="41" t="str">
        <f>IF(M9="Monofásico",30, IF(M9="Bifásico",50,IF(M9="Trifásico",100,IF(M9="","",IF(M9=0,100,"Verificiar")))))</f>
        <v/>
      </c>
      <c r="N10" s="41" t="str">
        <f>IF(N9="Monofásico",30, IF(N9="Bifásico",50,IF(N9="Trifásico",100,IF(N9="","",IF(N9=0,100,"Verificiar")))))</f>
        <v/>
      </c>
      <c r="O10" s="41">
        <f>SUM(K10:N10)</f>
        <v>100</v>
      </c>
      <c r="Q10" s="774"/>
      <c r="R10" s="775"/>
      <c r="S10" s="775"/>
      <c r="T10" s="775"/>
      <c r="U10" s="776"/>
    </row>
    <row r="11" spans="4:21" ht="15.75">
      <c r="D11" s="404" t="s">
        <v>1546</v>
      </c>
      <c r="F11" s="475"/>
      <c r="I11" s="35" t="s">
        <v>1547</v>
      </c>
      <c r="K11" s="36" t="s">
        <v>1548</v>
      </c>
      <c r="Q11" s="774"/>
      <c r="R11" s="775"/>
      <c r="S11" s="775"/>
      <c r="T11" s="775"/>
      <c r="U11" s="776"/>
    </row>
    <row r="12" spans="4:21" ht="15.75">
      <c r="I12" s="35" t="s">
        <v>1549</v>
      </c>
      <c r="K12" s="36" t="s">
        <v>1550</v>
      </c>
      <c r="Q12" s="774"/>
      <c r="R12" s="775"/>
      <c r="S12" s="775"/>
      <c r="T12" s="775"/>
      <c r="U12" s="776"/>
    </row>
    <row r="13" spans="4:21" ht="15.75">
      <c r="D13" s="404" t="s">
        <v>1551</v>
      </c>
      <c r="F13" s="41"/>
      <c r="Q13" s="774"/>
      <c r="R13" s="775"/>
      <c r="S13" s="775"/>
      <c r="T13" s="775"/>
      <c r="U13" s="776"/>
    </row>
    <row r="14" spans="4:21" ht="15.75">
      <c r="I14" s="35" t="s">
        <v>1552</v>
      </c>
      <c r="K14" s="37"/>
      <c r="L14" s="487"/>
      <c r="M14" s="487"/>
      <c r="N14" s="487"/>
      <c r="Q14" s="774"/>
      <c r="R14" s="775"/>
      <c r="S14" s="775"/>
      <c r="T14" s="775"/>
      <c r="U14" s="776"/>
    </row>
    <row r="15" spans="4:21" ht="15.75">
      <c r="D15" s="35" t="s">
        <v>1553</v>
      </c>
      <c r="F15" s="476" t="str" cm="1">
        <f t="array" ref="F15">IF(INDEX(PROSPECTOS[Nascimento],Resumo!$F$2)=0,"",INDEX(PROSPECTOS[Nascimento],Resumo!$F$2))</f>
        <v/>
      </c>
      <c r="I15" s="35" t="s">
        <v>1554</v>
      </c>
      <c r="K15" s="124"/>
      <c r="L15" s="488"/>
      <c r="M15" s="488"/>
      <c r="N15" s="488"/>
      <c r="Q15" s="774"/>
      <c r="R15" s="775"/>
      <c r="S15" s="775"/>
      <c r="T15" s="775"/>
      <c r="U15" s="776"/>
    </row>
    <row r="16" spans="4:21">
      <c r="L16" s="444"/>
      <c r="M16" s="444"/>
      <c r="N16" s="444"/>
      <c r="Q16" s="774"/>
      <c r="R16" s="775"/>
      <c r="S16" s="775"/>
      <c r="T16" s="775"/>
      <c r="U16" s="776"/>
    </row>
    <row r="17" spans="4:21" ht="15.75">
      <c r="D17" s="35" t="s">
        <v>1555</v>
      </c>
      <c r="F17" s="473" t="str" cm="1">
        <f t="array" ref="F17">IF(INDEX(PROSPECTOS[Email],Resumo!$F$2)=0,"",INDEX(PROSPECTOS[Email],Resumo!$F$2))</f>
        <v>flavialouzada@uol.com.br</v>
      </c>
      <c r="I17" s="35" t="s">
        <v>96</v>
      </c>
      <c r="K17" s="36" cm="1">
        <f t="array" ref="K17">INDEX(PROSPECTOS[Jan],Resumo!$F$2)</f>
        <v>1152</v>
      </c>
      <c r="L17" s="487"/>
      <c r="M17" s="487"/>
      <c r="N17" s="487"/>
      <c r="O17" s="36">
        <f t="shared" ref="O17:O28" si="0">SUM(K17:M17)</f>
        <v>1152</v>
      </c>
      <c r="Q17" s="774"/>
      <c r="R17" s="775"/>
      <c r="S17" s="775"/>
      <c r="T17" s="775"/>
      <c r="U17" s="776"/>
    </row>
    <row r="18" spans="4:21" ht="15.75">
      <c r="I18" s="35" t="s">
        <v>98</v>
      </c>
      <c r="K18" s="36" cm="1">
        <f t="array" ref="K18">INDEX(PROSPECTOS[Fev],Resumo!$F$2)</f>
        <v>1152</v>
      </c>
      <c r="L18" s="487"/>
      <c r="M18" s="487"/>
      <c r="N18" s="487"/>
      <c r="O18" s="36">
        <f t="shared" si="0"/>
        <v>1152</v>
      </c>
      <c r="Q18" s="774"/>
      <c r="R18" s="775"/>
      <c r="S18" s="775"/>
      <c r="T18" s="775"/>
      <c r="U18" s="776"/>
    </row>
    <row r="19" spans="4:21" ht="15.75">
      <c r="D19" s="35" t="s">
        <v>1557</v>
      </c>
      <c r="F19" s="477" t="str" cm="1">
        <f t="array" ref="F19">INDEX(PROSPECTOS[Telefone],Resumo!$F$2)</f>
        <v>5521988662268</v>
      </c>
      <c r="I19" s="35" t="s">
        <v>99</v>
      </c>
      <c r="K19" s="36" cm="1">
        <f t="array" ref="K19">INDEX(PROSPECTOS[Mar],Resumo!$F$2)</f>
        <v>960</v>
      </c>
      <c r="L19" s="487"/>
      <c r="M19" s="487"/>
      <c r="N19" s="487"/>
      <c r="O19" s="36">
        <f t="shared" si="0"/>
        <v>960</v>
      </c>
      <c r="Q19" s="774"/>
      <c r="R19" s="775"/>
      <c r="S19" s="775"/>
      <c r="T19" s="775"/>
      <c r="U19" s="776"/>
    </row>
    <row r="20" spans="4:21" ht="15.75">
      <c r="I20" s="35" t="s">
        <v>103</v>
      </c>
      <c r="K20" s="36" cm="1">
        <f t="array" ref="K20">INDEX(PROSPECTOS[Abr],Resumo!$F$2)</f>
        <v>864</v>
      </c>
      <c r="L20" s="487"/>
      <c r="M20" s="487"/>
      <c r="N20" s="487"/>
      <c r="O20" s="36">
        <f t="shared" si="0"/>
        <v>864</v>
      </c>
      <c r="Q20" s="774"/>
      <c r="R20" s="775"/>
      <c r="S20" s="775"/>
      <c r="T20" s="775"/>
      <c r="U20" s="776"/>
    </row>
    <row r="21" spans="4:21" ht="15.75">
      <c r="D21" s="404" t="s">
        <v>278</v>
      </c>
      <c r="F21" s="478"/>
      <c r="I21" s="35" t="s">
        <v>106</v>
      </c>
      <c r="K21" s="36" cm="1">
        <f t="array" ref="K21">INDEX(PROSPECTOS[Mai],Resumo!$F$2)</f>
        <v>672</v>
      </c>
      <c r="L21" s="487"/>
      <c r="M21" s="487"/>
      <c r="N21" s="487"/>
      <c r="O21" s="36">
        <f t="shared" si="0"/>
        <v>672</v>
      </c>
      <c r="Q21" s="774"/>
      <c r="R21" s="775"/>
      <c r="S21" s="775"/>
      <c r="T21" s="775"/>
      <c r="U21" s="776"/>
    </row>
    <row r="22" spans="4:21" ht="15.75">
      <c r="I22" s="35" t="s">
        <v>114</v>
      </c>
      <c r="K22" s="36" cm="1">
        <f t="array" ref="K22">INDEX(PROSPECTOS[Jun],Resumo!$F$2)</f>
        <v>576</v>
      </c>
      <c r="L22" s="487"/>
      <c r="M22" s="487"/>
      <c r="N22" s="487"/>
      <c r="O22" s="36">
        <f t="shared" si="0"/>
        <v>576</v>
      </c>
      <c r="Q22" s="774"/>
      <c r="R22" s="775"/>
      <c r="S22" s="775"/>
      <c r="T22" s="775"/>
      <c r="U22" s="776"/>
    </row>
    <row r="23" spans="4:21" ht="15.75">
      <c r="D23" s="35" t="s">
        <v>281</v>
      </c>
      <c r="F23" s="36" t="str" cm="1">
        <f t="array" ref="F23">IF(INDEX(PROSPECTOS[Estado],Resumo!$F$2)="","RJ",INDEX(PROSPECTOS[Estado],Resumo!$F$2))</f>
        <v>RJ</v>
      </c>
      <c r="I23" s="35" t="s">
        <v>119</v>
      </c>
      <c r="K23" s="36" cm="1">
        <f t="array" ref="K23">INDEX(PROSPECTOS[Jul],Resumo!$F$2)</f>
        <v>576</v>
      </c>
      <c r="L23" s="487"/>
      <c r="M23" s="487"/>
      <c r="N23" s="487"/>
      <c r="O23" s="36">
        <f t="shared" si="0"/>
        <v>576</v>
      </c>
      <c r="Q23" s="774"/>
      <c r="R23" s="775"/>
      <c r="S23" s="775"/>
      <c r="T23" s="775"/>
      <c r="U23" s="776"/>
    </row>
    <row r="24" spans="4:21" ht="15.75">
      <c r="I24" s="35" t="s">
        <v>122</v>
      </c>
      <c r="K24" s="36" cm="1">
        <f t="array" ref="K24">INDEX(PROSPECTOS[Ago],Resumo!$F$2)</f>
        <v>672</v>
      </c>
      <c r="L24" s="487"/>
      <c r="M24" s="487"/>
      <c r="N24" s="487"/>
      <c r="O24" s="36">
        <f t="shared" si="0"/>
        <v>672</v>
      </c>
      <c r="Q24" s="774"/>
      <c r="R24" s="775"/>
      <c r="S24" s="775"/>
      <c r="T24" s="775"/>
      <c r="U24" s="776"/>
    </row>
    <row r="25" spans="4:21" ht="15.75">
      <c r="D25" s="35" t="s">
        <v>282</v>
      </c>
      <c r="F25" s="36" t="str" cm="1">
        <f t="array" ref="F25">INDEX(PROSPECTOS[Município],Resumo!$F$2)</f>
        <v/>
      </c>
      <c r="I25" s="35" t="s">
        <v>123</v>
      </c>
      <c r="K25" s="36" cm="1">
        <f t="array" ref="K25">INDEX(PROSPECTOS[Set],Resumo!$F$2)</f>
        <v>672</v>
      </c>
      <c r="L25" s="487"/>
      <c r="M25" s="487"/>
      <c r="N25" s="487"/>
      <c r="O25" s="36">
        <f t="shared" si="0"/>
        <v>672</v>
      </c>
      <c r="Q25" s="777"/>
      <c r="R25" s="778"/>
      <c r="S25" s="778"/>
      <c r="T25" s="778"/>
      <c r="U25" s="779"/>
    </row>
    <row r="26" spans="4:21" ht="15.75">
      <c r="I26" s="35" t="s">
        <v>124</v>
      </c>
      <c r="K26" s="36" cm="1">
        <f t="array" ref="K26">INDEX(PROSPECTOS[Out],Resumo!$F$2)</f>
        <v>672</v>
      </c>
      <c r="L26" s="487"/>
      <c r="M26" s="487"/>
      <c r="N26" s="487"/>
      <c r="O26" s="36">
        <f t="shared" si="0"/>
        <v>672</v>
      </c>
    </row>
    <row r="27" spans="4:21" ht="15.75">
      <c r="D27" s="35" t="s">
        <v>279</v>
      </c>
      <c r="F27" s="36" t="str" cm="1">
        <f t="array" ref="F27">INDEX(PROSPECTOS[Endereço],Resumo!$F$2)</f>
        <v/>
      </c>
      <c r="I27" s="35" t="s">
        <v>125</v>
      </c>
      <c r="K27" s="36" cm="1">
        <f t="array" ref="K27">INDEX(PROSPECTOS[Nov],Resumo!$F$2)</f>
        <v>768</v>
      </c>
      <c r="L27" s="487"/>
      <c r="M27" s="487"/>
      <c r="N27" s="487"/>
      <c r="O27" s="36">
        <f t="shared" si="0"/>
        <v>768</v>
      </c>
      <c r="Q27" s="380" t="s">
        <v>1558</v>
      </c>
      <c r="S27" s="770" t="s">
        <v>1559</v>
      </c>
      <c r="T27" s="770"/>
      <c r="U27" s="770"/>
    </row>
    <row r="28" spans="4:21" ht="15.75">
      <c r="D28" s="392" t="s">
        <v>1560</v>
      </c>
      <c r="I28" s="35" t="s">
        <v>126</v>
      </c>
      <c r="K28" s="36" cm="1">
        <f t="array" ref="K28">INDEX(PROSPECTOS[Dez],Resumo!$F$2)</f>
        <v>960</v>
      </c>
      <c r="L28" s="487"/>
      <c r="M28" s="487"/>
      <c r="N28" s="487"/>
      <c r="O28" s="36">
        <f t="shared" si="0"/>
        <v>960</v>
      </c>
      <c r="S28" s="770"/>
      <c r="T28" s="770"/>
      <c r="U28" s="770"/>
    </row>
    <row r="29" spans="4:21" ht="15.75">
      <c r="D29" s="35" t="s">
        <v>1561</v>
      </c>
      <c r="F29" s="36"/>
      <c r="S29" s="770"/>
      <c r="T29" s="770"/>
      <c r="U29" s="770"/>
    </row>
    <row r="30" spans="4:21" ht="15.75">
      <c r="D30" s="392" t="s">
        <v>1562</v>
      </c>
      <c r="I30" s="35" t="s">
        <v>138</v>
      </c>
      <c r="K30" s="42">
        <f>AVERAGE(K17:K28)</f>
        <v>808</v>
      </c>
      <c r="L30" s="42">
        <f>IFERROR(AVERAGE(L17:L28),0)</f>
        <v>0</v>
      </c>
      <c r="M30" s="42">
        <f>IFERROR(AVERAGE(M17:M28),0)</f>
        <v>0</v>
      </c>
      <c r="N30" s="42">
        <f>IFERROR(AVERAGE(N17:N28),0)</f>
        <v>0</v>
      </c>
      <c r="O30" s="42">
        <f t="shared" ref="O30" si="1">AVERAGE(O17:O28)</f>
        <v>808</v>
      </c>
    </row>
    <row r="31" spans="4:21" ht="15.75">
      <c r="D31" s="35" t="s">
        <v>283</v>
      </c>
      <c r="F31" s="36" t="str" cm="1">
        <f t="array" ref="F31">INDEX(PROSPECTOS[Bairro],Resumo!$F$2)</f>
        <v/>
      </c>
      <c r="I31" s="35" t="s">
        <v>1563</v>
      </c>
      <c r="K31" s="42">
        <f>MIN(K17:K28)</f>
        <v>576</v>
      </c>
      <c r="L31" s="42">
        <f>MIN(L17:L28)</f>
        <v>0</v>
      </c>
      <c r="M31" s="42">
        <f>MIN(M17:M28)</f>
        <v>0</v>
      </c>
      <c r="N31" s="42">
        <f t="shared" ref="N31:O31" si="2">MIN(N17:N28)</f>
        <v>0</v>
      </c>
      <c r="O31" s="42">
        <f t="shared" si="2"/>
        <v>576</v>
      </c>
      <c r="S31" t="s">
        <v>1564</v>
      </c>
    </row>
    <row r="32" spans="4:21" ht="15.75">
      <c r="I32" s="35" t="s">
        <v>1565</v>
      </c>
      <c r="K32" s="42">
        <f>SUM(K17:K28)</f>
        <v>9696</v>
      </c>
      <c r="L32" s="42">
        <f>SUM(L17:L28)</f>
        <v>0</v>
      </c>
      <c r="M32" s="42">
        <f>SUM(M17:M28)</f>
        <v>0</v>
      </c>
      <c r="N32" s="42">
        <f t="shared" ref="N32:O32" si="3">SUM(N17:N28)</f>
        <v>0</v>
      </c>
      <c r="O32" s="42">
        <f t="shared" si="3"/>
        <v>9696</v>
      </c>
      <c r="S32" s="481" t="s">
        <v>1566</v>
      </c>
    </row>
    <row r="33" spans="4:19" ht="15.75">
      <c r="D33" s="35" t="s">
        <v>280</v>
      </c>
      <c r="F33" s="36" cm="1">
        <f t="array" ref="F33">INDEX(PROSPECTOS[CEP],Resumo!$F$2)</f>
        <v>0</v>
      </c>
      <c r="S33" s="481" t="s">
        <v>1567</v>
      </c>
    </row>
    <row r="34" spans="4:19" ht="15.75">
      <c r="I34" s="35" t="s">
        <v>1568</v>
      </c>
      <c r="K34" s="479"/>
      <c r="L34" s="479"/>
      <c r="M34" s="479"/>
      <c r="N34" s="479"/>
      <c r="S34" s="481" t="s">
        <v>1569</v>
      </c>
    </row>
    <row r="35" spans="4:19" ht="15.75">
      <c r="D35" s="35" t="s">
        <v>1570</v>
      </c>
      <c r="F35" s="36" t="str">
        <f>LEFT(Simulação_Dados!$J$19,9)</f>
        <v/>
      </c>
      <c r="I35" s="35" t="s">
        <v>1571</v>
      </c>
      <c r="K35" s="480"/>
      <c r="L35" s="480"/>
      <c r="M35" s="480"/>
      <c r="N35" s="480"/>
      <c r="S35" s="481" t="str">
        <f>HYPERLINK("https://maps.google.com/?q="&amp;SUBSTITUTE(TRIM(Resumo!$E$14)," ","+"),"Mapa de Localização - Maps")</f>
        <v>Mapa de Localização - Maps</v>
      </c>
    </row>
    <row r="36" spans="4:19" ht="15.75">
      <c r="I36" s="35" t="s">
        <v>1572</v>
      </c>
      <c r="K36" s="443">
        <f>K30*K35</f>
        <v>0</v>
      </c>
      <c r="L36" s="42">
        <f>L30*L35</f>
        <v>0</v>
      </c>
      <c r="M36" s="42">
        <f>M30*M35</f>
        <v>0</v>
      </c>
      <c r="N36" s="42">
        <f>N30*N35</f>
        <v>0</v>
      </c>
      <c r="S36" s="481" t="str">
        <f>HYPERLINK("https://earth.google.com/web/search/"&amp;SUBSTITUTE(TRIM(Resumo!$E$14)," ","+"),"Mapa de Localização - Earth")</f>
        <v>Mapa de Localização - Earth</v>
      </c>
    </row>
    <row r="37" spans="4:19" ht="15.75">
      <c r="D37" s="35" t="s">
        <v>1573</v>
      </c>
      <c r="F37" s="36" t="str">
        <f>LEFT(Simulação_Dados!$J$20,9)</f>
        <v>Preencher</v>
      </c>
      <c r="I37" s="35" t="s">
        <v>1574</v>
      </c>
      <c r="K37" s="443">
        <f>K30+K34+K36</f>
        <v>808</v>
      </c>
      <c r="L37" s="42">
        <f>L30+L34+L36</f>
        <v>0</v>
      </c>
      <c r="M37" s="42">
        <f>M30+M34+M36</f>
        <v>0</v>
      </c>
      <c r="N37" s="42">
        <f>N30+N34+N36</f>
        <v>0</v>
      </c>
      <c r="O37" s="42">
        <f>SUM(K37:N37)</f>
        <v>808</v>
      </c>
      <c r="S37" s="481" t="s">
        <v>1575</v>
      </c>
    </row>
    <row r="38" spans="4:19"/>
    <row r="39" spans="4:19" ht="15.75">
      <c r="D39" s="35" t="s">
        <v>1576</v>
      </c>
      <c r="F39" s="487" t="s">
        <v>1577</v>
      </c>
    </row>
    <row r="40" spans="4:19"/>
    <row r="41" spans="4:19" s="603" customFormat="1" ht="14.45" customHeight="1"/>
  </sheetData>
  <sheetProtection selectLockedCells="1"/>
  <mergeCells count="2">
    <mergeCell ref="S27:U29"/>
    <mergeCell ref="Q3:U25"/>
  </mergeCells>
  <phoneticPr fontId="2" type="noConversion"/>
  <conditionalFormatting sqref="K7 F23">
    <cfRule type="containsBlanks" dxfId="74" priority="2">
      <formula>LEN(TRIM(F7))=0</formula>
    </cfRule>
  </conditionalFormatting>
  <dataValidations count="7">
    <dataValidation type="list" allowBlank="1" showInputMessage="1" showErrorMessage="1" sqref="K11:N11" xr:uid="{2C80EB15-B485-4629-A150-8790A5A35A61}">
      <formula1>"127/220V,220/380V"</formula1>
    </dataValidation>
    <dataValidation type="list" allowBlank="1" showInputMessage="1" showErrorMessage="1" sqref="K9:N9" xr:uid="{613CCDC5-07AA-4D86-9E44-68DF076B5057}">
      <formula1>"Monofásico,Bifásico,Trifásico"</formula1>
    </dataValidation>
    <dataValidation type="list" allowBlank="1" showInputMessage="1" showErrorMessage="1" sqref="L8:N8" xr:uid="{DD4D9C7F-135A-4A20-88AA-97AC6478F495}">
      <formula1>"B1 - Residencial"</formula1>
    </dataValidation>
    <dataValidation type="list" allowBlank="1" showInputMessage="1" showErrorMessage="1" sqref="K7" xr:uid="{C44CD8CA-2F76-4230-95D4-E425C5B1F0F6}">
      <formula1>"Light,Enel"</formula1>
    </dataValidation>
    <dataValidation type="list" allowBlank="1" showInputMessage="1" showErrorMessage="1" sqref="F6" xr:uid="{D39D9ABE-658F-4BEB-A57E-AE67C285F09F}">
      <formula1>"CPF,CNPJ"</formula1>
    </dataValidation>
    <dataValidation type="list" allowBlank="1" showInputMessage="1" showErrorMessage="1" sqref="K8" xr:uid="{A3FC2188-E98B-422C-9590-7C0A93D48338}">
      <formula1>"B1 - Residencial,B3 - Comercial"</formula1>
    </dataValidation>
    <dataValidation type="list" allowBlank="1" showInputMessage="1" showErrorMessage="1" sqref="F2" xr:uid="{58978855-B4B4-400E-AE8B-A986A1E7AE6D}">
      <formula1>EstudoProsp</formula1>
    </dataValidation>
  </dataValidations>
  <hyperlinks>
    <hyperlink ref="S32" location="PréDim!BJ1" display="Cronograma" xr:uid="{81C07D08-95A8-4DAA-ADAD-CB0AB98CBB92}"/>
    <hyperlink ref="S33" location="PréDim!A37" display="Consumo de equipamentos" xr:uid="{8FB85D59-DE24-4CB8-8699-0324F9F050DE}"/>
    <hyperlink ref="S34" r:id="rId1" xr:uid="{8D062860-0CEB-4867-97E4-650FD5B60B4A}"/>
    <hyperlink ref="S37" r:id="rId2" display="CREA (SITE)" xr:uid="{FF171877-3434-44E8-88ED-300F781451CF}"/>
  </hyperlinks>
  <pageMargins left="0.511811024" right="0.511811024" top="0.78740157499999996" bottom="0.78740157499999996" header="0.31496062000000002" footer="0.31496062000000002"/>
  <pageSetup paperSize="9" orientation="portrait" r:id="rId3"/>
  <drawing r:id="rId4"/>
  <legacy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BDE30-3BD0-49F0-8F48-444AB30FFCEC}">
  <sheetPr codeName="Planilha11"/>
  <dimension ref="A1:AC230"/>
  <sheetViews>
    <sheetView showGridLines="0" zoomScale="70" zoomScaleNormal="70" workbookViewId="0">
      <selection activeCell="J37" sqref="J37"/>
    </sheetView>
  </sheetViews>
  <sheetFormatPr defaultColWidth="0" defaultRowHeight="15" zeroHeight="1"/>
  <cols>
    <col min="1" max="2" width="8.85546875" customWidth="1"/>
    <col min="3" max="3" width="16.28515625" customWidth="1"/>
    <col min="4" max="5" width="8.85546875" customWidth="1"/>
    <col min="6" max="6" width="8.85546875" style="444" customWidth="1"/>
    <col min="7" max="10" width="8.7109375" style="444" customWidth="1"/>
    <col min="11" max="11" width="11.42578125" style="444" customWidth="1"/>
    <col min="12" max="15" width="8.7109375" style="444" customWidth="1"/>
    <col min="16" max="18" width="8.7109375" customWidth="1"/>
    <col min="19" max="19" width="11" customWidth="1"/>
    <col min="20" max="26" width="8.7109375" customWidth="1"/>
    <col min="27" max="28" width="8.85546875" customWidth="1"/>
    <col min="29" max="29" width="0" hidden="1" customWidth="1"/>
    <col min="30" max="16384" width="8.85546875" hidden="1"/>
  </cols>
  <sheetData>
    <row r="1" spans="1:27" ht="15.75" thickBot="1">
      <c r="A1" s="284" t="s">
        <v>1578</v>
      </c>
      <c r="B1" s="190"/>
      <c r="C1" s="190"/>
      <c r="F1"/>
      <c r="G1"/>
      <c r="H1"/>
      <c r="I1"/>
      <c r="J1"/>
      <c r="K1"/>
      <c r="L1"/>
      <c r="M1"/>
      <c r="R1" s="28" t="s">
        <v>1579</v>
      </c>
      <c r="U1" s="28" t="s">
        <v>1580</v>
      </c>
    </row>
    <row r="2" spans="1:27" ht="15.75" thickBot="1">
      <c r="B2" s="336" t="s">
        <v>96</v>
      </c>
      <c r="C2" s="336" t="s">
        <v>98</v>
      </c>
      <c r="D2" s="336" t="s">
        <v>99</v>
      </c>
      <c r="E2" s="336" t="s">
        <v>103</v>
      </c>
      <c r="F2" s="336" t="s">
        <v>106</v>
      </c>
      <c r="G2" s="336" t="s">
        <v>114</v>
      </c>
      <c r="H2" s="336" t="s">
        <v>119</v>
      </c>
      <c r="I2" s="336" t="s">
        <v>122</v>
      </c>
      <c r="J2" s="336" t="s">
        <v>123</v>
      </c>
      <c r="K2" s="336" t="s">
        <v>124</v>
      </c>
      <c r="L2" s="336" t="s">
        <v>125</v>
      </c>
      <c r="M2" s="336" t="s">
        <v>126</v>
      </c>
      <c r="O2"/>
      <c r="P2" s="782" t="s">
        <v>1581</v>
      </c>
      <c r="Q2" s="783"/>
      <c r="R2" s="783"/>
      <c r="S2" s="783"/>
      <c r="T2" s="783"/>
      <c r="U2" s="783"/>
      <c r="V2" s="783"/>
      <c r="W2" s="783"/>
      <c r="X2" s="783"/>
      <c r="Y2" s="783"/>
      <c r="Z2" s="783"/>
      <c r="AA2" s="784"/>
    </row>
    <row r="3" spans="1:27">
      <c r="A3" s="337" t="s">
        <v>1582</v>
      </c>
      <c r="B3" s="494"/>
      <c r="C3" s="494"/>
      <c r="D3" s="494"/>
      <c r="E3" s="494"/>
      <c r="F3" s="494"/>
      <c r="G3" s="494"/>
      <c r="H3" s="494"/>
      <c r="I3" s="494"/>
      <c r="J3" s="494"/>
      <c r="K3" s="494"/>
      <c r="L3" s="494"/>
      <c r="M3" s="494"/>
      <c r="O3"/>
      <c r="P3" s="624"/>
      <c r="Q3" s="613"/>
      <c r="R3" s="620" t="s">
        <v>1583</v>
      </c>
      <c r="S3" s="620" t="s">
        <v>1584</v>
      </c>
      <c r="T3" s="618" t="s">
        <v>1585</v>
      </c>
      <c r="U3" s="618" t="s">
        <v>1586</v>
      </c>
      <c r="V3" s="632" t="s">
        <v>1587</v>
      </c>
      <c r="W3" s="620"/>
      <c r="X3" s="613"/>
      <c r="Y3" s="620" t="s">
        <v>1583</v>
      </c>
      <c r="Z3" s="629" t="s">
        <v>1584</v>
      </c>
      <c r="AA3" s="614" t="s">
        <v>1585</v>
      </c>
    </row>
    <row r="4" spans="1:27">
      <c r="F4"/>
      <c r="G4"/>
      <c r="H4"/>
      <c r="I4"/>
      <c r="J4"/>
      <c r="K4"/>
      <c r="L4"/>
      <c r="M4"/>
      <c r="O4"/>
      <c r="P4" s="625" t="s">
        <v>1588</v>
      </c>
      <c r="R4" s="623" t="s">
        <v>1589</v>
      </c>
      <c r="S4" s="608" t="s">
        <v>1590</v>
      </c>
      <c r="T4" s="611"/>
      <c r="U4" s="611"/>
      <c r="V4" s="633">
        <f t="shared" ref="V4:V11" si="0">T4-U4</f>
        <v>0</v>
      </c>
      <c r="W4" s="623" t="s">
        <v>171</v>
      </c>
      <c r="Y4" s="623" t="s">
        <v>1591</v>
      </c>
      <c r="Z4" s="630" t="s">
        <v>1592</v>
      </c>
      <c r="AA4" s="612"/>
    </row>
    <row r="5" spans="1:27">
      <c r="C5" s="412" t="s">
        <v>1593</v>
      </c>
      <c r="F5"/>
      <c r="G5"/>
      <c r="H5"/>
      <c r="I5"/>
      <c r="J5"/>
      <c r="K5"/>
      <c r="L5"/>
      <c r="M5"/>
      <c r="O5"/>
      <c r="P5" s="625" t="s">
        <v>1588</v>
      </c>
      <c r="R5" s="623" t="s">
        <v>1594</v>
      </c>
      <c r="S5" s="608" t="s">
        <v>1590</v>
      </c>
      <c r="T5" s="611"/>
      <c r="U5" s="611"/>
      <c r="V5" s="633">
        <f t="shared" si="0"/>
        <v>0</v>
      </c>
      <c r="W5" s="623" t="s">
        <v>171</v>
      </c>
      <c r="Y5" s="623" t="s">
        <v>1591</v>
      </c>
      <c r="Z5" s="630" t="s">
        <v>1595</v>
      </c>
      <c r="AA5" s="612"/>
    </row>
    <row r="6" spans="1:27">
      <c r="C6" s="33" t="s">
        <v>1596</v>
      </c>
      <c r="E6" s="33" t="s">
        <v>1597</v>
      </c>
      <c r="F6"/>
      <c r="G6"/>
      <c r="H6"/>
      <c r="I6" t="s">
        <v>1598</v>
      </c>
      <c r="J6" s="780" t="s">
        <v>1599</v>
      </c>
      <c r="K6" s="781"/>
      <c r="L6"/>
      <c r="M6"/>
      <c r="O6"/>
      <c r="P6" s="625" t="s">
        <v>1588</v>
      </c>
      <c r="R6" s="623" t="s">
        <v>1600</v>
      </c>
      <c r="S6" s="608"/>
      <c r="T6" s="611"/>
      <c r="U6" s="611"/>
      <c r="V6" s="633">
        <f t="shared" si="0"/>
        <v>0</v>
      </c>
      <c r="W6" s="623" t="s">
        <v>171</v>
      </c>
      <c r="Y6" s="623" t="s">
        <v>1601</v>
      </c>
      <c r="Z6" s="630" t="s">
        <v>1592</v>
      </c>
      <c r="AA6" s="612"/>
    </row>
    <row r="7" spans="1:27" ht="15.75">
      <c r="F7"/>
      <c r="G7"/>
      <c r="H7"/>
      <c r="I7" t="s">
        <v>1602</v>
      </c>
      <c r="J7"/>
      <c r="K7" s="763"/>
      <c r="L7"/>
      <c r="M7"/>
      <c r="P7" s="625" t="s">
        <v>1588</v>
      </c>
      <c r="R7" s="623" t="s">
        <v>1603</v>
      </c>
      <c r="S7" s="608"/>
      <c r="T7" s="611"/>
      <c r="U7" s="611"/>
      <c r="V7" s="633">
        <f t="shared" si="0"/>
        <v>0</v>
      </c>
      <c r="W7" s="623" t="s">
        <v>171</v>
      </c>
      <c r="Y7" s="623" t="s">
        <v>1601</v>
      </c>
      <c r="Z7" s="630" t="s">
        <v>1595</v>
      </c>
      <c r="AA7" s="612"/>
    </row>
    <row r="8" spans="1:27" ht="15.75">
      <c r="A8" s="35" t="s">
        <v>1604</v>
      </c>
      <c r="C8" s="36" t="s">
        <v>321</v>
      </c>
      <c r="E8" s="36" t="s">
        <v>321</v>
      </c>
      <c r="F8"/>
      <c r="G8"/>
      <c r="H8"/>
      <c r="I8" t="s">
        <v>1605</v>
      </c>
      <c r="J8"/>
      <c r="K8" s="413">
        <f ca="1">C13*31+C14*28+C15*31+C16*30+C17*31+C18*30+C19*31+C20*31+C21*30+C22*31+C23*30+C24*31</f>
        <v>1789.6</v>
      </c>
      <c r="L8"/>
      <c r="M8"/>
      <c r="P8" s="625" t="s">
        <v>1588</v>
      </c>
      <c r="R8" s="623" t="s">
        <v>1606</v>
      </c>
      <c r="S8" s="608"/>
      <c r="T8" s="611"/>
      <c r="U8" s="611"/>
      <c r="V8" s="633">
        <f t="shared" si="0"/>
        <v>0</v>
      </c>
      <c r="W8" s="623" t="s">
        <v>171</v>
      </c>
      <c r="Y8" s="623" t="s">
        <v>1607</v>
      </c>
      <c r="Z8" s="630" t="s">
        <v>1608</v>
      </c>
      <c r="AA8" s="612"/>
    </row>
    <row r="9" spans="1:27" ht="15.75">
      <c r="A9" s="35" t="s">
        <v>1609</v>
      </c>
      <c r="C9" s="39">
        <v>4.2</v>
      </c>
      <c r="F9"/>
      <c r="G9"/>
      <c r="H9"/>
      <c r="I9" t="s">
        <v>1610</v>
      </c>
      <c r="J9"/>
      <c r="K9" s="414">
        <f ca="1">K7/K8-1</f>
        <v>-1</v>
      </c>
      <c r="L9"/>
      <c r="M9"/>
      <c r="P9" s="625" t="s">
        <v>1588</v>
      </c>
      <c r="R9" s="623" t="s">
        <v>1611</v>
      </c>
      <c r="S9" s="608"/>
      <c r="T9" s="611"/>
      <c r="U9" s="611"/>
      <c r="V9" s="633">
        <f t="shared" si="0"/>
        <v>0</v>
      </c>
      <c r="W9" s="623" t="s">
        <v>171</v>
      </c>
      <c r="Y9" s="623" t="s">
        <v>1612</v>
      </c>
      <c r="Z9" s="617"/>
      <c r="AA9" s="612"/>
    </row>
    <row r="10" spans="1:27">
      <c r="F10"/>
      <c r="G10"/>
      <c r="H10"/>
      <c r="I10"/>
      <c r="J10"/>
      <c r="K10"/>
      <c r="L10"/>
      <c r="M10"/>
      <c r="P10" s="625" t="s">
        <v>1588</v>
      </c>
      <c r="R10" s="623" t="s">
        <v>1613</v>
      </c>
      <c r="S10" s="608"/>
      <c r="T10" s="611"/>
      <c r="U10" s="611"/>
      <c r="V10" s="633">
        <f t="shared" si="0"/>
        <v>0</v>
      </c>
      <c r="W10" s="623" t="s">
        <v>171</v>
      </c>
      <c r="Y10" s="623" t="s">
        <v>1614</v>
      </c>
      <c r="Z10" s="617"/>
      <c r="AA10" s="612"/>
    </row>
    <row r="11" spans="1:27" ht="15.75">
      <c r="A11" s="35" t="s">
        <v>1615</v>
      </c>
      <c r="C11" s="36" t="s">
        <v>1616</v>
      </c>
      <c r="F11"/>
      <c r="G11"/>
      <c r="H11"/>
      <c r="J11" s="28" t="s">
        <v>1617</v>
      </c>
      <c r="K11" t="s">
        <v>1618</v>
      </c>
      <c r="L11"/>
      <c r="M11"/>
      <c r="P11" s="625" t="s">
        <v>1588</v>
      </c>
      <c r="R11" s="623" t="s">
        <v>1619</v>
      </c>
      <c r="S11" s="608"/>
      <c r="T11" s="611"/>
      <c r="U11" s="611"/>
      <c r="V11" s="633">
        <f t="shared" si="0"/>
        <v>0</v>
      </c>
      <c r="W11" s="623" t="s">
        <v>171</v>
      </c>
      <c r="Y11" s="623" t="s">
        <v>1620</v>
      </c>
      <c r="Z11" s="617"/>
      <c r="AA11" s="612"/>
    </row>
    <row r="12" spans="1:27" ht="15.75">
      <c r="A12" s="35" t="s">
        <v>94</v>
      </c>
      <c r="C12" s="251">
        <v>0</v>
      </c>
      <c r="F12"/>
      <c r="G12"/>
      <c r="H12"/>
      <c r="I12" s="28" t="s">
        <v>1599</v>
      </c>
      <c r="J12" s="609">
        <v>0.03</v>
      </c>
      <c r="K12" s="413" t="s">
        <v>1621</v>
      </c>
      <c r="L12"/>
      <c r="M12"/>
      <c r="P12" s="626"/>
      <c r="R12" s="608"/>
      <c r="S12" s="608"/>
      <c r="T12" s="608"/>
      <c r="U12" s="608"/>
      <c r="V12" s="634"/>
      <c r="W12" s="623"/>
      <c r="Y12" s="623" t="s">
        <v>1622</v>
      </c>
      <c r="Z12" s="617"/>
      <c r="AA12" s="612"/>
    </row>
    <row r="13" spans="1:27" ht="15.75">
      <c r="A13" s="35" t="s">
        <v>96</v>
      </c>
      <c r="C13" s="41">
        <f ca="1">IF($B$3="",PréDim!R4,$B$3)</f>
        <v>5.58</v>
      </c>
      <c r="E13" s="125" cm="1">
        <f t="array" aca="1" ref="E13" ca="1">OFFSET('Temperatura Máxima (ºC)'!$C$1,MATCH(Simulação_Dados!$E$8&amp;Início!$F$23,INDEX('Temperatura Máxima (ºC)'!$B:$B&amp;'Temperatura Máxima (ºC)'!$C:$C,),0)-1,ROW(Início!A2))</f>
        <v>32.200000000000003</v>
      </c>
      <c r="F13"/>
      <c r="G13"/>
      <c r="H13"/>
      <c r="I13" s="28" t="s">
        <v>314</v>
      </c>
      <c r="J13" s="609">
        <v>0.05</v>
      </c>
      <c r="K13" s="413" t="s">
        <v>1623</v>
      </c>
      <c r="L13"/>
      <c r="M13"/>
      <c r="P13" s="625" t="s">
        <v>171</v>
      </c>
      <c r="R13" s="623" t="s">
        <v>1624</v>
      </c>
      <c r="S13" s="608"/>
      <c r="T13" s="608"/>
      <c r="U13" s="608"/>
      <c r="V13" s="634"/>
      <c r="W13" s="623" t="s">
        <v>171</v>
      </c>
      <c r="Y13" s="623" t="s">
        <v>1625</v>
      </c>
      <c r="Z13" s="617" t="s">
        <v>1626</v>
      </c>
      <c r="AA13" s="612"/>
    </row>
    <row r="14" spans="1:27" ht="15.75">
      <c r="A14" s="35" t="s">
        <v>98</v>
      </c>
      <c r="C14" s="41">
        <f ca="1">IF($C$3="",PréDim!R5,$C$3)</f>
        <v>6.02</v>
      </c>
      <c r="E14" s="125">
        <f ca="1">OFFSET('Temperatura Máxima (ºC)'!$C$1,MATCH(Simulação_Dados!$E$8&amp;Início!$F$23,INDEX('Temperatura Máxima (ºC)'!$B:$B&amp;'Temperatura Máxima (ºC)'!$C:$C,),0)-1,ROW(Início!A3))</f>
        <v>31.2</v>
      </c>
      <c r="F14"/>
      <c r="G14"/>
      <c r="H14"/>
      <c r="I14" s="28" t="s">
        <v>1627</v>
      </c>
      <c r="J14" s="609">
        <v>7.0000000000000007E-2</v>
      </c>
      <c r="K14" s="413" t="s">
        <v>1628</v>
      </c>
      <c r="L14"/>
      <c r="M14"/>
      <c r="P14" s="625" t="s">
        <v>171</v>
      </c>
      <c r="R14" s="623" t="s">
        <v>1629</v>
      </c>
      <c r="S14" s="608" t="s">
        <v>1630</v>
      </c>
      <c r="T14" s="608"/>
      <c r="U14" s="608"/>
      <c r="V14" s="634"/>
      <c r="W14" s="623" t="s">
        <v>171</v>
      </c>
      <c r="Y14" s="623" t="s">
        <v>1631</v>
      </c>
      <c r="Z14" s="617" t="s">
        <v>1632</v>
      </c>
      <c r="AA14" s="612"/>
    </row>
    <row r="15" spans="1:27" ht="15.75">
      <c r="A15" s="35" t="s">
        <v>99</v>
      </c>
      <c r="C15" s="41">
        <f ca="1">IF($D$3="",PréDim!R6,$D$3)</f>
        <v>5.24</v>
      </c>
      <c r="E15" s="125">
        <f ca="1">OFFSET('Temperatura Máxima (ºC)'!$C$1,MATCH(Simulação_Dados!$E$8&amp;Início!$F$23,INDEX('Temperatura Máxima (ºC)'!$B:$B&amp;'Temperatura Máxima (ºC)'!$C:$C,),0)-1,ROW(Início!A4))</f>
        <v>30</v>
      </c>
      <c r="F15"/>
      <c r="G15"/>
      <c r="H15"/>
      <c r="I15" s="28" t="s">
        <v>1633</v>
      </c>
      <c r="J15" s="609">
        <v>0</v>
      </c>
      <c r="K15" s="610" t="s">
        <v>1634</v>
      </c>
      <c r="L15"/>
      <c r="M15"/>
      <c r="P15" s="625" t="s">
        <v>171</v>
      </c>
      <c r="R15" s="623" t="s">
        <v>1635</v>
      </c>
      <c r="S15" s="608" t="s">
        <v>1590</v>
      </c>
      <c r="T15" s="608"/>
      <c r="U15" s="608"/>
      <c r="V15" s="634"/>
      <c r="W15" s="623" t="s">
        <v>171</v>
      </c>
      <c r="Y15" s="623" t="s">
        <v>1631</v>
      </c>
      <c r="Z15" s="617" t="s">
        <v>1636</v>
      </c>
      <c r="AA15" s="612"/>
    </row>
    <row r="16" spans="1:27" ht="15.75">
      <c r="A16" s="35" t="s">
        <v>103</v>
      </c>
      <c r="C16" s="41">
        <f ca="1">IF($E$3="",PréDim!R7,$E$3)</f>
        <v>4.92</v>
      </c>
      <c r="E16" s="125">
        <f ca="1">OFFSET('Temperatura Máxima (ºC)'!$C$1,MATCH(Simulação_Dados!$E$8&amp;Início!$F$23,INDEX('Temperatura Máxima (ºC)'!$B:$B&amp;'Temperatura Máxima (ºC)'!$C:$C,),0)-1,ROW(Início!A5))</f>
        <v>27.8</v>
      </c>
      <c r="F16"/>
      <c r="G16"/>
      <c r="H16"/>
      <c r="I16" t="s">
        <v>164</v>
      </c>
      <c r="J16" s="12">
        <f ca="1">VLOOKUP($J$6,$I$12:$J$15,2,TRUE)+$J$15+ABS($K$9)</f>
        <v>1.03</v>
      </c>
      <c r="K16"/>
      <c r="L16"/>
      <c r="M16"/>
      <c r="P16" s="625" t="s">
        <v>171</v>
      </c>
      <c r="R16" s="623" t="s">
        <v>1629</v>
      </c>
      <c r="S16" s="608" t="s">
        <v>1637</v>
      </c>
      <c r="T16" s="608"/>
      <c r="U16" s="608"/>
      <c r="V16" s="634"/>
      <c r="W16" s="623" t="s">
        <v>171</v>
      </c>
      <c r="Y16" s="623" t="s">
        <v>1638</v>
      </c>
      <c r="Z16" s="617" t="s">
        <v>1639</v>
      </c>
      <c r="AA16" s="612"/>
    </row>
    <row r="17" spans="1:27" ht="15.75">
      <c r="A17" s="35" t="s">
        <v>106</v>
      </c>
      <c r="C17" s="41">
        <f ca="1">IF($F$3="",PréDim!R8,$F$3)</f>
        <v>4.32</v>
      </c>
      <c r="E17" s="125">
        <f ca="1">OFFSET('Temperatura Máxima (ºC)'!$C$1,MATCH(Simulação_Dados!$E$8&amp;Início!$F$23,INDEX('Temperatura Máxima (ºC)'!$B:$B&amp;'Temperatura Máxima (ºC)'!$C:$C,),0)-1,ROW(Início!A6))</f>
        <v>26.7</v>
      </c>
      <c r="F17"/>
      <c r="G17"/>
      <c r="H17"/>
      <c r="L17"/>
      <c r="M17"/>
      <c r="P17" s="625" t="s">
        <v>171</v>
      </c>
      <c r="R17" s="623" t="s">
        <v>1635</v>
      </c>
      <c r="S17" s="608" t="s">
        <v>1637</v>
      </c>
      <c r="T17" s="608"/>
      <c r="U17" s="608"/>
      <c r="V17" s="634"/>
      <c r="W17" s="623" t="s">
        <v>171</v>
      </c>
      <c r="Y17" s="623" t="s">
        <v>1640</v>
      </c>
      <c r="Z17" s="617"/>
      <c r="AA17" s="612"/>
    </row>
    <row r="18" spans="1:27" ht="16.5" thickBot="1">
      <c r="A18" s="35" t="s">
        <v>114</v>
      </c>
      <c r="C18" s="41">
        <f ca="1">IF($G$3="",PréDim!R9,$G$3)</f>
        <v>4.18</v>
      </c>
      <c r="E18" s="125">
        <f ca="1">OFFSET('Temperatura Máxima (ºC)'!$C$1,MATCH(Simulação_Dados!$E$8&amp;Início!$F$23,INDEX('Temperatura Máxima (ºC)'!$B:$B&amp;'Temperatura Máxima (ºC)'!$C:$C,),0)-1,ROW(Início!A7))</f>
        <v>26.4</v>
      </c>
      <c r="F18"/>
      <c r="G18"/>
      <c r="H18"/>
      <c r="K18"/>
      <c r="L18"/>
      <c r="M18"/>
      <c r="P18" s="625" t="s">
        <v>171</v>
      </c>
      <c r="R18" s="623" t="s">
        <v>1641</v>
      </c>
      <c r="S18" s="621" t="s">
        <v>1592</v>
      </c>
      <c r="T18" s="608"/>
      <c r="U18" s="608"/>
      <c r="V18" s="634"/>
      <c r="W18" s="623" t="s">
        <v>171</v>
      </c>
      <c r="Y18" s="623" t="s">
        <v>1642</v>
      </c>
      <c r="Z18" s="617" t="s">
        <v>1643</v>
      </c>
      <c r="AA18" s="612"/>
    </row>
    <row r="19" spans="1:27" ht="15.75">
      <c r="A19" s="35" t="s">
        <v>119</v>
      </c>
      <c r="C19" s="41">
        <f ca="1">IF($H$3="",PréDim!R10,$H$3)</f>
        <v>4.08</v>
      </c>
      <c r="E19" s="125">
        <f ca="1">OFFSET('Temperatura Máxima (ºC)'!$C$1,MATCH(Simulação_Dados!$E$8&amp;Início!$F$23,INDEX('Temperatura Máxima (ºC)'!$B:$B&amp;'Temperatura Máxima (ºC)'!$C:$C,),0)-1,ROW(Início!A8))</f>
        <v>27</v>
      </c>
      <c r="F19"/>
      <c r="G19"/>
      <c r="H19"/>
      <c r="I19" s="636" t="s">
        <v>1570</v>
      </c>
      <c r="J19" s="759" t="str">
        <f>LEFT(J21,10)</f>
        <v/>
      </c>
      <c r="K19" s="760"/>
      <c r="L19"/>
      <c r="M19"/>
      <c r="P19" s="625" t="s">
        <v>171</v>
      </c>
      <c r="R19" s="623" t="s">
        <v>1644</v>
      </c>
      <c r="S19" s="621" t="s">
        <v>1595</v>
      </c>
      <c r="T19" s="608"/>
      <c r="U19" s="608"/>
      <c r="V19" s="634"/>
      <c r="W19" s="623" t="s">
        <v>171</v>
      </c>
      <c r="Y19" s="623" t="s">
        <v>1645</v>
      </c>
      <c r="Z19" s="617"/>
      <c r="AA19" s="612"/>
    </row>
    <row r="20" spans="1:27" ht="15.75">
      <c r="A20" s="35" t="s">
        <v>122</v>
      </c>
      <c r="C20" s="41">
        <f ca="1">IF($I$3="",PréDim!R11,$I$3)</f>
        <v>4.8099999999999996</v>
      </c>
      <c r="E20" s="125">
        <f ca="1">OFFSET('Temperatura Máxima (ºC)'!$C$1,MATCH(Simulação_Dados!$E$8&amp;Início!$F$23,INDEX('Temperatura Máxima (ºC)'!$B:$B&amp;'Temperatura Máxima (ºC)'!$C:$C,),0)-1,ROW(Início!A9))</f>
        <v>26.7</v>
      </c>
      <c r="F20"/>
      <c r="G20"/>
      <c r="H20"/>
      <c r="I20" s="637" t="s">
        <v>1573</v>
      </c>
      <c r="J20" s="761" t="str">
        <f>IFERROR(MID(J21,SEARCH(",",J21)+2,10),"Preencher abaixo!")</f>
        <v>Preencher abaixo!</v>
      </c>
      <c r="K20" s="762"/>
      <c r="L20"/>
      <c r="M20"/>
      <c r="P20" s="625" t="s">
        <v>171</v>
      </c>
      <c r="R20" s="623" t="s">
        <v>1646</v>
      </c>
      <c r="S20" s="621" t="s">
        <v>1592</v>
      </c>
      <c r="T20" s="608"/>
      <c r="U20" s="608"/>
      <c r="V20" s="634"/>
      <c r="W20" s="623" t="s">
        <v>171</v>
      </c>
      <c r="Y20" s="623" t="s">
        <v>1647</v>
      </c>
      <c r="Z20" s="617"/>
      <c r="AA20" s="612"/>
    </row>
    <row r="21" spans="1:27" ht="16.5" thickBot="1">
      <c r="A21" s="35" t="s">
        <v>123</v>
      </c>
      <c r="C21" s="41">
        <f ca="1">IF($J$3="",PréDim!R12,$J$3)</f>
        <v>4.62</v>
      </c>
      <c r="E21" s="125">
        <f ca="1">OFFSET('Temperatura Máxima (ºC)'!$C$1,MATCH(Simulação_Dados!$E$8&amp;Início!$F$23,INDEX('Temperatura Máxima (ºC)'!$B:$B&amp;'Temperatura Máxima (ºC)'!$C:$C,),0)-1,ROW(Início!A10))</f>
        <v>28.2</v>
      </c>
      <c r="F21"/>
      <c r="G21"/>
      <c r="H21"/>
      <c r="I21" s="638" t="s">
        <v>1648</v>
      </c>
      <c r="J21" s="785"/>
      <c r="K21" s="786"/>
      <c r="P21" s="625" t="s">
        <v>171</v>
      </c>
      <c r="R21" s="623" t="s">
        <v>1649</v>
      </c>
      <c r="S21" s="621" t="s">
        <v>1595</v>
      </c>
      <c r="T21" s="608"/>
      <c r="U21" s="608"/>
      <c r="V21" s="634"/>
      <c r="W21" s="623" t="s">
        <v>171</v>
      </c>
      <c r="Y21" s="623" t="s">
        <v>1650</v>
      </c>
      <c r="Z21" s="617"/>
      <c r="AA21" s="612"/>
    </row>
    <row r="22" spans="1:27" ht="15.75">
      <c r="A22" s="35" t="s">
        <v>124</v>
      </c>
      <c r="C22" s="41">
        <f ca="1">IF($K$3="",PréDim!R13,$K$3)</f>
        <v>4.95</v>
      </c>
      <c r="E22" s="125">
        <f ca="1">OFFSET('Temperatura Máxima (ºC)'!$C$1,MATCH(Simulação_Dados!$E$8&amp;Início!$F$23,INDEX('Temperatura Máxima (ºC)'!$B:$B&amp;'Temperatura Máxima (ºC)'!$C:$C,),0)-1,ROW(Início!A11))</f>
        <v>29.4</v>
      </c>
      <c r="F22"/>
      <c r="G22"/>
      <c r="H22"/>
      <c r="I22" s="346" t="str">
        <f>HYPERLINK("https://maps.google.com/?q="&amp;SUBSTITUTE(TRIM(Resumo!$E$14)," ","+"),"Mapa de Localização - Maps")</f>
        <v>Mapa de Localização - Maps</v>
      </c>
      <c r="J22"/>
      <c r="K22"/>
      <c r="P22" s="625" t="s">
        <v>171</v>
      </c>
      <c r="R22" s="623" t="s">
        <v>1651</v>
      </c>
      <c r="S22" s="622" t="s">
        <v>1592</v>
      </c>
      <c r="T22" s="608"/>
      <c r="U22" s="608"/>
      <c r="V22" s="634"/>
      <c r="W22" s="623" t="s">
        <v>171</v>
      </c>
      <c r="Y22" s="623" t="s">
        <v>1652</v>
      </c>
      <c r="Z22" s="617"/>
      <c r="AA22" s="612"/>
    </row>
    <row r="23" spans="1:27" ht="15.75">
      <c r="A23" s="35" t="s">
        <v>125</v>
      </c>
      <c r="C23" s="41">
        <f ca="1">IF($L$3="",PréDim!R14,$L$3)</f>
        <v>4.83</v>
      </c>
      <c r="E23" s="125">
        <f ca="1">OFFSET('Temperatura Máxima (ºC)'!$C$1,MATCH(Simulação_Dados!$E$8&amp;Início!$F$23,INDEX('Temperatura Máxima (ºC)'!$B:$B&amp;'Temperatura Máxima (ºC)'!$C:$C,),0)-1,ROW(Início!A12))</f>
        <v>30.3</v>
      </c>
      <c r="F23"/>
      <c r="G23"/>
      <c r="H23"/>
      <c r="I23"/>
      <c r="J23"/>
      <c r="K23"/>
      <c r="P23" s="625" t="s">
        <v>171</v>
      </c>
      <c r="R23" s="623" t="s">
        <v>1653</v>
      </c>
      <c r="S23" s="608"/>
      <c r="T23" s="608"/>
      <c r="U23" s="608"/>
      <c r="V23" s="634"/>
      <c r="W23" s="608"/>
      <c r="Y23" s="623" t="s">
        <v>1654</v>
      </c>
      <c r="Z23" s="617" t="s">
        <v>1655</v>
      </c>
      <c r="AA23" s="612"/>
    </row>
    <row r="24" spans="1:27" ht="15.75">
      <c r="A24" s="35" t="s">
        <v>126</v>
      </c>
      <c r="C24" s="41">
        <f ca="1">IF($M$3="",PréDim!R15,$M$3)</f>
        <v>5.36</v>
      </c>
      <c r="E24" s="125">
        <f ca="1">OFFSET('Temperatura Máxima (ºC)'!$C$1,MATCH(Simulação_Dados!$E$8&amp;Início!$F$23,INDEX('Temperatura Máxima (ºC)'!$B:$B&amp;'Temperatura Máxima (ºC)'!$C:$C,),0)-1,ROW(Início!A13))</f>
        <v>29</v>
      </c>
      <c r="F24"/>
      <c r="G24"/>
      <c r="H24"/>
      <c r="I24"/>
      <c r="J24"/>
      <c r="K24"/>
      <c r="P24" s="625" t="s">
        <v>171</v>
      </c>
      <c r="R24" s="623" t="s">
        <v>1656</v>
      </c>
      <c r="S24" s="621" t="s">
        <v>1592</v>
      </c>
      <c r="T24" s="608"/>
      <c r="U24" s="608"/>
      <c r="V24" s="634"/>
      <c r="W24" s="608"/>
      <c r="Y24" s="623" t="s">
        <v>1657</v>
      </c>
      <c r="Z24" s="617" t="s">
        <v>1658</v>
      </c>
      <c r="AA24" s="612"/>
    </row>
    <row r="25" spans="1:27" ht="15.75">
      <c r="A25" s="35" t="s">
        <v>138</v>
      </c>
      <c r="C25" s="40">
        <f ca="1">AVERAGE(C13:C24)</f>
        <v>4.9091666666666667</v>
      </c>
      <c r="E25" s="40">
        <f ca="1">AVERAGE(E13:E24)</f>
        <v>28.741666666666664</v>
      </c>
      <c r="F25"/>
      <c r="G25"/>
      <c r="H25"/>
      <c r="K25"/>
      <c r="P25" s="625" t="s">
        <v>171</v>
      </c>
      <c r="R25" s="623" t="s">
        <v>1656</v>
      </c>
      <c r="S25" s="621" t="s">
        <v>1595</v>
      </c>
      <c r="T25" s="608"/>
      <c r="U25" s="608"/>
      <c r="V25" s="634"/>
      <c r="W25" s="608"/>
      <c r="Y25" s="608"/>
      <c r="Z25" s="617"/>
      <c r="AA25" s="612"/>
    </row>
    <row r="26" spans="1:27" ht="15.75">
      <c r="A26" s="35" t="s">
        <v>1659</v>
      </c>
      <c r="C26" s="41">
        <f ca="1">MAX(C13:C24)-MIN(C13:C24)</f>
        <v>1.9399999999999995</v>
      </c>
      <c r="E26" s="40"/>
      <c r="F26"/>
      <c r="G26"/>
      <c r="H26"/>
      <c r="K26"/>
      <c r="P26" s="625" t="s">
        <v>171</v>
      </c>
      <c r="R26" s="623" t="s">
        <v>1660</v>
      </c>
      <c r="S26" s="621" t="s">
        <v>1592</v>
      </c>
      <c r="T26" s="608"/>
      <c r="U26" s="608"/>
      <c r="V26" s="634"/>
      <c r="W26" s="608"/>
      <c r="Y26" s="608"/>
      <c r="Z26" s="617"/>
      <c r="AA26" s="612"/>
    </row>
    <row r="27" spans="1:27" ht="15.75">
      <c r="A27" s="35" t="s">
        <v>1563</v>
      </c>
      <c r="C27" s="40">
        <f ca="1">MIN(C13:C24)</f>
        <v>4.08</v>
      </c>
      <c r="E27" s="40">
        <f>INDEX('Temperatura Mínima (ºC)'!$E:$E,MATCH(Simulação_Dados!$E$8&amp;Início!$F$23,INDEX('Temperatura Mínima (ºC)'!$B:$B&amp;'Temperatura Mínima (ºC)'!$C:$C,),0))</f>
        <v>11.1</v>
      </c>
      <c r="F27"/>
      <c r="G27"/>
      <c r="H27"/>
      <c r="L27"/>
      <c r="P27" s="625" t="s">
        <v>171</v>
      </c>
      <c r="R27" s="623" t="s">
        <v>1660</v>
      </c>
      <c r="S27" s="621" t="s">
        <v>1595</v>
      </c>
      <c r="T27" s="608"/>
      <c r="U27" s="608"/>
      <c r="V27" s="634"/>
      <c r="W27" s="608"/>
      <c r="Y27" s="608"/>
      <c r="Z27" s="617"/>
      <c r="AA27" s="612"/>
    </row>
    <row r="28" spans="1:27" ht="15.75">
      <c r="A28" s="35" t="s">
        <v>1661</v>
      </c>
      <c r="C28" s="40">
        <f ca="1">MAX(C13:C24)</f>
        <v>6.02</v>
      </c>
      <c r="E28" s="40">
        <f ca="1">MAX(E13:E24)</f>
        <v>32.200000000000003</v>
      </c>
      <c r="F28"/>
      <c r="G28"/>
      <c r="H28"/>
      <c r="I28"/>
      <c r="J28"/>
      <c r="K28"/>
      <c r="L28"/>
      <c r="P28" s="627"/>
      <c r="R28" s="608"/>
      <c r="S28" s="608"/>
      <c r="T28" s="608"/>
      <c r="U28" s="608"/>
      <c r="V28" s="634"/>
      <c r="W28" s="608"/>
      <c r="Y28" s="608"/>
      <c r="Z28" s="617"/>
      <c r="AA28" s="612"/>
    </row>
    <row r="29" spans="1:27">
      <c r="P29" s="627"/>
      <c r="R29" s="608"/>
      <c r="S29" s="608"/>
      <c r="T29" s="608"/>
      <c r="U29" s="608"/>
      <c r="V29" s="634"/>
      <c r="W29" s="608"/>
      <c r="Y29" s="608"/>
      <c r="Z29" s="617"/>
      <c r="AA29" s="612"/>
    </row>
    <row r="30" spans="1:27" ht="15.75" thickBot="1">
      <c r="P30" s="628"/>
      <c r="Q30" s="615"/>
      <c r="R30" s="619"/>
      <c r="S30" s="619"/>
      <c r="T30" s="619"/>
      <c r="U30" s="619"/>
      <c r="V30" s="635"/>
      <c r="W30" s="619"/>
      <c r="X30" s="615"/>
      <c r="Y30" s="619"/>
      <c r="Z30" s="631"/>
      <c r="AA30" s="616"/>
    </row>
    <row r="31" spans="1:27">
      <c r="C31" t="s">
        <v>1662</v>
      </c>
    </row>
    <row r="32" spans="1:27">
      <c r="F32" s="444" t="s">
        <v>1663</v>
      </c>
      <c r="G32" s="444" t="s">
        <v>1664</v>
      </c>
      <c r="H32" s="444" t="s">
        <v>1665</v>
      </c>
      <c r="I32" s="444" t="s">
        <v>1666</v>
      </c>
      <c r="J32" s="444" t="s">
        <v>1667</v>
      </c>
      <c r="K32" s="444" t="s">
        <v>1668</v>
      </c>
      <c r="L32" s="444" t="s">
        <v>1669</v>
      </c>
      <c r="M32" s="444" t="s">
        <v>1670</v>
      </c>
      <c r="N32" s="444" t="s">
        <v>1671</v>
      </c>
      <c r="O32" s="444" t="s">
        <v>1672</v>
      </c>
      <c r="P32" s="444" t="s">
        <v>1673</v>
      </c>
      <c r="Q32" s="444" t="s">
        <v>1674</v>
      </c>
      <c r="R32" s="444" t="s">
        <v>1675</v>
      </c>
      <c r="S32" s="444" t="s">
        <v>1676</v>
      </c>
      <c r="T32" s="444" t="s">
        <v>1677</v>
      </c>
      <c r="U32" s="444" t="s">
        <v>1678</v>
      </c>
      <c r="V32" s="444" t="s">
        <v>1679</v>
      </c>
      <c r="W32" s="444" t="s">
        <v>1680</v>
      </c>
      <c r="X32" s="444" t="s">
        <v>1681</v>
      </c>
      <c r="Y32" s="444" t="s">
        <v>1682</v>
      </c>
      <c r="Z32" s="444" t="s">
        <v>1683</v>
      </c>
      <c r="AA32" s="444"/>
    </row>
    <row r="33" spans="1:27" s="444" customFormat="1">
      <c r="A33" s="350"/>
      <c r="B33" t="s">
        <v>1684</v>
      </c>
      <c r="C33" s="352">
        <f>LEFT(E33,SEARCH("-",SUBSTITUTE(E33,"*","-"))-1)*LEFT(RIGHT(E33,4),3)/1000</f>
        <v>4.68</v>
      </c>
      <c r="D33" t="s">
        <v>235</v>
      </c>
      <c r="E33" s="493" t="s">
        <v>5410</v>
      </c>
      <c r="F33" s="489"/>
    </row>
    <row r="34" spans="1:27">
      <c r="A34" s="33"/>
      <c r="B34" t="s">
        <v>1685</v>
      </c>
      <c r="C34" s="401">
        <f>E48/C33</f>
        <v>0</v>
      </c>
      <c r="E34" t="s">
        <v>164</v>
      </c>
      <c r="Z34" s="444"/>
      <c r="AA34" s="444"/>
    </row>
    <row r="35" spans="1:27">
      <c r="A35" s="351"/>
      <c r="B35" t="s">
        <v>1686</v>
      </c>
      <c r="C35" s="23">
        <f ca="1">E48/30/Simulação_Dados!$C$25/C33</f>
        <v>0</v>
      </c>
      <c r="E35">
        <f t="shared" ref="E35:E46" si="1">SUM(G35:Z35)</f>
        <v>0</v>
      </c>
      <c r="Z35" s="444"/>
      <c r="AA35" s="444"/>
    </row>
    <row r="36" spans="1:27">
      <c r="E36">
        <f t="shared" si="1"/>
        <v>0</v>
      </c>
      <c r="Z36" s="444"/>
      <c r="AA36" s="444"/>
    </row>
    <row r="37" spans="1:27">
      <c r="E37">
        <f t="shared" si="1"/>
        <v>0</v>
      </c>
      <c r="Z37" s="444"/>
      <c r="AA37" s="444"/>
    </row>
    <row r="38" spans="1:27">
      <c r="E38">
        <f t="shared" si="1"/>
        <v>0</v>
      </c>
      <c r="Z38" s="444"/>
      <c r="AA38" s="444"/>
    </row>
    <row r="39" spans="1:27">
      <c r="E39">
        <f t="shared" si="1"/>
        <v>0</v>
      </c>
      <c r="Z39" s="444"/>
      <c r="AA39" s="444"/>
    </row>
    <row r="40" spans="1:27">
      <c r="E40">
        <f t="shared" si="1"/>
        <v>0</v>
      </c>
      <c r="Z40" s="444"/>
      <c r="AA40" s="444"/>
    </row>
    <row r="41" spans="1:27">
      <c r="E41">
        <f t="shared" si="1"/>
        <v>0</v>
      </c>
      <c r="Z41" s="444"/>
      <c r="AA41" s="444"/>
    </row>
    <row r="42" spans="1:27">
      <c r="E42">
        <f t="shared" si="1"/>
        <v>0</v>
      </c>
      <c r="Z42" s="444"/>
      <c r="AA42" s="444"/>
    </row>
    <row r="43" spans="1:27">
      <c r="E43">
        <f t="shared" si="1"/>
        <v>0</v>
      </c>
      <c r="Z43" s="444"/>
      <c r="AA43" s="444"/>
    </row>
    <row r="44" spans="1:27">
      <c r="E44">
        <f t="shared" si="1"/>
        <v>0</v>
      </c>
      <c r="Z44" s="444"/>
      <c r="AA44" s="444"/>
    </row>
    <row r="45" spans="1:27">
      <c r="E45">
        <f t="shared" si="1"/>
        <v>0</v>
      </c>
      <c r="Z45" s="444"/>
      <c r="AA45" s="444"/>
    </row>
    <row r="46" spans="1:27">
      <c r="E46">
        <f t="shared" si="1"/>
        <v>0</v>
      </c>
      <c r="Z46" s="444"/>
      <c r="AA46" s="444"/>
    </row>
    <row r="47" spans="1:27">
      <c r="D47" s="28" t="s">
        <v>164</v>
      </c>
      <c r="E47">
        <f>SUM(E35:E46)</f>
        <v>0</v>
      </c>
    </row>
    <row r="48" spans="1:27">
      <c r="C48">
        <f>E48*0.993</f>
        <v>0</v>
      </c>
      <c r="D48" s="28" t="s">
        <v>138</v>
      </c>
      <c r="E48" s="74">
        <f>AVERAGE(E35:E46)</f>
        <v>0</v>
      </c>
    </row>
    <row r="49" spans="3:6">
      <c r="C49" s="352">
        <f>LEFT(E49,SEARCH("-",SUBSTITUTE(E49,"*","-"))-1)*LEFT(RIGHT(E49,4),3)/1000</f>
        <v>4.68</v>
      </c>
      <c r="D49" t="s">
        <v>236</v>
      </c>
      <c r="E49" s="493" t="s">
        <v>5410</v>
      </c>
      <c r="F49" s="489"/>
    </row>
    <row r="50" spans="3:6">
      <c r="C50" s="401">
        <f>E64/C49</f>
        <v>0</v>
      </c>
      <c r="E50" t="s">
        <v>164</v>
      </c>
    </row>
    <row r="51" spans="3:6">
      <c r="C51" s="23">
        <f ca="1">E64/30/Simulação_Dados!$C$25/C49</f>
        <v>0</v>
      </c>
      <c r="E51">
        <f t="shared" ref="E51:E62" si="2">SUM(G51:M51)</f>
        <v>0</v>
      </c>
    </row>
    <row r="52" spans="3:6">
      <c r="D52" s="28"/>
      <c r="E52">
        <f t="shared" si="2"/>
        <v>0</v>
      </c>
    </row>
    <row r="53" spans="3:6">
      <c r="E53">
        <f t="shared" si="2"/>
        <v>0</v>
      </c>
    </row>
    <row r="54" spans="3:6">
      <c r="E54">
        <f t="shared" si="2"/>
        <v>0</v>
      </c>
    </row>
    <row r="55" spans="3:6">
      <c r="E55">
        <f t="shared" si="2"/>
        <v>0</v>
      </c>
    </row>
    <row r="56" spans="3:6">
      <c r="E56">
        <f t="shared" si="2"/>
        <v>0</v>
      </c>
    </row>
    <row r="57" spans="3:6">
      <c r="E57">
        <f t="shared" si="2"/>
        <v>0</v>
      </c>
    </row>
    <row r="58" spans="3:6">
      <c r="E58">
        <f t="shared" si="2"/>
        <v>0</v>
      </c>
    </row>
    <row r="59" spans="3:6">
      <c r="E59">
        <f t="shared" si="2"/>
        <v>0</v>
      </c>
    </row>
    <row r="60" spans="3:6">
      <c r="E60">
        <f t="shared" si="2"/>
        <v>0</v>
      </c>
    </row>
    <row r="61" spans="3:6">
      <c r="E61">
        <f t="shared" si="2"/>
        <v>0</v>
      </c>
    </row>
    <row r="62" spans="3:6">
      <c r="E62">
        <f t="shared" si="2"/>
        <v>0</v>
      </c>
    </row>
    <row r="63" spans="3:6">
      <c r="D63" s="28" t="s">
        <v>164</v>
      </c>
      <c r="E63">
        <f>SUM(E51:E62)</f>
        <v>0</v>
      </c>
    </row>
    <row r="64" spans="3:6">
      <c r="C64">
        <f>E64*0.993</f>
        <v>0</v>
      </c>
      <c r="D64" s="28" t="s">
        <v>138</v>
      </c>
      <c r="E64" s="74">
        <f>AVERAGE(E51:E62)</f>
        <v>0</v>
      </c>
    </row>
    <row r="65" spans="3:23">
      <c r="C65" s="352">
        <f>LEFT(E65,SEARCH("-",SUBSTITUTE(E65,"*","-"))-1)*LEFT(RIGHT(E65,4),3)/1000</f>
        <v>4.68</v>
      </c>
      <c r="D65" t="s">
        <v>238</v>
      </c>
      <c r="E65" s="493" t="s">
        <v>5410</v>
      </c>
      <c r="F65" s="489"/>
    </row>
    <row r="66" spans="3:23">
      <c r="C66" s="401">
        <f>E80/C65</f>
        <v>0</v>
      </c>
      <c r="E66" t="s">
        <v>164</v>
      </c>
    </row>
    <row r="67" spans="3:23">
      <c r="C67" s="23">
        <f ca="1">E80/30/Simulação_Dados!$C$25/C65</f>
        <v>0</v>
      </c>
      <c r="E67">
        <f t="shared" ref="E67:E78" si="3">SUM(G67:M67)</f>
        <v>0</v>
      </c>
    </row>
    <row r="68" spans="3:23">
      <c r="E68">
        <f t="shared" si="3"/>
        <v>0</v>
      </c>
    </row>
    <row r="69" spans="3:23">
      <c r="D69" s="28"/>
      <c r="E69">
        <f t="shared" si="3"/>
        <v>0</v>
      </c>
    </row>
    <row r="70" spans="3:23">
      <c r="E70">
        <f t="shared" si="3"/>
        <v>0</v>
      </c>
      <c r="U70" s="444"/>
      <c r="V70" s="444"/>
      <c r="W70" s="444"/>
    </row>
    <row r="71" spans="3:23">
      <c r="E71">
        <f t="shared" si="3"/>
        <v>0</v>
      </c>
      <c r="U71" s="444"/>
      <c r="V71" s="444"/>
      <c r="W71" s="444"/>
    </row>
    <row r="72" spans="3:23">
      <c r="E72">
        <f t="shared" si="3"/>
        <v>0</v>
      </c>
      <c r="K72" s="490"/>
      <c r="U72" s="444"/>
      <c r="V72" s="444"/>
      <c r="W72" s="444"/>
    </row>
    <row r="73" spans="3:23">
      <c r="E73">
        <f t="shared" si="3"/>
        <v>0</v>
      </c>
      <c r="U73" s="444"/>
      <c r="V73" s="444"/>
      <c r="W73" s="444"/>
    </row>
    <row r="74" spans="3:23">
      <c r="E74">
        <f t="shared" si="3"/>
        <v>0</v>
      </c>
      <c r="U74" s="444"/>
      <c r="V74" s="444"/>
      <c r="W74" s="444"/>
    </row>
    <row r="75" spans="3:23">
      <c r="E75">
        <f t="shared" si="3"/>
        <v>0</v>
      </c>
      <c r="U75" s="444"/>
      <c r="V75" s="444"/>
      <c r="W75" s="444"/>
    </row>
    <row r="76" spans="3:23">
      <c r="E76">
        <f t="shared" si="3"/>
        <v>0</v>
      </c>
      <c r="U76" s="444"/>
      <c r="V76" s="444"/>
      <c r="W76" s="444"/>
    </row>
    <row r="77" spans="3:23">
      <c r="E77">
        <f t="shared" si="3"/>
        <v>0</v>
      </c>
      <c r="U77" s="444"/>
      <c r="V77" s="444"/>
      <c r="W77" s="444"/>
    </row>
    <row r="78" spans="3:23">
      <c r="E78">
        <f t="shared" si="3"/>
        <v>0</v>
      </c>
      <c r="U78" s="444"/>
      <c r="V78" s="444"/>
      <c r="W78" s="444"/>
    </row>
    <row r="79" spans="3:23">
      <c r="D79" s="28" t="s">
        <v>164</v>
      </c>
      <c r="E79">
        <f>SUM(E67:E78)</f>
        <v>0</v>
      </c>
      <c r="U79" s="444"/>
      <c r="V79" s="444"/>
      <c r="W79" s="444"/>
    </row>
    <row r="80" spans="3:23">
      <c r="C80">
        <f>E80*0.993</f>
        <v>0</v>
      </c>
      <c r="D80" s="28" t="s">
        <v>138</v>
      </c>
      <c r="E80" s="74">
        <f>AVERAGE(E67:E78)</f>
        <v>0</v>
      </c>
      <c r="U80" s="444"/>
      <c r="V80" s="444"/>
      <c r="W80" s="444"/>
    </row>
    <row r="81" spans="3:23">
      <c r="C81" s="352">
        <f>LEFT(E81,SEARCH("-",SUBSTITUTE(E81,"*","-"))-1)*LEFT(RIGHT(E81,4),3)/1000</f>
        <v>4.68</v>
      </c>
      <c r="D81" t="s">
        <v>240</v>
      </c>
      <c r="E81" s="493" t="s">
        <v>5410</v>
      </c>
      <c r="F81" s="489"/>
      <c r="L81" s="491"/>
      <c r="U81" s="444"/>
      <c r="V81" s="444"/>
      <c r="W81" s="444"/>
    </row>
    <row r="82" spans="3:23">
      <c r="C82" s="401">
        <f>E96/C81</f>
        <v>0</v>
      </c>
      <c r="E82" t="s">
        <v>164</v>
      </c>
      <c r="U82" s="444"/>
      <c r="V82" s="444"/>
      <c r="W82" s="444"/>
    </row>
    <row r="83" spans="3:23">
      <c r="C83" s="23">
        <f ca="1">E96/30/Simulação_Dados!$C$25/C81</f>
        <v>0</v>
      </c>
      <c r="E83">
        <f t="shared" ref="E83:E94" si="4">SUM(G83:M83)</f>
        <v>0</v>
      </c>
      <c r="U83" s="444"/>
      <c r="V83" s="444"/>
      <c r="W83" s="444"/>
    </row>
    <row r="84" spans="3:23">
      <c r="E84">
        <f t="shared" si="4"/>
        <v>0</v>
      </c>
    </row>
    <row r="85" spans="3:23">
      <c r="D85" s="28"/>
      <c r="E85">
        <f t="shared" si="4"/>
        <v>0</v>
      </c>
    </row>
    <row r="86" spans="3:23">
      <c r="E86">
        <f t="shared" si="4"/>
        <v>0</v>
      </c>
    </row>
    <row r="87" spans="3:23">
      <c r="E87">
        <f t="shared" si="4"/>
        <v>0</v>
      </c>
    </row>
    <row r="88" spans="3:23">
      <c r="E88">
        <f t="shared" si="4"/>
        <v>0</v>
      </c>
    </row>
    <row r="89" spans="3:23">
      <c r="E89">
        <f t="shared" si="4"/>
        <v>0</v>
      </c>
    </row>
    <row r="90" spans="3:23">
      <c r="E90">
        <f t="shared" si="4"/>
        <v>0</v>
      </c>
    </row>
    <row r="91" spans="3:23">
      <c r="E91">
        <f t="shared" si="4"/>
        <v>0</v>
      </c>
    </row>
    <row r="92" spans="3:23">
      <c r="E92">
        <f t="shared" si="4"/>
        <v>0</v>
      </c>
    </row>
    <row r="93" spans="3:23">
      <c r="E93">
        <f t="shared" si="4"/>
        <v>0</v>
      </c>
    </row>
    <row r="94" spans="3:23">
      <c r="E94">
        <f t="shared" si="4"/>
        <v>0</v>
      </c>
    </row>
    <row r="95" spans="3:23">
      <c r="D95" s="28" t="s">
        <v>164</v>
      </c>
      <c r="E95">
        <f>SUM(E83:E94)</f>
        <v>0</v>
      </c>
    </row>
    <row r="96" spans="3:23">
      <c r="D96" s="28" t="s">
        <v>138</v>
      </c>
      <c r="E96" s="74">
        <f>AVERAGE(E83:E94)</f>
        <v>0</v>
      </c>
    </row>
    <row r="97" spans="2:6">
      <c r="C97" s="352">
        <f>LEFT(E97,SEARCH("-",SUBSTITUTE(E97,"*","-"))-1)*LEFT(RIGHT(E97,4),3)/1000</f>
        <v>4.68</v>
      </c>
      <c r="D97" t="s">
        <v>241</v>
      </c>
      <c r="E97" s="493" t="s">
        <v>5410</v>
      </c>
      <c r="F97" s="489"/>
    </row>
    <row r="98" spans="2:6">
      <c r="C98" s="401">
        <f>E112/C97</f>
        <v>0</v>
      </c>
      <c r="E98" t="s">
        <v>164</v>
      </c>
    </row>
    <row r="99" spans="2:6">
      <c r="C99" s="23">
        <f ca="1">E112/30/Simulação_Dados!$C$25/C97</f>
        <v>0</v>
      </c>
      <c r="E99">
        <f t="shared" ref="E99:E110" si="5">SUM(G99:M99)</f>
        <v>0</v>
      </c>
    </row>
    <row r="100" spans="2:6">
      <c r="E100">
        <f t="shared" si="5"/>
        <v>0</v>
      </c>
    </row>
    <row r="101" spans="2:6">
      <c r="D101" s="28"/>
      <c r="E101">
        <f t="shared" si="5"/>
        <v>0</v>
      </c>
    </row>
    <row r="102" spans="2:6">
      <c r="E102">
        <f t="shared" si="5"/>
        <v>0</v>
      </c>
    </row>
    <row r="103" spans="2:6">
      <c r="E103">
        <f t="shared" si="5"/>
        <v>0</v>
      </c>
    </row>
    <row r="104" spans="2:6">
      <c r="E104">
        <f t="shared" si="5"/>
        <v>0</v>
      </c>
    </row>
    <row r="105" spans="2:6">
      <c r="E105">
        <f t="shared" si="5"/>
        <v>0</v>
      </c>
    </row>
    <row r="106" spans="2:6">
      <c r="E106">
        <f t="shared" si="5"/>
        <v>0</v>
      </c>
    </row>
    <row r="107" spans="2:6">
      <c r="E107">
        <f t="shared" si="5"/>
        <v>0</v>
      </c>
    </row>
    <row r="108" spans="2:6">
      <c r="E108">
        <f t="shared" si="5"/>
        <v>0</v>
      </c>
    </row>
    <row r="109" spans="2:6">
      <c r="E109">
        <f t="shared" si="5"/>
        <v>0</v>
      </c>
    </row>
    <row r="110" spans="2:6">
      <c r="E110">
        <f t="shared" si="5"/>
        <v>0</v>
      </c>
    </row>
    <row r="111" spans="2:6">
      <c r="D111" s="28" t="s">
        <v>164</v>
      </c>
      <c r="E111">
        <f>SUM(E99:E110)</f>
        <v>0</v>
      </c>
    </row>
    <row r="112" spans="2:6">
      <c r="B112" s="17"/>
      <c r="D112" s="28" t="s">
        <v>138</v>
      </c>
      <c r="E112" s="74">
        <f>AVERAGE(E99:E110)</f>
        <v>0</v>
      </c>
    </row>
    <row r="113" spans="3:23">
      <c r="C113" s="352">
        <f>LEFT(E113,SEARCH("-",SUBSTITUTE(E113,"*","-"))-1)*LEFT(RIGHT(E113,4),3)/1000</f>
        <v>4.68</v>
      </c>
      <c r="D113" t="s">
        <v>243</v>
      </c>
      <c r="E113" s="493" t="s">
        <v>5410</v>
      </c>
      <c r="F113" s="489"/>
    </row>
    <row r="114" spans="3:23">
      <c r="C114" s="401">
        <f>E128/C113</f>
        <v>0</v>
      </c>
      <c r="E114" t="s">
        <v>164</v>
      </c>
    </row>
    <row r="115" spans="3:23">
      <c r="C115" s="23">
        <f ca="1">E128/30/Simulação_Dados!$C$25/C113</f>
        <v>0</v>
      </c>
      <c r="E115">
        <f t="shared" ref="E115:E126" si="6">SUM(G115:M115)</f>
        <v>0</v>
      </c>
    </row>
    <row r="116" spans="3:23">
      <c r="E116">
        <f t="shared" si="6"/>
        <v>0</v>
      </c>
    </row>
    <row r="117" spans="3:23">
      <c r="D117" s="28"/>
      <c r="E117">
        <f t="shared" si="6"/>
        <v>0</v>
      </c>
    </row>
    <row r="118" spans="3:23">
      <c r="E118">
        <f t="shared" si="6"/>
        <v>0</v>
      </c>
    </row>
    <row r="119" spans="3:23">
      <c r="E119">
        <f t="shared" si="6"/>
        <v>0</v>
      </c>
      <c r="U119" s="444"/>
      <c r="V119" s="444"/>
      <c r="W119" s="444"/>
    </row>
    <row r="120" spans="3:23">
      <c r="E120">
        <f t="shared" si="6"/>
        <v>0</v>
      </c>
      <c r="U120" s="444"/>
      <c r="V120" s="444"/>
      <c r="W120" s="444"/>
    </row>
    <row r="121" spans="3:23">
      <c r="E121">
        <f t="shared" si="6"/>
        <v>0</v>
      </c>
      <c r="U121" s="444"/>
      <c r="V121" s="444"/>
      <c r="W121" s="444"/>
    </row>
    <row r="122" spans="3:23">
      <c r="E122">
        <f t="shared" si="6"/>
        <v>0</v>
      </c>
      <c r="U122" s="444"/>
      <c r="V122" s="444"/>
      <c r="W122" s="444"/>
    </row>
    <row r="123" spans="3:23">
      <c r="E123">
        <f t="shared" si="6"/>
        <v>0</v>
      </c>
      <c r="U123" s="444"/>
      <c r="V123" s="444"/>
      <c r="W123" s="444"/>
    </row>
    <row r="124" spans="3:23">
      <c r="E124">
        <f t="shared" si="6"/>
        <v>0</v>
      </c>
    </row>
    <row r="125" spans="3:23">
      <c r="E125">
        <f t="shared" si="6"/>
        <v>0</v>
      </c>
    </row>
    <row r="126" spans="3:23">
      <c r="E126">
        <f t="shared" si="6"/>
        <v>0</v>
      </c>
    </row>
    <row r="127" spans="3:23">
      <c r="D127" s="28" t="s">
        <v>164</v>
      </c>
      <c r="E127">
        <f>SUM(E115:E126)</f>
        <v>0</v>
      </c>
    </row>
    <row r="128" spans="3:23">
      <c r="D128" s="28" t="s">
        <v>138</v>
      </c>
      <c r="E128" s="74">
        <f>AVERAGE(E115:E126)</f>
        <v>0</v>
      </c>
    </row>
    <row r="129" spans="3:6">
      <c r="C129" s="352">
        <f>LEFT(E129,SEARCH("-",SUBSTITUTE(E129,"*","-"))-1)*LEFT(RIGHT(E129,4),3)/1000</f>
        <v>4.68</v>
      </c>
      <c r="D129" t="s">
        <v>244</v>
      </c>
      <c r="E129" s="493" t="s">
        <v>5410</v>
      </c>
      <c r="F129" s="489"/>
    </row>
    <row r="130" spans="3:6">
      <c r="C130" s="401">
        <f>E144/C129</f>
        <v>0</v>
      </c>
      <c r="E130" t="s">
        <v>164</v>
      </c>
      <c r="F130" s="492"/>
    </row>
    <row r="131" spans="3:6">
      <c r="C131" s="23">
        <f ca="1">E144/30/Simulação_Dados!$C$25/C129</f>
        <v>0</v>
      </c>
      <c r="E131">
        <f t="shared" ref="E131:E142" si="7">SUM(G131:M131)</f>
        <v>0</v>
      </c>
      <c r="F131" s="492"/>
    </row>
    <row r="132" spans="3:6">
      <c r="E132">
        <f t="shared" si="7"/>
        <v>0</v>
      </c>
      <c r="F132" s="492"/>
    </row>
    <row r="133" spans="3:6">
      <c r="D133" s="28"/>
      <c r="E133">
        <f t="shared" si="7"/>
        <v>0</v>
      </c>
      <c r="F133" s="492"/>
    </row>
    <row r="134" spans="3:6">
      <c r="E134">
        <f t="shared" si="7"/>
        <v>0</v>
      </c>
      <c r="F134" s="492"/>
    </row>
    <row r="135" spans="3:6">
      <c r="E135">
        <f t="shared" si="7"/>
        <v>0</v>
      </c>
      <c r="F135" s="492"/>
    </row>
    <row r="136" spans="3:6">
      <c r="E136">
        <f t="shared" si="7"/>
        <v>0</v>
      </c>
      <c r="F136" s="492"/>
    </row>
    <row r="137" spans="3:6">
      <c r="E137">
        <f t="shared" si="7"/>
        <v>0</v>
      </c>
      <c r="F137" s="492"/>
    </row>
    <row r="138" spans="3:6">
      <c r="E138">
        <f t="shared" si="7"/>
        <v>0</v>
      </c>
      <c r="F138" s="492"/>
    </row>
    <row r="139" spans="3:6">
      <c r="E139">
        <f t="shared" si="7"/>
        <v>0</v>
      </c>
      <c r="F139" s="492"/>
    </row>
    <row r="140" spans="3:6">
      <c r="E140">
        <f t="shared" si="7"/>
        <v>0</v>
      </c>
      <c r="F140" s="492"/>
    </row>
    <row r="141" spans="3:6">
      <c r="E141">
        <f t="shared" si="7"/>
        <v>0</v>
      </c>
      <c r="F141" s="492"/>
    </row>
    <row r="142" spans="3:6">
      <c r="E142">
        <f t="shared" si="7"/>
        <v>0</v>
      </c>
      <c r="F142" s="492"/>
    </row>
    <row r="143" spans="3:6">
      <c r="D143" s="28" t="s">
        <v>164</v>
      </c>
      <c r="E143">
        <f>SUM(E131:E142)</f>
        <v>0</v>
      </c>
    </row>
    <row r="144" spans="3:6">
      <c r="D144" s="28" t="s">
        <v>138</v>
      </c>
      <c r="E144" s="74">
        <f>AVERAGE(E131:E142)</f>
        <v>0</v>
      </c>
    </row>
    <row r="145" spans="3:6">
      <c r="C145" s="352">
        <f>LEFT(E145,SEARCH("-",SUBSTITUTE(E145,"*","-"))-1)*LEFT(RIGHT(E145,4),3)/1000</f>
        <v>4.68</v>
      </c>
      <c r="D145" t="s">
        <v>1687</v>
      </c>
      <c r="E145" s="493" t="s">
        <v>5410</v>
      </c>
      <c r="F145" s="489"/>
    </row>
    <row r="146" spans="3:6">
      <c r="C146" s="401">
        <f>E160/C145</f>
        <v>0</v>
      </c>
      <c r="E146" t="s">
        <v>164</v>
      </c>
      <c r="F146" s="492"/>
    </row>
    <row r="147" spans="3:6">
      <c r="C147" s="23">
        <f ca="1">E160/30/Simulação_Dados!$C$25/C145</f>
        <v>0</v>
      </c>
      <c r="E147">
        <f t="shared" ref="E147:E158" si="8">SUM(G147:M147)</f>
        <v>0</v>
      </c>
      <c r="F147" s="492"/>
    </row>
    <row r="148" spans="3:6">
      <c r="E148">
        <f t="shared" si="8"/>
        <v>0</v>
      </c>
      <c r="F148" s="492"/>
    </row>
    <row r="149" spans="3:6">
      <c r="D149" s="28"/>
      <c r="E149">
        <f t="shared" si="8"/>
        <v>0</v>
      </c>
      <c r="F149" s="492"/>
    </row>
    <row r="150" spans="3:6">
      <c r="E150">
        <f t="shared" si="8"/>
        <v>0</v>
      </c>
      <c r="F150" s="492"/>
    </row>
    <row r="151" spans="3:6">
      <c r="E151">
        <f t="shared" si="8"/>
        <v>0</v>
      </c>
      <c r="F151" s="492"/>
    </row>
    <row r="152" spans="3:6">
      <c r="E152">
        <f t="shared" si="8"/>
        <v>0</v>
      </c>
      <c r="F152" s="492"/>
    </row>
    <row r="153" spans="3:6">
      <c r="E153">
        <f t="shared" si="8"/>
        <v>0</v>
      </c>
      <c r="F153" s="492"/>
    </row>
    <row r="154" spans="3:6">
      <c r="E154">
        <f t="shared" si="8"/>
        <v>0</v>
      </c>
      <c r="F154" s="492"/>
    </row>
    <row r="155" spans="3:6">
      <c r="E155">
        <f t="shared" si="8"/>
        <v>0</v>
      </c>
      <c r="F155" s="492"/>
    </row>
    <row r="156" spans="3:6">
      <c r="E156">
        <f t="shared" si="8"/>
        <v>0</v>
      </c>
      <c r="F156" s="492"/>
    </row>
    <row r="157" spans="3:6">
      <c r="E157">
        <f t="shared" si="8"/>
        <v>0</v>
      </c>
      <c r="F157" s="492"/>
    </row>
    <row r="158" spans="3:6">
      <c r="E158">
        <f t="shared" si="8"/>
        <v>0</v>
      </c>
      <c r="F158" s="492"/>
    </row>
    <row r="159" spans="3:6">
      <c r="D159" s="28" t="s">
        <v>164</v>
      </c>
      <c r="E159">
        <f>SUM(E147:E158)</f>
        <v>0</v>
      </c>
    </row>
    <row r="160" spans="3:6">
      <c r="D160" s="28" t="s">
        <v>138</v>
      </c>
      <c r="E160" s="74">
        <f>AVERAGE(E147:E158)</f>
        <v>0</v>
      </c>
    </row>
    <row r="161" spans="3:6">
      <c r="C161" s="352">
        <f>LEFT(E161,SEARCH("-",SUBSTITUTE(E161,"*","-"))-1)*LEFT(RIGHT(E161,4),3)/1000</f>
        <v>4.68</v>
      </c>
      <c r="D161" t="s">
        <v>1688</v>
      </c>
      <c r="E161" s="493" t="s">
        <v>5410</v>
      </c>
      <c r="F161" s="489"/>
    </row>
    <row r="162" spans="3:6">
      <c r="C162" s="401">
        <f>E176/C161</f>
        <v>0</v>
      </c>
      <c r="E162" t="s">
        <v>164</v>
      </c>
      <c r="F162" s="492"/>
    </row>
    <row r="163" spans="3:6">
      <c r="C163" s="23">
        <f ca="1">E176/30/Simulação_Dados!$C$25/C161</f>
        <v>0</v>
      </c>
      <c r="E163">
        <f t="shared" ref="E163:E174" si="9">SUM(G163:M163)</f>
        <v>0</v>
      </c>
      <c r="F163" s="492"/>
    </row>
    <row r="164" spans="3:6">
      <c r="E164">
        <f t="shared" si="9"/>
        <v>0</v>
      </c>
      <c r="F164" s="492"/>
    </row>
    <row r="165" spans="3:6">
      <c r="D165" s="28"/>
      <c r="E165">
        <f t="shared" si="9"/>
        <v>0</v>
      </c>
      <c r="F165" s="492"/>
    </row>
    <row r="166" spans="3:6">
      <c r="E166">
        <f t="shared" si="9"/>
        <v>0</v>
      </c>
      <c r="F166" s="492"/>
    </row>
    <row r="167" spans="3:6">
      <c r="E167">
        <f t="shared" si="9"/>
        <v>0</v>
      </c>
      <c r="F167" s="492"/>
    </row>
    <row r="168" spans="3:6">
      <c r="E168">
        <f t="shared" si="9"/>
        <v>0</v>
      </c>
      <c r="F168" s="492"/>
    </row>
    <row r="169" spans="3:6">
      <c r="E169">
        <f t="shared" si="9"/>
        <v>0</v>
      </c>
      <c r="F169" s="492"/>
    </row>
    <row r="170" spans="3:6">
      <c r="E170">
        <f t="shared" si="9"/>
        <v>0</v>
      </c>
      <c r="F170" s="492"/>
    </row>
    <row r="171" spans="3:6">
      <c r="E171">
        <f t="shared" si="9"/>
        <v>0</v>
      </c>
      <c r="F171" s="492"/>
    </row>
    <row r="172" spans="3:6">
      <c r="E172">
        <f t="shared" si="9"/>
        <v>0</v>
      </c>
      <c r="F172" s="492"/>
    </row>
    <row r="173" spans="3:6">
      <c r="E173">
        <f t="shared" si="9"/>
        <v>0</v>
      </c>
      <c r="F173" s="492"/>
    </row>
    <row r="174" spans="3:6">
      <c r="E174">
        <f t="shared" si="9"/>
        <v>0</v>
      </c>
      <c r="F174" s="492"/>
    </row>
    <row r="175" spans="3:6">
      <c r="D175" s="28" t="s">
        <v>164</v>
      </c>
      <c r="E175">
        <f>SUM(E163:E174)</f>
        <v>0</v>
      </c>
    </row>
    <row r="176" spans="3:6">
      <c r="D176" s="28" t="s">
        <v>138</v>
      </c>
      <c r="E176" s="74">
        <f>AVERAGE(E163:E174)</f>
        <v>0</v>
      </c>
    </row>
    <row r="177" spans="3:6">
      <c r="C177" s="352">
        <f>LEFT(E177,SEARCH("-",SUBSTITUTE(E177,"*","-"))-1)*LEFT(RIGHT(E177,4),3)/1000</f>
        <v>4.68</v>
      </c>
      <c r="D177" t="s">
        <v>1689</v>
      </c>
      <c r="E177" s="493" t="s">
        <v>5410</v>
      </c>
      <c r="F177" s="489"/>
    </row>
    <row r="178" spans="3:6">
      <c r="C178" s="401">
        <f>E192/C177</f>
        <v>0</v>
      </c>
      <c r="E178" t="s">
        <v>164</v>
      </c>
      <c r="F178" s="492"/>
    </row>
    <row r="179" spans="3:6">
      <c r="C179" s="23">
        <f ca="1">E192/30/Simulação_Dados!$C$25/C177</f>
        <v>0</v>
      </c>
      <c r="E179">
        <f t="shared" ref="E179:E190" si="10">SUM(G179:M179)</f>
        <v>0</v>
      </c>
      <c r="F179" s="492"/>
    </row>
    <row r="180" spans="3:6">
      <c r="E180">
        <f t="shared" si="10"/>
        <v>0</v>
      </c>
      <c r="F180" s="492"/>
    </row>
    <row r="181" spans="3:6">
      <c r="D181" s="28"/>
      <c r="E181">
        <f t="shared" si="10"/>
        <v>0</v>
      </c>
      <c r="F181" s="492"/>
    </row>
    <row r="182" spans="3:6">
      <c r="E182">
        <f t="shared" si="10"/>
        <v>0</v>
      </c>
      <c r="F182" s="492"/>
    </row>
    <row r="183" spans="3:6">
      <c r="E183">
        <f t="shared" si="10"/>
        <v>0</v>
      </c>
      <c r="F183" s="492"/>
    </row>
    <row r="184" spans="3:6">
      <c r="E184">
        <f t="shared" si="10"/>
        <v>0</v>
      </c>
      <c r="F184" s="492"/>
    </row>
    <row r="185" spans="3:6">
      <c r="E185">
        <f t="shared" si="10"/>
        <v>0</v>
      </c>
      <c r="F185" s="492"/>
    </row>
    <row r="186" spans="3:6">
      <c r="E186">
        <f t="shared" si="10"/>
        <v>0</v>
      </c>
      <c r="F186" s="492"/>
    </row>
    <row r="187" spans="3:6">
      <c r="E187">
        <f t="shared" si="10"/>
        <v>0</v>
      </c>
      <c r="F187" s="492"/>
    </row>
    <row r="188" spans="3:6">
      <c r="E188">
        <f t="shared" si="10"/>
        <v>0</v>
      </c>
      <c r="F188" s="492"/>
    </row>
    <row r="189" spans="3:6">
      <c r="E189">
        <f t="shared" si="10"/>
        <v>0</v>
      </c>
      <c r="F189" s="492"/>
    </row>
    <row r="190" spans="3:6">
      <c r="E190">
        <f t="shared" si="10"/>
        <v>0</v>
      </c>
      <c r="F190" s="492"/>
    </row>
    <row r="191" spans="3:6">
      <c r="D191" s="28" t="s">
        <v>164</v>
      </c>
      <c r="E191">
        <f>SUM(E179:E190)</f>
        <v>0</v>
      </c>
    </row>
    <row r="192" spans="3:6">
      <c r="D192" s="28" t="s">
        <v>138</v>
      </c>
      <c r="E192" s="74">
        <f>AVERAGE(E179:E190)</f>
        <v>0</v>
      </c>
    </row>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sheetData>
  <sheetProtection formatRows="0" selectLockedCells="1"/>
  <mergeCells count="3">
    <mergeCell ref="J6:K6"/>
    <mergeCell ref="P2:AA2"/>
    <mergeCell ref="J21:K21"/>
  </mergeCells>
  <phoneticPr fontId="2" type="noConversion"/>
  <conditionalFormatting sqref="C13:C24">
    <cfRule type="top10" dxfId="73" priority="1" bottom="1" rank="1"/>
    <cfRule type="top10" dxfId="72" priority="2" rank="1"/>
  </conditionalFormatting>
  <dataValidations disablePrompts="1" count="2">
    <dataValidation type="list" allowBlank="1" showInputMessage="1" showErrorMessage="1" sqref="C11" xr:uid="{0E9684F0-4CCC-4D0F-B632-2D48D5AB4047}">
      <formula1>"Plano Horizontal,Ângulo igual a latitude,Maior média anual,Maior mínimo mensal"</formula1>
    </dataValidation>
    <dataValidation type="list" allowBlank="1" showInputMessage="1" showErrorMessage="1" sqref="J6:K6" xr:uid="{B7E4D69A-EF00-4417-A0D6-629785FE72AE}">
      <formula1>$I$12:$I$14</formula1>
    </dataValidation>
  </dataValidations>
  <pageMargins left="0.511811024" right="0.511811024" top="0.78740157499999996" bottom="0.78740157499999996" header="0.31496062000000002" footer="0.31496062000000002"/>
  <drawing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45FAD57-8BF2-4774-A255-5BA8497ADED5}">
          <x14:formula1>
            <xm:f>OFFSET('Temperatura Máxima (ºC)'!$B:$B,MATCH($F$52,'Temperatura Máxima (ºC)'!$C:$C,0),,COUNTIF('Temperatura Máxima (ºC)'!$C:$C,$F$52)-1,)</xm:f>
          </x14:formula1>
          <xm:sqref>E8</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6BAF4-7813-48E5-983F-F13832889A34}">
  <sheetPr codeName="Planilha1"/>
  <dimension ref="A1:S42"/>
  <sheetViews>
    <sheetView showGridLines="0" zoomScale="90" zoomScaleNormal="90" workbookViewId="0">
      <selection activeCell="P18" sqref="P18"/>
    </sheetView>
  </sheetViews>
  <sheetFormatPr defaultColWidth="0" defaultRowHeight="15" zeroHeight="1"/>
  <cols>
    <col min="1" max="1" width="1.28515625" customWidth="1"/>
    <col min="2" max="2" width="3.140625" customWidth="1"/>
    <col min="3" max="3" width="7.28515625" customWidth="1"/>
    <col min="4" max="4" width="22.5703125" customWidth="1"/>
    <col min="5" max="5" width="3.42578125" customWidth="1"/>
    <col min="6" max="9" width="16.28515625" customWidth="1"/>
    <col min="10" max="10" width="29" customWidth="1"/>
    <col min="11" max="11" width="2.7109375" customWidth="1"/>
    <col min="12" max="12" width="28.28515625" customWidth="1"/>
    <col min="13" max="13" width="14.7109375" customWidth="1"/>
    <col min="14" max="14" width="17.140625" customWidth="1"/>
    <col min="15" max="15" width="18.42578125" customWidth="1"/>
    <col min="16" max="16" width="17.7109375" customWidth="1"/>
    <col min="17" max="17" width="14.140625" customWidth="1"/>
    <col min="18" max="18" width="3" customWidth="1"/>
    <col min="19" max="19" width="1.140625" customWidth="1"/>
    <col min="20" max="16384" width="8.85546875" hidden="1"/>
  </cols>
  <sheetData>
    <row r="1" spans="1:19" ht="6.6" customHeight="1">
      <c r="A1" s="38"/>
      <c r="B1" s="38"/>
      <c r="C1" s="38"/>
      <c r="D1" s="38"/>
      <c r="E1" s="38"/>
      <c r="F1" s="38"/>
      <c r="G1" s="38"/>
      <c r="H1" s="38"/>
      <c r="I1" s="38"/>
      <c r="J1" s="38"/>
      <c r="K1" s="38"/>
      <c r="L1" s="38"/>
      <c r="M1" s="38"/>
      <c r="N1" s="38"/>
      <c r="O1" s="38"/>
      <c r="P1" s="38"/>
      <c r="Q1" s="38"/>
      <c r="R1" s="38"/>
      <c r="S1" s="38"/>
    </row>
    <row r="2" spans="1:19">
      <c r="A2" s="38"/>
      <c r="S2" s="38"/>
    </row>
    <row r="3" spans="1:19" ht="21">
      <c r="A3" s="38"/>
      <c r="F3" s="323" t="s">
        <v>1690</v>
      </c>
      <c r="G3" s="34"/>
      <c r="H3" s="34"/>
      <c r="I3" s="34"/>
      <c r="P3" s="28" t="s">
        <v>1691</v>
      </c>
      <c r="Q3" s="43">
        <f>Financeiro!Z3</f>
        <v>2</v>
      </c>
      <c r="S3" s="38"/>
    </row>
    <row r="4" spans="1:19" ht="15.6" customHeight="1">
      <c r="A4" s="38"/>
      <c r="S4" s="38"/>
    </row>
    <row r="5" spans="1:19" ht="15.6" customHeight="1">
      <c r="A5" s="38"/>
      <c r="S5" s="38"/>
    </row>
    <row r="6" spans="1:19" ht="15.75">
      <c r="A6" s="38"/>
      <c r="D6" s="35" t="s">
        <v>1692</v>
      </c>
      <c r="F6" s="37" t="str">
        <f>IF($F$7&lt;-168.75,"SUL",IF($F$7&lt;-146.25,"SUL-SUDOESTE",IF($F$7&lt;-123.75,"SUDOESTE",IF($F$7&lt;-101.25,"OÉS-SUDOESTE",IF($F$7&lt;-78.75,"OESTE",IF($F$7&lt;-56.25,"OÉS-NOROESTE",IF($F$7&lt;-33.75,"NOROESTE",IF($F$7&lt;-11.25,"NOR-NOROESTE",IF($F$7&lt;11.25,"NORTE",IF($F$7&lt;33.75,"NOR-NORDESTE",IF($F$7&lt;56.25,"NORDESTE",IF($F$7&lt;78.75,"ÉS-NORDESTE",IF($F$7&lt;101.25,"LESTE",IF($F$7&lt;123.75,"ÉS-SUDESTE",IF($F$7&lt;146.25,"SUDESTE",IF($F$7&lt;168.75,"SU-SUDESTE",IF($F$7&lt;=180,"SUL","VERIFICAR")))))))))))))))))</f>
        <v>ÉS-NORDESTE</v>
      </c>
      <c r="S6" s="38"/>
    </row>
    <row r="7" spans="1:19" ht="15.6" customHeight="1">
      <c r="A7" s="38"/>
      <c r="D7" s="35" t="s">
        <v>1693</v>
      </c>
      <c r="F7" s="472">
        <v>60</v>
      </c>
      <c r="S7" s="38"/>
    </row>
    <row r="8" spans="1:19" ht="15.6" customHeight="1">
      <c r="A8" s="38"/>
      <c r="D8" s="35" t="s">
        <v>94</v>
      </c>
      <c r="F8" s="472">
        <v>15</v>
      </c>
      <c r="S8" s="38"/>
    </row>
    <row r="9" spans="1:19" ht="15.6" customHeight="1">
      <c r="A9" s="38"/>
      <c r="S9" s="38"/>
    </row>
    <row r="10" spans="1:19">
      <c r="A10" s="38"/>
      <c r="S10" s="38"/>
    </row>
    <row r="11" spans="1:19">
      <c r="A11" s="38"/>
      <c r="I11" s="301" t="s">
        <v>151</v>
      </c>
      <c r="S11" s="38"/>
    </row>
    <row r="12" spans="1:19" ht="15.75">
      <c r="A12" s="38"/>
      <c r="D12" s="35" t="s">
        <v>1694</v>
      </c>
      <c r="F12">
        <f>Orçamento!$BQ$14-1</f>
        <v>4</v>
      </c>
      <c r="I12" s="471">
        <v>14</v>
      </c>
      <c r="L12" s="682" t="s">
        <v>1695</v>
      </c>
      <c r="M12" s="715">
        <f>Resumo!$J$55</f>
        <v>808</v>
      </c>
      <c r="O12" t="s">
        <v>1696</v>
      </c>
      <c r="S12" s="38"/>
    </row>
    <row r="13" spans="1:19" ht="15.6" customHeight="1">
      <c r="A13" s="38"/>
      <c r="I13" s="329"/>
      <c r="L13" s="682" t="s">
        <v>1697</v>
      </c>
      <c r="M13" s="716">
        <f ca="1">M12/30/Simulação_Dados!C25</f>
        <v>5.48633508742149</v>
      </c>
      <c r="O13" t="s">
        <v>225</v>
      </c>
      <c r="P13" s="748">
        <f ca="1">Resumo!$F$147</f>
        <v>851.9902700862491</v>
      </c>
      <c r="Q13" s="13">
        <f ca="1">Financeiro!$G$35</f>
        <v>999.49457552835895</v>
      </c>
      <c r="S13" s="38"/>
    </row>
    <row r="14" spans="1:19" ht="15.75">
      <c r="A14" s="38"/>
      <c r="D14" s="35" t="s">
        <v>218</v>
      </c>
      <c r="F14">
        <f>Orçamento!$BQ$15-1</f>
        <v>7</v>
      </c>
      <c r="I14" s="471">
        <v>4</v>
      </c>
      <c r="L14" s="588" t="s">
        <v>1698</v>
      </c>
      <c r="M14" s="73">
        <f ca="1">M13/F18</f>
        <v>7.9653516568131693</v>
      </c>
      <c r="N14" s="127"/>
      <c r="O14" t="s">
        <v>1699</v>
      </c>
      <c r="P14" s="748">
        <f ca="1">Resumo!$F$148</f>
        <v>10223.88324103499</v>
      </c>
      <c r="S14" s="38"/>
    </row>
    <row r="15" spans="1:19" ht="15.6" customHeight="1">
      <c r="A15" s="38"/>
      <c r="J15" s="589" t="s">
        <v>1700</v>
      </c>
      <c r="L15" s="588" t="s">
        <v>1701</v>
      </c>
      <c r="M15" s="466">
        <f ca="1">$M$14/(INDEX(MÓDULOS[Pmax],$F$12)/1000)</f>
        <v>13.61598573814217</v>
      </c>
      <c r="S15" s="38"/>
    </row>
    <row r="16" spans="1:19">
      <c r="A16" s="38"/>
      <c r="O16" s="738" t="s">
        <v>1702</v>
      </c>
      <c r="P16" s="130" t="str">
        <f ca="1">"(sugerido "&amp;TEXT(Financeiro!$D$19,"0,0%")&amp;")"</f>
        <v>(sugerido 0,0%)</v>
      </c>
      <c r="S16" s="38"/>
    </row>
    <row r="17" spans="1:19" ht="15.6" customHeight="1">
      <c r="A17" s="38"/>
      <c r="D17" s="284" t="s">
        <v>1703</v>
      </c>
      <c r="E17" s="190"/>
      <c r="F17" s="190"/>
      <c r="H17" s="284" t="s">
        <v>1704</v>
      </c>
      <c r="I17" s="190"/>
      <c r="L17" s="588" t="s">
        <v>1705</v>
      </c>
      <c r="M17" s="467">
        <f>(INDEX(MÓDULOS[Pmax],$F$12)/1000)*Resumo!$E$187</f>
        <v>8.19</v>
      </c>
      <c r="O17" s="28" t="s">
        <v>1706</v>
      </c>
      <c r="P17" s="469">
        <v>4.3999999999999997E-2</v>
      </c>
      <c r="S17" s="38"/>
    </row>
    <row r="18" spans="1:19" ht="15.75">
      <c r="A18" s="38"/>
      <c r="D18" s="35" t="s">
        <v>1707</v>
      </c>
      <c r="F18" s="656">
        <f ca="1">1-F30</f>
        <v>0.68877499999999992</v>
      </c>
      <c r="I18" t="s">
        <v>1708</v>
      </c>
      <c r="L18" t="s">
        <v>1709</v>
      </c>
      <c r="M18" s="468">
        <f>INDEX(MÓDULOS[Comprimento],$F$12)*INDEX(MÓDULOS[Largura],$F$12)/1000/1000*Resumo!$E$187*1.05</f>
        <v>37.973804399999999</v>
      </c>
      <c r="O18" s="28" t="s">
        <v>1710</v>
      </c>
      <c r="P18" s="444"/>
      <c r="S18" s="38"/>
    </row>
    <row r="19" spans="1:19" ht="15.6" customHeight="1">
      <c r="A19" s="38"/>
      <c r="D19" s="35" t="s">
        <v>1692</v>
      </c>
      <c r="F19" s="657">
        <f>IF(ABS($F$7)&lt;=10,0,IF(ABS($F$7)&lt;=45,ABS($F$7)/45*0.04,IF(ABS($F$7)&lt;=90,ABS($F$7)/90*0.12,IF(ABS($F$7)&lt;=135,ABS($F$7)/135*0.19,IF(ABS($F$7)&lt;=180,ABS($F$7)/180*0.25,"Verificar")))))</f>
        <v>7.9999999999999988E-2</v>
      </c>
      <c r="H19" t="s">
        <v>96</v>
      </c>
      <c r="I19" s="127">
        <f ca="1">OFFSET(INDIRECT("Simulação_Dados!D"&amp;MATCH("V"&amp;$I$32,Simulação_Dados!D:D,0)),2,1)</f>
        <v>0</v>
      </c>
      <c r="L19" t="s">
        <v>1711</v>
      </c>
      <c r="M19" t="str">
        <f>IF(Resumo!$E$57=0,"NÃO PREENCHIDO",Resumo!$E$57)</f>
        <v>RESIDENCIAL</v>
      </c>
      <c r="O19" t="s">
        <v>1712</v>
      </c>
      <c r="Q19" s="438" t="s">
        <v>1713</v>
      </c>
      <c r="S19" s="38"/>
    </row>
    <row r="20" spans="1:19" ht="15.75">
      <c r="A20" s="38"/>
      <c r="D20" s="35" t="s">
        <v>94</v>
      </c>
      <c r="F20" s="658">
        <f>IF(AND(5&lt;=$F$8,$F$8&lt;=45),0,3%)</f>
        <v>0</v>
      </c>
      <c r="H20" t="s">
        <v>98</v>
      </c>
      <c r="I20" s="127">
        <f ca="1">OFFSET(INDIRECT("Simulação_Dados!D"&amp;MATCH("V"&amp;$I$32,Simulação_Dados!D:D,0)),3,1)</f>
        <v>0</v>
      </c>
      <c r="J20" s="12"/>
      <c r="O20" s="28" t="s">
        <v>96</v>
      </c>
      <c r="P20" s="470"/>
      <c r="Q20" s="439">
        <f ca="1">Financeiro!C23</f>
        <v>1202.6880000000001</v>
      </c>
      <c r="S20" s="38"/>
    </row>
    <row r="21" spans="1:19" ht="15.6" customHeight="1">
      <c r="A21" s="38"/>
      <c r="D21" s="35" t="s">
        <v>1714</v>
      </c>
      <c r="F21" s="503">
        <v>0.03</v>
      </c>
      <c r="H21" t="s">
        <v>99</v>
      </c>
      <c r="I21" s="127">
        <f ca="1">OFFSET(INDIRECT("Simulação_Dados!D"&amp;MATCH("V"&amp;$I$32,Simulação_Dados!D:D,0)),4,1)</f>
        <v>0</v>
      </c>
      <c r="J21" s="12"/>
      <c r="O21" s="28" t="s">
        <v>98</v>
      </c>
      <c r="P21" s="470"/>
      <c r="Q21" s="439">
        <f ca="1">Financeiro!C24</f>
        <v>1202.6880000000001</v>
      </c>
      <c r="S21" s="38"/>
    </row>
    <row r="22" spans="1:19" ht="15.75">
      <c r="A22" s="38"/>
      <c r="D22" s="35" t="s">
        <v>1715</v>
      </c>
      <c r="F22" s="503">
        <v>0.01</v>
      </c>
      <c r="H22" t="s">
        <v>103</v>
      </c>
      <c r="I22" s="127">
        <f ca="1">OFFSET(INDIRECT("Simulação_Dados!D"&amp;MATCH("V"&amp;$I$32,Simulação_Dados!D:D,0)),5,1)</f>
        <v>0</v>
      </c>
      <c r="J22" s="12"/>
      <c r="O22" s="28" t="s">
        <v>99</v>
      </c>
      <c r="P22" s="470"/>
      <c r="Q22" s="439">
        <f ca="1">Financeiro!C25</f>
        <v>1002.24</v>
      </c>
      <c r="S22" s="38"/>
    </row>
    <row r="23" spans="1:19" ht="15.6" customHeight="1">
      <c r="A23" s="38"/>
      <c r="D23" s="35" t="s">
        <v>1716</v>
      </c>
      <c r="F23" s="656">
        <f ca="1">-INDEX(MÓDULOS[Temp. Coef. Pmax],$F$12)*(Simulação_Dados!$E$25)</f>
        <v>8.6224999999999996E-2</v>
      </c>
      <c r="H23" t="s">
        <v>106</v>
      </c>
      <c r="I23" s="127">
        <f ca="1">OFFSET(INDIRECT("Simulação_Dados!D"&amp;MATCH("V"&amp;$I$32,Simulação_Dados!D:D,0)),6,1)</f>
        <v>0</v>
      </c>
      <c r="J23" s="12"/>
      <c r="O23" s="28" t="s">
        <v>103</v>
      </c>
      <c r="P23" s="470"/>
      <c r="Q23" s="439">
        <f ca="1">Financeiro!C26</f>
        <v>902.01600000000008</v>
      </c>
      <c r="S23" s="38"/>
    </row>
    <row r="24" spans="1:19" ht="15.75">
      <c r="A24" s="38"/>
      <c r="D24" s="35" t="s">
        <v>1100</v>
      </c>
      <c r="F24" s="503">
        <v>0.01</v>
      </c>
      <c r="H24" t="s">
        <v>114</v>
      </c>
      <c r="I24" s="127">
        <f ca="1">OFFSET(INDIRECT("Simulação_Dados!D"&amp;MATCH("V"&amp;$I$32,Simulação_Dados!D:D,0)),7,1)</f>
        <v>0</v>
      </c>
      <c r="J24" s="12"/>
      <c r="O24" s="28" t="s">
        <v>106</v>
      </c>
      <c r="P24" s="470"/>
      <c r="Q24" s="439">
        <f ca="1">Financeiro!C27</f>
        <v>701.56799999999998</v>
      </c>
      <c r="S24" s="38"/>
    </row>
    <row r="25" spans="1:19" ht="15.6" customHeight="1">
      <c r="A25" s="38"/>
      <c r="D25" s="35" t="s">
        <v>1717</v>
      </c>
      <c r="F25" s="503">
        <v>0.04</v>
      </c>
      <c r="H25" t="s">
        <v>119</v>
      </c>
      <c r="I25" s="127">
        <f ca="1">OFFSET(INDIRECT("Simulação_Dados!D"&amp;MATCH("V"&amp;$I$32,Simulação_Dados!D:D,0)),8,1)</f>
        <v>0</v>
      </c>
      <c r="J25" s="12"/>
      <c r="O25" s="28" t="s">
        <v>114</v>
      </c>
      <c r="P25" s="470"/>
      <c r="Q25" s="439">
        <f ca="1">Financeiro!C28</f>
        <v>601.34400000000005</v>
      </c>
      <c r="S25" s="38"/>
    </row>
    <row r="26" spans="1:19" ht="15.75">
      <c r="A26" s="38"/>
      <c r="D26" s="35" t="s">
        <v>1718</v>
      </c>
      <c r="F26" s="503">
        <v>5.0000000000000001E-3</v>
      </c>
      <c r="H26" t="s">
        <v>122</v>
      </c>
      <c r="I26" s="127">
        <f ca="1">OFFSET(INDIRECT("Simulação_Dados!D"&amp;MATCH("V"&amp;$I$32,Simulação_Dados!D:D,0)),9,1)</f>
        <v>0</v>
      </c>
      <c r="J26" s="12"/>
      <c r="O26" s="28" t="s">
        <v>119</v>
      </c>
      <c r="P26" s="470"/>
      <c r="Q26" s="439">
        <f ca="1">Financeiro!C29</f>
        <v>601.34400000000005</v>
      </c>
      <c r="S26" s="38"/>
    </row>
    <row r="27" spans="1:19" ht="15.75">
      <c r="A27" s="38"/>
      <c r="D27" s="35" t="s">
        <v>1719</v>
      </c>
      <c r="F27" s="503">
        <v>5.0000000000000001E-3</v>
      </c>
      <c r="H27" t="s">
        <v>123</v>
      </c>
      <c r="I27" s="127">
        <f ca="1">OFFSET(INDIRECT("Simulação_Dados!D"&amp;MATCH("V"&amp;$I$32,Simulação_Dados!D:D,0)),10,1)</f>
        <v>0</v>
      </c>
      <c r="J27" s="12"/>
      <c r="O27" s="28" t="s">
        <v>122</v>
      </c>
      <c r="P27" s="470"/>
      <c r="Q27" s="439">
        <f ca="1">Financeiro!C30</f>
        <v>701.56799999999998</v>
      </c>
      <c r="S27" s="38"/>
    </row>
    <row r="28" spans="1:19" ht="15.6" customHeight="1">
      <c r="A28" s="38"/>
      <c r="D28" s="35" t="s">
        <v>1720</v>
      </c>
      <c r="F28" s="657" cm="1">
        <f t="array" ref="F28">INDEX(Orçamento!$BW$6:$CG$14,_xlfn.XMATCH(Resumo!$E$196,Orçamento!$BV$6:$BV$14,1),_xlfn.XMATCH($F$7,Orçamento!BW5:CG5,1))</f>
        <v>0</v>
      </c>
      <c r="H28" t="s">
        <v>124</v>
      </c>
      <c r="I28" s="127">
        <f ca="1">OFFSET(INDIRECT("Simulação_Dados!D"&amp;MATCH("V"&amp;$I$32,Simulação_Dados!D:D,0)),11,1)</f>
        <v>0</v>
      </c>
      <c r="J28" s="12"/>
      <c r="O28" s="28" t="s">
        <v>123</v>
      </c>
      <c r="P28" s="470"/>
      <c r="Q28" s="439">
        <f ca="1">Financeiro!C31</f>
        <v>701.56799999999998</v>
      </c>
      <c r="S28" s="38"/>
    </row>
    <row r="29" spans="1:19" ht="15.75">
      <c r="A29" s="38"/>
      <c r="D29" s="35" t="s">
        <v>218</v>
      </c>
      <c r="F29" s="656">
        <f>1-INDEX(INVERSORES[Eficiência Max.],$F$14)</f>
        <v>4.500000000000004E-2</v>
      </c>
      <c r="H29" t="s">
        <v>125</v>
      </c>
      <c r="I29" s="127">
        <f ca="1">OFFSET(INDIRECT("Simulação_Dados!D"&amp;MATCH("V"&amp;$I$32,Simulação_Dados!D:D,0)),12,1)</f>
        <v>0</v>
      </c>
      <c r="J29" s="12"/>
      <c r="O29" s="28" t="s">
        <v>124</v>
      </c>
      <c r="P29" s="470"/>
      <c r="Q29" s="439">
        <f ca="1">Financeiro!C32</f>
        <v>701.56799999999998</v>
      </c>
      <c r="S29" s="38"/>
    </row>
    <row r="30" spans="1:19" ht="15.75">
      <c r="A30" s="38"/>
      <c r="D30" s="35" t="s">
        <v>164</v>
      </c>
      <c r="F30" s="656">
        <f ca="1">SUM(F19:F29)</f>
        <v>0.31122500000000003</v>
      </c>
      <c r="H30" t="s">
        <v>126</v>
      </c>
      <c r="I30" s="127">
        <f ca="1">OFFSET(INDIRECT("Simulação_Dados!D"&amp;MATCH("V"&amp;$I$32,Simulação_Dados!D:D,0)),13,1)</f>
        <v>0</v>
      </c>
      <c r="J30" s="12"/>
      <c r="O30" s="28" t="s">
        <v>125</v>
      </c>
      <c r="P30" s="470"/>
      <c r="Q30" s="439">
        <f ca="1">Financeiro!C33</f>
        <v>801.79200000000003</v>
      </c>
      <c r="S30" s="38"/>
    </row>
    <row r="31" spans="1:19">
      <c r="A31" s="38"/>
      <c r="H31" t="s">
        <v>1721</v>
      </c>
      <c r="I31" s="127">
        <f ca="1">OFFSET(INDIRECT("Simulação_Dados!D"&amp;MATCH("V"&amp;$I$32,Simulação_Dados!D:D,0)),14,1)</f>
        <v>0</v>
      </c>
      <c r="O31" s="28" t="s">
        <v>126</v>
      </c>
      <c r="P31" s="470"/>
      <c r="Q31" s="439">
        <f ca="1">Financeiro!C34</f>
        <v>1002.24</v>
      </c>
      <c r="S31" s="38"/>
    </row>
    <row r="32" spans="1:19">
      <c r="A32" s="38"/>
      <c r="H32" s="28" t="s">
        <v>1722</v>
      </c>
      <c r="I32" s="444">
        <v>1</v>
      </c>
      <c r="S32" s="38"/>
    </row>
    <row r="33" spans="1:19" ht="15.75">
      <c r="A33" s="38"/>
      <c r="D33" s="465" t="s">
        <v>1723</v>
      </c>
      <c r="F33">
        <v>3</v>
      </c>
      <c r="H33" s="28" t="s">
        <v>1724</v>
      </c>
      <c r="I33" s="348">
        <f>INDEX(Simulação_Dados!C:C,MATCH("V"&amp;$I$32,Simulação_Dados!D:D,0))</f>
        <v>4.68</v>
      </c>
      <c r="O33" s="28" t="s">
        <v>1725</v>
      </c>
      <c r="P33" s="29">
        <f>IF($P$34="",VLOOKUP($M$19,Orçamento!BW18:BX23,2,FALSE),$P$34)</f>
        <v>0.3</v>
      </c>
      <c r="S33" s="38"/>
    </row>
    <row r="34" spans="1:19" ht="15.75">
      <c r="A34" s="38"/>
      <c r="D34" s="465" t="s">
        <v>1726</v>
      </c>
      <c r="F34">
        <f>ROUNDUP(Resumo!$E$187/8,0)+IF($F$33&lt;=2,1,$F$33-1)</f>
        <v>4</v>
      </c>
      <c r="O34" s="28" t="s">
        <v>1727</v>
      </c>
      <c r="P34" s="507"/>
      <c r="S34" s="38"/>
    </row>
    <row r="35" spans="1:19" ht="15.75" thickBot="1">
      <c r="A35" s="38"/>
      <c r="S35" s="38"/>
    </row>
    <row r="36" spans="1:19">
      <c r="A36" s="38"/>
      <c r="O36" s="519" t="s">
        <v>1728</v>
      </c>
      <c r="P36" s="520" t="str">
        <f ca="1">Resumo!$F$367&amp;TEXT(Resumo!$E$367," (0,00)")</f>
        <v>2 anos e 2 meses (2,25)</v>
      </c>
      <c r="Q36" s="521"/>
      <c r="R36" s="510"/>
      <c r="S36" s="38"/>
    </row>
    <row r="37" spans="1:19">
      <c r="A37" s="38"/>
      <c r="O37" s="511" t="s">
        <v>1729</v>
      </c>
      <c r="P37" s="509">
        <f ca="1">Resumo!$E$379</f>
        <v>1099.4440330811947</v>
      </c>
      <c r="R37" s="512"/>
      <c r="S37" s="38"/>
    </row>
    <row r="38" spans="1:19">
      <c r="A38" s="38"/>
      <c r="O38" s="517" t="s">
        <v>1730</v>
      </c>
      <c r="P38" s="518">
        <f ca="1">Resumo!$E$380</f>
        <v>190.3498353829211</v>
      </c>
      <c r="R38" s="512"/>
      <c r="S38" s="38"/>
    </row>
    <row r="39" spans="1:19">
      <c r="A39" s="38"/>
      <c r="O39" s="511" t="s">
        <v>1731</v>
      </c>
      <c r="P39" s="509">
        <f ca="1">SUM(Financeiro!$J$173:$J$182)</f>
        <v>147766.39538526747</v>
      </c>
      <c r="R39" s="512"/>
      <c r="S39" s="38"/>
    </row>
    <row r="40" spans="1:19">
      <c r="A40" s="38"/>
      <c r="O40" s="511" t="s">
        <v>1732</v>
      </c>
      <c r="P40" s="509">
        <f ca="1">SUM(Financeiro!$J$173:$J$197)</f>
        <v>456366.36409468192</v>
      </c>
      <c r="R40" s="512"/>
      <c r="S40" s="38"/>
    </row>
    <row r="41" spans="1:19" ht="15.75" thickBot="1">
      <c r="A41" s="38"/>
      <c r="O41" s="513" t="s">
        <v>1733</v>
      </c>
      <c r="P41" s="514">
        <f ca="1">SUM(Financeiro!$D$173:$D$182)</f>
        <v>191152.4332391007</v>
      </c>
      <c r="Q41" s="515"/>
      <c r="R41" s="516"/>
      <c r="S41" s="38"/>
    </row>
    <row r="42" spans="1:19" ht="4.9000000000000004" customHeight="1">
      <c r="A42" s="38"/>
      <c r="B42" s="38"/>
      <c r="C42" s="38"/>
      <c r="D42" s="38"/>
      <c r="E42" s="38"/>
      <c r="F42" s="38"/>
      <c r="G42" s="38"/>
      <c r="H42" s="38"/>
      <c r="I42" s="38"/>
      <c r="J42" s="38"/>
      <c r="K42" s="38"/>
      <c r="L42" s="38"/>
      <c r="M42" s="38"/>
      <c r="N42" s="38"/>
      <c r="O42" s="38"/>
      <c r="P42" s="38"/>
      <c r="Q42" s="38"/>
      <c r="R42" s="38"/>
      <c r="S42" s="38"/>
    </row>
  </sheetData>
  <sheetProtection formatRows="0" selectLockedCells="1"/>
  <dataConsolidate/>
  <phoneticPr fontId="2" type="noConversion"/>
  <dataValidations count="2">
    <dataValidation type="decimal" allowBlank="1" showInputMessage="1" showErrorMessage="1" errorTitle="Dados Inválidos" error="Colocar valores entre 0° e 90°!" sqref="F8" xr:uid="{11DD1B73-015E-479F-9FD0-1A0EDF404666}">
      <formula1>0</formula1>
      <formula2>90</formula2>
    </dataValidation>
    <dataValidation type="decimal" allowBlank="1" showInputMessage="1" showErrorMessage="1" errorTitle="Dados Inválidos" error="Colocar valores entre -180°(Oeste) e 180°(Leste)!" sqref="F7" xr:uid="{6C032264-0041-4579-9EF5-373E8C6D87B5}">
      <formula1>-180</formula1>
      <formula2>180</formula2>
    </dataValidation>
  </dataValidations>
  <pageMargins left="0.511811024" right="0.511811024" top="0.78740157499999996" bottom="0.78740157499999996" header="0.31496062000000002" footer="0.31496062000000002"/>
  <pageSetup paperSize="9" orientation="portrait" horizontalDpi="360" verticalDpi="360" r:id="rId1"/>
  <drawing r:id="rId2"/>
  <legacyDrawing r:id="rId3"/>
  <mc:AlternateContent xmlns:mc="http://schemas.openxmlformats.org/markup-compatibility/2006">
    <mc:Choice Requires="x14">
      <controls>
        <mc:AlternateContent xmlns:mc="http://schemas.openxmlformats.org/markup-compatibility/2006">
          <mc:Choice Requires="x14">
            <control shapeId="15395" r:id="rId4" name="Spinner 35">
              <controlPr defaultSize="0" autoPict="0">
                <anchor moveWithCells="1" sizeWithCells="1">
                  <from>
                    <xdr:col>16</xdr:col>
                    <xdr:colOff>819150</xdr:colOff>
                    <xdr:row>1</xdr:row>
                    <xdr:rowOff>171450</xdr:rowOff>
                  </from>
                  <to>
                    <xdr:col>16</xdr:col>
                    <xdr:colOff>962025</xdr:colOff>
                    <xdr:row>3</xdr:row>
                    <xdr:rowOff>19050</xdr:rowOff>
                  </to>
                </anchor>
              </controlPr>
            </control>
          </mc:Choice>
        </mc:AlternateContent>
        <mc:AlternateContent xmlns:mc="http://schemas.openxmlformats.org/markup-compatibility/2006">
          <mc:Choice Requires="x14">
            <control shapeId="15406" r:id="rId5" name="Drop Down 46">
              <controlPr defaultSize="0" autoLine="0" autoPict="0" altText="teste">
                <anchor moveWithCells="1">
                  <from>
                    <xdr:col>5</xdr:col>
                    <xdr:colOff>0</xdr:colOff>
                    <xdr:row>11</xdr:row>
                    <xdr:rowOff>0</xdr:rowOff>
                  </from>
                  <to>
                    <xdr:col>7</xdr:col>
                    <xdr:colOff>1000125</xdr:colOff>
                    <xdr:row>12</xdr:row>
                    <xdr:rowOff>0</xdr:rowOff>
                  </to>
                </anchor>
              </controlPr>
            </control>
          </mc:Choice>
        </mc:AlternateContent>
        <mc:AlternateContent xmlns:mc="http://schemas.openxmlformats.org/markup-compatibility/2006">
          <mc:Choice Requires="x14">
            <control shapeId="15418" r:id="rId6" name="Drop Down 58">
              <controlPr defaultSize="0" autoLine="0" autoPict="0" altText="teste">
                <anchor moveWithCells="1">
                  <from>
                    <xdr:col>5</xdr:col>
                    <xdr:colOff>19050</xdr:colOff>
                    <xdr:row>13</xdr:row>
                    <xdr:rowOff>9525</xdr:rowOff>
                  </from>
                  <to>
                    <xdr:col>7</xdr:col>
                    <xdr:colOff>971550</xdr:colOff>
                    <xdr:row>14</xdr:row>
                    <xdr:rowOff>0</xdr:rowOff>
                  </to>
                </anchor>
              </controlPr>
            </control>
          </mc:Choice>
        </mc:AlternateContent>
        <mc:AlternateContent xmlns:mc="http://schemas.openxmlformats.org/markup-compatibility/2006">
          <mc:Choice Requires="x14">
            <control shapeId="15423" r:id="rId7" name="Drop Down 63">
              <controlPr defaultSize="0" autoLine="0" autoPict="0">
                <anchor moveWithCells="1">
                  <from>
                    <xdr:col>6</xdr:col>
                    <xdr:colOff>704850</xdr:colOff>
                    <xdr:row>2</xdr:row>
                    <xdr:rowOff>0</xdr:rowOff>
                  </from>
                  <to>
                    <xdr:col>7</xdr:col>
                    <xdr:colOff>800100</xdr:colOff>
                    <xdr:row>3</xdr:row>
                    <xdr:rowOff>9525</xdr:rowOff>
                  </to>
                </anchor>
              </controlPr>
            </control>
          </mc:Choice>
        </mc:AlternateContent>
        <mc:AlternateContent xmlns:mc="http://schemas.openxmlformats.org/markup-compatibility/2006">
          <mc:Choice Requires="x14">
            <control shapeId="15424" r:id="rId8" name="Spinner 64">
              <controlPr defaultSize="0" autoPict="0">
                <anchor moveWithCells="1" sizeWithCells="1">
                  <from>
                    <xdr:col>9</xdr:col>
                    <xdr:colOff>104775</xdr:colOff>
                    <xdr:row>30</xdr:row>
                    <xdr:rowOff>171450</xdr:rowOff>
                  </from>
                  <to>
                    <xdr:col>9</xdr:col>
                    <xdr:colOff>371475</xdr:colOff>
                    <xdr:row>33</xdr:row>
                    <xdr:rowOff>19050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09" id="{00000000-000E-0000-0400-000035000000}">
            <xm:f>AND(($I$33&lt;&gt;$M$17),Resumo!$E$103=2)</xm:f>
            <x14:dxf>
              <font>
                <b/>
                <i val="0"/>
                <color theme="0" tint="-4.9989318521683403E-2"/>
              </font>
              <fill>
                <patternFill>
                  <bgColor rgb="FFFF0000"/>
                </patternFill>
              </fill>
            </x14:dxf>
          </x14:cfRule>
          <xm:sqref>H17:I33</xm:sqref>
        </x14:conditionalFormatting>
        <x14:conditionalFormatting xmlns:xm="http://schemas.microsoft.com/office/excel/2006/main">
          <x14:cfRule type="expression" priority="1" id="{58014971-356C-475D-8F28-8B93967FC33E}">
            <xm:f>OR(AND($I$31&gt;0,Resumo!$E$103=1),AND($I$31=0,Resumo!$E$103=2))</xm:f>
            <x14:dxf>
              <fill>
                <patternFill>
                  <bgColor rgb="FFFF0000"/>
                </patternFill>
              </fill>
            </x14:dxf>
          </x14:cfRule>
          <xm:sqref>F3:I3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7EE36-AC96-4D47-B70E-E23FEE4319CF}">
  <sheetPr codeName="Planilha4"/>
  <dimension ref="A1:R1736"/>
  <sheetViews>
    <sheetView showGridLines="0" zoomScaleNormal="100" workbookViewId="0">
      <pane ySplit="2" topLeftCell="A69" activePane="bottomLeft" state="frozen"/>
      <selection activeCell="J37" sqref="J37"/>
      <selection pane="bottomLeft" activeCell="L83" sqref="L83"/>
    </sheetView>
  </sheetViews>
  <sheetFormatPr defaultColWidth="0" defaultRowHeight="15"/>
  <cols>
    <col min="1" max="1" width="13.85546875" bestFit="1" customWidth="1"/>
    <col min="2" max="2" width="17.5703125" bestFit="1" customWidth="1"/>
    <col min="3" max="3" width="14.7109375" bestFit="1" customWidth="1"/>
    <col min="4" max="4" width="11" style="96" bestFit="1" customWidth="1"/>
    <col min="5" max="5" width="13.85546875" style="13" bestFit="1" customWidth="1"/>
    <col min="6" max="6" width="9.42578125" style="486" bestFit="1" customWidth="1"/>
    <col min="7" max="7" width="9.42578125" style="13" bestFit="1" customWidth="1"/>
    <col min="8" max="8" width="18.85546875" style="13" bestFit="1" customWidth="1"/>
    <col min="9" max="9" width="17.5703125" style="13" bestFit="1" customWidth="1"/>
    <col min="10" max="10" width="8.140625" bestFit="1" customWidth="1"/>
    <col min="11" max="11" width="11.140625" style="131" bestFit="1" customWidth="1"/>
    <col min="12" max="12" width="11.7109375" bestFit="1" customWidth="1"/>
    <col min="13" max="13" width="10.28515625" bestFit="1" customWidth="1"/>
    <col min="14" max="14" width="81.140625" bestFit="1" customWidth="1"/>
    <col min="15" max="17" width="80.85546875" bestFit="1" customWidth="1"/>
    <col min="18" max="18" width="80.85546875" hidden="1" customWidth="1"/>
    <col min="19" max="16384" width="8.85546875" hidden="1"/>
  </cols>
  <sheetData>
    <row r="1" spans="1:14" s="445" customFormat="1" ht="26.45" customHeight="1">
      <c r="D1" s="739" t="str">
        <f>"*Escolher o kit na validade e com potência próxima a "&amp;Simulação!$M$17&amp;"kWp e avançar para a próxima etapa"</f>
        <v>*Escolher o kit na validade e com potência próxima a 8,19kWp e avançar para a próxima etapa</v>
      </c>
      <c r="E1" s="740"/>
      <c r="F1" s="741"/>
      <c r="G1" s="740"/>
      <c r="H1" s="740"/>
      <c r="I1" s="740"/>
      <c r="J1" s="742"/>
      <c r="K1" s="579"/>
    </row>
    <row r="2" spans="1:14">
      <c r="A2" t="s">
        <v>1734</v>
      </c>
      <c r="B2" t="s">
        <v>218</v>
      </c>
      <c r="C2" t="s">
        <v>292</v>
      </c>
      <c r="D2" s="96" t="s">
        <v>1735</v>
      </c>
      <c r="E2" s="13" t="s">
        <v>1736</v>
      </c>
      <c r="F2" s="485" t="s">
        <v>1737</v>
      </c>
      <c r="G2" s="13" t="s">
        <v>1738</v>
      </c>
      <c r="H2" s="13" t="s">
        <v>1739</v>
      </c>
      <c r="I2" s="13" t="s">
        <v>1740</v>
      </c>
      <c r="J2" t="s">
        <v>1741</v>
      </c>
      <c r="K2" s="131" t="s">
        <v>1742</v>
      </c>
      <c r="L2" t="s">
        <v>5843</v>
      </c>
      <c r="M2" t="s">
        <v>1694</v>
      </c>
      <c r="N2" t="s">
        <v>1743</v>
      </c>
    </row>
    <row r="3" spans="1:14">
      <c r="A3" t="s">
        <v>1746</v>
      </c>
      <c r="B3" t="s">
        <v>1189</v>
      </c>
      <c r="C3" t="s">
        <v>1744</v>
      </c>
      <c r="D3" s="96">
        <v>0.56999999999999995</v>
      </c>
      <c r="E3" s="13">
        <v>3307.1</v>
      </c>
      <c r="F3" s="486">
        <v>5.8018999999999998</v>
      </c>
      <c r="G3"/>
      <c r="H3" s="13">
        <v>3307.1</v>
      </c>
      <c r="I3" s="13">
        <v>5.8018999999999998</v>
      </c>
      <c r="J3">
        <v>13</v>
      </c>
      <c r="K3" s="131">
        <v>45688</v>
      </c>
      <c r="M3">
        <v>570</v>
      </c>
      <c r="N3" t="s">
        <v>5844</v>
      </c>
    </row>
    <row r="4" spans="1:14">
      <c r="A4" t="s">
        <v>1746</v>
      </c>
      <c r="B4" t="s">
        <v>1189</v>
      </c>
      <c r="C4" t="s">
        <v>1744</v>
      </c>
      <c r="D4" s="96">
        <v>0.56999999999999995</v>
      </c>
      <c r="E4" s="13">
        <v>3309.94</v>
      </c>
      <c r="F4" s="486">
        <v>5.8068999999999997</v>
      </c>
      <c r="G4"/>
      <c r="H4" s="13">
        <v>3309.94</v>
      </c>
      <c r="I4" s="13">
        <v>5.8068999999999997</v>
      </c>
      <c r="J4">
        <v>13</v>
      </c>
      <c r="K4" s="131">
        <v>45688</v>
      </c>
      <c r="M4">
        <v>570</v>
      </c>
      <c r="N4" t="s">
        <v>5845</v>
      </c>
    </row>
    <row r="5" spans="1:14">
      <c r="A5" t="s">
        <v>1746</v>
      </c>
      <c r="B5" t="s">
        <v>1189</v>
      </c>
      <c r="C5" t="s">
        <v>1744</v>
      </c>
      <c r="D5" s="96">
        <v>0.71</v>
      </c>
      <c r="E5" s="13">
        <v>3510.58</v>
      </c>
      <c r="F5" s="486">
        <v>4.9444999999999997</v>
      </c>
      <c r="G5"/>
      <c r="H5" s="13">
        <v>3510.58</v>
      </c>
      <c r="I5" s="13">
        <v>4.9444999999999997</v>
      </c>
      <c r="J5">
        <v>13</v>
      </c>
      <c r="K5" s="131">
        <v>45688</v>
      </c>
      <c r="M5">
        <v>710</v>
      </c>
      <c r="N5" t="s">
        <v>5846</v>
      </c>
    </row>
    <row r="6" spans="1:14">
      <c r="A6" t="s">
        <v>1746</v>
      </c>
      <c r="B6" t="s">
        <v>1189</v>
      </c>
      <c r="C6" t="s">
        <v>1744</v>
      </c>
      <c r="D6" s="96">
        <v>1.1399999999999999</v>
      </c>
      <c r="E6" s="13">
        <v>3831.78</v>
      </c>
      <c r="F6" s="486">
        <v>3.3612000000000002</v>
      </c>
      <c r="G6"/>
      <c r="H6" s="13">
        <v>3831.78</v>
      </c>
      <c r="I6" s="13">
        <v>3.3612000000000002</v>
      </c>
      <c r="J6">
        <v>13</v>
      </c>
      <c r="K6" s="131">
        <v>45688</v>
      </c>
      <c r="M6">
        <v>570</v>
      </c>
      <c r="N6" t="s">
        <v>5847</v>
      </c>
    </row>
    <row r="7" spans="1:14">
      <c r="A7" t="s">
        <v>1746</v>
      </c>
      <c r="B7" t="s">
        <v>1189</v>
      </c>
      <c r="C7" t="s">
        <v>1744</v>
      </c>
      <c r="D7" s="96">
        <v>1.1399999999999999</v>
      </c>
      <c r="E7" s="13">
        <v>3837.46</v>
      </c>
      <c r="F7" s="486">
        <v>3.3662000000000001</v>
      </c>
      <c r="G7"/>
      <c r="H7" s="13">
        <v>3837.46</v>
      </c>
      <c r="I7" s="13">
        <v>3.3662000000000001</v>
      </c>
      <c r="J7">
        <v>13</v>
      </c>
      <c r="K7" s="131">
        <v>45688</v>
      </c>
      <c r="M7">
        <v>570</v>
      </c>
      <c r="N7" t="s">
        <v>5848</v>
      </c>
    </row>
    <row r="8" spans="1:14">
      <c r="A8" t="s">
        <v>1746</v>
      </c>
      <c r="B8" t="s">
        <v>1189</v>
      </c>
      <c r="C8" t="s">
        <v>1744</v>
      </c>
      <c r="D8" s="96">
        <v>1.42</v>
      </c>
      <c r="E8" s="13">
        <v>4238.74</v>
      </c>
      <c r="F8" s="486">
        <v>2.9849999999999999</v>
      </c>
      <c r="G8"/>
      <c r="H8" s="13">
        <v>4238.74</v>
      </c>
      <c r="I8" s="13">
        <v>2.9849999999999999</v>
      </c>
      <c r="J8">
        <v>13</v>
      </c>
      <c r="K8" s="131">
        <v>45688</v>
      </c>
      <c r="M8">
        <v>710</v>
      </c>
      <c r="N8" t="s">
        <v>5849</v>
      </c>
    </row>
    <row r="9" spans="1:14">
      <c r="A9" t="s">
        <v>1746</v>
      </c>
      <c r="B9" t="s">
        <v>1189</v>
      </c>
      <c r="C9" t="s">
        <v>1744</v>
      </c>
      <c r="D9" s="96">
        <v>1.71</v>
      </c>
      <c r="E9" s="13">
        <v>4356.47</v>
      </c>
      <c r="F9" s="486">
        <v>2.5476000000000001</v>
      </c>
      <c r="G9"/>
      <c r="H9" s="13">
        <v>4356.47</v>
      </c>
      <c r="I9" s="13">
        <v>2.5476000000000001</v>
      </c>
      <c r="J9">
        <v>13</v>
      </c>
      <c r="K9" s="131">
        <v>45688</v>
      </c>
      <c r="M9">
        <v>570</v>
      </c>
      <c r="N9" t="s">
        <v>5850</v>
      </c>
    </row>
    <row r="10" spans="1:14">
      <c r="A10" t="s">
        <v>1746</v>
      </c>
      <c r="B10" t="s">
        <v>1189</v>
      </c>
      <c r="C10" t="s">
        <v>1744</v>
      </c>
      <c r="D10" s="96">
        <v>1.71</v>
      </c>
      <c r="E10" s="13">
        <v>4364.99</v>
      </c>
      <c r="F10" s="486">
        <v>2.5526</v>
      </c>
      <c r="G10"/>
      <c r="H10" s="13">
        <v>4364.99</v>
      </c>
      <c r="I10" s="13">
        <v>2.5526</v>
      </c>
      <c r="J10">
        <v>13</v>
      </c>
      <c r="K10" s="131">
        <v>45688</v>
      </c>
      <c r="M10">
        <v>570</v>
      </c>
      <c r="N10" t="s">
        <v>5851</v>
      </c>
    </row>
    <row r="11" spans="1:14">
      <c r="A11" t="s">
        <v>1746</v>
      </c>
      <c r="B11" t="s">
        <v>1189</v>
      </c>
      <c r="C11" t="s">
        <v>1744</v>
      </c>
      <c r="D11" s="96">
        <v>2.13</v>
      </c>
      <c r="E11" s="13">
        <v>4966.8999999999996</v>
      </c>
      <c r="F11" s="486">
        <v>2.3319000000000001</v>
      </c>
      <c r="G11"/>
      <c r="H11" s="13">
        <v>4966.8999999999996</v>
      </c>
      <c r="I11" s="13">
        <v>2.3319000000000001</v>
      </c>
      <c r="J11">
        <v>13</v>
      </c>
      <c r="K11" s="131">
        <v>45688</v>
      </c>
      <c r="M11">
        <v>710</v>
      </c>
      <c r="N11" t="s">
        <v>5852</v>
      </c>
    </row>
    <row r="12" spans="1:14">
      <c r="A12" t="s">
        <v>1746</v>
      </c>
      <c r="B12" t="s">
        <v>1189</v>
      </c>
      <c r="C12" t="s">
        <v>1744</v>
      </c>
      <c r="D12" s="96">
        <v>2.2799999999999998</v>
      </c>
      <c r="E12" s="13">
        <v>4881.1499999999996</v>
      </c>
      <c r="F12" s="486">
        <v>2.1408999999999998</v>
      </c>
      <c r="G12"/>
      <c r="H12" s="13">
        <v>4881.1499999999996</v>
      </c>
      <c r="I12" s="13">
        <v>2.1408999999999998</v>
      </c>
      <c r="J12">
        <v>13</v>
      </c>
      <c r="K12" s="131">
        <v>45688</v>
      </c>
      <c r="M12">
        <v>570</v>
      </c>
      <c r="N12" t="s">
        <v>5853</v>
      </c>
    </row>
    <row r="13" spans="1:14">
      <c r="A13" t="s">
        <v>1746</v>
      </c>
      <c r="B13" t="s">
        <v>1189</v>
      </c>
      <c r="C13" t="s">
        <v>1744</v>
      </c>
      <c r="D13" s="96">
        <v>2.2799999999999998</v>
      </c>
      <c r="E13" s="13">
        <v>4892.51</v>
      </c>
      <c r="F13" s="486">
        <v>2.1457999999999999</v>
      </c>
      <c r="G13"/>
      <c r="H13" s="13">
        <v>4892.51</v>
      </c>
      <c r="I13" s="13">
        <v>2.1457999999999999</v>
      </c>
      <c r="J13">
        <v>13</v>
      </c>
      <c r="K13" s="131">
        <v>45688</v>
      </c>
      <c r="M13">
        <v>570</v>
      </c>
      <c r="N13" t="s">
        <v>5854</v>
      </c>
    </row>
    <row r="14" spans="1:14">
      <c r="A14" t="s">
        <v>1746</v>
      </c>
      <c r="B14" t="s">
        <v>1189</v>
      </c>
      <c r="C14" t="s">
        <v>1744</v>
      </c>
      <c r="D14" s="96">
        <v>2.84</v>
      </c>
      <c r="E14" s="13">
        <v>5695.06</v>
      </c>
      <c r="F14" s="486">
        <v>2.0053000000000001</v>
      </c>
      <c r="G14"/>
      <c r="H14" s="13">
        <v>5695.06</v>
      </c>
      <c r="I14" s="13">
        <v>2.0053000000000001</v>
      </c>
      <c r="J14">
        <v>13</v>
      </c>
      <c r="K14" s="131">
        <v>45688</v>
      </c>
      <c r="M14">
        <v>710</v>
      </c>
      <c r="N14" t="s">
        <v>5855</v>
      </c>
    </row>
    <row r="15" spans="1:14">
      <c r="A15" t="s">
        <v>1746</v>
      </c>
      <c r="B15" t="s">
        <v>4067</v>
      </c>
      <c r="C15" t="s">
        <v>1744</v>
      </c>
      <c r="D15" s="96">
        <v>2.85</v>
      </c>
      <c r="E15" s="13">
        <v>7527</v>
      </c>
      <c r="F15" s="486">
        <v>2.6410999999999998</v>
      </c>
      <c r="G15"/>
      <c r="H15" s="13">
        <v>7527</v>
      </c>
      <c r="I15" s="13">
        <v>2.6410999999999998</v>
      </c>
      <c r="J15">
        <v>13</v>
      </c>
      <c r="K15" s="131">
        <v>45688</v>
      </c>
      <c r="M15">
        <v>570</v>
      </c>
      <c r="N15" t="s">
        <v>5856</v>
      </c>
    </row>
    <row r="16" spans="1:14">
      <c r="A16" t="s">
        <v>1746</v>
      </c>
      <c r="B16" t="s">
        <v>4067</v>
      </c>
      <c r="C16" t="s">
        <v>1744</v>
      </c>
      <c r="D16" s="96">
        <v>2.85</v>
      </c>
      <c r="E16" s="13">
        <v>7541.2</v>
      </c>
      <c r="F16" s="486">
        <v>2.6459999999999999</v>
      </c>
      <c r="G16"/>
      <c r="H16" s="13">
        <v>7541.2</v>
      </c>
      <c r="I16" s="13">
        <v>2.6459999999999999</v>
      </c>
      <c r="J16">
        <v>13</v>
      </c>
      <c r="K16" s="131">
        <v>45688</v>
      </c>
      <c r="M16">
        <v>570</v>
      </c>
      <c r="N16" t="s">
        <v>5857</v>
      </c>
    </row>
    <row r="17" spans="1:14">
      <c r="A17" t="s">
        <v>1746</v>
      </c>
      <c r="B17" t="s">
        <v>1747</v>
      </c>
      <c r="C17" t="s">
        <v>1744</v>
      </c>
      <c r="D17" s="96">
        <v>3.42</v>
      </c>
      <c r="E17" s="13">
        <v>5861.81</v>
      </c>
      <c r="F17" s="486">
        <v>1.714</v>
      </c>
      <c r="G17"/>
      <c r="H17" s="13">
        <v>5861.81</v>
      </c>
      <c r="I17" s="13">
        <v>1.714</v>
      </c>
      <c r="J17">
        <v>13</v>
      </c>
      <c r="K17" s="131">
        <v>45688</v>
      </c>
      <c r="M17">
        <v>570</v>
      </c>
      <c r="N17" t="s">
        <v>5858</v>
      </c>
    </row>
    <row r="18" spans="1:14">
      <c r="A18" t="s">
        <v>1746</v>
      </c>
      <c r="B18" t="s">
        <v>1747</v>
      </c>
      <c r="C18" t="s">
        <v>1744</v>
      </c>
      <c r="D18" s="96">
        <v>3.42</v>
      </c>
      <c r="E18" s="13">
        <v>5878.85</v>
      </c>
      <c r="F18" s="486">
        <v>1.7190000000000001</v>
      </c>
      <c r="G18"/>
      <c r="H18" s="13">
        <v>5878.85</v>
      </c>
      <c r="I18" s="13">
        <v>1.7190000000000001</v>
      </c>
      <c r="J18">
        <v>13</v>
      </c>
      <c r="K18" s="131">
        <v>45688</v>
      </c>
      <c r="M18">
        <v>570</v>
      </c>
      <c r="N18" t="s">
        <v>5859</v>
      </c>
    </row>
    <row r="19" spans="1:14">
      <c r="A19" t="s">
        <v>1746</v>
      </c>
      <c r="B19" t="s">
        <v>1748</v>
      </c>
      <c r="C19" t="s">
        <v>1744</v>
      </c>
      <c r="D19" s="96">
        <v>3.42</v>
      </c>
      <c r="E19" s="13">
        <v>5976.33</v>
      </c>
      <c r="F19" s="486">
        <v>1.7475000000000001</v>
      </c>
      <c r="G19"/>
      <c r="H19" s="13">
        <v>5976.33</v>
      </c>
      <c r="I19" s="13">
        <v>1.7475000000000001</v>
      </c>
      <c r="J19">
        <v>13</v>
      </c>
      <c r="K19" s="131">
        <v>45688</v>
      </c>
      <c r="M19">
        <v>570</v>
      </c>
      <c r="N19" t="s">
        <v>5860</v>
      </c>
    </row>
    <row r="20" spans="1:14">
      <c r="A20" t="s">
        <v>1746</v>
      </c>
      <c r="B20" t="s">
        <v>1748</v>
      </c>
      <c r="C20" t="s">
        <v>1744</v>
      </c>
      <c r="D20" s="96">
        <v>3.42</v>
      </c>
      <c r="E20" s="13">
        <v>5993.36</v>
      </c>
      <c r="F20" s="486">
        <v>1.7524</v>
      </c>
      <c r="G20"/>
      <c r="H20" s="13">
        <v>5993.36</v>
      </c>
      <c r="I20" s="13">
        <v>1.7524</v>
      </c>
      <c r="J20">
        <v>13</v>
      </c>
      <c r="K20" s="131">
        <v>45688</v>
      </c>
      <c r="M20">
        <v>570</v>
      </c>
      <c r="N20" t="s">
        <v>5861</v>
      </c>
    </row>
    <row r="21" spans="1:14">
      <c r="A21" t="s">
        <v>1746</v>
      </c>
      <c r="B21" t="s">
        <v>4067</v>
      </c>
      <c r="C21" t="s">
        <v>1744</v>
      </c>
      <c r="D21" s="96">
        <v>3.42</v>
      </c>
      <c r="E21" s="13">
        <v>8051.69</v>
      </c>
      <c r="F21" s="486">
        <v>2.3542999999999998</v>
      </c>
      <c r="G21"/>
      <c r="H21" s="13">
        <v>8051.69</v>
      </c>
      <c r="I21" s="13">
        <v>2.3542999999999998</v>
      </c>
      <c r="J21">
        <v>13</v>
      </c>
      <c r="K21" s="131">
        <v>45688</v>
      </c>
      <c r="M21">
        <v>570</v>
      </c>
      <c r="N21" t="s">
        <v>5862</v>
      </c>
    </row>
    <row r="22" spans="1:14">
      <c r="A22" t="s">
        <v>1746</v>
      </c>
      <c r="B22" t="s">
        <v>4067</v>
      </c>
      <c r="C22" t="s">
        <v>1744</v>
      </c>
      <c r="D22" s="96">
        <v>3.42</v>
      </c>
      <c r="E22" s="13">
        <v>8068.72</v>
      </c>
      <c r="F22" s="486">
        <v>2.3593000000000002</v>
      </c>
      <c r="G22"/>
      <c r="H22" s="13">
        <v>8068.72</v>
      </c>
      <c r="I22" s="13">
        <v>2.3593000000000002</v>
      </c>
      <c r="J22">
        <v>13</v>
      </c>
      <c r="K22" s="131">
        <v>45688</v>
      </c>
      <c r="M22">
        <v>570</v>
      </c>
      <c r="N22" t="s">
        <v>5863</v>
      </c>
    </row>
    <row r="23" spans="1:14">
      <c r="A23" t="s">
        <v>1746</v>
      </c>
      <c r="B23" t="s">
        <v>4067</v>
      </c>
      <c r="C23" t="s">
        <v>1744</v>
      </c>
      <c r="D23" s="96">
        <v>3.55</v>
      </c>
      <c r="E23" s="13">
        <v>8544.3799999999992</v>
      </c>
      <c r="F23" s="486">
        <v>2.4068999999999998</v>
      </c>
      <c r="G23"/>
      <c r="H23" s="13">
        <v>8544.3799999999992</v>
      </c>
      <c r="I23" s="13">
        <v>2.4068999999999998</v>
      </c>
      <c r="J23">
        <v>13</v>
      </c>
      <c r="K23" s="131">
        <v>45688</v>
      </c>
      <c r="M23">
        <v>710</v>
      </c>
      <c r="N23" t="s">
        <v>5864</v>
      </c>
    </row>
    <row r="24" spans="1:14">
      <c r="A24" t="s">
        <v>1746</v>
      </c>
      <c r="B24" t="s">
        <v>1747</v>
      </c>
      <c r="C24" t="s">
        <v>1744</v>
      </c>
      <c r="D24" s="96">
        <v>3.99</v>
      </c>
      <c r="E24" s="13">
        <v>6386.5</v>
      </c>
      <c r="F24" s="486">
        <v>1.6006</v>
      </c>
      <c r="G24"/>
      <c r="H24" s="13">
        <v>6386.5</v>
      </c>
      <c r="I24" s="13">
        <v>1.6006</v>
      </c>
      <c r="J24">
        <v>13</v>
      </c>
      <c r="K24" s="131">
        <v>45688</v>
      </c>
      <c r="M24">
        <v>570</v>
      </c>
      <c r="N24" t="s">
        <v>5865</v>
      </c>
    </row>
    <row r="25" spans="1:14">
      <c r="A25" t="s">
        <v>1746</v>
      </c>
      <c r="B25" t="s">
        <v>1747</v>
      </c>
      <c r="C25" t="s">
        <v>1744</v>
      </c>
      <c r="D25" s="96">
        <v>3.99</v>
      </c>
      <c r="E25" s="13">
        <v>6406.37</v>
      </c>
      <c r="F25" s="486">
        <v>1.6055999999999999</v>
      </c>
      <c r="G25"/>
      <c r="H25" s="13">
        <v>6406.37</v>
      </c>
      <c r="I25" s="13">
        <v>1.6055999999999999</v>
      </c>
      <c r="J25">
        <v>13</v>
      </c>
      <c r="K25" s="131">
        <v>45688</v>
      </c>
      <c r="M25">
        <v>570</v>
      </c>
      <c r="N25" t="s">
        <v>5866</v>
      </c>
    </row>
    <row r="26" spans="1:14">
      <c r="A26" t="s">
        <v>1746</v>
      </c>
      <c r="B26" t="s">
        <v>1748</v>
      </c>
      <c r="C26" t="s">
        <v>1744</v>
      </c>
      <c r="D26" s="96">
        <v>3.99</v>
      </c>
      <c r="E26" s="13">
        <v>6501.01</v>
      </c>
      <c r="F26" s="486">
        <v>1.6293</v>
      </c>
      <c r="H26" s="13">
        <v>6501.01</v>
      </c>
      <c r="I26" s="13">
        <v>1.6293</v>
      </c>
      <c r="J26">
        <v>13</v>
      </c>
      <c r="K26" s="131">
        <v>45688</v>
      </c>
      <c r="M26">
        <v>570</v>
      </c>
      <c r="N26" t="s">
        <v>5867</v>
      </c>
    </row>
    <row r="27" spans="1:14">
      <c r="A27" t="s">
        <v>1746</v>
      </c>
      <c r="B27" t="s">
        <v>1748</v>
      </c>
      <c r="C27" t="s">
        <v>1744</v>
      </c>
      <c r="D27" s="96">
        <v>3.99</v>
      </c>
      <c r="E27" s="13">
        <v>6520.89</v>
      </c>
      <c r="F27" s="486">
        <v>1.6343000000000001</v>
      </c>
      <c r="G27"/>
      <c r="H27" s="13">
        <v>6520.89</v>
      </c>
      <c r="I27" s="13">
        <v>1.6343000000000001</v>
      </c>
      <c r="J27">
        <v>13</v>
      </c>
      <c r="K27" s="131">
        <v>45688</v>
      </c>
      <c r="M27">
        <v>570</v>
      </c>
      <c r="N27" t="s">
        <v>5868</v>
      </c>
    </row>
    <row r="28" spans="1:14">
      <c r="A28" t="s">
        <v>1746</v>
      </c>
      <c r="B28" t="s">
        <v>4067</v>
      </c>
      <c r="C28" t="s">
        <v>1744</v>
      </c>
      <c r="D28" s="96">
        <v>3.99</v>
      </c>
      <c r="E28" s="13">
        <v>8576.3700000000008</v>
      </c>
      <c r="F28" s="486">
        <v>2.1495000000000002</v>
      </c>
      <c r="G28"/>
      <c r="H28" s="13">
        <v>8576.3700000000008</v>
      </c>
      <c r="I28" s="13">
        <v>2.1495000000000002</v>
      </c>
      <c r="J28">
        <v>13</v>
      </c>
      <c r="K28" s="131">
        <v>45688</v>
      </c>
      <c r="M28">
        <v>570</v>
      </c>
      <c r="N28" t="s">
        <v>5869</v>
      </c>
    </row>
    <row r="29" spans="1:14">
      <c r="A29" t="s">
        <v>1746</v>
      </c>
      <c r="B29" t="s">
        <v>4067</v>
      </c>
      <c r="C29" t="s">
        <v>1744</v>
      </c>
      <c r="D29" s="96">
        <v>3.99</v>
      </c>
      <c r="E29" s="13">
        <v>8596.25</v>
      </c>
      <c r="F29" s="486">
        <v>2.1543999999999999</v>
      </c>
      <c r="G29"/>
      <c r="H29" s="13">
        <v>8596.25</v>
      </c>
      <c r="I29" s="13">
        <v>2.1543999999999999</v>
      </c>
      <c r="J29">
        <v>13</v>
      </c>
      <c r="K29" s="131">
        <v>45688</v>
      </c>
      <c r="M29">
        <v>570</v>
      </c>
      <c r="N29" t="s">
        <v>5870</v>
      </c>
    </row>
    <row r="30" spans="1:14">
      <c r="A30" t="s">
        <v>1746</v>
      </c>
      <c r="B30" t="s">
        <v>4067</v>
      </c>
      <c r="C30" t="s">
        <v>1744</v>
      </c>
      <c r="D30" s="96">
        <v>4.26</v>
      </c>
      <c r="E30" s="13">
        <v>9272.5400000000009</v>
      </c>
      <c r="F30" s="486">
        <v>2.1766999999999999</v>
      </c>
      <c r="G30"/>
      <c r="H30" s="13">
        <v>9272.5400000000009</v>
      </c>
      <c r="I30" s="13">
        <v>2.1766999999999999</v>
      </c>
      <c r="J30">
        <v>13</v>
      </c>
      <c r="K30" s="131">
        <v>45688</v>
      </c>
      <c r="M30">
        <v>710</v>
      </c>
      <c r="N30" t="s">
        <v>5871</v>
      </c>
    </row>
    <row r="31" spans="1:14">
      <c r="A31" t="s">
        <v>1746</v>
      </c>
      <c r="B31" t="s">
        <v>1747</v>
      </c>
      <c r="C31" t="s">
        <v>1744</v>
      </c>
      <c r="D31" s="96">
        <v>4.5599999999999996</v>
      </c>
      <c r="E31" s="13">
        <v>7491.89</v>
      </c>
      <c r="F31" s="486">
        <v>1.643</v>
      </c>
      <c r="G31"/>
      <c r="H31" s="13">
        <v>7491.89</v>
      </c>
      <c r="I31" s="13">
        <v>1.643</v>
      </c>
      <c r="J31">
        <v>13</v>
      </c>
      <c r="K31" s="131">
        <v>45688</v>
      </c>
      <c r="M31">
        <v>570</v>
      </c>
      <c r="N31" t="s">
        <v>5872</v>
      </c>
    </row>
    <row r="32" spans="1:14">
      <c r="A32" t="s">
        <v>1746</v>
      </c>
      <c r="B32" t="s">
        <v>1747</v>
      </c>
      <c r="C32" t="s">
        <v>1744</v>
      </c>
      <c r="D32" s="96">
        <v>4.5599999999999996</v>
      </c>
      <c r="E32" s="13">
        <v>7514.61</v>
      </c>
      <c r="F32" s="486">
        <v>1.6478999999999999</v>
      </c>
      <c r="G32"/>
      <c r="H32" s="13">
        <v>7514.61</v>
      </c>
      <c r="I32" s="13">
        <v>1.6478999999999999</v>
      </c>
      <c r="J32">
        <v>13</v>
      </c>
      <c r="K32" s="131">
        <v>45688</v>
      </c>
      <c r="M32">
        <v>570</v>
      </c>
      <c r="N32" t="s">
        <v>5873</v>
      </c>
    </row>
    <row r="33" spans="1:14">
      <c r="A33" t="s">
        <v>1746</v>
      </c>
      <c r="B33" t="s">
        <v>1748</v>
      </c>
      <c r="C33" t="s">
        <v>1744</v>
      </c>
      <c r="D33" s="96">
        <v>4.5599999999999996</v>
      </c>
      <c r="E33" s="13">
        <v>7534.48</v>
      </c>
      <c r="F33" s="486">
        <v>1.6523000000000001</v>
      </c>
      <c r="G33"/>
      <c r="H33" s="13">
        <v>7534.48</v>
      </c>
      <c r="I33" s="13">
        <v>1.6523000000000001</v>
      </c>
      <c r="J33">
        <v>13</v>
      </c>
      <c r="K33" s="131">
        <v>45688</v>
      </c>
      <c r="M33">
        <v>570</v>
      </c>
      <c r="N33" t="s">
        <v>5874</v>
      </c>
    </row>
    <row r="34" spans="1:14">
      <c r="A34" t="s">
        <v>1746</v>
      </c>
      <c r="B34" t="s">
        <v>1748</v>
      </c>
      <c r="C34" t="s">
        <v>1744</v>
      </c>
      <c r="D34" s="96">
        <v>4.5599999999999996</v>
      </c>
      <c r="E34" s="13">
        <v>7557.19</v>
      </c>
      <c r="F34" s="486">
        <v>1.6573</v>
      </c>
      <c r="G34"/>
      <c r="H34" s="13">
        <v>7557.19</v>
      </c>
      <c r="I34" s="13">
        <v>1.6573</v>
      </c>
      <c r="J34">
        <v>13</v>
      </c>
      <c r="K34" s="131">
        <v>45688</v>
      </c>
      <c r="M34">
        <v>570</v>
      </c>
      <c r="N34" t="s">
        <v>5875</v>
      </c>
    </row>
    <row r="35" spans="1:14">
      <c r="A35" t="s">
        <v>1746</v>
      </c>
      <c r="B35" t="s">
        <v>4067</v>
      </c>
      <c r="C35" t="s">
        <v>1744</v>
      </c>
      <c r="D35" s="96">
        <v>4.5599999999999996</v>
      </c>
      <c r="E35" s="13">
        <v>9101.06</v>
      </c>
      <c r="F35" s="486">
        <v>1.9958</v>
      </c>
      <c r="G35"/>
      <c r="H35" s="13">
        <v>9101.06</v>
      </c>
      <c r="I35" s="13">
        <v>1.9958</v>
      </c>
      <c r="J35">
        <v>13</v>
      </c>
      <c r="K35" s="131">
        <v>45688</v>
      </c>
      <c r="M35">
        <v>570</v>
      </c>
      <c r="N35" t="s">
        <v>5876</v>
      </c>
    </row>
    <row r="36" spans="1:14">
      <c r="A36" t="s">
        <v>1746</v>
      </c>
      <c r="B36" t="s">
        <v>4067</v>
      </c>
      <c r="C36" t="s">
        <v>1744</v>
      </c>
      <c r="D36" s="96">
        <v>4.5599999999999996</v>
      </c>
      <c r="E36" s="13">
        <v>9123.77</v>
      </c>
      <c r="F36" s="486">
        <v>2.0007999999999999</v>
      </c>
      <c r="G36"/>
      <c r="H36" s="13">
        <v>9123.77</v>
      </c>
      <c r="I36" s="13">
        <v>2.0007999999999999</v>
      </c>
      <c r="J36">
        <v>13</v>
      </c>
      <c r="K36" s="131">
        <v>45688</v>
      </c>
      <c r="M36">
        <v>570</v>
      </c>
      <c r="N36" t="s">
        <v>5877</v>
      </c>
    </row>
    <row r="37" spans="1:14">
      <c r="A37" t="s">
        <v>1745</v>
      </c>
      <c r="B37" t="s">
        <v>5171</v>
      </c>
      <c r="C37" t="s">
        <v>314</v>
      </c>
      <c r="D37" s="96">
        <v>4.88</v>
      </c>
      <c r="E37" s="13">
        <v>7606.17</v>
      </c>
      <c r="F37" s="486">
        <v>1.5586</v>
      </c>
      <c r="G37">
        <v>0</v>
      </c>
      <c r="H37" s="13">
        <v>7606.17</v>
      </c>
      <c r="I37" s="13">
        <v>1.5586</v>
      </c>
      <c r="J37">
        <v>13</v>
      </c>
      <c r="K37" s="131">
        <v>45747</v>
      </c>
      <c r="M37">
        <v>570</v>
      </c>
      <c r="N37" t="s">
        <v>5282</v>
      </c>
    </row>
    <row r="38" spans="1:14">
      <c r="A38" t="s">
        <v>1746</v>
      </c>
      <c r="B38" t="s">
        <v>4067</v>
      </c>
      <c r="C38" t="s">
        <v>1744</v>
      </c>
      <c r="D38" s="96">
        <v>4.97</v>
      </c>
      <c r="E38" s="13">
        <v>10000.700000000001</v>
      </c>
      <c r="F38" s="486">
        <v>2.0122</v>
      </c>
      <c r="G38"/>
      <c r="H38" s="13">
        <v>10000.700000000001</v>
      </c>
      <c r="I38" s="13">
        <v>2.0122</v>
      </c>
      <c r="J38">
        <v>13</v>
      </c>
      <c r="K38" s="131">
        <v>45688</v>
      </c>
      <c r="M38">
        <v>710</v>
      </c>
      <c r="N38" t="s">
        <v>5878</v>
      </c>
    </row>
    <row r="39" spans="1:14">
      <c r="A39" t="s">
        <v>1746</v>
      </c>
      <c r="B39" t="s">
        <v>1747</v>
      </c>
      <c r="C39" t="s">
        <v>1744</v>
      </c>
      <c r="D39" s="96">
        <v>5.13</v>
      </c>
      <c r="E39" s="13">
        <v>8331.16</v>
      </c>
      <c r="F39" s="486">
        <v>1.6240000000000001</v>
      </c>
      <c r="G39"/>
      <c r="H39" s="13">
        <v>8331.16</v>
      </c>
      <c r="I39" s="13">
        <v>1.6240000000000001</v>
      </c>
      <c r="J39">
        <v>13</v>
      </c>
      <c r="K39" s="131">
        <v>45688</v>
      </c>
      <c r="M39">
        <v>570</v>
      </c>
      <c r="N39" t="s">
        <v>5879</v>
      </c>
    </row>
    <row r="40" spans="1:14">
      <c r="A40" t="s">
        <v>1746</v>
      </c>
      <c r="B40" t="s">
        <v>1747</v>
      </c>
      <c r="C40" t="s">
        <v>1744</v>
      </c>
      <c r="D40" s="96">
        <v>5.13</v>
      </c>
      <c r="E40" s="13">
        <v>8356.7099999999991</v>
      </c>
      <c r="F40" s="486">
        <v>1.629</v>
      </c>
      <c r="G40"/>
      <c r="H40" s="13">
        <v>8356.7099999999991</v>
      </c>
      <c r="I40" s="13">
        <v>1.629</v>
      </c>
      <c r="J40">
        <v>13</v>
      </c>
      <c r="K40" s="131">
        <v>45688</v>
      </c>
      <c r="M40">
        <v>570</v>
      </c>
      <c r="N40" t="s">
        <v>5880</v>
      </c>
    </row>
    <row r="41" spans="1:14">
      <c r="A41" t="s">
        <v>1746</v>
      </c>
      <c r="B41" t="s">
        <v>1748</v>
      </c>
      <c r="C41" t="s">
        <v>1744</v>
      </c>
      <c r="D41" s="96">
        <v>5.13</v>
      </c>
      <c r="E41" s="13">
        <v>8373.75</v>
      </c>
      <c r="F41" s="486">
        <v>1.6323000000000001</v>
      </c>
      <c r="G41"/>
      <c r="H41" s="13">
        <v>8373.75</v>
      </c>
      <c r="I41" s="13">
        <v>1.6323000000000001</v>
      </c>
      <c r="J41">
        <v>13</v>
      </c>
      <c r="K41" s="131">
        <v>45688</v>
      </c>
      <c r="M41">
        <v>570</v>
      </c>
      <c r="N41" t="s">
        <v>5881</v>
      </c>
    </row>
    <row r="42" spans="1:14">
      <c r="A42" t="s">
        <v>1746</v>
      </c>
      <c r="B42" t="s">
        <v>1748</v>
      </c>
      <c r="C42" t="s">
        <v>1744</v>
      </c>
      <c r="D42" s="96">
        <v>5.13</v>
      </c>
      <c r="E42" s="13">
        <v>8399.2999999999993</v>
      </c>
      <c r="F42" s="486">
        <v>1.6373</v>
      </c>
      <c r="G42"/>
      <c r="H42" s="13">
        <v>8399.2999999999993</v>
      </c>
      <c r="I42" s="13">
        <v>1.6373</v>
      </c>
      <c r="J42">
        <v>13</v>
      </c>
      <c r="K42" s="131">
        <v>45688</v>
      </c>
      <c r="M42">
        <v>570</v>
      </c>
      <c r="N42" t="s">
        <v>5882</v>
      </c>
    </row>
    <row r="43" spans="1:14">
      <c r="A43" t="s">
        <v>1746</v>
      </c>
      <c r="B43" t="s">
        <v>5883</v>
      </c>
      <c r="C43" t="s">
        <v>1744</v>
      </c>
      <c r="D43" s="96">
        <v>5.13</v>
      </c>
      <c r="E43" s="13">
        <v>11746.91</v>
      </c>
      <c r="F43" s="486">
        <v>2.2898000000000001</v>
      </c>
      <c r="G43"/>
      <c r="H43" s="13">
        <v>11746.91</v>
      </c>
      <c r="I43" s="13">
        <v>2.2898000000000001</v>
      </c>
      <c r="J43">
        <v>13</v>
      </c>
      <c r="K43" s="131">
        <v>45688</v>
      </c>
      <c r="M43">
        <v>570</v>
      </c>
      <c r="N43" t="s">
        <v>5884</v>
      </c>
    </row>
    <row r="44" spans="1:14">
      <c r="A44" t="s">
        <v>1746</v>
      </c>
      <c r="B44" t="s">
        <v>5883</v>
      </c>
      <c r="C44" t="s">
        <v>1744</v>
      </c>
      <c r="D44" s="96">
        <v>5.13</v>
      </c>
      <c r="E44" s="13">
        <v>11772.46</v>
      </c>
      <c r="F44" s="486">
        <v>2.2948</v>
      </c>
      <c r="G44"/>
      <c r="H44" s="13">
        <v>11772.46</v>
      </c>
      <c r="I44" s="13">
        <v>2.2948</v>
      </c>
      <c r="J44">
        <v>13</v>
      </c>
      <c r="K44" s="131">
        <v>45688</v>
      </c>
      <c r="M44">
        <v>570</v>
      </c>
      <c r="N44" t="s">
        <v>5885</v>
      </c>
    </row>
    <row r="45" spans="1:14">
      <c r="A45" t="s">
        <v>1746</v>
      </c>
      <c r="B45" t="s">
        <v>4067</v>
      </c>
      <c r="C45" t="s">
        <v>1744</v>
      </c>
      <c r="D45" s="96">
        <v>5.68</v>
      </c>
      <c r="E45" s="13">
        <v>10728.86</v>
      </c>
      <c r="F45" s="486">
        <v>1.8889</v>
      </c>
      <c r="G45"/>
      <c r="H45" s="13">
        <v>10728.86</v>
      </c>
      <c r="I45" s="13">
        <v>1.8889</v>
      </c>
      <c r="J45">
        <v>13</v>
      </c>
      <c r="K45" s="131">
        <v>45688</v>
      </c>
      <c r="M45">
        <v>710</v>
      </c>
      <c r="N45" t="s">
        <v>5886</v>
      </c>
    </row>
    <row r="46" spans="1:14">
      <c r="A46" t="s">
        <v>1746</v>
      </c>
      <c r="B46" t="s">
        <v>1747</v>
      </c>
      <c r="C46" t="s">
        <v>1744</v>
      </c>
      <c r="D46" s="96">
        <v>5.7</v>
      </c>
      <c r="E46" s="13">
        <v>8938.18</v>
      </c>
      <c r="F46" s="486">
        <v>1.5681</v>
      </c>
      <c r="H46" s="13">
        <v>8938.18</v>
      </c>
      <c r="I46" s="13">
        <v>1.5681</v>
      </c>
      <c r="J46">
        <v>13</v>
      </c>
      <c r="K46" s="131">
        <v>45688</v>
      </c>
      <c r="M46">
        <v>570</v>
      </c>
      <c r="N46" t="s">
        <v>5887</v>
      </c>
    </row>
    <row r="47" spans="1:14">
      <c r="A47" t="s">
        <v>1746</v>
      </c>
      <c r="B47" t="s">
        <v>1747</v>
      </c>
      <c r="C47" t="s">
        <v>1744</v>
      </c>
      <c r="D47" s="96">
        <v>5.7</v>
      </c>
      <c r="E47" s="13">
        <v>8966.57</v>
      </c>
      <c r="F47" s="486">
        <v>1.5730999999999999</v>
      </c>
      <c r="G47"/>
      <c r="H47" s="13">
        <v>8966.57</v>
      </c>
      <c r="I47" s="13">
        <v>1.5730999999999999</v>
      </c>
      <c r="J47">
        <v>13</v>
      </c>
      <c r="K47" s="131">
        <v>45688</v>
      </c>
      <c r="M47">
        <v>570</v>
      </c>
      <c r="N47" t="s">
        <v>5888</v>
      </c>
    </row>
    <row r="48" spans="1:14">
      <c r="A48" t="s">
        <v>1746</v>
      </c>
      <c r="B48" t="s">
        <v>1748</v>
      </c>
      <c r="C48" t="s">
        <v>1744</v>
      </c>
      <c r="D48" s="96">
        <v>5.7</v>
      </c>
      <c r="E48" s="13">
        <v>9021.4599999999991</v>
      </c>
      <c r="F48" s="486">
        <v>1.5827</v>
      </c>
      <c r="G48"/>
      <c r="H48" s="13">
        <v>9021.4599999999991</v>
      </c>
      <c r="I48" s="13">
        <v>1.5827</v>
      </c>
      <c r="J48">
        <v>13</v>
      </c>
      <c r="K48" s="131">
        <v>45688</v>
      </c>
      <c r="M48">
        <v>570</v>
      </c>
      <c r="N48" t="s">
        <v>5889</v>
      </c>
    </row>
    <row r="49" spans="1:14">
      <c r="A49" t="s">
        <v>1746</v>
      </c>
      <c r="B49" t="s">
        <v>1748</v>
      </c>
      <c r="C49" t="s">
        <v>1744</v>
      </c>
      <c r="D49" s="96">
        <v>5.7</v>
      </c>
      <c r="E49" s="13">
        <v>9049.86</v>
      </c>
      <c r="F49" s="486">
        <v>1.5876999999999999</v>
      </c>
      <c r="G49"/>
      <c r="H49" s="13">
        <v>9049.86</v>
      </c>
      <c r="I49" s="13">
        <v>1.5876999999999999</v>
      </c>
      <c r="J49">
        <v>13</v>
      </c>
      <c r="K49" s="131">
        <v>45688</v>
      </c>
      <c r="M49">
        <v>570</v>
      </c>
      <c r="N49" t="s">
        <v>5890</v>
      </c>
    </row>
    <row r="50" spans="1:14">
      <c r="A50" t="s">
        <v>1746</v>
      </c>
      <c r="B50" t="s">
        <v>5883</v>
      </c>
      <c r="C50" t="s">
        <v>1744</v>
      </c>
      <c r="D50" s="96">
        <v>5.7</v>
      </c>
      <c r="E50" s="13">
        <v>12271.59</v>
      </c>
      <c r="F50" s="486">
        <v>2.1528999999999998</v>
      </c>
      <c r="G50"/>
      <c r="H50" s="13">
        <v>12271.59</v>
      </c>
      <c r="I50" s="13">
        <v>2.1528999999999998</v>
      </c>
      <c r="J50">
        <v>13</v>
      </c>
      <c r="K50" s="131">
        <v>45688</v>
      </c>
      <c r="M50">
        <v>570</v>
      </c>
      <c r="N50" t="s">
        <v>5891</v>
      </c>
    </row>
    <row r="51" spans="1:14">
      <c r="A51" t="s">
        <v>1746</v>
      </c>
      <c r="B51" t="s">
        <v>5883</v>
      </c>
      <c r="C51" t="s">
        <v>1744</v>
      </c>
      <c r="D51" s="96">
        <v>5.7</v>
      </c>
      <c r="E51" s="13">
        <v>12299.98</v>
      </c>
      <c r="F51" s="486">
        <v>2.1579000000000002</v>
      </c>
      <c r="G51"/>
      <c r="H51" s="13">
        <v>12299.98</v>
      </c>
      <c r="I51" s="13">
        <v>2.1579000000000002</v>
      </c>
      <c r="J51">
        <v>13</v>
      </c>
      <c r="K51" s="131">
        <v>45688</v>
      </c>
      <c r="M51">
        <v>570</v>
      </c>
      <c r="N51" t="s">
        <v>5892</v>
      </c>
    </row>
    <row r="52" spans="1:14">
      <c r="A52" t="s">
        <v>1745</v>
      </c>
      <c r="B52" t="s">
        <v>5171</v>
      </c>
      <c r="C52" t="s">
        <v>314</v>
      </c>
      <c r="D52" s="96">
        <v>5.85</v>
      </c>
      <c r="E52" s="13">
        <v>10378.15</v>
      </c>
      <c r="F52" s="486">
        <v>1.774</v>
      </c>
      <c r="G52">
        <v>0</v>
      </c>
      <c r="H52" s="13">
        <v>10378.15</v>
      </c>
      <c r="I52" s="13">
        <v>1.774</v>
      </c>
      <c r="J52">
        <v>13</v>
      </c>
      <c r="K52" s="131">
        <v>45688</v>
      </c>
      <c r="M52">
        <v>585</v>
      </c>
      <c r="N52" t="s">
        <v>4940</v>
      </c>
    </row>
    <row r="53" spans="1:14">
      <c r="A53" t="s">
        <v>1746</v>
      </c>
      <c r="B53" t="s">
        <v>1747</v>
      </c>
      <c r="C53" t="s">
        <v>1744</v>
      </c>
      <c r="D53" s="96">
        <v>6.27</v>
      </c>
      <c r="E53" s="13">
        <v>9462.86</v>
      </c>
      <c r="F53" s="486">
        <v>1.5092000000000001</v>
      </c>
      <c r="G53"/>
      <c r="H53" s="13">
        <v>9462.86</v>
      </c>
      <c r="I53" s="13">
        <v>1.5092000000000001</v>
      </c>
      <c r="J53">
        <v>13</v>
      </c>
      <c r="K53" s="131">
        <v>45688</v>
      </c>
      <c r="M53">
        <v>570</v>
      </c>
      <c r="N53" t="s">
        <v>5893</v>
      </c>
    </row>
    <row r="54" spans="1:14">
      <c r="A54" t="s">
        <v>1746</v>
      </c>
      <c r="B54" t="s">
        <v>1747</v>
      </c>
      <c r="C54" t="s">
        <v>1744</v>
      </c>
      <c r="D54" s="96">
        <v>6.27</v>
      </c>
      <c r="E54" s="13">
        <v>9494.1</v>
      </c>
      <c r="F54" s="486">
        <v>1.5142</v>
      </c>
      <c r="G54"/>
      <c r="H54" s="13">
        <v>9494.1</v>
      </c>
      <c r="I54" s="13">
        <v>1.5142</v>
      </c>
      <c r="J54">
        <v>13</v>
      </c>
      <c r="K54" s="131">
        <v>45688</v>
      </c>
      <c r="M54">
        <v>570</v>
      </c>
      <c r="N54" t="s">
        <v>5894</v>
      </c>
    </row>
    <row r="55" spans="1:14">
      <c r="A55" t="s">
        <v>1746</v>
      </c>
      <c r="B55" t="s">
        <v>1748</v>
      </c>
      <c r="C55" t="s">
        <v>1744</v>
      </c>
      <c r="D55" s="96">
        <v>6.27</v>
      </c>
      <c r="E55" s="13">
        <v>9546.15</v>
      </c>
      <c r="F55" s="486">
        <v>1.5225</v>
      </c>
      <c r="G55"/>
      <c r="H55" s="13">
        <v>9546.15</v>
      </c>
      <c r="I55" s="13">
        <v>1.5225</v>
      </c>
      <c r="J55">
        <v>13</v>
      </c>
      <c r="K55" s="131">
        <v>45688</v>
      </c>
      <c r="M55">
        <v>570</v>
      </c>
      <c r="N55" t="s">
        <v>5895</v>
      </c>
    </row>
    <row r="56" spans="1:14">
      <c r="A56" t="s">
        <v>1746</v>
      </c>
      <c r="B56" t="s">
        <v>1748</v>
      </c>
      <c r="C56" t="s">
        <v>1744</v>
      </c>
      <c r="D56" s="96">
        <v>6.27</v>
      </c>
      <c r="E56" s="13">
        <v>9577.3799999999992</v>
      </c>
      <c r="F56" s="486">
        <v>1.5275000000000001</v>
      </c>
      <c r="G56"/>
      <c r="H56" s="13">
        <v>9577.3799999999992</v>
      </c>
      <c r="I56" s="13">
        <v>1.5275000000000001</v>
      </c>
      <c r="J56">
        <v>13</v>
      </c>
      <c r="K56" s="131">
        <v>45688</v>
      </c>
      <c r="M56">
        <v>570</v>
      </c>
      <c r="N56" t="s">
        <v>5896</v>
      </c>
    </row>
    <row r="57" spans="1:14">
      <c r="A57" t="s">
        <v>1746</v>
      </c>
      <c r="B57" t="s">
        <v>5883</v>
      </c>
      <c r="C57" t="s">
        <v>1744</v>
      </c>
      <c r="D57" s="96">
        <v>6.27</v>
      </c>
      <c r="E57" s="13">
        <v>12796.27</v>
      </c>
      <c r="F57" s="486">
        <v>2.0409000000000002</v>
      </c>
      <c r="G57"/>
      <c r="H57" s="13">
        <v>12796.27</v>
      </c>
      <c r="I57" s="13">
        <v>2.0409000000000002</v>
      </c>
      <c r="J57">
        <v>13</v>
      </c>
      <c r="K57" s="131">
        <v>45688</v>
      </c>
      <c r="M57">
        <v>570</v>
      </c>
      <c r="N57" t="s">
        <v>5897</v>
      </c>
    </row>
    <row r="58" spans="1:14">
      <c r="A58" t="s">
        <v>1746</v>
      </c>
      <c r="B58" t="s">
        <v>5883</v>
      </c>
      <c r="C58" t="s">
        <v>1744</v>
      </c>
      <c r="D58" s="96">
        <v>6.27</v>
      </c>
      <c r="E58" s="13">
        <v>12827.51</v>
      </c>
      <c r="F58" s="486">
        <v>2.0459000000000001</v>
      </c>
      <c r="G58"/>
      <c r="H58" s="13">
        <v>12827.51</v>
      </c>
      <c r="I58" s="13">
        <v>2.0459000000000001</v>
      </c>
      <c r="J58">
        <v>13</v>
      </c>
      <c r="K58" s="131">
        <v>45688</v>
      </c>
      <c r="M58">
        <v>570</v>
      </c>
      <c r="N58" t="s">
        <v>5898</v>
      </c>
    </row>
    <row r="59" spans="1:14">
      <c r="A59" t="s">
        <v>1746</v>
      </c>
      <c r="B59" t="s">
        <v>5883</v>
      </c>
      <c r="C59" t="s">
        <v>1744</v>
      </c>
      <c r="D59" s="96">
        <v>6.39</v>
      </c>
      <c r="E59" s="13">
        <v>13578.19</v>
      </c>
      <c r="F59" s="486">
        <v>2.1248999999999998</v>
      </c>
      <c r="G59"/>
      <c r="H59" s="13">
        <v>13578.19</v>
      </c>
      <c r="I59" s="13">
        <v>2.1248999999999998</v>
      </c>
      <c r="J59">
        <v>13</v>
      </c>
      <c r="K59" s="131">
        <v>45688</v>
      </c>
      <c r="M59">
        <v>710</v>
      </c>
      <c r="N59" t="s">
        <v>5899</v>
      </c>
    </row>
    <row r="60" spans="1:14">
      <c r="A60" t="s">
        <v>1746</v>
      </c>
      <c r="B60" t="s">
        <v>1747</v>
      </c>
      <c r="C60" t="s">
        <v>1744</v>
      </c>
      <c r="D60" s="96">
        <v>6.84</v>
      </c>
      <c r="E60" s="13">
        <v>9987.5499999999993</v>
      </c>
      <c r="F60" s="486">
        <v>1.4601999999999999</v>
      </c>
      <c r="G60"/>
      <c r="H60" s="13">
        <v>9987.5499999999993</v>
      </c>
      <c r="I60" s="13">
        <v>1.4601999999999999</v>
      </c>
      <c r="J60">
        <v>13</v>
      </c>
      <c r="K60" s="131">
        <v>45688</v>
      </c>
      <c r="M60">
        <v>570</v>
      </c>
      <c r="N60" t="s">
        <v>5900</v>
      </c>
    </row>
    <row r="61" spans="1:14">
      <c r="A61" t="s">
        <v>1746</v>
      </c>
      <c r="B61" t="s">
        <v>1747</v>
      </c>
      <c r="C61" t="s">
        <v>1744</v>
      </c>
      <c r="D61" s="96">
        <v>6.84</v>
      </c>
      <c r="E61" s="13">
        <v>10021.620000000001</v>
      </c>
      <c r="F61" s="486">
        <v>1.4651000000000001</v>
      </c>
      <c r="G61"/>
      <c r="H61" s="13">
        <v>10021.620000000001</v>
      </c>
      <c r="I61" s="13">
        <v>1.4651000000000001</v>
      </c>
      <c r="J61">
        <v>13</v>
      </c>
      <c r="K61" s="131">
        <v>45688</v>
      </c>
      <c r="M61">
        <v>570</v>
      </c>
      <c r="N61" t="s">
        <v>5901</v>
      </c>
    </row>
    <row r="62" spans="1:14">
      <c r="A62" t="s">
        <v>1746</v>
      </c>
      <c r="B62" t="s">
        <v>1748</v>
      </c>
      <c r="C62" t="s">
        <v>1744</v>
      </c>
      <c r="D62" s="96">
        <v>6.84</v>
      </c>
      <c r="E62" s="13">
        <v>10070.83</v>
      </c>
      <c r="F62" s="486">
        <v>1.4722999999999999</v>
      </c>
      <c r="G62"/>
      <c r="H62" s="13">
        <v>10070.83</v>
      </c>
      <c r="I62" s="13">
        <v>1.4722999999999999</v>
      </c>
      <c r="J62">
        <v>13</v>
      </c>
      <c r="K62" s="131">
        <v>45688</v>
      </c>
      <c r="M62">
        <v>570</v>
      </c>
      <c r="N62" t="s">
        <v>5902</v>
      </c>
    </row>
    <row r="63" spans="1:14">
      <c r="A63" t="s">
        <v>1746</v>
      </c>
      <c r="B63" t="s">
        <v>1748</v>
      </c>
      <c r="C63" t="s">
        <v>1744</v>
      </c>
      <c r="D63" s="96">
        <v>6.84</v>
      </c>
      <c r="E63" s="13">
        <v>10104.9</v>
      </c>
      <c r="F63" s="486">
        <v>1.4773000000000001</v>
      </c>
      <c r="G63"/>
      <c r="H63" s="13">
        <v>10104.9</v>
      </c>
      <c r="I63" s="13">
        <v>1.4773000000000001</v>
      </c>
      <c r="J63">
        <v>13</v>
      </c>
      <c r="K63" s="131">
        <v>45688</v>
      </c>
      <c r="M63">
        <v>570</v>
      </c>
      <c r="N63" t="s">
        <v>5903</v>
      </c>
    </row>
    <row r="64" spans="1:14">
      <c r="A64" t="s">
        <v>1746</v>
      </c>
      <c r="B64" t="s">
        <v>5883</v>
      </c>
      <c r="C64" t="s">
        <v>1744</v>
      </c>
      <c r="D64" s="96">
        <v>6.84</v>
      </c>
      <c r="E64" s="13">
        <v>13320.96</v>
      </c>
      <c r="F64" s="486">
        <v>1.9475</v>
      </c>
      <c r="G64"/>
      <c r="H64" s="13">
        <v>13320.96</v>
      </c>
      <c r="I64" s="13">
        <v>1.9475</v>
      </c>
      <c r="J64">
        <v>13</v>
      </c>
      <c r="K64" s="131">
        <v>45688</v>
      </c>
      <c r="M64">
        <v>570</v>
      </c>
      <c r="N64" t="s">
        <v>5904</v>
      </c>
    </row>
    <row r="65" spans="1:14">
      <c r="A65" t="s">
        <v>1746</v>
      </c>
      <c r="B65" t="s">
        <v>5883</v>
      </c>
      <c r="C65" t="s">
        <v>1744</v>
      </c>
      <c r="D65" s="96">
        <v>6.84</v>
      </c>
      <c r="E65" s="13">
        <v>13355.03</v>
      </c>
      <c r="F65" s="486">
        <v>1.9524999999999999</v>
      </c>
      <c r="G65"/>
      <c r="H65" s="13">
        <v>13355.03</v>
      </c>
      <c r="I65" s="13">
        <v>1.9524999999999999</v>
      </c>
      <c r="J65">
        <v>13</v>
      </c>
      <c r="K65" s="131">
        <v>45688</v>
      </c>
      <c r="M65">
        <v>570</v>
      </c>
      <c r="N65" t="s">
        <v>5905</v>
      </c>
    </row>
    <row r="66" spans="1:14">
      <c r="A66" t="s">
        <v>1745</v>
      </c>
      <c r="B66" t="s">
        <v>5171</v>
      </c>
      <c r="C66" t="s">
        <v>314</v>
      </c>
      <c r="D66" s="96">
        <v>7.02</v>
      </c>
      <c r="E66" s="13">
        <v>12588.44</v>
      </c>
      <c r="F66" s="486">
        <v>1.7931999999999999</v>
      </c>
      <c r="G66">
        <v>0</v>
      </c>
      <c r="H66" s="13">
        <v>12588.44</v>
      </c>
      <c r="I66" s="13">
        <v>1.7931999999999999</v>
      </c>
      <c r="J66">
        <v>13</v>
      </c>
      <c r="K66" s="131">
        <v>45716</v>
      </c>
      <c r="M66">
        <v>585</v>
      </c>
      <c r="N66" t="s">
        <v>5186</v>
      </c>
    </row>
    <row r="67" spans="1:14">
      <c r="A67" t="s">
        <v>1746</v>
      </c>
      <c r="B67" t="s">
        <v>5883</v>
      </c>
      <c r="C67" t="s">
        <v>1744</v>
      </c>
      <c r="D67" s="96">
        <v>7.1</v>
      </c>
      <c r="E67" s="13">
        <v>14306.35</v>
      </c>
      <c r="F67" s="486">
        <v>2.0150000000000001</v>
      </c>
      <c r="G67"/>
      <c r="H67" s="13">
        <v>14306.35</v>
      </c>
      <c r="I67" s="13">
        <v>2.0150000000000001</v>
      </c>
      <c r="J67">
        <v>13</v>
      </c>
      <c r="K67" s="131">
        <v>45688</v>
      </c>
      <c r="M67">
        <v>710</v>
      </c>
      <c r="N67" t="s">
        <v>5906</v>
      </c>
    </row>
    <row r="68" spans="1:14">
      <c r="A68" t="s">
        <v>1746</v>
      </c>
      <c r="B68" t="s">
        <v>1747</v>
      </c>
      <c r="C68" t="s">
        <v>1744</v>
      </c>
      <c r="D68" s="96">
        <v>7.41</v>
      </c>
      <c r="E68" s="13">
        <v>10990.54</v>
      </c>
      <c r="F68" s="486">
        <v>1.4832000000000001</v>
      </c>
      <c r="G68"/>
      <c r="H68" s="13">
        <v>10990.54</v>
      </c>
      <c r="I68" s="13">
        <v>1.4832000000000001</v>
      </c>
      <c r="J68">
        <v>13</v>
      </c>
      <c r="K68" s="131">
        <v>45688</v>
      </c>
      <c r="M68">
        <v>570</v>
      </c>
      <c r="N68" t="s">
        <v>5907</v>
      </c>
    </row>
    <row r="69" spans="1:14">
      <c r="A69" t="s">
        <v>1746</v>
      </c>
      <c r="B69" t="s">
        <v>1747</v>
      </c>
      <c r="C69" t="s">
        <v>1744</v>
      </c>
      <c r="D69" s="96">
        <v>7.41</v>
      </c>
      <c r="E69" s="13">
        <v>11027.45</v>
      </c>
      <c r="F69" s="486">
        <v>1.4882</v>
      </c>
      <c r="G69"/>
      <c r="H69" s="13">
        <v>11027.45</v>
      </c>
      <c r="I69" s="13">
        <v>1.4882</v>
      </c>
      <c r="J69">
        <v>13</v>
      </c>
      <c r="K69" s="131">
        <v>45688</v>
      </c>
      <c r="M69">
        <v>570</v>
      </c>
      <c r="N69" t="s">
        <v>5908</v>
      </c>
    </row>
    <row r="70" spans="1:14">
      <c r="A70" t="s">
        <v>1746</v>
      </c>
      <c r="B70" t="s">
        <v>1748</v>
      </c>
      <c r="C70" t="s">
        <v>1744</v>
      </c>
      <c r="D70" s="96">
        <v>7.41</v>
      </c>
      <c r="E70" s="13">
        <v>11141.02</v>
      </c>
      <c r="F70" s="486">
        <v>1.5035000000000001</v>
      </c>
      <c r="G70"/>
      <c r="H70" s="13">
        <v>11141.02</v>
      </c>
      <c r="I70" s="13">
        <v>1.5035000000000001</v>
      </c>
      <c r="J70">
        <v>13</v>
      </c>
      <c r="K70" s="131">
        <v>45688</v>
      </c>
      <c r="M70">
        <v>570</v>
      </c>
      <c r="N70" t="s">
        <v>5909</v>
      </c>
    </row>
    <row r="71" spans="1:14">
      <c r="A71" t="s">
        <v>1746</v>
      </c>
      <c r="B71" t="s">
        <v>1748</v>
      </c>
      <c r="C71" t="s">
        <v>1744</v>
      </c>
      <c r="D71" s="96">
        <v>7.41</v>
      </c>
      <c r="E71" s="13">
        <v>11177.93</v>
      </c>
      <c r="F71" s="486">
        <v>1.5085</v>
      </c>
      <c r="G71"/>
      <c r="H71" s="13">
        <v>11177.93</v>
      </c>
      <c r="I71" s="13">
        <v>1.5085</v>
      </c>
      <c r="J71">
        <v>13</v>
      </c>
      <c r="K71" s="131">
        <v>45688</v>
      </c>
      <c r="M71">
        <v>570</v>
      </c>
      <c r="N71" t="s">
        <v>5910</v>
      </c>
    </row>
    <row r="72" spans="1:14">
      <c r="A72" t="s">
        <v>1746</v>
      </c>
      <c r="B72" t="s">
        <v>5883</v>
      </c>
      <c r="C72" t="s">
        <v>1744</v>
      </c>
      <c r="D72" s="96">
        <v>7.41</v>
      </c>
      <c r="E72" s="13">
        <v>15933.02</v>
      </c>
      <c r="F72" s="486">
        <v>2.1501999999999999</v>
      </c>
      <c r="G72"/>
      <c r="H72" s="13">
        <v>15933.02</v>
      </c>
      <c r="I72" s="13">
        <v>2.1501999999999999</v>
      </c>
      <c r="J72">
        <v>13</v>
      </c>
      <c r="K72" s="131">
        <v>45688</v>
      </c>
      <c r="M72">
        <v>570</v>
      </c>
      <c r="N72" t="s">
        <v>5911</v>
      </c>
    </row>
    <row r="73" spans="1:14">
      <c r="A73" t="s">
        <v>1746</v>
      </c>
      <c r="B73" t="s">
        <v>5883</v>
      </c>
      <c r="C73" t="s">
        <v>1744</v>
      </c>
      <c r="D73" s="96">
        <v>7.41</v>
      </c>
      <c r="E73" s="13">
        <v>15969.93</v>
      </c>
      <c r="F73" s="486">
        <v>2.1551999999999998</v>
      </c>
      <c r="G73"/>
      <c r="H73" s="13">
        <v>15969.93</v>
      </c>
      <c r="I73" s="13">
        <v>2.1551999999999998</v>
      </c>
      <c r="J73">
        <v>13</v>
      </c>
      <c r="K73" s="131">
        <v>45688</v>
      </c>
      <c r="M73">
        <v>570</v>
      </c>
      <c r="N73" t="s">
        <v>5912</v>
      </c>
    </row>
    <row r="74" spans="1:14">
      <c r="A74" t="s">
        <v>1746</v>
      </c>
      <c r="B74" t="s">
        <v>5883</v>
      </c>
      <c r="C74" t="s">
        <v>1744</v>
      </c>
      <c r="D74" s="96">
        <v>7.81</v>
      </c>
      <c r="E74" s="13">
        <v>15034.51</v>
      </c>
      <c r="F74" s="486">
        <v>1.925</v>
      </c>
      <c r="G74"/>
      <c r="H74" s="13">
        <v>15034.51</v>
      </c>
      <c r="I74" s="13">
        <v>1.925</v>
      </c>
      <c r="J74">
        <v>13</v>
      </c>
      <c r="K74" s="131">
        <v>45688</v>
      </c>
      <c r="M74">
        <v>710</v>
      </c>
      <c r="N74" t="s">
        <v>5913</v>
      </c>
    </row>
    <row r="75" spans="1:14">
      <c r="A75" t="s">
        <v>1746</v>
      </c>
      <c r="B75" t="s">
        <v>1747</v>
      </c>
      <c r="C75" t="s">
        <v>1744</v>
      </c>
      <c r="D75" s="96">
        <v>7.98</v>
      </c>
      <c r="E75" s="13">
        <v>11515.23</v>
      </c>
      <c r="F75" s="486">
        <v>1.4430000000000001</v>
      </c>
      <c r="G75"/>
      <c r="H75" s="13">
        <v>11515.23</v>
      </c>
      <c r="I75" s="13">
        <v>1.4430000000000001</v>
      </c>
      <c r="J75">
        <v>13</v>
      </c>
      <c r="K75" s="131">
        <v>45688</v>
      </c>
      <c r="M75">
        <v>570</v>
      </c>
      <c r="N75" t="s">
        <v>5914</v>
      </c>
    </row>
    <row r="76" spans="1:14">
      <c r="A76" t="s">
        <v>1746</v>
      </c>
      <c r="B76" t="s">
        <v>1747</v>
      </c>
      <c r="C76" t="s">
        <v>1744</v>
      </c>
      <c r="D76" s="96">
        <v>7.98</v>
      </c>
      <c r="E76" s="13">
        <v>11554.98</v>
      </c>
      <c r="F76" s="486">
        <v>1.448</v>
      </c>
      <c r="G76"/>
      <c r="H76" s="13">
        <v>11554.98</v>
      </c>
      <c r="I76" s="13">
        <v>1.448</v>
      </c>
      <c r="J76">
        <v>13</v>
      </c>
      <c r="K76" s="131">
        <v>45688</v>
      </c>
      <c r="M76">
        <v>570</v>
      </c>
      <c r="N76" t="s">
        <v>5915</v>
      </c>
    </row>
    <row r="77" spans="1:14">
      <c r="A77" t="s">
        <v>1746</v>
      </c>
      <c r="B77" t="s">
        <v>1748</v>
      </c>
      <c r="C77" t="s">
        <v>1744</v>
      </c>
      <c r="D77" s="96">
        <v>7.98</v>
      </c>
      <c r="E77" s="13">
        <v>11665.7</v>
      </c>
      <c r="F77" s="486">
        <v>1.4619</v>
      </c>
      <c r="G77"/>
      <c r="H77" s="13">
        <v>11665.7</v>
      </c>
      <c r="I77" s="13">
        <v>1.4619</v>
      </c>
      <c r="J77">
        <v>13</v>
      </c>
      <c r="K77" s="131">
        <v>45688</v>
      </c>
      <c r="M77">
        <v>570</v>
      </c>
      <c r="N77" t="s">
        <v>5916</v>
      </c>
    </row>
    <row r="78" spans="1:14">
      <c r="A78" t="s">
        <v>1746</v>
      </c>
      <c r="B78" t="s">
        <v>1748</v>
      </c>
      <c r="C78" t="s">
        <v>1744</v>
      </c>
      <c r="D78" s="96">
        <v>7.98</v>
      </c>
      <c r="E78" s="13">
        <v>11705.45</v>
      </c>
      <c r="F78" s="486">
        <v>1.4668000000000001</v>
      </c>
      <c r="G78"/>
      <c r="H78" s="13">
        <v>11705.45</v>
      </c>
      <c r="I78" s="13">
        <v>1.4668000000000001</v>
      </c>
      <c r="J78">
        <v>13</v>
      </c>
      <c r="K78" s="131">
        <v>45688</v>
      </c>
      <c r="M78">
        <v>570</v>
      </c>
      <c r="N78" t="s">
        <v>5917</v>
      </c>
    </row>
    <row r="79" spans="1:14">
      <c r="A79" t="s">
        <v>1746</v>
      </c>
      <c r="B79" t="s">
        <v>5883</v>
      </c>
      <c r="C79" t="s">
        <v>1744</v>
      </c>
      <c r="D79" s="96">
        <v>7.98</v>
      </c>
      <c r="E79" s="13">
        <v>16457.71</v>
      </c>
      <c r="F79" s="486">
        <v>2.0623999999999998</v>
      </c>
      <c r="G79"/>
      <c r="H79" s="13">
        <v>16457.71</v>
      </c>
      <c r="I79" s="13">
        <v>2.0623999999999998</v>
      </c>
      <c r="J79">
        <v>13</v>
      </c>
      <c r="K79" s="131">
        <v>45688</v>
      </c>
      <c r="M79">
        <v>570</v>
      </c>
      <c r="N79" t="s">
        <v>5918</v>
      </c>
    </row>
    <row r="80" spans="1:14">
      <c r="A80" t="s">
        <v>1746</v>
      </c>
      <c r="B80" t="s">
        <v>5883</v>
      </c>
      <c r="C80" t="s">
        <v>1744</v>
      </c>
      <c r="D80" s="96">
        <v>7.98</v>
      </c>
      <c r="E80" s="13">
        <v>16497.46</v>
      </c>
      <c r="F80" s="486">
        <v>2.0674000000000001</v>
      </c>
      <c r="G80"/>
      <c r="H80" s="13">
        <v>16497.46</v>
      </c>
      <c r="I80" s="13">
        <v>2.0674000000000001</v>
      </c>
      <c r="J80">
        <v>13</v>
      </c>
      <c r="K80" s="131">
        <v>45688</v>
      </c>
      <c r="M80">
        <v>570</v>
      </c>
      <c r="N80" t="s">
        <v>5919</v>
      </c>
    </row>
    <row r="81" spans="1:14">
      <c r="A81" t="s">
        <v>1746</v>
      </c>
      <c r="B81" t="s">
        <v>5883</v>
      </c>
      <c r="C81" t="s">
        <v>1744</v>
      </c>
      <c r="D81" s="96">
        <v>8.52</v>
      </c>
      <c r="E81" s="13">
        <v>15762.67</v>
      </c>
      <c r="F81" s="486">
        <v>1.8501000000000001</v>
      </c>
      <c r="G81"/>
      <c r="H81" s="13">
        <v>15762.67</v>
      </c>
      <c r="I81" s="13">
        <v>1.8501000000000001</v>
      </c>
      <c r="J81">
        <v>13</v>
      </c>
      <c r="K81" s="131">
        <v>45688</v>
      </c>
      <c r="M81">
        <v>710</v>
      </c>
      <c r="N81" t="s">
        <v>5920</v>
      </c>
    </row>
    <row r="82" spans="1:14">
      <c r="A82" t="s">
        <v>1746</v>
      </c>
      <c r="B82" t="s">
        <v>1748</v>
      </c>
      <c r="C82" t="s">
        <v>1744</v>
      </c>
      <c r="D82" s="96">
        <v>8.5500000000000007</v>
      </c>
      <c r="E82" s="13">
        <v>13003.91</v>
      </c>
      <c r="F82" s="486">
        <v>1.5208999999999999</v>
      </c>
      <c r="G82"/>
      <c r="H82" s="13">
        <v>13003.91</v>
      </c>
      <c r="I82" s="13">
        <v>1.5208999999999999</v>
      </c>
      <c r="J82">
        <v>13</v>
      </c>
      <c r="K82" s="131">
        <v>45688</v>
      </c>
      <c r="L82" t="s">
        <v>7593</v>
      </c>
      <c r="M82">
        <v>570</v>
      </c>
      <c r="N82" t="s">
        <v>5921</v>
      </c>
    </row>
    <row r="83" spans="1:14">
      <c r="A83" t="s">
        <v>1746</v>
      </c>
      <c r="B83" t="s">
        <v>1748</v>
      </c>
      <c r="C83" t="s">
        <v>1744</v>
      </c>
      <c r="D83" s="96">
        <v>8.5500000000000007</v>
      </c>
      <c r="E83" s="13">
        <v>13046.5</v>
      </c>
      <c r="F83" s="486">
        <v>1.5259</v>
      </c>
      <c r="H83" s="13">
        <v>13046.5</v>
      </c>
      <c r="I83" s="13">
        <v>1.5259</v>
      </c>
      <c r="J83">
        <v>13</v>
      </c>
      <c r="K83" s="131">
        <v>45688</v>
      </c>
      <c r="M83">
        <v>570</v>
      </c>
      <c r="N83" t="s">
        <v>5922</v>
      </c>
    </row>
    <row r="84" spans="1:14">
      <c r="A84" t="s">
        <v>1746</v>
      </c>
      <c r="B84" t="s">
        <v>1747</v>
      </c>
      <c r="C84" t="s">
        <v>1744</v>
      </c>
      <c r="D84" s="96">
        <v>8.5500000000000007</v>
      </c>
      <c r="E84" s="13">
        <v>13063.54</v>
      </c>
      <c r="F84" s="486">
        <v>1.5279</v>
      </c>
      <c r="G84"/>
      <c r="H84" s="13">
        <v>13063.54</v>
      </c>
      <c r="I84" s="13">
        <v>1.5279</v>
      </c>
      <c r="J84">
        <v>13</v>
      </c>
      <c r="K84" s="131">
        <v>45688</v>
      </c>
      <c r="M84">
        <v>570</v>
      </c>
      <c r="N84" t="s">
        <v>5923</v>
      </c>
    </row>
    <row r="85" spans="1:14">
      <c r="A85" t="s">
        <v>1746</v>
      </c>
      <c r="B85" t="s">
        <v>1747</v>
      </c>
      <c r="C85" t="s">
        <v>1744</v>
      </c>
      <c r="D85" s="96">
        <v>8.5500000000000007</v>
      </c>
      <c r="E85" s="13">
        <v>13106.13</v>
      </c>
      <c r="F85" s="486">
        <v>1.5328999999999999</v>
      </c>
      <c r="G85"/>
      <c r="H85" s="13">
        <v>13106.13</v>
      </c>
      <c r="I85" s="13">
        <v>1.5328999999999999</v>
      </c>
      <c r="J85">
        <v>13</v>
      </c>
      <c r="K85" s="131">
        <v>45688</v>
      </c>
      <c r="M85">
        <v>570</v>
      </c>
      <c r="N85" t="s">
        <v>5924</v>
      </c>
    </row>
    <row r="86" spans="1:14">
      <c r="A86" t="s">
        <v>1746</v>
      </c>
      <c r="B86" t="s">
        <v>5883</v>
      </c>
      <c r="C86" t="s">
        <v>1744</v>
      </c>
      <c r="D86" s="96">
        <v>8.5500000000000007</v>
      </c>
      <c r="E86" s="13">
        <v>16982.39</v>
      </c>
      <c r="F86" s="486">
        <v>1.9862</v>
      </c>
      <c r="G86"/>
      <c r="H86" s="13">
        <v>16982.39</v>
      </c>
      <c r="I86" s="13">
        <v>1.9862</v>
      </c>
      <c r="J86">
        <v>13</v>
      </c>
      <c r="K86" s="131">
        <v>45688</v>
      </c>
      <c r="M86">
        <v>570</v>
      </c>
      <c r="N86" t="s">
        <v>5925</v>
      </c>
    </row>
    <row r="87" spans="1:14">
      <c r="A87" t="s">
        <v>1746</v>
      </c>
      <c r="B87" t="s">
        <v>5883</v>
      </c>
      <c r="C87" t="s">
        <v>1744</v>
      </c>
      <c r="D87" s="96">
        <v>8.5500000000000007</v>
      </c>
      <c r="E87" s="13">
        <v>17024.98</v>
      </c>
      <c r="F87" s="486">
        <v>1.9912000000000001</v>
      </c>
      <c r="G87"/>
      <c r="H87" s="13">
        <v>17024.98</v>
      </c>
      <c r="I87" s="13">
        <v>1.9912000000000001</v>
      </c>
      <c r="J87">
        <v>13</v>
      </c>
      <c r="K87" s="131">
        <v>45688</v>
      </c>
      <c r="M87">
        <v>570</v>
      </c>
      <c r="N87" t="s">
        <v>5926</v>
      </c>
    </row>
    <row r="88" spans="1:14">
      <c r="A88" t="s">
        <v>1746</v>
      </c>
      <c r="B88" t="s">
        <v>1748</v>
      </c>
      <c r="C88" t="s">
        <v>1744</v>
      </c>
      <c r="D88" s="96">
        <v>9.1199999999999992</v>
      </c>
      <c r="E88" s="13">
        <v>13528.6</v>
      </c>
      <c r="F88" s="486">
        <v>1.4834000000000001</v>
      </c>
      <c r="G88"/>
      <c r="H88" s="13">
        <v>13528.6</v>
      </c>
      <c r="I88" s="13">
        <v>1.4834000000000001</v>
      </c>
      <c r="J88">
        <v>13</v>
      </c>
      <c r="K88" s="131">
        <v>45688</v>
      </c>
      <c r="M88">
        <v>570</v>
      </c>
      <c r="N88" t="s">
        <v>5927</v>
      </c>
    </row>
    <row r="89" spans="1:14">
      <c r="A89" t="s">
        <v>1746</v>
      </c>
      <c r="B89" t="s">
        <v>1748</v>
      </c>
      <c r="C89" t="s">
        <v>1744</v>
      </c>
      <c r="D89" s="96">
        <v>9.1199999999999992</v>
      </c>
      <c r="E89" s="13">
        <v>13574.03</v>
      </c>
      <c r="F89" s="486">
        <v>1.4883999999999999</v>
      </c>
      <c r="G89"/>
      <c r="H89" s="13">
        <v>13574.03</v>
      </c>
      <c r="I89" s="13">
        <v>1.4883999999999999</v>
      </c>
      <c r="J89">
        <v>13</v>
      </c>
      <c r="K89" s="131">
        <v>45688</v>
      </c>
      <c r="M89">
        <v>570</v>
      </c>
      <c r="N89" t="s">
        <v>5928</v>
      </c>
    </row>
    <row r="90" spans="1:14">
      <c r="A90" t="s">
        <v>1746</v>
      </c>
      <c r="B90" t="s">
        <v>1747</v>
      </c>
      <c r="C90" t="s">
        <v>1744</v>
      </c>
      <c r="D90" s="96">
        <v>9.1199999999999992</v>
      </c>
      <c r="E90" s="13">
        <v>13588.22</v>
      </c>
      <c r="F90" s="486">
        <v>1.4899</v>
      </c>
      <c r="G90"/>
      <c r="H90" s="13">
        <v>13588.22</v>
      </c>
      <c r="I90" s="13">
        <v>1.4899</v>
      </c>
      <c r="J90">
        <v>13</v>
      </c>
      <c r="K90" s="131">
        <v>45688</v>
      </c>
      <c r="M90">
        <v>570</v>
      </c>
      <c r="N90" t="s">
        <v>5929</v>
      </c>
    </row>
    <row r="91" spans="1:14">
      <c r="A91" t="s">
        <v>1746</v>
      </c>
      <c r="B91" t="s">
        <v>1747</v>
      </c>
      <c r="C91" t="s">
        <v>1744</v>
      </c>
      <c r="D91" s="96">
        <v>9.1199999999999992</v>
      </c>
      <c r="E91" s="13">
        <v>13633.65</v>
      </c>
      <c r="F91" s="486">
        <v>1.4948999999999999</v>
      </c>
      <c r="G91"/>
      <c r="H91" s="13">
        <v>13633.65</v>
      </c>
      <c r="I91" s="13">
        <v>1.4948999999999999</v>
      </c>
      <c r="J91">
        <v>13</v>
      </c>
      <c r="K91" s="131">
        <v>45688</v>
      </c>
      <c r="M91">
        <v>570</v>
      </c>
      <c r="N91" t="s">
        <v>5930</v>
      </c>
    </row>
    <row r="92" spans="1:14">
      <c r="A92" t="s">
        <v>1746</v>
      </c>
      <c r="B92" t="s">
        <v>5883</v>
      </c>
      <c r="C92" t="s">
        <v>1744</v>
      </c>
      <c r="D92" s="96">
        <v>9.1199999999999992</v>
      </c>
      <c r="E92" s="13">
        <v>17507.080000000002</v>
      </c>
      <c r="F92" s="486">
        <v>1.9196</v>
      </c>
      <c r="G92"/>
      <c r="H92" s="13">
        <v>17507.080000000002</v>
      </c>
      <c r="I92" s="13">
        <v>1.9196</v>
      </c>
      <c r="J92">
        <v>13</v>
      </c>
      <c r="K92" s="131">
        <v>45688</v>
      </c>
      <c r="M92">
        <v>570</v>
      </c>
      <c r="N92" t="s">
        <v>5931</v>
      </c>
    </row>
    <row r="93" spans="1:14">
      <c r="A93" t="s">
        <v>1746</v>
      </c>
      <c r="B93" t="s">
        <v>5883</v>
      </c>
      <c r="C93" t="s">
        <v>1744</v>
      </c>
      <c r="D93" s="96">
        <v>9.1199999999999992</v>
      </c>
      <c r="E93" s="13">
        <v>17552.5</v>
      </c>
      <c r="F93" s="486">
        <v>1.9246000000000001</v>
      </c>
      <c r="G93"/>
      <c r="H93" s="13">
        <v>17552.5</v>
      </c>
      <c r="I93" s="13">
        <v>1.9246000000000001</v>
      </c>
      <c r="J93">
        <v>13</v>
      </c>
      <c r="K93" s="131">
        <v>45688</v>
      </c>
      <c r="M93">
        <v>570</v>
      </c>
      <c r="N93" t="s">
        <v>5932</v>
      </c>
    </row>
    <row r="94" spans="1:14">
      <c r="A94" t="s">
        <v>1746</v>
      </c>
      <c r="B94" t="s">
        <v>5883</v>
      </c>
      <c r="C94" t="s">
        <v>1744</v>
      </c>
      <c r="D94" s="96">
        <v>9.23</v>
      </c>
      <c r="E94" s="13">
        <v>18578.21</v>
      </c>
      <c r="F94" s="486">
        <v>2.0127999999999999</v>
      </c>
      <c r="G94"/>
      <c r="H94" s="13">
        <v>18578.21</v>
      </c>
      <c r="I94" s="13">
        <v>2.0127999999999999</v>
      </c>
      <c r="J94">
        <v>13</v>
      </c>
      <c r="K94" s="131">
        <v>45688</v>
      </c>
      <c r="M94">
        <v>710</v>
      </c>
      <c r="N94" t="s">
        <v>5933</v>
      </c>
    </row>
    <row r="95" spans="1:14">
      <c r="A95" t="s">
        <v>1745</v>
      </c>
      <c r="B95" t="s">
        <v>5171</v>
      </c>
      <c r="C95" t="s">
        <v>314</v>
      </c>
      <c r="D95" s="96">
        <v>9.36</v>
      </c>
      <c r="E95" s="13">
        <v>16009.63</v>
      </c>
      <c r="F95" s="486">
        <v>1.7103999999999999</v>
      </c>
      <c r="G95">
        <v>0</v>
      </c>
      <c r="H95" s="13">
        <v>16009.63</v>
      </c>
      <c r="I95" s="13">
        <v>1.7103999999999999</v>
      </c>
      <c r="J95">
        <v>13</v>
      </c>
      <c r="K95" s="131">
        <v>45716</v>
      </c>
      <c r="M95">
        <v>585</v>
      </c>
      <c r="N95" t="s">
        <v>5187</v>
      </c>
    </row>
    <row r="96" spans="1:14">
      <c r="A96" t="s">
        <v>1746</v>
      </c>
      <c r="B96" t="s">
        <v>1748</v>
      </c>
      <c r="C96" t="s">
        <v>1744</v>
      </c>
      <c r="D96" s="96">
        <v>9.69</v>
      </c>
      <c r="E96" s="13">
        <v>14367.87</v>
      </c>
      <c r="F96" s="486">
        <v>1.4827999999999999</v>
      </c>
      <c r="G96"/>
      <c r="H96" s="13">
        <v>14367.87</v>
      </c>
      <c r="I96" s="13">
        <v>1.4827999999999999</v>
      </c>
      <c r="J96">
        <v>13</v>
      </c>
      <c r="K96" s="131">
        <v>45688</v>
      </c>
      <c r="M96">
        <v>570</v>
      </c>
      <c r="N96" t="s">
        <v>5934</v>
      </c>
    </row>
    <row r="97" spans="1:14">
      <c r="A97" t="s">
        <v>1746</v>
      </c>
      <c r="B97" t="s">
        <v>1748</v>
      </c>
      <c r="C97" t="s">
        <v>1744</v>
      </c>
      <c r="D97" s="96">
        <v>9.69</v>
      </c>
      <c r="E97" s="13">
        <v>14416.13</v>
      </c>
      <c r="F97" s="486">
        <v>1.4877</v>
      </c>
      <c r="G97"/>
      <c r="H97" s="13">
        <v>14416.13</v>
      </c>
      <c r="I97" s="13">
        <v>1.4877</v>
      </c>
      <c r="J97">
        <v>13</v>
      </c>
      <c r="K97" s="131">
        <v>45688</v>
      </c>
      <c r="M97">
        <v>570</v>
      </c>
      <c r="N97" t="s">
        <v>5935</v>
      </c>
    </row>
    <row r="98" spans="1:14">
      <c r="A98" t="s">
        <v>1746</v>
      </c>
      <c r="B98" t="s">
        <v>1747</v>
      </c>
      <c r="C98" t="s">
        <v>1744</v>
      </c>
      <c r="D98" s="96">
        <v>9.69</v>
      </c>
      <c r="E98" s="13">
        <v>14427.49</v>
      </c>
      <c r="F98" s="486">
        <v>1.4888999999999999</v>
      </c>
      <c r="G98"/>
      <c r="H98" s="13">
        <v>14427.49</v>
      </c>
      <c r="I98" s="13">
        <v>1.4888999999999999</v>
      </c>
      <c r="J98">
        <v>13</v>
      </c>
      <c r="K98" s="131">
        <v>45688</v>
      </c>
      <c r="M98">
        <v>570</v>
      </c>
      <c r="N98" t="s">
        <v>5936</v>
      </c>
    </row>
    <row r="99" spans="1:14">
      <c r="A99" t="s">
        <v>1746</v>
      </c>
      <c r="B99" t="s">
        <v>1747</v>
      </c>
      <c r="C99" t="s">
        <v>1744</v>
      </c>
      <c r="D99" s="96">
        <v>9.69</v>
      </c>
      <c r="E99" s="13">
        <v>14475.76</v>
      </c>
      <c r="F99" s="486">
        <v>1.4939</v>
      </c>
      <c r="G99"/>
      <c r="H99" s="13">
        <v>14475.76</v>
      </c>
      <c r="I99" s="13">
        <v>1.4939</v>
      </c>
      <c r="J99">
        <v>13</v>
      </c>
      <c r="K99" s="131">
        <v>45688</v>
      </c>
      <c r="M99">
        <v>570</v>
      </c>
      <c r="N99" t="s">
        <v>5937</v>
      </c>
    </row>
    <row r="100" spans="1:14">
      <c r="A100" t="s">
        <v>1746</v>
      </c>
      <c r="B100" t="s">
        <v>5938</v>
      </c>
      <c r="C100" t="s">
        <v>1744</v>
      </c>
      <c r="D100" s="96">
        <v>9.69</v>
      </c>
      <c r="E100" s="13">
        <v>20152.93</v>
      </c>
      <c r="F100" s="486">
        <v>2.0798000000000001</v>
      </c>
      <c r="G100"/>
      <c r="H100" s="13">
        <v>20152.93</v>
      </c>
      <c r="I100" s="13">
        <v>2.0798000000000001</v>
      </c>
      <c r="J100">
        <v>13</v>
      </c>
      <c r="K100" s="131">
        <v>45688</v>
      </c>
      <c r="M100">
        <v>570</v>
      </c>
      <c r="N100" t="s">
        <v>5939</v>
      </c>
    </row>
    <row r="101" spans="1:14">
      <c r="A101" t="s">
        <v>1746</v>
      </c>
      <c r="B101" t="s">
        <v>5938</v>
      </c>
      <c r="C101" t="s">
        <v>1744</v>
      </c>
      <c r="D101" s="96">
        <v>9.69</v>
      </c>
      <c r="E101" s="13">
        <v>20201.189999999999</v>
      </c>
      <c r="F101" s="486">
        <v>2.0847000000000002</v>
      </c>
      <c r="G101"/>
      <c r="H101" s="13">
        <v>20201.189999999999</v>
      </c>
      <c r="I101" s="13">
        <v>2.0847000000000002</v>
      </c>
      <c r="J101">
        <v>13</v>
      </c>
      <c r="K101" s="131">
        <v>45688</v>
      </c>
      <c r="M101">
        <v>570</v>
      </c>
      <c r="N101" t="s">
        <v>5940</v>
      </c>
    </row>
    <row r="102" spans="1:14">
      <c r="A102" t="s">
        <v>1746</v>
      </c>
      <c r="B102" t="s">
        <v>5883</v>
      </c>
      <c r="C102" t="s">
        <v>1744</v>
      </c>
      <c r="D102" s="96">
        <v>9.94</v>
      </c>
      <c r="E102" s="13">
        <v>19306.37</v>
      </c>
      <c r="F102" s="486">
        <v>1.9422999999999999</v>
      </c>
      <c r="G102"/>
      <c r="H102" s="13">
        <v>19306.37</v>
      </c>
      <c r="I102" s="13">
        <v>1.9422999999999999</v>
      </c>
      <c r="J102">
        <v>13</v>
      </c>
      <c r="K102" s="131">
        <v>45688</v>
      </c>
      <c r="M102">
        <v>710</v>
      </c>
      <c r="N102" t="s">
        <v>5941</v>
      </c>
    </row>
    <row r="103" spans="1:14">
      <c r="A103" t="s">
        <v>1746</v>
      </c>
      <c r="B103" t="s">
        <v>1748</v>
      </c>
      <c r="C103" t="s">
        <v>1744</v>
      </c>
      <c r="D103" s="96">
        <v>10.26</v>
      </c>
      <c r="E103" s="13">
        <v>14858.48</v>
      </c>
      <c r="F103" s="486">
        <v>1.4481999999999999</v>
      </c>
      <c r="G103"/>
      <c r="H103" s="13">
        <v>14858.48</v>
      </c>
      <c r="I103" s="13">
        <v>1.4481999999999999</v>
      </c>
      <c r="J103">
        <v>13</v>
      </c>
      <c r="K103" s="131">
        <v>45688</v>
      </c>
      <c r="M103">
        <v>570</v>
      </c>
      <c r="N103" t="s">
        <v>5942</v>
      </c>
    </row>
    <row r="104" spans="1:14">
      <c r="A104" t="s">
        <v>1746</v>
      </c>
      <c r="B104" t="s">
        <v>1748</v>
      </c>
      <c r="C104" t="s">
        <v>1744</v>
      </c>
      <c r="D104" s="96">
        <v>10.26</v>
      </c>
      <c r="E104" s="13">
        <v>14909.59</v>
      </c>
      <c r="F104" s="486">
        <v>1.4532</v>
      </c>
      <c r="G104"/>
      <c r="H104" s="13">
        <v>14909.59</v>
      </c>
      <c r="I104" s="13">
        <v>1.4532</v>
      </c>
      <c r="J104">
        <v>13</v>
      </c>
      <c r="K104" s="131">
        <v>45688</v>
      </c>
      <c r="M104">
        <v>570</v>
      </c>
      <c r="N104" t="s">
        <v>5943</v>
      </c>
    </row>
    <row r="105" spans="1:14">
      <c r="A105" t="s">
        <v>1746</v>
      </c>
      <c r="B105" t="s">
        <v>1747</v>
      </c>
      <c r="C105" t="s">
        <v>1744</v>
      </c>
      <c r="D105" s="96">
        <v>10.26</v>
      </c>
      <c r="E105" s="13">
        <v>14952.17</v>
      </c>
      <c r="F105" s="486">
        <v>1.4573</v>
      </c>
      <c r="G105"/>
      <c r="H105" s="13">
        <v>14952.17</v>
      </c>
      <c r="I105" s="13">
        <v>1.4573</v>
      </c>
      <c r="J105">
        <v>13</v>
      </c>
      <c r="K105" s="131">
        <v>45688</v>
      </c>
      <c r="M105">
        <v>570</v>
      </c>
      <c r="N105" t="s">
        <v>5944</v>
      </c>
    </row>
    <row r="106" spans="1:14">
      <c r="A106" t="s">
        <v>1746</v>
      </c>
      <c r="B106" t="s">
        <v>1747</v>
      </c>
      <c r="C106" t="s">
        <v>1744</v>
      </c>
      <c r="D106" s="96">
        <v>10.26</v>
      </c>
      <c r="E106" s="13">
        <v>15003.28</v>
      </c>
      <c r="F106" s="486">
        <v>1.4622999999999999</v>
      </c>
      <c r="G106"/>
      <c r="H106" s="13">
        <v>15003.28</v>
      </c>
      <c r="I106" s="13">
        <v>1.4622999999999999</v>
      </c>
      <c r="J106">
        <v>13</v>
      </c>
      <c r="K106" s="131">
        <v>45688</v>
      </c>
      <c r="M106">
        <v>570</v>
      </c>
      <c r="N106" t="s">
        <v>5945</v>
      </c>
    </row>
    <row r="107" spans="1:14">
      <c r="A107" t="s">
        <v>1746</v>
      </c>
      <c r="B107" t="s">
        <v>5938</v>
      </c>
      <c r="C107" t="s">
        <v>1744</v>
      </c>
      <c r="D107" s="96">
        <v>10.26</v>
      </c>
      <c r="E107" s="13">
        <v>20677.61</v>
      </c>
      <c r="F107" s="486">
        <v>2.0154000000000001</v>
      </c>
      <c r="G107"/>
      <c r="H107" s="13">
        <v>20677.61</v>
      </c>
      <c r="I107" s="13">
        <v>2.0154000000000001</v>
      </c>
      <c r="J107">
        <v>13</v>
      </c>
      <c r="K107" s="131">
        <v>45688</v>
      </c>
      <c r="M107">
        <v>570</v>
      </c>
      <c r="N107" t="s">
        <v>5946</v>
      </c>
    </row>
    <row r="108" spans="1:14">
      <c r="A108" t="s">
        <v>1746</v>
      </c>
      <c r="B108" t="s">
        <v>5938</v>
      </c>
      <c r="C108" t="s">
        <v>1744</v>
      </c>
      <c r="D108" s="96">
        <v>10.26</v>
      </c>
      <c r="E108" s="13">
        <v>20728.72</v>
      </c>
      <c r="F108" s="486">
        <v>2.0203000000000002</v>
      </c>
      <c r="G108"/>
      <c r="H108" s="13">
        <v>20728.72</v>
      </c>
      <c r="I108" s="13">
        <v>2.0203000000000002</v>
      </c>
      <c r="J108">
        <v>13</v>
      </c>
      <c r="K108" s="131">
        <v>45688</v>
      </c>
      <c r="M108">
        <v>570</v>
      </c>
      <c r="N108" t="s">
        <v>5947</v>
      </c>
    </row>
    <row r="109" spans="1:14">
      <c r="A109" t="s">
        <v>1746</v>
      </c>
      <c r="B109" t="s">
        <v>5883</v>
      </c>
      <c r="C109" t="s">
        <v>1744</v>
      </c>
      <c r="D109" s="96">
        <v>10.65</v>
      </c>
      <c r="E109" s="13">
        <v>20034.53</v>
      </c>
      <c r="F109" s="486">
        <v>1.8812</v>
      </c>
      <c r="G109"/>
      <c r="H109" s="13">
        <v>20034.53</v>
      </c>
      <c r="I109" s="13">
        <v>1.8812</v>
      </c>
      <c r="J109">
        <v>13</v>
      </c>
      <c r="K109" s="131">
        <v>45688</v>
      </c>
      <c r="M109">
        <v>710</v>
      </c>
      <c r="N109" t="s">
        <v>5948</v>
      </c>
    </row>
    <row r="110" spans="1:14">
      <c r="A110" t="s">
        <v>1746</v>
      </c>
      <c r="B110" t="s">
        <v>1748</v>
      </c>
      <c r="C110" t="s">
        <v>1744</v>
      </c>
      <c r="D110" s="96">
        <v>10.83</v>
      </c>
      <c r="E110" s="13">
        <v>15383.16</v>
      </c>
      <c r="F110" s="486">
        <v>1.4204000000000001</v>
      </c>
      <c r="G110"/>
      <c r="H110" s="13">
        <v>15383.16</v>
      </c>
      <c r="I110" s="13">
        <v>1.4204000000000001</v>
      </c>
      <c r="J110">
        <v>13</v>
      </c>
      <c r="K110" s="131">
        <v>45688</v>
      </c>
      <c r="M110">
        <v>570</v>
      </c>
      <c r="N110" t="s">
        <v>5949</v>
      </c>
    </row>
    <row r="111" spans="1:14">
      <c r="A111" t="s">
        <v>1746</v>
      </c>
      <c r="B111" t="s">
        <v>1748</v>
      </c>
      <c r="C111" t="s">
        <v>1744</v>
      </c>
      <c r="D111" s="96">
        <v>10.83</v>
      </c>
      <c r="E111" s="13">
        <v>15437.11</v>
      </c>
      <c r="F111" s="486">
        <v>1.4254</v>
      </c>
      <c r="G111"/>
      <c r="H111" s="13">
        <v>15437.11</v>
      </c>
      <c r="I111" s="13">
        <v>1.4254</v>
      </c>
      <c r="J111">
        <v>13</v>
      </c>
      <c r="K111" s="131">
        <v>45688</v>
      </c>
      <c r="M111">
        <v>570</v>
      </c>
      <c r="N111" t="s">
        <v>5950</v>
      </c>
    </row>
    <row r="112" spans="1:14">
      <c r="A112" t="s">
        <v>1746</v>
      </c>
      <c r="B112" t="s">
        <v>1747</v>
      </c>
      <c r="C112" t="s">
        <v>1744</v>
      </c>
      <c r="D112" s="96">
        <v>10.83</v>
      </c>
      <c r="E112" s="13">
        <v>15476.86</v>
      </c>
      <c r="F112" s="486">
        <v>1.4291</v>
      </c>
      <c r="G112"/>
      <c r="H112" s="13">
        <v>15476.86</v>
      </c>
      <c r="I112" s="13">
        <v>1.4291</v>
      </c>
      <c r="J112">
        <v>13</v>
      </c>
      <c r="K112" s="131">
        <v>45688</v>
      </c>
      <c r="M112">
        <v>570</v>
      </c>
      <c r="N112" t="s">
        <v>5951</v>
      </c>
    </row>
    <row r="113" spans="1:14">
      <c r="A113" t="s">
        <v>1746</v>
      </c>
      <c r="B113" t="s">
        <v>1747</v>
      </c>
      <c r="C113" t="s">
        <v>1744</v>
      </c>
      <c r="D113" s="96">
        <v>10.83</v>
      </c>
      <c r="E113" s="13">
        <v>15530.8</v>
      </c>
      <c r="F113" s="486">
        <v>1.4340999999999999</v>
      </c>
      <c r="G113"/>
      <c r="H113" s="13">
        <v>15530.8</v>
      </c>
      <c r="I113" s="13">
        <v>1.4340999999999999</v>
      </c>
      <c r="J113">
        <v>13</v>
      </c>
      <c r="K113" s="131">
        <v>45688</v>
      </c>
      <c r="M113">
        <v>570</v>
      </c>
      <c r="N113" t="s">
        <v>5952</v>
      </c>
    </row>
    <row r="114" spans="1:14">
      <c r="A114" t="s">
        <v>1746</v>
      </c>
      <c r="B114" t="s">
        <v>5938</v>
      </c>
      <c r="C114" t="s">
        <v>1744</v>
      </c>
      <c r="D114" s="96">
        <v>10.83</v>
      </c>
      <c r="E114" s="13">
        <v>21202.29</v>
      </c>
      <c r="F114" s="486">
        <v>1.9577</v>
      </c>
      <c r="G114"/>
      <c r="H114" s="13">
        <v>21202.29</v>
      </c>
      <c r="I114" s="13">
        <v>1.9577</v>
      </c>
      <c r="J114">
        <v>13</v>
      </c>
      <c r="K114" s="131">
        <v>45688</v>
      </c>
      <c r="M114">
        <v>570</v>
      </c>
      <c r="N114" t="s">
        <v>5953</v>
      </c>
    </row>
    <row r="115" spans="1:14">
      <c r="A115" t="s">
        <v>1746</v>
      </c>
      <c r="B115" t="s">
        <v>5938</v>
      </c>
      <c r="C115" t="s">
        <v>1744</v>
      </c>
      <c r="D115" s="96">
        <v>10.83</v>
      </c>
      <c r="E115" s="13">
        <v>21256.240000000002</v>
      </c>
      <c r="F115" s="486">
        <v>1.9626999999999999</v>
      </c>
      <c r="G115"/>
      <c r="H115" s="13">
        <v>21256.240000000002</v>
      </c>
      <c r="I115" s="13">
        <v>1.9626999999999999</v>
      </c>
      <c r="J115">
        <v>13</v>
      </c>
      <c r="K115" s="131">
        <v>45688</v>
      </c>
      <c r="M115">
        <v>570</v>
      </c>
      <c r="N115" t="s">
        <v>5954</v>
      </c>
    </row>
    <row r="116" spans="1:14">
      <c r="A116" t="s">
        <v>1746</v>
      </c>
      <c r="B116" t="s">
        <v>5883</v>
      </c>
      <c r="C116" t="s">
        <v>1744</v>
      </c>
      <c r="D116" s="96">
        <v>11.36</v>
      </c>
      <c r="E116" s="13">
        <v>20762.689999999999</v>
      </c>
      <c r="F116" s="486">
        <v>1.8277000000000001</v>
      </c>
      <c r="G116"/>
      <c r="H116" s="13">
        <v>20762.689999999999</v>
      </c>
      <c r="I116" s="13">
        <v>1.8277000000000001</v>
      </c>
      <c r="J116">
        <v>13</v>
      </c>
      <c r="K116" s="131">
        <v>45688</v>
      </c>
      <c r="M116">
        <v>710</v>
      </c>
      <c r="N116" t="s">
        <v>5955</v>
      </c>
    </row>
    <row r="117" spans="1:14">
      <c r="A117" t="s">
        <v>1746</v>
      </c>
      <c r="B117" t="s">
        <v>1748</v>
      </c>
      <c r="C117" t="s">
        <v>1744</v>
      </c>
      <c r="D117" s="96">
        <v>11.4</v>
      </c>
      <c r="E117" s="13">
        <v>16277.89</v>
      </c>
      <c r="F117" s="486">
        <v>1.4278999999999999</v>
      </c>
      <c r="G117"/>
      <c r="H117" s="13">
        <v>16277.89</v>
      </c>
      <c r="I117" s="13">
        <v>1.4278999999999999</v>
      </c>
      <c r="J117">
        <v>13</v>
      </c>
      <c r="K117" s="131">
        <v>45688</v>
      </c>
      <c r="M117">
        <v>570</v>
      </c>
      <c r="N117" t="s">
        <v>5956</v>
      </c>
    </row>
    <row r="118" spans="1:14">
      <c r="A118" t="s">
        <v>1746</v>
      </c>
      <c r="B118" t="s">
        <v>1748</v>
      </c>
      <c r="C118" t="s">
        <v>1744</v>
      </c>
      <c r="D118" s="96">
        <v>11.4</v>
      </c>
      <c r="E118" s="13">
        <v>16334.67</v>
      </c>
      <c r="F118" s="486">
        <v>1.4329000000000001</v>
      </c>
      <c r="G118"/>
      <c r="H118" s="13">
        <v>16334.67</v>
      </c>
      <c r="I118" s="13">
        <v>1.4329000000000001</v>
      </c>
      <c r="J118">
        <v>13</v>
      </c>
      <c r="K118" s="131">
        <v>45688</v>
      </c>
      <c r="M118">
        <v>570</v>
      </c>
      <c r="N118" t="s">
        <v>5957</v>
      </c>
    </row>
    <row r="119" spans="1:14">
      <c r="A119" t="s">
        <v>1746</v>
      </c>
      <c r="B119" t="s">
        <v>1747</v>
      </c>
      <c r="C119" t="s">
        <v>1744</v>
      </c>
      <c r="D119" s="96">
        <v>11.4</v>
      </c>
      <c r="E119" s="13">
        <v>16599.669999999998</v>
      </c>
      <c r="F119" s="486">
        <v>1.4560999999999999</v>
      </c>
      <c r="G119"/>
      <c r="H119" s="13">
        <v>16599.669999999998</v>
      </c>
      <c r="I119" s="13">
        <v>1.4560999999999999</v>
      </c>
      <c r="J119">
        <v>13</v>
      </c>
      <c r="K119" s="131">
        <v>45688</v>
      </c>
      <c r="M119">
        <v>570</v>
      </c>
      <c r="N119" t="s">
        <v>5958</v>
      </c>
    </row>
    <row r="120" spans="1:14">
      <c r="A120" t="s">
        <v>1746</v>
      </c>
      <c r="B120" t="s">
        <v>1747</v>
      </c>
      <c r="C120" t="s">
        <v>1744</v>
      </c>
      <c r="D120" s="96">
        <v>11.4</v>
      </c>
      <c r="E120" s="13">
        <v>16656.45</v>
      </c>
      <c r="F120" s="486">
        <v>1.4611000000000001</v>
      </c>
      <c r="G120"/>
      <c r="H120" s="13">
        <v>16656.45</v>
      </c>
      <c r="I120" s="13">
        <v>1.4611000000000001</v>
      </c>
      <c r="J120">
        <v>13</v>
      </c>
      <c r="K120" s="131">
        <v>45688</v>
      </c>
      <c r="M120">
        <v>570</v>
      </c>
      <c r="N120" t="s">
        <v>5959</v>
      </c>
    </row>
    <row r="121" spans="1:14">
      <c r="A121" t="s">
        <v>1746</v>
      </c>
      <c r="B121" t="s">
        <v>5938</v>
      </c>
      <c r="C121" t="s">
        <v>1744</v>
      </c>
      <c r="D121" s="96">
        <v>11.4</v>
      </c>
      <c r="E121" s="13">
        <v>21726.98</v>
      </c>
      <c r="F121" s="486">
        <v>1.9058999999999999</v>
      </c>
      <c r="G121"/>
      <c r="H121" s="13">
        <v>21726.98</v>
      </c>
      <c r="I121" s="13">
        <v>1.9058999999999999</v>
      </c>
      <c r="J121">
        <v>13</v>
      </c>
      <c r="K121" s="131">
        <v>45688</v>
      </c>
      <c r="M121">
        <v>570</v>
      </c>
      <c r="N121" t="s">
        <v>5960</v>
      </c>
    </row>
    <row r="122" spans="1:14">
      <c r="A122" t="s">
        <v>1746</v>
      </c>
      <c r="B122" t="s">
        <v>5938</v>
      </c>
      <c r="C122" t="s">
        <v>1744</v>
      </c>
      <c r="D122" s="96">
        <v>11.4</v>
      </c>
      <c r="E122" s="13">
        <v>21783.759999999998</v>
      </c>
      <c r="F122" s="486">
        <v>1.9109</v>
      </c>
      <c r="G122"/>
      <c r="H122" s="13">
        <v>21783.759999999998</v>
      </c>
      <c r="I122" s="13">
        <v>1.9109</v>
      </c>
      <c r="J122">
        <v>13</v>
      </c>
      <c r="K122" s="131">
        <v>45688</v>
      </c>
      <c r="M122">
        <v>570</v>
      </c>
      <c r="N122" t="s">
        <v>5961</v>
      </c>
    </row>
    <row r="123" spans="1:14">
      <c r="A123" t="s">
        <v>1746</v>
      </c>
      <c r="B123" t="s">
        <v>1748</v>
      </c>
      <c r="C123" t="s">
        <v>1744</v>
      </c>
      <c r="D123" s="96">
        <v>11.97</v>
      </c>
      <c r="E123" s="13">
        <v>17117.16</v>
      </c>
      <c r="F123" s="486">
        <v>1.43</v>
      </c>
      <c r="G123"/>
      <c r="H123" s="13">
        <v>17117.16</v>
      </c>
      <c r="I123" s="13">
        <v>1.43</v>
      </c>
      <c r="J123">
        <v>13</v>
      </c>
      <c r="K123" s="131">
        <v>45688</v>
      </c>
      <c r="M123">
        <v>570</v>
      </c>
      <c r="N123" t="s">
        <v>5962</v>
      </c>
    </row>
    <row r="124" spans="1:14">
      <c r="A124" t="s">
        <v>1746</v>
      </c>
      <c r="B124" t="s">
        <v>1748</v>
      </c>
      <c r="C124" t="s">
        <v>1744</v>
      </c>
      <c r="D124" s="96">
        <v>11.97</v>
      </c>
      <c r="E124" s="13">
        <v>17176.78</v>
      </c>
      <c r="F124" s="486">
        <v>1.4350000000000001</v>
      </c>
      <c r="G124"/>
      <c r="H124" s="13">
        <v>17176.78</v>
      </c>
      <c r="I124" s="13">
        <v>1.4350000000000001</v>
      </c>
      <c r="J124">
        <v>13</v>
      </c>
      <c r="K124" s="131">
        <v>45688</v>
      </c>
      <c r="M124">
        <v>570</v>
      </c>
      <c r="N124" t="s">
        <v>5963</v>
      </c>
    </row>
    <row r="125" spans="1:14">
      <c r="A125" t="s">
        <v>1746</v>
      </c>
      <c r="B125" t="s">
        <v>1747</v>
      </c>
      <c r="C125" t="s">
        <v>1744</v>
      </c>
      <c r="D125" s="96">
        <v>11.97</v>
      </c>
      <c r="E125" s="13">
        <v>17438.93</v>
      </c>
      <c r="F125" s="486">
        <v>1.4569000000000001</v>
      </c>
      <c r="G125"/>
      <c r="H125" s="13">
        <v>17438.93</v>
      </c>
      <c r="I125" s="13">
        <v>1.4569000000000001</v>
      </c>
      <c r="J125">
        <v>13</v>
      </c>
      <c r="K125" s="131">
        <v>45688</v>
      </c>
      <c r="M125">
        <v>570</v>
      </c>
      <c r="N125" t="s">
        <v>5964</v>
      </c>
    </row>
    <row r="126" spans="1:14">
      <c r="A126" t="s">
        <v>1746</v>
      </c>
      <c r="B126" t="s">
        <v>1747</v>
      </c>
      <c r="C126" t="s">
        <v>1744</v>
      </c>
      <c r="D126" s="96">
        <v>11.97</v>
      </c>
      <c r="E126" s="13">
        <v>17498.560000000001</v>
      </c>
      <c r="F126" s="486">
        <v>1.4619</v>
      </c>
      <c r="G126"/>
      <c r="H126" s="13">
        <v>17498.560000000001</v>
      </c>
      <c r="I126" s="13">
        <v>1.4619</v>
      </c>
      <c r="J126">
        <v>13</v>
      </c>
      <c r="K126" s="131">
        <v>45688</v>
      </c>
      <c r="M126">
        <v>570</v>
      </c>
      <c r="N126" t="s">
        <v>5965</v>
      </c>
    </row>
    <row r="127" spans="1:14">
      <c r="A127" t="s">
        <v>1746</v>
      </c>
      <c r="B127" t="s">
        <v>5966</v>
      </c>
      <c r="C127" t="s">
        <v>1744</v>
      </c>
      <c r="D127" s="96">
        <v>11.97</v>
      </c>
      <c r="E127" s="13">
        <v>24372.83</v>
      </c>
      <c r="F127" s="486">
        <v>2.0362</v>
      </c>
      <c r="G127"/>
      <c r="H127" s="13">
        <v>24372.83</v>
      </c>
      <c r="I127" s="13">
        <v>2.0362</v>
      </c>
      <c r="J127">
        <v>13</v>
      </c>
      <c r="K127" s="131">
        <v>45688</v>
      </c>
      <c r="M127">
        <v>570</v>
      </c>
      <c r="N127" t="s">
        <v>5967</v>
      </c>
    </row>
    <row r="128" spans="1:14">
      <c r="A128" t="s">
        <v>1746</v>
      </c>
      <c r="B128" t="s">
        <v>5966</v>
      </c>
      <c r="C128" t="s">
        <v>1744</v>
      </c>
      <c r="D128" s="96">
        <v>11.97</v>
      </c>
      <c r="E128" s="13">
        <v>24432.45</v>
      </c>
      <c r="F128" s="486">
        <v>2.0411000000000001</v>
      </c>
      <c r="G128"/>
      <c r="H128" s="13">
        <v>24432.45</v>
      </c>
      <c r="I128" s="13">
        <v>2.0411000000000001</v>
      </c>
      <c r="J128">
        <v>13</v>
      </c>
      <c r="K128" s="131">
        <v>45688</v>
      </c>
      <c r="M128">
        <v>570</v>
      </c>
      <c r="N128" t="s">
        <v>5968</v>
      </c>
    </row>
    <row r="129" spans="1:14">
      <c r="A129" t="s">
        <v>1746</v>
      </c>
      <c r="B129" t="s">
        <v>5938</v>
      </c>
      <c r="C129" t="s">
        <v>1744</v>
      </c>
      <c r="D129" s="96">
        <v>12.07</v>
      </c>
      <c r="E129" s="13">
        <v>23612.02</v>
      </c>
      <c r="F129" s="486">
        <v>1.9562999999999999</v>
      </c>
      <c r="G129"/>
      <c r="H129" s="13">
        <v>23612.02</v>
      </c>
      <c r="I129" s="13">
        <v>1.9562999999999999</v>
      </c>
      <c r="J129">
        <v>13</v>
      </c>
      <c r="K129" s="131">
        <v>45688</v>
      </c>
      <c r="M129">
        <v>710</v>
      </c>
      <c r="N129" t="s">
        <v>5969</v>
      </c>
    </row>
    <row r="130" spans="1:14">
      <c r="A130" t="s">
        <v>1745</v>
      </c>
      <c r="B130" t="s">
        <v>5171</v>
      </c>
      <c r="C130" t="s">
        <v>314</v>
      </c>
      <c r="D130" s="96">
        <v>12.2</v>
      </c>
      <c r="E130" s="13">
        <v>17673.740000000002</v>
      </c>
      <c r="F130" s="486">
        <v>1.4487000000000001</v>
      </c>
      <c r="G130">
        <v>0</v>
      </c>
      <c r="H130" s="13">
        <v>17673.740000000002</v>
      </c>
      <c r="I130" s="13">
        <v>1.4487000000000001</v>
      </c>
      <c r="J130">
        <v>13</v>
      </c>
      <c r="K130" s="131">
        <v>45777</v>
      </c>
      <c r="M130">
        <v>610</v>
      </c>
      <c r="N130" t="s">
        <v>5449</v>
      </c>
    </row>
    <row r="131" spans="1:14">
      <c r="A131" t="s">
        <v>1746</v>
      </c>
      <c r="B131" t="s">
        <v>1748</v>
      </c>
      <c r="C131" t="s">
        <v>1744</v>
      </c>
      <c r="D131" s="96">
        <v>12.54</v>
      </c>
      <c r="E131" s="13">
        <v>17641.84</v>
      </c>
      <c r="F131" s="486">
        <v>1.4068000000000001</v>
      </c>
      <c r="G131"/>
      <c r="H131" s="13">
        <v>17641.84</v>
      </c>
      <c r="I131" s="13">
        <v>1.4068000000000001</v>
      </c>
      <c r="J131">
        <v>13</v>
      </c>
      <c r="K131" s="131">
        <v>45688</v>
      </c>
      <c r="M131">
        <v>570</v>
      </c>
      <c r="N131" t="s">
        <v>5970</v>
      </c>
    </row>
    <row r="132" spans="1:14">
      <c r="A132" t="s">
        <v>1746</v>
      </c>
      <c r="B132" t="s">
        <v>1748</v>
      </c>
      <c r="C132" t="s">
        <v>1744</v>
      </c>
      <c r="D132" s="96">
        <v>12.54</v>
      </c>
      <c r="E132" s="13">
        <v>17704.3</v>
      </c>
      <c r="F132" s="486">
        <v>1.4117999999999999</v>
      </c>
      <c r="G132"/>
      <c r="H132" s="13">
        <v>17704.3</v>
      </c>
      <c r="I132" s="13">
        <v>1.4117999999999999</v>
      </c>
      <c r="J132">
        <v>13</v>
      </c>
      <c r="K132" s="131">
        <v>45688</v>
      </c>
      <c r="M132">
        <v>570</v>
      </c>
      <c r="N132" t="s">
        <v>5971</v>
      </c>
    </row>
    <row r="133" spans="1:14">
      <c r="A133" t="s">
        <v>1746</v>
      </c>
      <c r="B133" t="s">
        <v>1747</v>
      </c>
      <c r="C133" t="s">
        <v>1744</v>
      </c>
      <c r="D133" s="96">
        <v>12.54</v>
      </c>
      <c r="E133" s="13">
        <v>17963.62</v>
      </c>
      <c r="F133" s="486">
        <v>1.4325000000000001</v>
      </c>
      <c r="G133"/>
      <c r="H133" s="13">
        <v>17963.62</v>
      </c>
      <c r="I133" s="13">
        <v>1.4325000000000001</v>
      </c>
      <c r="J133">
        <v>13</v>
      </c>
      <c r="K133" s="131">
        <v>45688</v>
      </c>
      <c r="M133">
        <v>570</v>
      </c>
      <c r="N133" t="s">
        <v>5972</v>
      </c>
    </row>
    <row r="134" spans="1:14">
      <c r="A134" t="s">
        <v>1746</v>
      </c>
      <c r="B134" t="s">
        <v>1747</v>
      </c>
      <c r="C134" t="s">
        <v>1744</v>
      </c>
      <c r="D134" s="96">
        <v>12.54</v>
      </c>
      <c r="E134" s="13">
        <v>18026.080000000002</v>
      </c>
      <c r="F134" s="486">
        <v>1.4375</v>
      </c>
      <c r="G134"/>
      <c r="H134" s="13">
        <v>18026.080000000002</v>
      </c>
      <c r="I134" s="13">
        <v>1.4375</v>
      </c>
      <c r="J134">
        <v>13</v>
      </c>
      <c r="K134" s="131">
        <v>45688</v>
      </c>
      <c r="M134">
        <v>570</v>
      </c>
      <c r="N134" t="s">
        <v>5973</v>
      </c>
    </row>
    <row r="135" spans="1:14">
      <c r="A135" t="s">
        <v>1746</v>
      </c>
      <c r="B135" t="s">
        <v>5966</v>
      </c>
      <c r="C135" t="s">
        <v>1744</v>
      </c>
      <c r="D135" s="96">
        <v>12.54</v>
      </c>
      <c r="E135" s="13">
        <v>24897.51</v>
      </c>
      <c r="F135" s="486">
        <v>1.9854000000000001</v>
      </c>
      <c r="G135"/>
      <c r="H135" s="13">
        <v>24897.51</v>
      </c>
      <c r="I135" s="13">
        <v>1.9854000000000001</v>
      </c>
      <c r="J135">
        <v>13</v>
      </c>
      <c r="K135" s="131">
        <v>45688</v>
      </c>
      <c r="M135">
        <v>570</v>
      </c>
      <c r="N135" t="s">
        <v>5974</v>
      </c>
    </row>
    <row r="136" spans="1:14">
      <c r="A136" t="s">
        <v>1746</v>
      </c>
      <c r="B136" t="s">
        <v>5966</v>
      </c>
      <c r="C136" t="s">
        <v>1744</v>
      </c>
      <c r="D136" s="96">
        <v>12.54</v>
      </c>
      <c r="E136" s="13">
        <v>24959.98</v>
      </c>
      <c r="F136" s="486">
        <v>1.9903999999999999</v>
      </c>
      <c r="G136"/>
      <c r="H136" s="13">
        <v>24959.98</v>
      </c>
      <c r="I136" s="13">
        <v>1.9903999999999999</v>
      </c>
      <c r="J136">
        <v>13</v>
      </c>
      <c r="K136" s="131">
        <v>45688</v>
      </c>
      <c r="M136">
        <v>570</v>
      </c>
      <c r="N136" t="s">
        <v>5975</v>
      </c>
    </row>
    <row r="137" spans="1:14">
      <c r="A137" t="s">
        <v>1746</v>
      </c>
      <c r="B137" t="s">
        <v>5938</v>
      </c>
      <c r="C137" t="s">
        <v>1744</v>
      </c>
      <c r="D137" s="96">
        <v>12.78</v>
      </c>
      <c r="E137" s="13">
        <v>24340.18</v>
      </c>
      <c r="F137" s="486">
        <v>1.9046000000000001</v>
      </c>
      <c r="G137"/>
      <c r="H137" s="13">
        <v>24340.18</v>
      </c>
      <c r="I137" s="13">
        <v>1.9046000000000001</v>
      </c>
      <c r="J137">
        <v>13</v>
      </c>
      <c r="K137" s="131">
        <v>45688</v>
      </c>
      <c r="M137">
        <v>710</v>
      </c>
      <c r="N137" t="s">
        <v>5976</v>
      </c>
    </row>
    <row r="138" spans="1:14">
      <c r="A138" t="s">
        <v>1746</v>
      </c>
      <c r="B138" t="s">
        <v>1747</v>
      </c>
      <c r="C138" t="s">
        <v>1744</v>
      </c>
      <c r="D138" s="96">
        <v>13.11</v>
      </c>
      <c r="E138" s="13">
        <v>18529</v>
      </c>
      <c r="F138" s="486">
        <v>1.4133</v>
      </c>
      <c r="G138"/>
      <c r="H138" s="13">
        <v>18529</v>
      </c>
      <c r="I138" s="13">
        <v>1.4133</v>
      </c>
      <c r="J138">
        <v>13</v>
      </c>
      <c r="K138" s="131">
        <v>45688</v>
      </c>
      <c r="M138">
        <v>570</v>
      </c>
      <c r="N138" t="s">
        <v>5977</v>
      </c>
    </row>
    <row r="139" spans="1:14">
      <c r="A139" t="s">
        <v>1746</v>
      </c>
      <c r="B139" t="s">
        <v>1747</v>
      </c>
      <c r="C139" t="s">
        <v>1744</v>
      </c>
      <c r="D139" s="96">
        <v>13.11</v>
      </c>
      <c r="E139" s="13">
        <v>18594.3</v>
      </c>
      <c r="F139" s="486">
        <v>1.4182999999999999</v>
      </c>
      <c r="G139"/>
      <c r="H139" s="13">
        <v>18594.3</v>
      </c>
      <c r="I139" s="13">
        <v>1.4182999999999999</v>
      </c>
      <c r="J139">
        <v>13</v>
      </c>
      <c r="K139" s="131">
        <v>45688</v>
      </c>
      <c r="M139">
        <v>570</v>
      </c>
      <c r="N139" t="s">
        <v>5978</v>
      </c>
    </row>
    <row r="140" spans="1:14">
      <c r="A140" t="s">
        <v>1746</v>
      </c>
      <c r="B140" t="s">
        <v>1748</v>
      </c>
      <c r="C140" t="s">
        <v>1744</v>
      </c>
      <c r="D140" s="96">
        <v>13.11</v>
      </c>
      <c r="E140" s="13">
        <v>18946.36</v>
      </c>
      <c r="F140" s="486">
        <v>1.4452</v>
      </c>
      <c r="G140"/>
      <c r="H140" s="13">
        <v>18946.36</v>
      </c>
      <c r="I140" s="13">
        <v>1.4452</v>
      </c>
      <c r="J140">
        <v>13</v>
      </c>
      <c r="K140" s="131">
        <v>45688</v>
      </c>
      <c r="M140">
        <v>570</v>
      </c>
      <c r="N140" t="s">
        <v>5979</v>
      </c>
    </row>
    <row r="141" spans="1:14">
      <c r="A141" t="s">
        <v>1746</v>
      </c>
      <c r="B141" t="s">
        <v>1748</v>
      </c>
      <c r="C141" t="s">
        <v>1744</v>
      </c>
      <c r="D141" s="96">
        <v>13.11</v>
      </c>
      <c r="E141" s="13">
        <v>19011.66</v>
      </c>
      <c r="F141" s="486">
        <v>1.4501999999999999</v>
      </c>
      <c r="G141"/>
      <c r="H141" s="13">
        <v>19011.66</v>
      </c>
      <c r="I141" s="13">
        <v>1.4501999999999999</v>
      </c>
      <c r="J141">
        <v>13</v>
      </c>
      <c r="K141" s="131">
        <v>45688</v>
      </c>
      <c r="M141">
        <v>570</v>
      </c>
      <c r="N141" t="s">
        <v>5980</v>
      </c>
    </row>
    <row r="142" spans="1:14">
      <c r="A142" t="s">
        <v>1746</v>
      </c>
      <c r="B142" t="s">
        <v>5966</v>
      </c>
      <c r="C142" t="s">
        <v>1744</v>
      </c>
      <c r="D142" s="96">
        <v>13.11</v>
      </c>
      <c r="E142" s="13">
        <v>25422.2</v>
      </c>
      <c r="F142" s="486">
        <v>1.9391</v>
      </c>
      <c r="G142"/>
      <c r="H142" s="13">
        <v>25422.2</v>
      </c>
      <c r="I142" s="13">
        <v>1.9391</v>
      </c>
      <c r="J142">
        <v>13</v>
      </c>
      <c r="K142" s="131">
        <v>45688</v>
      </c>
      <c r="M142">
        <v>570</v>
      </c>
      <c r="N142" t="s">
        <v>5981</v>
      </c>
    </row>
    <row r="143" spans="1:14">
      <c r="A143" t="s">
        <v>1746</v>
      </c>
      <c r="B143" t="s">
        <v>5966</v>
      </c>
      <c r="C143" t="s">
        <v>1744</v>
      </c>
      <c r="D143" s="96">
        <v>13.11</v>
      </c>
      <c r="E143" s="13">
        <v>25487.5</v>
      </c>
      <c r="F143" s="486">
        <v>1.9440999999999999</v>
      </c>
      <c r="G143"/>
      <c r="H143" s="13">
        <v>25487.5</v>
      </c>
      <c r="I143" s="13">
        <v>1.9440999999999999</v>
      </c>
      <c r="J143">
        <v>13</v>
      </c>
      <c r="K143" s="131">
        <v>45688</v>
      </c>
      <c r="M143">
        <v>570</v>
      </c>
      <c r="N143" t="s">
        <v>5982</v>
      </c>
    </row>
    <row r="144" spans="1:14">
      <c r="A144" t="s">
        <v>1746</v>
      </c>
      <c r="B144" t="s">
        <v>5938</v>
      </c>
      <c r="C144" t="s">
        <v>1744</v>
      </c>
      <c r="D144" s="96">
        <v>13.49</v>
      </c>
      <c r="E144" s="13">
        <v>25068.34</v>
      </c>
      <c r="F144" s="486">
        <v>1.8583000000000001</v>
      </c>
      <c r="G144"/>
      <c r="H144" s="13">
        <v>25068.34</v>
      </c>
      <c r="I144" s="13">
        <v>1.8583000000000001</v>
      </c>
      <c r="J144">
        <v>13</v>
      </c>
      <c r="K144" s="131">
        <v>45688</v>
      </c>
      <c r="M144">
        <v>710</v>
      </c>
      <c r="N144" t="s">
        <v>5983</v>
      </c>
    </row>
    <row r="145" spans="1:14">
      <c r="A145" t="s">
        <v>1746</v>
      </c>
      <c r="B145" t="s">
        <v>1747</v>
      </c>
      <c r="C145" t="s">
        <v>1744</v>
      </c>
      <c r="D145" s="96">
        <v>13.68</v>
      </c>
      <c r="E145" s="13">
        <v>19053.68</v>
      </c>
      <c r="F145" s="486">
        <v>1.3928</v>
      </c>
      <c r="G145"/>
      <c r="H145" s="13">
        <v>19053.68</v>
      </c>
      <c r="I145" s="13">
        <v>1.3928</v>
      </c>
      <c r="J145">
        <v>13</v>
      </c>
      <c r="K145" s="131">
        <v>45688</v>
      </c>
      <c r="M145">
        <v>570</v>
      </c>
      <c r="N145" t="s">
        <v>5984</v>
      </c>
    </row>
    <row r="146" spans="1:14">
      <c r="A146" t="s">
        <v>1746</v>
      </c>
      <c r="B146" t="s">
        <v>1747</v>
      </c>
      <c r="C146" t="s">
        <v>1744</v>
      </c>
      <c r="D146" s="96">
        <v>13.68</v>
      </c>
      <c r="E146" s="13">
        <v>19121.82</v>
      </c>
      <c r="F146" s="486">
        <v>1.3977999999999999</v>
      </c>
      <c r="G146"/>
      <c r="H146" s="13">
        <v>19121.82</v>
      </c>
      <c r="I146" s="13">
        <v>1.3977999999999999</v>
      </c>
      <c r="J146">
        <v>13</v>
      </c>
      <c r="K146" s="131">
        <v>45688</v>
      </c>
      <c r="M146">
        <v>570</v>
      </c>
      <c r="N146" t="s">
        <v>5985</v>
      </c>
    </row>
    <row r="147" spans="1:14">
      <c r="A147" t="s">
        <v>1746</v>
      </c>
      <c r="B147" t="s">
        <v>1748</v>
      </c>
      <c r="C147" t="s">
        <v>1744</v>
      </c>
      <c r="D147" s="96">
        <v>13.68</v>
      </c>
      <c r="E147" s="13">
        <v>19471.04</v>
      </c>
      <c r="F147" s="486">
        <v>1.4233</v>
      </c>
      <c r="G147"/>
      <c r="H147" s="13">
        <v>19471.04</v>
      </c>
      <c r="I147" s="13">
        <v>1.4233</v>
      </c>
      <c r="J147">
        <v>13</v>
      </c>
      <c r="K147" s="131">
        <v>45688</v>
      </c>
      <c r="M147">
        <v>570</v>
      </c>
      <c r="N147" t="s">
        <v>5986</v>
      </c>
    </row>
    <row r="148" spans="1:14">
      <c r="A148" t="s">
        <v>1746</v>
      </c>
      <c r="B148" t="s">
        <v>1748</v>
      </c>
      <c r="C148" t="s">
        <v>1744</v>
      </c>
      <c r="D148" s="96">
        <v>13.68</v>
      </c>
      <c r="E148" s="13">
        <v>19539.189999999999</v>
      </c>
      <c r="F148" s="486">
        <v>1.4282999999999999</v>
      </c>
      <c r="G148"/>
      <c r="H148" s="13">
        <v>19539.189999999999</v>
      </c>
      <c r="I148" s="13">
        <v>1.4282999999999999</v>
      </c>
      <c r="J148">
        <v>13</v>
      </c>
      <c r="K148" s="131">
        <v>45688</v>
      </c>
      <c r="M148">
        <v>570</v>
      </c>
      <c r="N148" t="s">
        <v>5987</v>
      </c>
    </row>
    <row r="149" spans="1:14">
      <c r="A149" t="s">
        <v>1746</v>
      </c>
      <c r="B149" t="s">
        <v>5966</v>
      </c>
      <c r="C149" t="s">
        <v>1744</v>
      </c>
      <c r="D149" s="96">
        <v>13.68</v>
      </c>
      <c r="E149" s="13">
        <v>25946.880000000001</v>
      </c>
      <c r="F149" s="486">
        <v>1.8967000000000001</v>
      </c>
      <c r="G149"/>
      <c r="H149" s="13">
        <v>25946.880000000001</v>
      </c>
      <c r="I149" s="13">
        <v>1.8967000000000001</v>
      </c>
      <c r="J149">
        <v>13</v>
      </c>
      <c r="K149" s="131">
        <v>45688</v>
      </c>
      <c r="M149">
        <v>570</v>
      </c>
      <c r="N149" t="s">
        <v>5988</v>
      </c>
    </row>
    <row r="150" spans="1:14">
      <c r="A150" t="s">
        <v>1746</v>
      </c>
      <c r="B150" t="s">
        <v>5966</v>
      </c>
      <c r="C150" t="s">
        <v>1744</v>
      </c>
      <c r="D150" s="96">
        <v>13.68</v>
      </c>
      <c r="E150" s="13">
        <v>26015.02</v>
      </c>
      <c r="F150" s="486">
        <v>1.9016999999999999</v>
      </c>
      <c r="G150"/>
      <c r="H150" s="13">
        <v>26015.02</v>
      </c>
      <c r="I150" s="13">
        <v>1.9016999999999999</v>
      </c>
      <c r="J150">
        <v>13</v>
      </c>
      <c r="K150" s="131">
        <v>45688</v>
      </c>
      <c r="M150">
        <v>570</v>
      </c>
      <c r="N150" t="s">
        <v>5989</v>
      </c>
    </row>
    <row r="151" spans="1:14">
      <c r="A151" t="s">
        <v>1746</v>
      </c>
      <c r="B151" t="s">
        <v>5938</v>
      </c>
      <c r="C151" t="s">
        <v>1744</v>
      </c>
      <c r="D151" s="96">
        <v>14.2</v>
      </c>
      <c r="E151" s="13">
        <v>25796.5</v>
      </c>
      <c r="F151" s="486">
        <v>1.8167</v>
      </c>
      <c r="G151"/>
      <c r="H151" s="13">
        <v>25796.5</v>
      </c>
      <c r="I151" s="13">
        <v>1.8167</v>
      </c>
      <c r="J151">
        <v>13</v>
      </c>
      <c r="K151" s="131">
        <v>45688</v>
      </c>
      <c r="M151">
        <v>710</v>
      </c>
      <c r="N151" t="s">
        <v>5990</v>
      </c>
    </row>
    <row r="152" spans="1:14">
      <c r="A152" t="s">
        <v>1746</v>
      </c>
      <c r="B152" t="s">
        <v>1747</v>
      </c>
      <c r="C152" t="s">
        <v>1744</v>
      </c>
      <c r="D152" s="96">
        <v>14.25</v>
      </c>
      <c r="E152" s="13">
        <v>19892.95</v>
      </c>
      <c r="F152" s="486">
        <v>1.3959999999999999</v>
      </c>
      <c r="G152"/>
      <c r="H152" s="13">
        <v>19892.95</v>
      </c>
      <c r="I152" s="13">
        <v>1.3959999999999999</v>
      </c>
      <c r="J152">
        <v>13</v>
      </c>
      <c r="K152" s="131">
        <v>45688</v>
      </c>
      <c r="M152">
        <v>570</v>
      </c>
      <c r="N152" t="s">
        <v>5991</v>
      </c>
    </row>
    <row r="153" spans="1:14">
      <c r="A153" t="s">
        <v>1746</v>
      </c>
      <c r="B153" t="s">
        <v>1747</v>
      </c>
      <c r="C153" t="s">
        <v>1744</v>
      </c>
      <c r="D153" s="96">
        <v>14.25</v>
      </c>
      <c r="E153" s="13">
        <v>19963.93</v>
      </c>
      <c r="F153" s="486">
        <v>1.401</v>
      </c>
      <c r="G153"/>
      <c r="H153" s="13">
        <v>19963.93</v>
      </c>
      <c r="I153" s="13">
        <v>1.401</v>
      </c>
      <c r="J153">
        <v>13</v>
      </c>
      <c r="K153" s="131">
        <v>45688</v>
      </c>
      <c r="M153">
        <v>570</v>
      </c>
      <c r="N153" t="s">
        <v>5992</v>
      </c>
    </row>
    <row r="154" spans="1:14">
      <c r="A154" t="s">
        <v>1746</v>
      </c>
      <c r="B154" t="s">
        <v>1748</v>
      </c>
      <c r="C154" t="s">
        <v>1744</v>
      </c>
      <c r="D154" s="96">
        <v>14.25</v>
      </c>
      <c r="E154" s="13">
        <v>20310.310000000001</v>
      </c>
      <c r="F154" s="486">
        <v>1.4253</v>
      </c>
      <c r="G154"/>
      <c r="H154" s="13">
        <v>20310.310000000001</v>
      </c>
      <c r="I154" s="13">
        <v>1.4253</v>
      </c>
      <c r="J154">
        <v>13</v>
      </c>
      <c r="K154" s="131">
        <v>45688</v>
      </c>
      <c r="M154">
        <v>570</v>
      </c>
      <c r="N154" t="s">
        <v>5993</v>
      </c>
    </row>
    <row r="155" spans="1:14">
      <c r="A155" t="s">
        <v>1746</v>
      </c>
      <c r="B155" t="s">
        <v>1748</v>
      </c>
      <c r="C155" t="s">
        <v>1744</v>
      </c>
      <c r="D155" s="96">
        <v>14.25</v>
      </c>
      <c r="E155" s="13">
        <v>20381.29</v>
      </c>
      <c r="F155" s="486">
        <v>1.4302999999999999</v>
      </c>
      <c r="G155"/>
      <c r="H155" s="13">
        <v>20381.29</v>
      </c>
      <c r="I155" s="13">
        <v>1.4302999999999999</v>
      </c>
      <c r="J155">
        <v>13</v>
      </c>
      <c r="K155" s="131">
        <v>45688</v>
      </c>
      <c r="M155">
        <v>570</v>
      </c>
      <c r="N155" t="s">
        <v>5994</v>
      </c>
    </row>
    <row r="156" spans="1:14">
      <c r="A156" t="s">
        <v>1746</v>
      </c>
      <c r="B156" t="s">
        <v>5966</v>
      </c>
      <c r="C156" t="s">
        <v>1744</v>
      </c>
      <c r="D156" s="96">
        <v>14.25</v>
      </c>
      <c r="E156" s="13">
        <v>28558.94</v>
      </c>
      <c r="F156" s="486">
        <v>2.0041000000000002</v>
      </c>
      <c r="G156"/>
      <c r="H156" s="13">
        <v>28558.94</v>
      </c>
      <c r="I156" s="13">
        <v>2.0041000000000002</v>
      </c>
      <c r="J156">
        <v>13</v>
      </c>
      <c r="K156" s="131">
        <v>45688</v>
      </c>
      <c r="M156">
        <v>570</v>
      </c>
      <c r="N156" t="s">
        <v>5995</v>
      </c>
    </row>
    <row r="157" spans="1:14">
      <c r="A157" t="s">
        <v>1746</v>
      </c>
      <c r="B157" t="s">
        <v>5966</v>
      </c>
      <c r="C157" t="s">
        <v>1744</v>
      </c>
      <c r="D157" s="96">
        <v>14.25</v>
      </c>
      <c r="E157" s="13">
        <v>28629.919999999998</v>
      </c>
      <c r="F157" s="486">
        <v>2.0091000000000001</v>
      </c>
      <c r="G157"/>
      <c r="H157" s="13">
        <v>28629.919999999998</v>
      </c>
      <c r="I157" s="13">
        <v>2.0091000000000001</v>
      </c>
      <c r="J157">
        <v>13</v>
      </c>
      <c r="K157" s="131">
        <v>45688</v>
      </c>
      <c r="M157">
        <v>570</v>
      </c>
      <c r="N157" t="s">
        <v>5996</v>
      </c>
    </row>
    <row r="158" spans="1:14">
      <c r="A158" t="s">
        <v>1746</v>
      </c>
      <c r="B158" t="s">
        <v>1747</v>
      </c>
      <c r="C158" t="s">
        <v>1744</v>
      </c>
      <c r="D158" s="96">
        <v>14.82</v>
      </c>
      <c r="E158" s="13">
        <v>21505.62</v>
      </c>
      <c r="F158" s="486">
        <v>1.4511000000000001</v>
      </c>
      <c r="G158"/>
      <c r="H158" s="13">
        <v>21505.62</v>
      </c>
      <c r="I158" s="13">
        <v>1.4511000000000001</v>
      </c>
      <c r="J158">
        <v>13</v>
      </c>
      <c r="K158" s="131">
        <v>45688</v>
      </c>
      <c r="M158">
        <v>570</v>
      </c>
      <c r="N158" t="s">
        <v>5997</v>
      </c>
    </row>
    <row r="159" spans="1:14">
      <c r="A159" t="s">
        <v>1746</v>
      </c>
      <c r="B159" t="s">
        <v>1747</v>
      </c>
      <c r="C159" t="s">
        <v>1744</v>
      </c>
      <c r="D159" s="96">
        <v>14.82</v>
      </c>
      <c r="E159" s="13">
        <v>21579.43</v>
      </c>
      <c r="F159" s="486">
        <v>1.4560999999999999</v>
      </c>
      <c r="G159"/>
      <c r="H159" s="13">
        <v>21579.43</v>
      </c>
      <c r="I159" s="13">
        <v>1.4560999999999999</v>
      </c>
      <c r="J159">
        <v>13</v>
      </c>
      <c r="K159" s="131">
        <v>45688</v>
      </c>
      <c r="M159">
        <v>570</v>
      </c>
      <c r="N159" t="s">
        <v>5998</v>
      </c>
    </row>
    <row r="160" spans="1:14">
      <c r="A160" t="s">
        <v>1746</v>
      </c>
      <c r="B160" t="s">
        <v>1748</v>
      </c>
      <c r="C160" t="s">
        <v>1744</v>
      </c>
      <c r="D160" s="96">
        <v>14.82</v>
      </c>
      <c r="E160" s="13">
        <v>21806.57</v>
      </c>
      <c r="F160" s="486">
        <v>1.4714</v>
      </c>
      <c r="G160"/>
      <c r="H160" s="13">
        <v>21806.57</v>
      </c>
      <c r="I160" s="13">
        <v>1.4714</v>
      </c>
      <c r="J160">
        <v>13</v>
      </c>
      <c r="K160" s="131">
        <v>45688</v>
      </c>
      <c r="M160">
        <v>570</v>
      </c>
      <c r="N160" t="s">
        <v>5999</v>
      </c>
    </row>
    <row r="161" spans="1:14">
      <c r="A161" t="s">
        <v>1746</v>
      </c>
      <c r="B161" t="s">
        <v>1748</v>
      </c>
      <c r="C161" t="s">
        <v>1744</v>
      </c>
      <c r="D161" s="96">
        <v>14.82</v>
      </c>
      <c r="E161" s="13">
        <v>21880.39</v>
      </c>
      <c r="F161" s="486">
        <v>1.4763999999999999</v>
      </c>
      <c r="G161"/>
      <c r="H161" s="13">
        <v>21880.39</v>
      </c>
      <c r="I161" s="13">
        <v>1.4763999999999999</v>
      </c>
      <c r="J161">
        <v>13</v>
      </c>
      <c r="K161" s="131">
        <v>45688</v>
      </c>
      <c r="M161">
        <v>570</v>
      </c>
      <c r="N161" t="s">
        <v>6000</v>
      </c>
    </row>
    <row r="162" spans="1:14">
      <c r="A162" t="s">
        <v>1746</v>
      </c>
      <c r="B162" t="s">
        <v>1747</v>
      </c>
      <c r="C162" t="s">
        <v>1744</v>
      </c>
      <c r="D162" s="96">
        <v>14.82</v>
      </c>
      <c r="E162" s="13">
        <v>23089.89</v>
      </c>
      <c r="F162" s="486">
        <v>1.5580000000000001</v>
      </c>
      <c r="G162"/>
      <c r="H162" s="13">
        <v>23089.89</v>
      </c>
      <c r="I162" s="13">
        <v>1.5580000000000001</v>
      </c>
      <c r="J162">
        <v>13</v>
      </c>
      <c r="K162" s="131">
        <v>45688</v>
      </c>
      <c r="M162">
        <v>570</v>
      </c>
      <c r="N162" t="s">
        <v>6001</v>
      </c>
    </row>
    <row r="163" spans="1:14">
      <c r="A163" t="s">
        <v>1746</v>
      </c>
      <c r="B163" t="s">
        <v>1748</v>
      </c>
      <c r="C163" t="s">
        <v>1744</v>
      </c>
      <c r="D163" s="96">
        <v>14.82</v>
      </c>
      <c r="E163" s="13">
        <v>23114.5</v>
      </c>
      <c r="F163" s="486">
        <v>1.5597000000000001</v>
      </c>
      <c r="G163"/>
      <c r="H163" s="13">
        <v>23114.5</v>
      </c>
      <c r="I163" s="13">
        <v>1.5597000000000001</v>
      </c>
      <c r="J163">
        <v>13</v>
      </c>
      <c r="K163" s="131">
        <v>45688</v>
      </c>
      <c r="M163">
        <v>570</v>
      </c>
      <c r="N163" t="s">
        <v>6002</v>
      </c>
    </row>
    <row r="164" spans="1:14">
      <c r="A164" t="s">
        <v>1746</v>
      </c>
      <c r="B164" t="s">
        <v>1747</v>
      </c>
      <c r="C164" t="s">
        <v>1744</v>
      </c>
      <c r="D164" s="96">
        <v>14.82</v>
      </c>
      <c r="E164" s="13">
        <v>23163.71</v>
      </c>
      <c r="F164" s="486">
        <v>1.5629999999999999</v>
      </c>
      <c r="G164"/>
      <c r="H164" s="13">
        <v>23163.71</v>
      </c>
      <c r="I164" s="13">
        <v>1.5629999999999999</v>
      </c>
      <c r="J164">
        <v>13</v>
      </c>
      <c r="K164" s="131">
        <v>45688</v>
      </c>
      <c r="M164">
        <v>570</v>
      </c>
      <c r="N164" t="s">
        <v>6003</v>
      </c>
    </row>
    <row r="165" spans="1:14">
      <c r="A165" t="s">
        <v>1746</v>
      </c>
      <c r="B165" t="s">
        <v>1748</v>
      </c>
      <c r="C165" t="s">
        <v>1744</v>
      </c>
      <c r="D165" s="96">
        <v>14.82</v>
      </c>
      <c r="E165" s="13">
        <v>23188.31</v>
      </c>
      <c r="F165" s="486">
        <v>1.5647</v>
      </c>
      <c r="G165"/>
      <c r="H165" s="13">
        <v>23188.31</v>
      </c>
      <c r="I165" s="13">
        <v>1.5647</v>
      </c>
      <c r="J165">
        <v>13</v>
      </c>
      <c r="K165" s="131">
        <v>45688</v>
      </c>
      <c r="M165">
        <v>570</v>
      </c>
      <c r="N165" t="s">
        <v>6004</v>
      </c>
    </row>
    <row r="166" spans="1:14">
      <c r="A166" t="s">
        <v>1746</v>
      </c>
      <c r="B166" t="s">
        <v>5966</v>
      </c>
      <c r="C166" t="s">
        <v>1744</v>
      </c>
      <c r="D166" s="96">
        <v>14.82</v>
      </c>
      <c r="E166" s="13">
        <v>29083.63</v>
      </c>
      <c r="F166" s="486">
        <v>1.9624999999999999</v>
      </c>
      <c r="G166"/>
      <c r="H166" s="13">
        <v>29083.63</v>
      </c>
      <c r="I166" s="13">
        <v>1.9624999999999999</v>
      </c>
      <c r="J166">
        <v>13</v>
      </c>
      <c r="K166" s="131">
        <v>45688</v>
      </c>
      <c r="M166">
        <v>570</v>
      </c>
      <c r="N166" t="s">
        <v>6005</v>
      </c>
    </row>
    <row r="167" spans="1:14">
      <c r="A167" t="s">
        <v>1746</v>
      </c>
      <c r="B167" t="s">
        <v>5966</v>
      </c>
      <c r="C167" t="s">
        <v>1744</v>
      </c>
      <c r="D167" s="96">
        <v>14.82</v>
      </c>
      <c r="E167" s="13">
        <v>29157.45</v>
      </c>
      <c r="F167" s="486">
        <v>1.9674</v>
      </c>
      <c r="G167"/>
      <c r="H167" s="13">
        <v>29157.45</v>
      </c>
      <c r="I167" s="13">
        <v>1.9674</v>
      </c>
      <c r="J167">
        <v>13</v>
      </c>
      <c r="K167" s="131">
        <v>45688</v>
      </c>
      <c r="M167">
        <v>570</v>
      </c>
      <c r="N167" t="s">
        <v>6006</v>
      </c>
    </row>
    <row r="168" spans="1:14">
      <c r="A168" t="s">
        <v>1746</v>
      </c>
      <c r="B168" t="s">
        <v>5966</v>
      </c>
      <c r="C168" t="s">
        <v>1744</v>
      </c>
      <c r="D168" s="96">
        <v>14.91</v>
      </c>
      <c r="E168" s="13">
        <v>28645.82</v>
      </c>
      <c r="F168" s="486">
        <v>1.9212</v>
      </c>
      <c r="G168"/>
      <c r="H168" s="13">
        <v>28645.82</v>
      </c>
      <c r="I168" s="13">
        <v>1.9212</v>
      </c>
      <c r="J168">
        <v>13</v>
      </c>
      <c r="K168" s="131">
        <v>45688</v>
      </c>
      <c r="M168">
        <v>710</v>
      </c>
      <c r="N168" t="s">
        <v>6007</v>
      </c>
    </row>
    <row r="169" spans="1:14">
      <c r="A169" t="s">
        <v>1746</v>
      </c>
      <c r="B169" t="s">
        <v>1747</v>
      </c>
      <c r="C169" t="s">
        <v>1744</v>
      </c>
      <c r="D169" s="96">
        <v>15.39</v>
      </c>
      <c r="E169" s="13">
        <v>22030.3</v>
      </c>
      <c r="F169" s="486">
        <v>1.4315</v>
      </c>
      <c r="G169"/>
      <c r="H169" s="13">
        <v>22030.3</v>
      </c>
      <c r="I169" s="13">
        <v>1.4315</v>
      </c>
      <c r="J169">
        <v>13</v>
      </c>
      <c r="K169" s="131">
        <v>45688</v>
      </c>
      <c r="M169">
        <v>570</v>
      </c>
      <c r="N169" t="s">
        <v>6008</v>
      </c>
    </row>
    <row r="170" spans="1:14">
      <c r="A170" t="s">
        <v>1746</v>
      </c>
      <c r="B170" t="s">
        <v>1747</v>
      </c>
      <c r="C170" t="s">
        <v>1744</v>
      </c>
      <c r="D170" s="96">
        <v>15.39</v>
      </c>
      <c r="E170" s="13">
        <v>22106.959999999999</v>
      </c>
      <c r="F170" s="486">
        <v>1.4363999999999999</v>
      </c>
      <c r="G170"/>
      <c r="H170" s="13">
        <v>22106.959999999999</v>
      </c>
      <c r="I170" s="13">
        <v>1.4363999999999999</v>
      </c>
      <c r="J170">
        <v>13</v>
      </c>
      <c r="K170" s="131">
        <v>45688</v>
      </c>
      <c r="M170">
        <v>570</v>
      </c>
      <c r="N170" t="s">
        <v>6009</v>
      </c>
    </row>
    <row r="171" spans="1:14">
      <c r="A171" t="s">
        <v>1746</v>
      </c>
      <c r="B171" t="s">
        <v>1748</v>
      </c>
      <c r="C171" t="s">
        <v>1744</v>
      </c>
      <c r="D171" s="96">
        <v>15.39</v>
      </c>
      <c r="E171" s="13">
        <v>22331.25</v>
      </c>
      <c r="F171" s="486">
        <v>1.4510000000000001</v>
      </c>
      <c r="G171"/>
      <c r="H171" s="13">
        <v>22331.25</v>
      </c>
      <c r="I171" s="13">
        <v>1.4510000000000001</v>
      </c>
      <c r="J171">
        <v>13</v>
      </c>
      <c r="K171" s="131">
        <v>45688</v>
      </c>
      <c r="M171">
        <v>570</v>
      </c>
      <c r="N171" t="s">
        <v>6010</v>
      </c>
    </row>
    <row r="172" spans="1:14">
      <c r="A172" t="s">
        <v>1746</v>
      </c>
      <c r="B172" t="s">
        <v>1748</v>
      </c>
      <c r="C172" t="s">
        <v>1744</v>
      </c>
      <c r="D172" s="96">
        <v>15.39</v>
      </c>
      <c r="E172" s="13">
        <v>22407.91</v>
      </c>
      <c r="F172" s="486">
        <v>1.456</v>
      </c>
      <c r="G172"/>
      <c r="H172" s="13">
        <v>22407.91</v>
      </c>
      <c r="I172" s="13">
        <v>1.456</v>
      </c>
      <c r="J172">
        <v>13</v>
      </c>
      <c r="K172" s="131">
        <v>45688</v>
      </c>
      <c r="M172">
        <v>570</v>
      </c>
      <c r="N172" t="s">
        <v>6011</v>
      </c>
    </row>
    <row r="173" spans="1:14">
      <c r="A173" t="s">
        <v>1746</v>
      </c>
      <c r="B173" t="s">
        <v>1747</v>
      </c>
      <c r="C173" t="s">
        <v>1744</v>
      </c>
      <c r="D173" s="96">
        <v>15.39</v>
      </c>
      <c r="E173" s="13">
        <v>23614.57</v>
      </c>
      <c r="F173" s="486">
        <v>1.5344</v>
      </c>
      <c r="G173"/>
      <c r="H173" s="13">
        <v>23614.57</v>
      </c>
      <c r="I173" s="13">
        <v>1.5344</v>
      </c>
      <c r="J173">
        <v>13</v>
      </c>
      <c r="K173" s="131">
        <v>45688</v>
      </c>
      <c r="M173">
        <v>570</v>
      </c>
      <c r="N173" t="s">
        <v>6012</v>
      </c>
    </row>
    <row r="174" spans="1:14">
      <c r="A174" t="s">
        <v>1746</v>
      </c>
      <c r="B174" t="s">
        <v>1748</v>
      </c>
      <c r="C174" t="s">
        <v>1744</v>
      </c>
      <c r="D174" s="96">
        <v>15.39</v>
      </c>
      <c r="E174" s="13">
        <v>23639.18</v>
      </c>
      <c r="F174" s="486">
        <v>1.536</v>
      </c>
      <c r="G174"/>
      <c r="H174" s="13">
        <v>23639.18</v>
      </c>
      <c r="I174" s="13">
        <v>1.536</v>
      </c>
      <c r="J174">
        <v>13</v>
      </c>
      <c r="K174" s="131">
        <v>45688</v>
      </c>
      <c r="M174">
        <v>570</v>
      </c>
      <c r="N174" t="s">
        <v>6013</v>
      </c>
    </row>
    <row r="175" spans="1:14">
      <c r="A175" t="s">
        <v>1746</v>
      </c>
      <c r="B175" t="s">
        <v>1747</v>
      </c>
      <c r="C175" t="s">
        <v>1744</v>
      </c>
      <c r="D175" s="96">
        <v>15.39</v>
      </c>
      <c r="E175" s="13">
        <v>23691.23</v>
      </c>
      <c r="F175" s="486">
        <v>1.5394000000000001</v>
      </c>
      <c r="G175"/>
      <c r="H175" s="13">
        <v>23691.23</v>
      </c>
      <c r="I175" s="13">
        <v>1.5394000000000001</v>
      </c>
      <c r="J175">
        <v>13</v>
      </c>
      <c r="K175" s="131">
        <v>45688</v>
      </c>
      <c r="M175">
        <v>570</v>
      </c>
      <c r="N175" t="s">
        <v>6014</v>
      </c>
    </row>
    <row r="176" spans="1:14">
      <c r="A176" t="s">
        <v>1746</v>
      </c>
      <c r="B176" t="s">
        <v>1748</v>
      </c>
      <c r="C176" t="s">
        <v>1744</v>
      </c>
      <c r="D176" s="96">
        <v>15.39</v>
      </c>
      <c r="E176" s="13">
        <v>23715.84</v>
      </c>
      <c r="F176" s="486">
        <v>1.5409999999999999</v>
      </c>
      <c r="G176"/>
      <c r="H176" s="13">
        <v>23715.84</v>
      </c>
      <c r="I176" s="13">
        <v>1.5409999999999999</v>
      </c>
      <c r="J176">
        <v>13</v>
      </c>
      <c r="K176" s="131">
        <v>45688</v>
      </c>
      <c r="M176">
        <v>570</v>
      </c>
      <c r="N176" t="s">
        <v>6015</v>
      </c>
    </row>
    <row r="177" spans="1:14">
      <c r="A177" t="s">
        <v>1746</v>
      </c>
      <c r="B177" t="s">
        <v>5966</v>
      </c>
      <c r="C177" t="s">
        <v>1744</v>
      </c>
      <c r="D177" s="96">
        <v>15.39</v>
      </c>
      <c r="E177" s="13">
        <v>29608.31</v>
      </c>
      <c r="F177" s="486">
        <v>1.9238999999999999</v>
      </c>
      <c r="G177"/>
      <c r="H177" s="13">
        <v>29608.31</v>
      </c>
      <c r="I177" s="13">
        <v>1.9238999999999999</v>
      </c>
      <c r="J177">
        <v>13</v>
      </c>
      <c r="K177" s="131">
        <v>45688</v>
      </c>
      <c r="M177">
        <v>570</v>
      </c>
      <c r="N177" t="s">
        <v>6016</v>
      </c>
    </row>
    <row r="178" spans="1:14">
      <c r="A178" t="s">
        <v>1746</v>
      </c>
      <c r="B178" t="s">
        <v>5966</v>
      </c>
      <c r="C178" t="s">
        <v>1744</v>
      </c>
      <c r="D178" s="96">
        <v>15.39</v>
      </c>
      <c r="E178" s="13">
        <v>29684.97</v>
      </c>
      <c r="F178" s="486">
        <v>1.9288000000000001</v>
      </c>
      <c r="G178"/>
      <c r="H178" s="13">
        <v>29684.97</v>
      </c>
      <c r="I178" s="13">
        <v>1.9288000000000001</v>
      </c>
      <c r="J178">
        <v>13</v>
      </c>
      <c r="K178" s="131">
        <v>45688</v>
      </c>
      <c r="M178">
        <v>570</v>
      </c>
      <c r="N178" t="s">
        <v>6017</v>
      </c>
    </row>
    <row r="179" spans="1:14">
      <c r="A179" t="s">
        <v>1746</v>
      </c>
      <c r="B179" t="s">
        <v>5966</v>
      </c>
      <c r="C179" t="s">
        <v>1744</v>
      </c>
      <c r="D179" s="96">
        <v>15.62</v>
      </c>
      <c r="E179" s="13">
        <v>29373.98</v>
      </c>
      <c r="F179" s="486">
        <v>1.8805000000000001</v>
      </c>
      <c r="G179"/>
      <c r="H179" s="13">
        <v>29373.98</v>
      </c>
      <c r="I179" s="13">
        <v>1.8805000000000001</v>
      </c>
      <c r="J179">
        <v>13</v>
      </c>
      <c r="K179" s="131">
        <v>45688</v>
      </c>
      <c r="M179">
        <v>710</v>
      </c>
      <c r="N179" t="s">
        <v>6018</v>
      </c>
    </row>
    <row r="180" spans="1:14">
      <c r="A180" t="s">
        <v>1746</v>
      </c>
      <c r="B180" t="s">
        <v>1747</v>
      </c>
      <c r="C180" t="s">
        <v>1744</v>
      </c>
      <c r="D180" s="96">
        <v>15.96</v>
      </c>
      <c r="E180" s="13">
        <v>22554.98</v>
      </c>
      <c r="F180" s="486">
        <v>1.4132</v>
      </c>
      <c r="G180"/>
      <c r="H180" s="13">
        <v>22554.98</v>
      </c>
      <c r="I180" s="13">
        <v>1.4132</v>
      </c>
      <c r="J180">
        <v>13</v>
      </c>
      <c r="K180" s="131">
        <v>45688</v>
      </c>
      <c r="M180">
        <v>570</v>
      </c>
      <c r="N180" t="s">
        <v>6019</v>
      </c>
    </row>
    <row r="181" spans="1:14">
      <c r="A181" t="s">
        <v>1746</v>
      </c>
      <c r="B181" t="s">
        <v>1747</v>
      </c>
      <c r="C181" t="s">
        <v>1744</v>
      </c>
      <c r="D181" s="96">
        <v>15.96</v>
      </c>
      <c r="E181" s="13">
        <v>22634.48</v>
      </c>
      <c r="F181" s="486">
        <v>1.4181999999999999</v>
      </c>
      <c r="G181"/>
      <c r="H181" s="13">
        <v>22634.48</v>
      </c>
      <c r="I181" s="13">
        <v>1.4181999999999999</v>
      </c>
      <c r="J181">
        <v>13</v>
      </c>
      <c r="K181" s="131">
        <v>45688</v>
      </c>
      <c r="M181">
        <v>570</v>
      </c>
      <c r="N181" t="s">
        <v>6020</v>
      </c>
    </row>
    <row r="182" spans="1:14">
      <c r="A182" t="s">
        <v>1746</v>
      </c>
      <c r="B182" t="s">
        <v>1748</v>
      </c>
      <c r="C182" t="s">
        <v>1744</v>
      </c>
      <c r="D182" s="96">
        <v>15.96</v>
      </c>
      <c r="E182" s="13">
        <v>22855.94</v>
      </c>
      <c r="F182" s="486">
        <v>1.4320999999999999</v>
      </c>
      <c r="G182"/>
      <c r="H182" s="13">
        <v>22855.94</v>
      </c>
      <c r="I182" s="13">
        <v>1.4320999999999999</v>
      </c>
      <c r="J182">
        <v>13</v>
      </c>
      <c r="K182" s="131">
        <v>45688</v>
      </c>
      <c r="M182">
        <v>570</v>
      </c>
      <c r="N182" t="s">
        <v>6021</v>
      </c>
    </row>
    <row r="183" spans="1:14">
      <c r="A183" t="s">
        <v>1746</v>
      </c>
      <c r="B183" t="s">
        <v>1748</v>
      </c>
      <c r="C183" t="s">
        <v>1744</v>
      </c>
      <c r="D183" s="96">
        <v>15.96</v>
      </c>
      <c r="E183" s="13">
        <v>22935.439999999999</v>
      </c>
      <c r="F183" s="486">
        <v>1.4371</v>
      </c>
      <c r="G183"/>
      <c r="H183" s="13">
        <v>22935.439999999999</v>
      </c>
      <c r="I183" s="13">
        <v>1.4371</v>
      </c>
      <c r="J183">
        <v>13</v>
      </c>
      <c r="K183" s="131">
        <v>45688</v>
      </c>
      <c r="M183">
        <v>570</v>
      </c>
      <c r="N183" t="s">
        <v>6022</v>
      </c>
    </row>
    <row r="184" spans="1:14">
      <c r="A184" t="s">
        <v>1746</v>
      </c>
      <c r="B184" t="s">
        <v>1747</v>
      </c>
      <c r="C184" t="s">
        <v>1744</v>
      </c>
      <c r="D184" s="96">
        <v>15.96</v>
      </c>
      <c r="E184" s="13">
        <v>24139.26</v>
      </c>
      <c r="F184" s="486">
        <v>1.5125</v>
      </c>
      <c r="G184"/>
      <c r="H184" s="13">
        <v>24139.26</v>
      </c>
      <c r="I184" s="13">
        <v>1.5125</v>
      </c>
      <c r="J184">
        <v>13</v>
      </c>
      <c r="K184" s="131">
        <v>45688</v>
      </c>
      <c r="M184">
        <v>570</v>
      </c>
      <c r="N184" t="s">
        <v>6023</v>
      </c>
    </row>
    <row r="185" spans="1:14">
      <c r="A185" t="s">
        <v>1746</v>
      </c>
      <c r="B185" t="s">
        <v>1748</v>
      </c>
      <c r="C185" t="s">
        <v>1744</v>
      </c>
      <c r="D185" s="96">
        <v>15.96</v>
      </c>
      <c r="E185" s="13">
        <v>24163.86</v>
      </c>
      <c r="F185" s="486">
        <v>1.514</v>
      </c>
      <c r="G185"/>
      <c r="H185" s="13">
        <v>24163.86</v>
      </c>
      <c r="I185" s="13">
        <v>1.514</v>
      </c>
      <c r="J185">
        <v>13</v>
      </c>
      <c r="K185" s="131">
        <v>45688</v>
      </c>
      <c r="M185">
        <v>570</v>
      </c>
      <c r="N185" t="s">
        <v>6024</v>
      </c>
    </row>
    <row r="186" spans="1:14">
      <c r="A186" t="s">
        <v>1746</v>
      </c>
      <c r="B186" t="s">
        <v>1747</v>
      </c>
      <c r="C186" t="s">
        <v>1744</v>
      </c>
      <c r="D186" s="96">
        <v>15.96</v>
      </c>
      <c r="E186" s="13">
        <v>24218.75</v>
      </c>
      <c r="F186" s="486">
        <v>1.5175000000000001</v>
      </c>
      <c r="G186"/>
      <c r="H186" s="13">
        <v>24218.75</v>
      </c>
      <c r="I186" s="13">
        <v>1.5175000000000001</v>
      </c>
      <c r="J186">
        <v>13</v>
      </c>
      <c r="K186" s="131">
        <v>45688</v>
      </c>
      <c r="M186">
        <v>570</v>
      </c>
      <c r="N186" t="s">
        <v>6025</v>
      </c>
    </row>
    <row r="187" spans="1:14">
      <c r="A187" t="s">
        <v>1746</v>
      </c>
      <c r="B187" t="s">
        <v>1748</v>
      </c>
      <c r="C187" t="s">
        <v>1744</v>
      </c>
      <c r="D187" s="96">
        <v>15.96</v>
      </c>
      <c r="E187" s="13">
        <v>24243.360000000001</v>
      </c>
      <c r="F187" s="486">
        <v>1.5189999999999999</v>
      </c>
      <c r="G187"/>
      <c r="H187" s="13">
        <v>24243.360000000001</v>
      </c>
      <c r="I187" s="13">
        <v>1.5189999999999999</v>
      </c>
      <c r="J187">
        <v>13</v>
      </c>
      <c r="K187" s="131">
        <v>45688</v>
      </c>
      <c r="M187">
        <v>570</v>
      </c>
      <c r="N187" t="s">
        <v>6026</v>
      </c>
    </row>
    <row r="188" spans="1:14">
      <c r="A188" t="s">
        <v>1746</v>
      </c>
      <c r="B188" t="s">
        <v>5966</v>
      </c>
      <c r="C188" t="s">
        <v>1744</v>
      </c>
      <c r="D188" s="96">
        <v>15.96</v>
      </c>
      <c r="E188" s="13">
        <v>30133</v>
      </c>
      <c r="F188" s="486">
        <v>1.8879999999999999</v>
      </c>
      <c r="G188"/>
      <c r="H188" s="13">
        <v>30133</v>
      </c>
      <c r="I188" s="13">
        <v>1.8879999999999999</v>
      </c>
      <c r="J188">
        <v>13</v>
      </c>
      <c r="K188" s="131">
        <v>45688</v>
      </c>
      <c r="M188">
        <v>570</v>
      </c>
      <c r="N188" t="s">
        <v>6027</v>
      </c>
    </row>
    <row r="189" spans="1:14">
      <c r="A189" t="s">
        <v>1746</v>
      </c>
      <c r="B189" t="s">
        <v>5966</v>
      </c>
      <c r="C189" t="s">
        <v>1744</v>
      </c>
      <c r="D189" s="96">
        <v>15.96</v>
      </c>
      <c r="E189" s="13">
        <v>30212.5</v>
      </c>
      <c r="F189" s="486">
        <v>1.893</v>
      </c>
      <c r="G189"/>
      <c r="H189" s="13">
        <v>30212.5</v>
      </c>
      <c r="I189" s="13">
        <v>1.893</v>
      </c>
      <c r="J189">
        <v>13</v>
      </c>
      <c r="K189" s="131">
        <v>45688</v>
      </c>
      <c r="M189">
        <v>570</v>
      </c>
      <c r="N189" t="s">
        <v>6028</v>
      </c>
    </row>
    <row r="190" spans="1:14">
      <c r="A190" t="s">
        <v>1746</v>
      </c>
      <c r="B190" t="s">
        <v>5966</v>
      </c>
      <c r="C190" t="s">
        <v>1744</v>
      </c>
      <c r="D190" s="96">
        <v>16.329999999999998</v>
      </c>
      <c r="E190" s="13">
        <v>30102.14</v>
      </c>
      <c r="F190" s="486">
        <v>1.8433999999999999</v>
      </c>
      <c r="G190"/>
      <c r="H190" s="13">
        <v>30102.14</v>
      </c>
      <c r="I190" s="13">
        <v>1.8433999999999999</v>
      </c>
      <c r="J190">
        <v>13</v>
      </c>
      <c r="K190" s="131">
        <v>45688</v>
      </c>
      <c r="M190">
        <v>710</v>
      </c>
      <c r="N190" t="s">
        <v>6029</v>
      </c>
    </row>
    <row r="191" spans="1:14">
      <c r="A191" t="s">
        <v>1746</v>
      </c>
      <c r="B191" t="s">
        <v>1747</v>
      </c>
      <c r="C191" t="s">
        <v>1744</v>
      </c>
      <c r="D191" s="96">
        <v>16.53</v>
      </c>
      <c r="E191" s="13">
        <v>23394.25</v>
      </c>
      <c r="F191" s="486">
        <v>1.4153</v>
      </c>
      <c r="H191" s="13">
        <v>23394.25</v>
      </c>
      <c r="I191" s="13">
        <v>1.4153</v>
      </c>
      <c r="J191">
        <v>13</v>
      </c>
      <c r="K191" s="131">
        <v>45688</v>
      </c>
      <c r="M191">
        <v>570</v>
      </c>
      <c r="N191" t="s">
        <v>6030</v>
      </c>
    </row>
    <row r="192" spans="1:14">
      <c r="A192" t="s">
        <v>1746</v>
      </c>
      <c r="B192" t="s">
        <v>1747</v>
      </c>
      <c r="C192" t="s">
        <v>1744</v>
      </c>
      <c r="D192" s="96">
        <v>16.53</v>
      </c>
      <c r="E192" s="13">
        <v>23476.59</v>
      </c>
      <c r="F192" s="486">
        <v>1.4201999999999999</v>
      </c>
      <c r="G192"/>
      <c r="H192" s="13">
        <v>23476.59</v>
      </c>
      <c r="I192" s="13">
        <v>1.4201999999999999</v>
      </c>
      <c r="J192">
        <v>13</v>
      </c>
      <c r="K192" s="131">
        <v>45688</v>
      </c>
      <c r="M192">
        <v>570</v>
      </c>
      <c r="N192" t="s">
        <v>6031</v>
      </c>
    </row>
    <row r="193" spans="1:14">
      <c r="A193" t="s">
        <v>1746</v>
      </c>
      <c r="B193" t="s">
        <v>1748</v>
      </c>
      <c r="C193" t="s">
        <v>1744</v>
      </c>
      <c r="D193" s="96">
        <v>16.53</v>
      </c>
      <c r="E193" s="13">
        <v>23695.21</v>
      </c>
      <c r="F193" s="486">
        <v>1.4335</v>
      </c>
      <c r="G193"/>
      <c r="H193" s="13">
        <v>23695.21</v>
      </c>
      <c r="I193" s="13">
        <v>1.4335</v>
      </c>
      <c r="J193">
        <v>13</v>
      </c>
      <c r="K193" s="131">
        <v>45688</v>
      </c>
      <c r="M193">
        <v>570</v>
      </c>
      <c r="N193" t="s">
        <v>6032</v>
      </c>
    </row>
    <row r="194" spans="1:14">
      <c r="A194" t="s">
        <v>1746</v>
      </c>
      <c r="B194" t="s">
        <v>1748</v>
      </c>
      <c r="C194" t="s">
        <v>1744</v>
      </c>
      <c r="D194" s="96">
        <v>16.53</v>
      </c>
      <c r="E194" s="13">
        <v>23777.54</v>
      </c>
      <c r="F194" s="486">
        <v>1.4383999999999999</v>
      </c>
      <c r="G194"/>
      <c r="H194" s="13">
        <v>23777.54</v>
      </c>
      <c r="I194" s="13">
        <v>1.4383999999999999</v>
      </c>
      <c r="J194">
        <v>13</v>
      </c>
      <c r="K194" s="131">
        <v>45688</v>
      </c>
      <c r="M194">
        <v>570</v>
      </c>
      <c r="N194" t="s">
        <v>6033</v>
      </c>
    </row>
    <row r="195" spans="1:14">
      <c r="A195" t="s">
        <v>1746</v>
      </c>
      <c r="B195" t="s">
        <v>1747</v>
      </c>
      <c r="C195" t="s">
        <v>1744</v>
      </c>
      <c r="D195" s="96">
        <v>16.53</v>
      </c>
      <c r="E195" s="13">
        <v>24978.52</v>
      </c>
      <c r="F195" s="486">
        <v>1.5111000000000001</v>
      </c>
      <c r="G195"/>
      <c r="H195" s="13">
        <v>24978.52</v>
      </c>
      <c r="I195" s="13">
        <v>1.5111000000000001</v>
      </c>
      <c r="J195">
        <v>13</v>
      </c>
      <c r="K195" s="131">
        <v>45688</v>
      </c>
      <c r="M195">
        <v>570</v>
      </c>
      <c r="N195" t="s">
        <v>6034</v>
      </c>
    </row>
    <row r="196" spans="1:14">
      <c r="A196" t="s">
        <v>1746</v>
      </c>
      <c r="B196" t="s">
        <v>1748</v>
      </c>
      <c r="C196" t="s">
        <v>1744</v>
      </c>
      <c r="D196" s="96">
        <v>16.53</v>
      </c>
      <c r="E196" s="13">
        <v>25003.13</v>
      </c>
      <c r="F196" s="486">
        <v>1.5125999999999999</v>
      </c>
      <c r="G196"/>
      <c r="H196" s="13">
        <v>25003.13</v>
      </c>
      <c r="I196" s="13">
        <v>1.5125999999999999</v>
      </c>
      <c r="J196">
        <v>13</v>
      </c>
      <c r="K196" s="131">
        <v>45688</v>
      </c>
      <c r="M196">
        <v>570</v>
      </c>
      <c r="N196" t="s">
        <v>6035</v>
      </c>
    </row>
    <row r="197" spans="1:14">
      <c r="A197" t="s">
        <v>1746</v>
      </c>
      <c r="B197" t="s">
        <v>1747</v>
      </c>
      <c r="C197" t="s">
        <v>1744</v>
      </c>
      <c r="D197" s="96">
        <v>16.53</v>
      </c>
      <c r="E197" s="13">
        <v>25060.86</v>
      </c>
      <c r="F197" s="486">
        <v>1.5161</v>
      </c>
      <c r="G197"/>
      <c r="H197" s="13">
        <v>25060.86</v>
      </c>
      <c r="I197" s="13">
        <v>1.5161</v>
      </c>
      <c r="J197">
        <v>13</v>
      </c>
      <c r="K197" s="131">
        <v>45688</v>
      </c>
      <c r="M197">
        <v>570</v>
      </c>
      <c r="N197" t="s">
        <v>6036</v>
      </c>
    </row>
    <row r="198" spans="1:14">
      <c r="A198" t="s">
        <v>1746</v>
      </c>
      <c r="B198" t="s">
        <v>1748</v>
      </c>
      <c r="C198" t="s">
        <v>1744</v>
      </c>
      <c r="D198" s="96">
        <v>16.53</v>
      </c>
      <c r="E198" s="13">
        <v>25085.47</v>
      </c>
      <c r="F198" s="486">
        <v>1.5176000000000001</v>
      </c>
      <c r="G198"/>
      <c r="H198" s="13">
        <v>25085.47</v>
      </c>
      <c r="I198" s="13">
        <v>1.5176000000000001</v>
      </c>
      <c r="J198">
        <v>13</v>
      </c>
      <c r="K198" s="131">
        <v>45688</v>
      </c>
      <c r="M198">
        <v>570</v>
      </c>
      <c r="N198" t="s">
        <v>6037</v>
      </c>
    </row>
    <row r="199" spans="1:14">
      <c r="A199" t="s">
        <v>1746</v>
      </c>
      <c r="B199" t="s">
        <v>6038</v>
      </c>
      <c r="C199" t="s">
        <v>1744</v>
      </c>
      <c r="D199" s="96">
        <v>16.53</v>
      </c>
      <c r="E199" s="13">
        <v>32778.85</v>
      </c>
      <c r="F199" s="486">
        <v>1.9830000000000001</v>
      </c>
      <c r="G199"/>
      <c r="H199" s="13">
        <v>32778.85</v>
      </c>
      <c r="I199" s="13">
        <v>1.9830000000000001</v>
      </c>
      <c r="J199">
        <v>13</v>
      </c>
      <c r="K199" s="131">
        <v>45688</v>
      </c>
      <c r="M199">
        <v>570</v>
      </c>
      <c r="N199" t="s">
        <v>6039</v>
      </c>
    </row>
    <row r="200" spans="1:14">
      <c r="A200" t="s">
        <v>1746</v>
      </c>
      <c r="B200" t="s">
        <v>6038</v>
      </c>
      <c r="C200" t="s">
        <v>1744</v>
      </c>
      <c r="D200" s="96">
        <v>16.53</v>
      </c>
      <c r="E200" s="13">
        <v>32861.18</v>
      </c>
      <c r="F200" s="486">
        <v>1.988</v>
      </c>
      <c r="G200"/>
      <c r="H200" s="13">
        <v>32861.18</v>
      </c>
      <c r="I200" s="13">
        <v>1.988</v>
      </c>
      <c r="J200">
        <v>13</v>
      </c>
      <c r="K200" s="131">
        <v>45688</v>
      </c>
      <c r="M200">
        <v>570</v>
      </c>
      <c r="N200" t="s">
        <v>6040</v>
      </c>
    </row>
    <row r="201" spans="1:14">
      <c r="A201" t="s">
        <v>1746</v>
      </c>
      <c r="B201" t="s">
        <v>5966</v>
      </c>
      <c r="C201" t="s">
        <v>1744</v>
      </c>
      <c r="D201" s="96">
        <v>17.04</v>
      </c>
      <c r="E201" s="13">
        <v>30830.3</v>
      </c>
      <c r="F201" s="486">
        <v>1.8092999999999999</v>
      </c>
      <c r="G201"/>
      <c r="H201" s="13">
        <v>30830.3</v>
      </c>
      <c r="I201" s="13">
        <v>1.8092999999999999</v>
      </c>
      <c r="J201">
        <v>13</v>
      </c>
      <c r="K201" s="131">
        <v>45688</v>
      </c>
      <c r="M201">
        <v>710</v>
      </c>
      <c r="N201" t="s">
        <v>6041</v>
      </c>
    </row>
    <row r="202" spans="1:14">
      <c r="A202" t="s">
        <v>1746</v>
      </c>
      <c r="B202" t="s">
        <v>1747</v>
      </c>
      <c r="C202" t="s">
        <v>1744</v>
      </c>
      <c r="D202" s="96">
        <v>17.100000000000001</v>
      </c>
      <c r="E202" s="13">
        <v>23918.94</v>
      </c>
      <c r="F202" s="486">
        <v>1.3988</v>
      </c>
      <c r="G202"/>
      <c r="H202" s="13">
        <v>23918.94</v>
      </c>
      <c r="I202" s="13">
        <v>1.3988</v>
      </c>
      <c r="J202">
        <v>13</v>
      </c>
      <c r="K202" s="131">
        <v>45688</v>
      </c>
      <c r="M202">
        <v>570</v>
      </c>
      <c r="N202" t="s">
        <v>6042</v>
      </c>
    </row>
    <row r="203" spans="1:14">
      <c r="A203" t="s">
        <v>1746</v>
      </c>
      <c r="B203" t="s">
        <v>1747</v>
      </c>
      <c r="C203" t="s">
        <v>1744</v>
      </c>
      <c r="D203" s="96">
        <v>17.100000000000001</v>
      </c>
      <c r="E203" s="13">
        <v>24004.11</v>
      </c>
      <c r="F203" s="486">
        <v>1.4036999999999999</v>
      </c>
      <c r="G203"/>
      <c r="H203" s="13">
        <v>24004.11</v>
      </c>
      <c r="I203" s="13">
        <v>1.4036999999999999</v>
      </c>
      <c r="J203">
        <v>13</v>
      </c>
      <c r="K203" s="131">
        <v>45688</v>
      </c>
      <c r="M203">
        <v>570</v>
      </c>
      <c r="N203" t="s">
        <v>6043</v>
      </c>
    </row>
    <row r="204" spans="1:14">
      <c r="A204" t="s">
        <v>1746</v>
      </c>
      <c r="B204" t="s">
        <v>1748</v>
      </c>
      <c r="C204" t="s">
        <v>1744</v>
      </c>
      <c r="D204" s="96">
        <v>17.100000000000001</v>
      </c>
      <c r="E204" s="13">
        <v>24219.89</v>
      </c>
      <c r="F204" s="486">
        <v>1.4164000000000001</v>
      </c>
      <c r="G204"/>
      <c r="H204" s="13">
        <v>24219.89</v>
      </c>
      <c r="I204" s="13">
        <v>1.4164000000000001</v>
      </c>
      <c r="J204">
        <v>13</v>
      </c>
      <c r="K204" s="131">
        <v>45688</v>
      </c>
      <c r="M204">
        <v>570</v>
      </c>
      <c r="N204" t="s">
        <v>6044</v>
      </c>
    </row>
    <row r="205" spans="1:14">
      <c r="A205" t="s">
        <v>1746</v>
      </c>
      <c r="B205" t="s">
        <v>1748</v>
      </c>
      <c r="C205" t="s">
        <v>1744</v>
      </c>
      <c r="D205" s="96">
        <v>17.100000000000001</v>
      </c>
      <c r="E205" s="13">
        <v>24305.07</v>
      </c>
      <c r="F205" s="486">
        <v>1.4213</v>
      </c>
      <c r="G205"/>
      <c r="H205" s="13">
        <v>24305.07</v>
      </c>
      <c r="I205" s="13">
        <v>1.4213</v>
      </c>
      <c r="J205">
        <v>13</v>
      </c>
      <c r="K205" s="131">
        <v>45688</v>
      </c>
      <c r="M205">
        <v>570</v>
      </c>
      <c r="N205" t="s">
        <v>6045</v>
      </c>
    </row>
    <row r="206" spans="1:14">
      <c r="A206" t="s">
        <v>1746</v>
      </c>
      <c r="B206" t="s">
        <v>1748</v>
      </c>
      <c r="C206" t="s">
        <v>1744</v>
      </c>
      <c r="D206" s="96">
        <v>17.100000000000001</v>
      </c>
      <c r="E206" s="13">
        <v>25572.3</v>
      </c>
      <c r="F206" s="486">
        <v>1.4955000000000001</v>
      </c>
      <c r="G206"/>
      <c r="H206" s="13">
        <v>25572.3</v>
      </c>
      <c r="I206" s="13">
        <v>1.4955000000000001</v>
      </c>
      <c r="J206">
        <v>13</v>
      </c>
      <c r="K206" s="131">
        <v>45688</v>
      </c>
      <c r="M206">
        <v>570</v>
      </c>
      <c r="N206" t="s">
        <v>6046</v>
      </c>
    </row>
    <row r="207" spans="1:14">
      <c r="A207" t="s">
        <v>1746</v>
      </c>
      <c r="B207" t="s">
        <v>1748</v>
      </c>
      <c r="C207" t="s">
        <v>1744</v>
      </c>
      <c r="D207" s="96">
        <v>17.100000000000001</v>
      </c>
      <c r="E207" s="13">
        <v>25657.47</v>
      </c>
      <c r="F207" s="486">
        <v>1.5004</v>
      </c>
      <c r="G207"/>
      <c r="H207" s="13">
        <v>25657.47</v>
      </c>
      <c r="I207" s="13">
        <v>1.5004</v>
      </c>
      <c r="J207">
        <v>13</v>
      </c>
      <c r="K207" s="131">
        <v>45688</v>
      </c>
      <c r="M207">
        <v>570</v>
      </c>
      <c r="N207" t="s">
        <v>6047</v>
      </c>
    </row>
    <row r="208" spans="1:14">
      <c r="A208" t="s">
        <v>1746</v>
      </c>
      <c r="B208" t="s">
        <v>1747</v>
      </c>
      <c r="C208" t="s">
        <v>1744</v>
      </c>
      <c r="D208" s="96">
        <v>17.100000000000001</v>
      </c>
      <c r="E208" s="13">
        <v>25830.66</v>
      </c>
      <c r="F208" s="486">
        <v>1.5105999999999999</v>
      </c>
      <c r="G208"/>
      <c r="H208" s="13">
        <v>25830.66</v>
      </c>
      <c r="I208" s="13">
        <v>1.5105999999999999</v>
      </c>
      <c r="J208">
        <v>13</v>
      </c>
      <c r="K208" s="131">
        <v>45688</v>
      </c>
      <c r="M208">
        <v>570</v>
      </c>
      <c r="N208" t="s">
        <v>6048</v>
      </c>
    </row>
    <row r="209" spans="1:14">
      <c r="A209" t="s">
        <v>1746</v>
      </c>
      <c r="B209" t="s">
        <v>1747</v>
      </c>
      <c r="C209" t="s">
        <v>1744</v>
      </c>
      <c r="D209" s="96">
        <v>17.100000000000001</v>
      </c>
      <c r="E209" s="13">
        <v>25915.84</v>
      </c>
      <c r="F209" s="486">
        <v>1.5155000000000001</v>
      </c>
      <c r="G209"/>
      <c r="H209" s="13">
        <v>25915.84</v>
      </c>
      <c r="I209" s="13">
        <v>1.5155000000000001</v>
      </c>
      <c r="J209">
        <v>13</v>
      </c>
      <c r="K209" s="131">
        <v>45688</v>
      </c>
      <c r="M209">
        <v>570</v>
      </c>
      <c r="N209" t="s">
        <v>6049</v>
      </c>
    </row>
    <row r="210" spans="1:14">
      <c r="A210" t="s">
        <v>1746</v>
      </c>
      <c r="B210" t="s">
        <v>1747</v>
      </c>
      <c r="C210" t="s">
        <v>1744</v>
      </c>
      <c r="D210" s="96">
        <v>17.100000000000001</v>
      </c>
      <c r="E210" s="13">
        <v>28879.02</v>
      </c>
      <c r="F210" s="486">
        <v>1.6888000000000001</v>
      </c>
      <c r="G210"/>
      <c r="H210" s="13">
        <v>28879.02</v>
      </c>
      <c r="I210" s="13">
        <v>1.6888000000000001</v>
      </c>
      <c r="J210">
        <v>13</v>
      </c>
      <c r="K210" s="131">
        <v>45688</v>
      </c>
      <c r="M210">
        <v>570</v>
      </c>
      <c r="N210" t="s">
        <v>6050</v>
      </c>
    </row>
    <row r="211" spans="1:14">
      <c r="A211" t="s">
        <v>1746</v>
      </c>
      <c r="B211" t="s">
        <v>1747</v>
      </c>
      <c r="C211" t="s">
        <v>1744</v>
      </c>
      <c r="D211" s="96">
        <v>17.100000000000001</v>
      </c>
      <c r="E211" s="13">
        <v>28964.19</v>
      </c>
      <c r="F211" s="486">
        <v>1.6938</v>
      </c>
      <c r="G211"/>
      <c r="H211" s="13">
        <v>28964.19</v>
      </c>
      <c r="I211" s="13">
        <v>1.6938</v>
      </c>
      <c r="J211">
        <v>13</v>
      </c>
      <c r="K211" s="131">
        <v>45688</v>
      </c>
      <c r="M211">
        <v>570</v>
      </c>
      <c r="N211" t="s">
        <v>6051</v>
      </c>
    </row>
    <row r="212" spans="1:14">
      <c r="A212" t="s">
        <v>1746</v>
      </c>
      <c r="B212" t="s">
        <v>6038</v>
      </c>
      <c r="C212" t="s">
        <v>1744</v>
      </c>
      <c r="D212" s="96">
        <v>17.100000000000001</v>
      </c>
      <c r="E212" s="13">
        <v>33303.53</v>
      </c>
      <c r="F212" s="486">
        <v>1.9476</v>
      </c>
      <c r="G212"/>
      <c r="H212" s="13">
        <v>33303.53</v>
      </c>
      <c r="I212" s="13">
        <v>1.9476</v>
      </c>
      <c r="J212">
        <v>13</v>
      </c>
      <c r="K212" s="131">
        <v>45688</v>
      </c>
      <c r="M212">
        <v>570</v>
      </c>
      <c r="N212" t="s">
        <v>6052</v>
      </c>
    </row>
    <row r="213" spans="1:14">
      <c r="A213" t="s">
        <v>1746</v>
      </c>
      <c r="B213" t="s">
        <v>6038</v>
      </c>
      <c r="C213" t="s">
        <v>1744</v>
      </c>
      <c r="D213" s="96">
        <v>17.100000000000001</v>
      </c>
      <c r="E213" s="13">
        <v>33388.71</v>
      </c>
      <c r="F213" s="486">
        <v>1.9525999999999999</v>
      </c>
      <c r="G213"/>
      <c r="H213" s="13">
        <v>33388.71</v>
      </c>
      <c r="I213" s="13">
        <v>1.9525999999999999</v>
      </c>
      <c r="J213">
        <v>13</v>
      </c>
      <c r="K213" s="131">
        <v>45688</v>
      </c>
      <c r="M213">
        <v>570</v>
      </c>
      <c r="N213" t="s">
        <v>6053</v>
      </c>
    </row>
    <row r="214" spans="1:14">
      <c r="A214" t="s">
        <v>1746</v>
      </c>
      <c r="B214" t="s">
        <v>1748</v>
      </c>
      <c r="C214" t="s">
        <v>1744</v>
      </c>
      <c r="D214" s="96">
        <v>17.670000000000002</v>
      </c>
      <c r="E214" s="13">
        <v>26096.98</v>
      </c>
      <c r="F214" s="486">
        <v>1.4769000000000001</v>
      </c>
      <c r="G214"/>
      <c r="H214" s="13">
        <v>26096.98</v>
      </c>
      <c r="I214" s="13">
        <v>1.4769000000000001</v>
      </c>
      <c r="J214">
        <v>13</v>
      </c>
      <c r="K214" s="131">
        <v>45688</v>
      </c>
      <c r="M214">
        <v>570</v>
      </c>
      <c r="N214" t="s">
        <v>6054</v>
      </c>
    </row>
    <row r="215" spans="1:14">
      <c r="A215" t="s">
        <v>1746</v>
      </c>
      <c r="B215" t="s">
        <v>1748</v>
      </c>
      <c r="C215" t="s">
        <v>1744</v>
      </c>
      <c r="D215" s="96">
        <v>17.670000000000002</v>
      </c>
      <c r="E215" s="13">
        <v>26185</v>
      </c>
      <c r="F215" s="486">
        <v>1.4819</v>
      </c>
      <c r="G215"/>
      <c r="H215" s="13">
        <v>26185</v>
      </c>
      <c r="I215" s="13">
        <v>1.4819</v>
      </c>
      <c r="J215">
        <v>13</v>
      </c>
      <c r="K215" s="131">
        <v>45688</v>
      </c>
      <c r="M215">
        <v>570</v>
      </c>
      <c r="N215" t="s">
        <v>6055</v>
      </c>
    </row>
    <row r="216" spans="1:14">
      <c r="A216" t="s">
        <v>1746</v>
      </c>
      <c r="B216" t="s">
        <v>1747</v>
      </c>
      <c r="C216" t="s">
        <v>1744</v>
      </c>
      <c r="D216" s="96">
        <v>17.670000000000002</v>
      </c>
      <c r="E216" s="13">
        <v>26355.35</v>
      </c>
      <c r="F216" s="486">
        <v>1.4915</v>
      </c>
      <c r="G216"/>
      <c r="H216" s="13">
        <v>26355.35</v>
      </c>
      <c r="I216" s="13">
        <v>1.4915</v>
      </c>
      <c r="J216">
        <v>13</v>
      </c>
      <c r="K216" s="131">
        <v>45688</v>
      </c>
      <c r="M216">
        <v>570</v>
      </c>
      <c r="N216" t="s">
        <v>6056</v>
      </c>
    </row>
    <row r="217" spans="1:14">
      <c r="A217" t="s">
        <v>1746</v>
      </c>
      <c r="B217" t="s">
        <v>1748</v>
      </c>
      <c r="C217" t="s">
        <v>1744</v>
      </c>
      <c r="D217" s="96">
        <v>17.670000000000002</v>
      </c>
      <c r="E217" s="13">
        <v>26371.63</v>
      </c>
      <c r="F217" s="486">
        <v>1.4924999999999999</v>
      </c>
      <c r="G217"/>
      <c r="H217" s="13">
        <v>26371.63</v>
      </c>
      <c r="I217" s="13">
        <v>1.4924999999999999</v>
      </c>
      <c r="J217">
        <v>13</v>
      </c>
      <c r="K217" s="131">
        <v>45688</v>
      </c>
      <c r="M217">
        <v>570</v>
      </c>
      <c r="N217" t="s">
        <v>6057</v>
      </c>
    </row>
    <row r="218" spans="1:14">
      <c r="A218" t="s">
        <v>1746</v>
      </c>
      <c r="B218" t="s">
        <v>1747</v>
      </c>
      <c r="C218" t="s">
        <v>1744</v>
      </c>
      <c r="D218" s="96">
        <v>17.670000000000002</v>
      </c>
      <c r="E218" s="13">
        <v>26443.360000000001</v>
      </c>
      <c r="F218" s="486">
        <v>1.4964999999999999</v>
      </c>
      <c r="G218"/>
      <c r="H218" s="13">
        <v>26443.360000000001</v>
      </c>
      <c r="I218" s="13">
        <v>1.4964999999999999</v>
      </c>
      <c r="J218">
        <v>13</v>
      </c>
      <c r="K218" s="131">
        <v>45688</v>
      </c>
      <c r="M218">
        <v>570</v>
      </c>
      <c r="N218" t="s">
        <v>6058</v>
      </c>
    </row>
    <row r="219" spans="1:14">
      <c r="A219" t="s">
        <v>1746</v>
      </c>
      <c r="B219" t="s">
        <v>1748</v>
      </c>
      <c r="C219" t="s">
        <v>1744</v>
      </c>
      <c r="D219" s="96">
        <v>17.670000000000002</v>
      </c>
      <c r="E219" s="13">
        <v>26459.64</v>
      </c>
      <c r="F219" s="486">
        <v>1.4974000000000001</v>
      </c>
      <c r="G219"/>
      <c r="H219" s="13">
        <v>26459.64</v>
      </c>
      <c r="I219" s="13">
        <v>1.4974000000000001</v>
      </c>
      <c r="J219">
        <v>13</v>
      </c>
      <c r="K219" s="131">
        <v>45688</v>
      </c>
      <c r="M219">
        <v>570</v>
      </c>
      <c r="N219" t="s">
        <v>6059</v>
      </c>
    </row>
    <row r="220" spans="1:14">
      <c r="A220" t="s">
        <v>1746</v>
      </c>
      <c r="B220" t="s">
        <v>1747</v>
      </c>
      <c r="C220" t="s">
        <v>1744</v>
      </c>
      <c r="D220" s="96">
        <v>17.670000000000002</v>
      </c>
      <c r="E220" s="13">
        <v>26490.87</v>
      </c>
      <c r="F220" s="486">
        <v>1.4992000000000001</v>
      </c>
      <c r="G220"/>
      <c r="H220" s="13">
        <v>26490.87</v>
      </c>
      <c r="I220" s="13">
        <v>1.4992000000000001</v>
      </c>
      <c r="J220">
        <v>13</v>
      </c>
      <c r="K220" s="131">
        <v>45688</v>
      </c>
      <c r="M220">
        <v>570</v>
      </c>
      <c r="N220" t="s">
        <v>6060</v>
      </c>
    </row>
    <row r="221" spans="1:14">
      <c r="A221" t="s">
        <v>1746</v>
      </c>
      <c r="B221" t="s">
        <v>1747</v>
      </c>
      <c r="C221" t="s">
        <v>1744</v>
      </c>
      <c r="D221" s="96">
        <v>17.670000000000002</v>
      </c>
      <c r="E221" s="13">
        <v>26578.89</v>
      </c>
      <c r="F221" s="486">
        <v>1.5042</v>
      </c>
      <c r="G221"/>
      <c r="H221" s="13">
        <v>26578.89</v>
      </c>
      <c r="I221" s="13">
        <v>1.5042</v>
      </c>
      <c r="J221">
        <v>13</v>
      </c>
      <c r="K221" s="131">
        <v>45688</v>
      </c>
      <c r="M221">
        <v>570</v>
      </c>
      <c r="N221" t="s">
        <v>6061</v>
      </c>
    </row>
    <row r="222" spans="1:14">
      <c r="A222" t="s">
        <v>1746</v>
      </c>
      <c r="B222" t="s">
        <v>1748</v>
      </c>
      <c r="C222" t="s">
        <v>1744</v>
      </c>
      <c r="D222" s="96">
        <v>17.670000000000002</v>
      </c>
      <c r="E222" s="13">
        <v>28607.97</v>
      </c>
      <c r="F222" s="486">
        <v>1.619</v>
      </c>
      <c r="G222"/>
      <c r="H222" s="13">
        <v>28607.97</v>
      </c>
      <c r="I222" s="13">
        <v>1.619</v>
      </c>
      <c r="J222">
        <v>13</v>
      </c>
      <c r="K222" s="131">
        <v>45688</v>
      </c>
      <c r="M222">
        <v>570</v>
      </c>
      <c r="N222" t="s">
        <v>6062</v>
      </c>
    </row>
    <row r="223" spans="1:14">
      <c r="A223" t="s">
        <v>1746</v>
      </c>
      <c r="B223" t="s">
        <v>1748</v>
      </c>
      <c r="C223" t="s">
        <v>1744</v>
      </c>
      <c r="D223" s="96">
        <v>17.670000000000002</v>
      </c>
      <c r="E223" s="13">
        <v>28695.98</v>
      </c>
      <c r="F223" s="486">
        <v>1.6240000000000001</v>
      </c>
      <c r="G223"/>
      <c r="H223" s="13">
        <v>28695.98</v>
      </c>
      <c r="I223" s="13">
        <v>1.6240000000000001</v>
      </c>
      <c r="J223">
        <v>13</v>
      </c>
      <c r="K223" s="131">
        <v>45688</v>
      </c>
      <c r="M223">
        <v>570</v>
      </c>
      <c r="N223" t="s">
        <v>6063</v>
      </c>
    </row>
    <row r="224" spans="1:14">
      <c r="A224" t="s">
        <v>1746</v>
      </c>
      <c r="B224" t="s">
        <v>1747</v>
      </c>
      <c r="C224" t="s">
        <v>1744</v>
      </c>
      <c r="D224" s="96">
        <v>17.670000000000002</v>
      </c>
      <c r="E224" s="13">
        <v>29403.7</v>
      </c>
      <c r="F224" s="486">
        <v>1.6639999999999999</v>
      </c>
      <c r="G224"/>
      <c r="H224" s="13">
        <v>29403.7</v>
      </c>
      <c r="I224" s="13">
        <v>1.6639999999999999</v>
      </c>
      <c r="J224">
        <v>13</v>
      </c>
      <c r="K224" s="131">
        <v>45688</v>
      </c>
      <c r="M224">
        <v>570</v>
      </c>
      <c r="N224" t="s">
        <v>6064</v>
      </c>
    </row>
    <row r="225" spans="1:14">
      <c r="A225" t="s">
        <v>1746</v>
      </c>
      <c r="B225" t="s">
        <v>1747</v>
      </c>
      <c r="C225" t="s">
        <v>1744</v>
      </c>
      <c r="D225" s="96">
        <v>17.670000000000002</v>
      </c>
      <c r="E225" s="13">
        <v>29491.72</v>
      </c>
      <c r="F225" s="486">
        <v>1.669</v>
      </c>
      <c r="G225"/>
      <c r="H225" s="13">
        <v>29491.72</v>
      </c>
      <c r="I225" s="13">
        <v>1.669</v>
      </c>
      <c r="J225">
        <v>13</v>
      </c>
      <c r="K225" s="131">
        <v>45688</v>
      </c>
      <c r="M225">
        <v>570</v>
      </c>
      <c r="N225" t="s">
        <v>6065</v>
      </c>
    </row>
    <row r="226" spans="1:14">
      <c r="A226" t="s">
        <v>1746</v>
      </c>
      <c r="B226" t="s">
        <v>6038</v>
      </c>
      <c r="C226" t="s">
        <v>1744</v>
      </c>
      <c r="D226" s="96">
        <v>17.670000000000002</v>
      </c>
      <c r="E226" s="13">
        <v>33828.22</v>
      </c>
      <c r="F226" s="486">
        <v>1.9144000000000001</v>
      </c>
      <c r="G226"/>
      <c r="H226" s="13">
        <v>33828.22</v>
      </c>
      <c r="I226" s="13">
        <v>1.9144000000000001</v>
      </c>
      <c r="J226">
        <v>13</v>
      </c>
      <c r="K226" s="131">
        <v>45688</v>
      </c>
      <c r="M226">
        <v>570</v>
      </c>
      <c r="N226" t="s">
        <v>6066</v>
      </c>
    </row>
    <row r="227" spans="1:14">
      <c r="A227" t="s">
        <v>1746</v>
      </c>
      <c r="B227" t="s">
        <v>6038</v>
      </c>
      <c r="C227" t="s">
        <v>1744</v>
      </c>
      <c r="D227" s="96">
        <v>17.670000000000002</v>
      </c>
      <c r="E227" s="13">
        <v>33916.230000000003</v>
      </c>
      <c r="F227" s="486">
        <v>1.9194</v>
      </c>
      <c r="G227"/>
      <c r="H227" s="13">
        <v>33916.230000000003</v>
      </c>
      <c r="I227" s="13">
        <v>1.9194</v>
      </c>
      <c r="J227">
        <v>13</v>
      </c>
      <c r="K227" s="131">
        <v>45688</v>
      </c>
      <c r="M227">
        <v>570</v>
      </c>
      <c r="N227" t="s">
        <v>6067</v>
      </c>
    </row>
    <row r="228" spans="1:14">
      <c r="A228" t="s">
        <v>1746</v>
      </c>
      <c r="B228" t="s">
        <v>5966</v>
      </c>
      <c r="C228" t="s">
        <v>1744</v>
      </c>
      <c r="D228" s="96">
        <v>17.75</v>
      </c>
      <c r="E228" s="13">
        <v>33645.839999999997</v>
      </c>
      <c r="F228" s="486">
        <v>1.8955</v>
      </c>
      <c r="G228"/>
      <c r="H228" s="13">
        <v>33645.839999999997</v>
      </c>
      <c r="I228" s="13">
        <v>1.8955</v>
      </c>
      <c r="J228">
        <v>13</v>
      </c>
      <c r="K228" s="131">
        <v>45688</v>
      </c>
      <c r="M228">
        <v>710</v>
      </c>
      <c r="N228" t="s">
        <v>6068</v>
      </c>
    </row>
    <row r="229" spans="1:14">
      <c r="A229" t="s">
        <v>1746</v>
      </c>
      <c r="B229" t="s">
        <v>1748</v>
      </c>
      <c r="C229" t="s">
        <v>1744</v>
      </c>
      <c r="D229" s="96">
        <v>18.239999999999998</v>
      </c>
      <c r="E229" s="13">
        <v>26621.66</v>
      </c>
      <c r="F229" s="486">
        <v>1.4595</v>
      </c>
      <c r="G229"/>
      <c r="H229" s="13">
        <v>26621.66</v>
      </c>
      <c r="I229" s="13">
        <v>1.4595</v>
      </c>
      <c r="J229">
        <v>13</v>
      </c>
      <c r="K229" s="131">
        <v>45688</v>
      </c>
      <c r="M229">
        <v>570</v>
      </c>
      <c r="N229" t="s">
        <v>6069</v>
      </c>
    </row>
    <row r="230" spans="1:14">
      <c r="A230" t="s">
        <v>1746</v>
      </c>
      <c r="B230" t="s">
        <v>1748</v>
      </c>
      <c r="C230" t="s">
        <v>1744</v>
      </c>
      <c r="D230" s="96">
        <v>18.239999999999998</v>
      </c>
      <c r="E230" s="13">
        <v>26712.52</v>
      </c>
      <c r="F230" s="486">
        <v>1.4644999999999999</v>
      </c>
      <c r="G230"/>
      <c r="H230" s="13">
        <v>26712.52</v>
      </c>
      <c r="I230" s="13">
        <v>1.4644999999999999</v>
      </c>
      <c r="J230">
        <v>13</v>
      </c>
      <c r="K230" s="131">
        <v>45688</v>
      </c>
      <c r="M230">
        <v>570</v>
      </c>
      <c r="N230" t="s">
        <v>6070</v>
      </c>
    </row>
    <row r="231" spans="1:14">
      <c r="A231" t="s">
        <v>1746</v>
      </c>
      <c r="B231" t="s">
        <v>1747</v>
      </c>
      <c r="C231" t="s">
        <v>1744</v>
      </c>
      <c r="D231" s="96">
        <v>18.239999999999998</v>
      </c>
      <c r="E231" s="13">
        <v>26880.03</v>
      </c>
      <c r="F231" s="486">
        <v>1.4737</v>
      </c>
      <c r="G231"/>
      <c r="H231" s="13">
        <v>26880.03</v>
      </c>
      <c r="I231" s="13">
        <v>1.4737</v>
      </c>
      <c r="J231">
        <v>13</v>
      </c>
      <c r="K231" s="131">
        <v>45688</v>
      </c>
      <c r="M231">
        <v>570</v>
      </c>
      <c r="N231" t="s">
        <v>6071</v>
      </c>
    </row>
    <row r="232" spans="1:14">
      <c r="A232" t="s">
        <v>1746</v>
      </c>
      <c r="B232" t="s">
        <v>1748</v>
      </c>
      <c r="C232" t="s">
        <v>1744</v>
      </c>
      <c r="D232" s="96">
        <v>18.239999999999998</v>
      </c>
      <c r="E232" s="13">
        <v>26896.31</v>
      </c>
      <c r="F232" s="486">
        <v>1.4745999999999999</v>
      </c>
      <c r="G232"/>
      <c r="H232" s="13">
        <v>26896.31</v>
      </c>
      <c r="I232" s="13">
        <v>1.4745999999999999</v>
      </c>
      <c r="J232">
        <v>13</v>
      </c>
      <c r="K232" s="131">
        <v>45688</v>
      </c>
      <c r="M232">
        <v>570</v>
      </c>
      <c r="N232" t="s">
        <v>6072</v>
      </c>
    </row>
    <row r="233" spans="1:14">
      <c r="A233" t="s">
        <v>1746</v>
      </c>
      <c r="B233" t="s">
        <v>1747</v>
      </c>
      <c r="C233" t="s">
        <v>1744</v>
      </c>
      <c r="D233" s="96">
        <v>18.239999999999998</v>
      </c>
      <c r="E233" s="13">
        <v>26970.89</v>
      </c>
      <c r="F233" s="486">
        <v>1.4786999999999999</v>
      </c>
      <c r="G233"/>
      <c r="H233" s="13">
        <v>26970.89</v>
      </c>
      <c r="I233" s="13">
        <v>1.4786999999999999</v>
      </c>
      <c r="J233">
        <v>13</v>
      </c>
      <c r="K233" s="131">
        <v>45688</v>
      </c>
      <c r="M233">
        <v>570</v>
      </c>
      <c r="N233" t="s">
        <v>6073</v>
      </c>
    </row>
    <row r="234" spans="1:14">
      <c r="A234" t="s">
        <v>1746</v>
      </c>
      <c r="B234" t="s">
        <v>1748</v>
      </c>
      <c r="C234" t="s">
        <v>1744</v>
      </c>
      <c r="D234" s="96">
        <v>18.239999999999998</v>
      </c>
      <c r="E234" s="13">
        <v>26987.16</v>
      </c>
      <c r="F234" s="486">
        <v>1.4796</v>
      </c>
      <c r="G234"/>
      <c r="H234" s="13">
        <v>26987.16</v>
      </c>
      <c r="I234" s="13">
        <v>1.4796</v>
      </c>
      <c r="J234">
        <v>13</v>
      </c>
      <c r="K234" s="131">
        <v>45688</v>
      </c>
      <c r="M234">
        <v>570</v>
      </c>
      <c r="N234" t="s">
        <v>6074</v>
      </c>
    </row>
    <row r="235" spans="1:14">
      <c r="A235" t="s">
        <v>1746</v>
      </c>
      <c r="B235" t="s">
        <v>1747</v>
      </c>
      <c r="C235" t="s">
        <v>1744</v>
      </c>
      <c r="D235" s="96">
        <v>18.239999999999998</v>
      </c>
      <c r="E235" s="13">
        <v>27015.56</v>
      </c>
      <c r="F235" s="486">
        <v>1.4811000000000001</v>
      </c>
      <c r="G235"/>
      <c r="H235" s="13">
        <v>27015.56</v>
      </c>
      <c r="I235" s="13">
        <v>1.4811000000000001</v>
      </c>
      <c r="J235">
        <v>13</v>
      </c>
      <c r="K235" s="131">
        <v>45688</v>
      </c>
      <c r="M235">
        <v>570</v>
      </c>
      <c r="N235" t="s">
        <v>6075</v>
      </c>
    </row>
    <row r="236" spans="1:14">
      <c r="A236" t="s">
        <v>1746</v>
      </c>
      <c r="B236" t="s">
        <v>1747</v>
      </c>
      <c r="C236" t="s">
        <v>1744</v>
      </c>
      <c r="D236" s="96">
        <v>18.239999999999998</v>
      </c>
      <c r="E236" s="13">
        <v>27106.41</v>
      </c>
      <c r="F236" s="486">
        <v>1.4861</v>
      </c>
      <c r="G236"/>
      <c r="H236" s="13">
        <v>27106.41</v>
      </c>
      <c r="I236" s="13">
        <v>1.4861</v>
      </c>
      <c r="J236">
        <v>13</v>
      </c>
      <c r="K236" s="131">
        <v>45688</v>
      </c>
      <c r="M236">
        <v>570</v>
      </c>
      <c r="N236" t="s">
        <v>6076</v>
      </c>
    </row>
    <row r="237" spans="1:14">
      <c r="A237" t="s">
        <v>1746</v>
      </c>
      <c r="B237" t="s">
        <v>1748</v>
      </c>
      <c r="C237" t="s">
        <v>1744</v>
      </c>
      <c r="D237" s="96">
        <v>18.239999999999998</v>
      </c>
      <c r="E237" s="13">
        <v>29132.65</v>
      </c>
      <c r="F237" s="486">
        <v>1.5972</v>
      </c>
      <c r="G237"/>
      <c r="H237" s="13">
        <v>29132.65</v>
      </c>
      <c r="I237" s="13">
        <v>1.5972</v>
      </c>
      <c r="J237">
        <v>13</v>
      </c>
      <c r="K237" s="131">
        <v>45688</v>
      </c>
      <c r="M237">
        <v>570</v>
      </c>
      <c r="N237" t="s">
        <v>6077</v>
      </c>
    </row>
    <row r="238" spans="1:14">
      <c r="A238" t="s">
        <v>1746</v>
      </c>
      <c r="B238" t="s">
        <v>1748</v>
      </c>
      <c r="C238" t="s">
        <v>1744</v>
      </c>
      <c r="D238" s="96">
        <v>18.239999999999998</v>
      </c>
      <c r="E238" s="13">
        <v>29223.51</v>
      </c>
      <c r="F238" s="486">
        <v>1.6022000000000001</v>
      </c>
      <c r="G238"/>
      <c r="H238" s="13">
        <v>29223.51</v>
      </c>
      <c r="I238" s="13">
        <v>1.6022000000000001</v>
      </c>
      <c r="J238">
        <v>13</v>
      </c>
      <c r="K238" s="131">
        <v>45688</v>
      </c>
      <c r="M238">
        <v>570</v>
      </c>
      <c r="N238" t="s">
        <v>6078</v>
      </c>
    </row>
    <row r="239" spans="1:14">
      <c r="A239" t="s">
        <v>1746</v>
      </c>
      <c r="B239" t="s">
        <v>1747</v>
      </c>
      <c r="C239" t="s">
        <v>1744</v>
      </c>
      <c r="D239" s="96">
        <v>18.239999999999998</v>
      </c>
      <c r="E239" s="13">
        <v>29928.39</v>
      </c>
      <c r="F239" s="486">
        <v>1.6408</v>
      </c>
      <c r="G239"/>
      <c r="H239" s="13">
        <v>29928.39</v>
      </c>
      <c r="I239" s="13">
        <v>1.6408</v>
      </c>
      <c r="J239">
        <v>13</v>
      </c>
      <c r="K239" s="131">
        <v>45688</v>
      </c>
      <c r="M239">
        <v>570</v>
      </c>
      <c r="N239" t="s">
        <v>6079</v>
      </c>
    </row>
    <row r="240" spans="1:14">
      <c r="A240" t="s">
        <v>1746</v>
      </c>
      <c r="B240" t="s">
        <v>1747</v>
      </c>
      <c r="C240" t="s">
        <v>1744</v>
      </c>
      <c r="D240" s="96">
        <v>18.239999999999998</v>
      </c>
      <c r="E240" s="13">
        <v>30019.24</v>
      </c>
      <c r="F240" s="486">
        <v>1.6457999999999999</v>
      </c>
      <c r="G240"/>
      <c r="H240" s="13">
        <v>30019.24</v>
      </c>
      <c r="I240" s="13">
        <v>1.6457999999999999</v>
      </c>
      <c r="J240">
        <v>13</v>
      </c>
      <c r="K240" s="131">
        <v>45688</v>
      </c>
      <c r="M240">
        <v>570</v>
      </c>
      <c r="N240" t="s">
        <v>6080</v>
      </c>
    </row>
    <row r="241" spans="1:14">
      <c r="A241" t="s">
        <v>1746</v>
      </c>
      <c r="B241" t="s">
        <v>6038</v>
      </c>
      <c r="C241" t="s">
        <v>1744</v>
      </c>
      <c r="D241" s="96">
        <v>18.239999999999998</v>
      </c>
      <c r="E241" s="13">
        <v>34352.9</v>
      </c>
      <c r="F241" s="486">
        <v>1.8834</v>
      </c>
      <c r="G241"/>
      <c r="H241" s="13">
        <v>34352.9</v>
      </c>
      <c r="I241" s="13">
        <v>1.8834</v>
      </c>
      <c r="J241">
        <v>13</v>
      </c>
      <c r="K241" s="131">
        <v>45688</v>
      </c>
      <c r="M241">
        <v>570</v>
      </c>
      <c r="N241" t="s">
        <v>6081</v>
      </c>
    </row>
    <row r="242" spans="1:14">
      <c r="A242" t="s">
        <v>1746</v>
      </c>
      <c r="B242" t="s">
        <v>6038</v>
      </c>
      <c r="C242" t="s">
        <v>1744</v>
      </c>
      <c r="D242" s="96">
        <v>18.239999999999998</v>
      </c>
      <c r="E242" s="13">
        <v>34443.75</v>
      </c>
      <c r="F242" s="486">
        <v>1.8884000000000001</v>
      </c>
      <c r="H242" s="13">
        <v>34443.75</v>
      </c>
      <c r="I242" s="13">
        <v>1.8884000000000001</v>
      </c>
      <c r="J242">
        <v>13</v>
      </c>
      <c r="K242" s="131">
        <v>45688</v>
      </c>
      <c r="M242">
        <v>570</v>
      </c>
      <c r="N242" t="s">
        <v>6082</v>
      </c>
    </row>
    <row r="243" spans="1:14">
      <c r="A243" t="s">
        <v>1746</v>
      </c>
      <c r="B243" t="s">
        <v>5966</v>
      </c>
      <c r="C243" t="s">
        <v>1744</v>
      </c>
      <c r="D243" s="96">
        <v>18.46</v>
      </c>
      <c r="E243" s="13">
        <v>34374.01</v>
      </c>
      <c r="F243" s="486">
        <v>1.8621000000000001</v>
      </c>
      <c r="G243"/>
      <c r="H243" s="13">
        <v>34374.01</v>
      </c>
      <c r="I243" s="13">
        <v>1.8621000000000001</v>
      </c>
      <c r="J243">
        <v>13</v>
      </c>
      <c r="K243" s="131">
        <v>45688</v>
      </c>
      <c r="M243">
        <v>710</v>
      </c>
      <c r="N243" t="s">
        <v>6083</v>
      </c>
    </row>
    <row r="244" spans="1:14">
      <c r="A244" t="s">
        <v>1745</v>
      </c>
      <c r="B244" t="s">
        <v>5171</v>
      </c>
      <c r="C244" t="s">
        <v>314</v>
      </c>
      <c r="D244" s="96">
        <v>18.72</v>
      </c>
      <c r="E244" s="13">
        <v>29326.68</v>
      </c>
      <c r="F244" s="486">
        <v>1.5666</v>
      </c>
      <c r="G244">
        <v>0</v>
      </c>
      <c r="H244" s="13">
        <v>29326.68</v>
      </c>
      <c r="I244" s="13">
        <v>1.5666</v>
      </c>
      <c r="J244">
        <v>13</v>
      </c>
      <c r="K244" s="131">
        <v>45716</v>
      </c>
      <c r="M244">
        <v>585</v>
      </c>
      <c r="N244" t="s">
        <v>5172</v>
      </c>
    </row>
    <row r="245" spans="1:14">
      <c r="A245" t="s">
        <v>1746</v>
      </c>
      <c r="B245" t="s">
        <v>1748</v>
      </c>
      <c r="C245" t="s">
        <v>1744</v>
      </c>
      <c r="D245" s="96">
        <v>18.809999999999999</v>
      </c>
      <c r="E245" s="13">
        <v>27460.93</v>
      </c>
      <c r="F245" s="486">
        <v>1.4599</v>
      </c>
      <c r="G245"/>
      <c r="H245" s="13">
        <v>27460.93</v>
      </c>
      <c r="I245" s="13">
        <v>1.4599</v>
      </c>
      <c r="J245">
        <v>13</v>
      </c>
      <c r="K245" s="131">
        <v>45688</v>
      </c>
      <c r="M245">
        <v>570</v>
      </c>
      <c r="N245" t="s">
        <v>6084</v>
      </c>
    </row>
    <row r="246" spans="1:14">
      <c r="A246" t="s">
        <v>1746</v>
      </c>
      <c r="B246" t="s">
        <v>1748</v>
      </c>
      <c r="C246" t="s">
        <v>1744</v>
      </c>
      <c r="D246" s="96">
        <v>18.809999999999999</v>
      </c>
      <c r="E246" s="13">
        <v>27554.63</v>
      </c>
      <c r="F246" s="486">
        <v>1.4649000000000001</v>
      </c>
      <c r="G246"/>
      <c r="H246" s="13">
        <v>27554.63</v>
      </c>
      <c r="I246" s="13">
        <v>1.4649000000000001</v>
      </c>
      <c r="J246">
        <v>13</v>
      </c>
      <c r="K246" s="131">
        <v>45688</v>
      </c>
      <c r="M246">
        <v>570</v>
      </c>
      <c r="N246" t="s">
        <v>6085</v>
      </c>
    </row>
    <row r="247" spans="1:14">
      <c r="A247" t="s">
        <v>1746</v>
      </c>
      <c r="B247" t="s">
        <v>1747</v>
      </c>
      <c r="C247" t="s">
        <v>1744</v>
      </c>
      <c r="D247" s="96">
        <v>18.809999999999999</v>
      </c>
      <c r="E247" s="13">
        <v>27719.3</v>
      </c>
      <c r="F247" s="486">
        <v>1.4736</v>
      </c>
      <c r="G247"/>
      <c r="H247" s="13">
        <v>27719.3</v>
      </c>
      <c r="I247" s="13">
        <v>1.4736</v>
      </c>
      <c r="J247">
        <v>13</v>
      </c>
      <c r="K247" s="131">
        <v>45688</v>
      </c>
      <c r="M247">
        <v>570</v>
      </c>
      <c r="N247" t="s">
        <v>6086</v>
      </c>
    </row>
    <row r="248" spans="1:14">
      <c r="A248" t="s">
        <v>1746</v>
      </c>
      <c r="B248" t="s">
        <v>1747</v>
      </c>
      <c r="C248" t="s">
        <v>1744</v>
      </c>
      <c r="D248" s="96">
        <v>18.809999999999999</v>
      </c>
      <c r="E248" s="13">
        <v>27812.99</v>
      </c>
      <c r="F248" s="486">
        <v>1.4785999999999999</v>
      </c>
      <c r="G248"/>
      <c r="H248" s="13">
        <v>27812.99</v>
      </c>
      <c r="I248" s="13">
        <v>1.4785999999999999</v>
      </c>
      <c r="J248">
        <v>13</v>
      </c>
      <c r="K248" s="131">
        <v>45688</v>
      </c>
      <c r="M248">
        <v>570</v>
      </c>
      <c r="N248" t="s">
        <v>6087</v>
      </c>
    </row>
    <row r="249" spans="1:14">
      <c r="A249" t="s">
        <v>1746</v>
      </c>
      <c r="B249" t="s">
        <v>1748</v>
      </c>
      <c r="C249" t="s">
        <v>1744</v>
      </c>
      <c r="D249" s="96">
        <v>18.809999999999999</v>
      </c>
      <c r="E249" s="13">
        <v>29971.919999999998</v>
      </c>
      <c r="F249" s="486">
        <v>1.5933999999999999</v>
      </c>
      <c r="G249"/>
      <c r="H249" s="13">
        <v>29971.919999999998</v>
      </c>
      <c r="I249" s="13">
        <v>1.5933999999999999</v>
      </c>
      <c r="J249">
        <v>13</v>
      </c>
      <c r="K249" s="131">
        <v>45688</v>
      </c>
      <c r="M249">
        <v>570</v>
      </c>
      <c r="N249" t="s">
        <v>6088</v>
      </c>
    </row>
    <row r="250" spans="1:14">
      <c r="A250" t="s">
        <v>1746</v>
      </c>
      <c r="B250" t="s">
        <v>1748</v>
      </c>
      <c r="C250" t="s">
        <v>1744</v>
      </c>
      <c r="D250" s="96">
        <v>18.809999999999999</v>
      </c>
      <c r="E250" s="13">
        <v>30065.61</v>
      </c>
      <c r="F250" s="486">
        <v>1.5984</v>
      </c>
      <c r="G250"/>
      <c r="H250" s="13">
        <v>30065.61</v>
      </c>
      <c r="I250" s="13">
        <v>1.5984</v>
      </c>
      <c r="J250">
        <v>13</v>
      </c>
      <c r="K250" s="131">
        <v>45688</v>
      </c>
      <c r="M250">
        <v>570</v>
      </c>
      <c r="N250" t="s">
        <v>6089</v>
      </c>
    </row>
    <row r="251" spans="1:14">
      <c r="A251" t="s">
        <v>1746</v>
      </c>
      <c r="B251" t="s">
        <v>1747</v>
      </c>
      <c r="C251" t="s">
        <v>1744</v>
      </c>
      <c r="D251" s="96">
        <v>18.809999999999999</v>
      </c>
      <c r="E251" s="13">
        <v>30767.65</v>
      </c>
      <c r="F251" s="486">
        <v>1.6356999999999999</v>
      </c>
      <c r="G251"/>
      <c r="H251" s="13">
        <v>30767.65</v>
      </c>
      <c r="I251" s="13">
        <v>1.6356999999999999</v>
      </c>
      <c r="J251">
        <v>13</v>
      </c>
      <c r="K251" s="131">
        <v>45688</v>
      </c>
      <c r="M251">
        <v>570</v>
      </c>
      <c r="N251" t="s">
        <v>6090</v>
      </c>
    </row>
    <row r="252" spans="1:14">
      <c r="A252" t="s">
        <v>1746</v>
      </c>
      <c r="B252" t="s">
        <v>1747</v>
      </c>
      <c r="C252" t="s">
        <v>1744</v>
      </c>
      <c r="D252" s="96">
        <v>18.809999999999999</v>
      </c>
      <c r="E252" s="13">
        <v>30861.35</v>
      </c>
      <c r="F252" s="486">
        <v>1.6407</v>
      </c>
      <c r="G252"/>
      <c r="H252" s="13">
        <v>30861.35</v>
      </c>
      <c r="I252" s="13">
        <v>1.6407</v>
      </c>
      <c r="J252">
        <v>13</v>
      </c>
      <c r="K252" s="131">
        <v>45688</v>
      </c>
      <c r="M252">
        <v>570</v>
      </c>
      <c r="N252" t="s">
        <v>6091</v>
      </c>
    </row>
    <row r="253" spans="1:14">
      <c r="A253" t="s">
        <v>1746</v>
      </c>
      <c r="B253" t="s">
        <v>6092</v>
      </c>
      <c r="C253" t="s">
        <v>1744</v>
      </c>
      <c r="D253" s="96">
        <v>18.809999999999999</v>
      </c>
      <c r="E253" s="13">
        <v>36998.75</v>
      </c>
      <c r="F253" s="486">
        <v>1.9670000000000001</v>
      </c>
      <c r="G253"/>
      <c r="H253" s="13">
        <v>36998.75</v>
      </c>
      <c r="I253" s="13">
        <v>1.9670000000000001</v>
      </c>
      <c r="J253">
        <v>13</v>
      </c>
      <c r="K253" s="131">
        <v>45688</v>
      </c>
      <c r="M253">
        <v>570</v>
      </c>
      <c r="N253" t="s">
        <v>6093</v>
      </c>
    </row>
    <row r="254" spans="1:14">
      <c r="A254" t="s">
        <v>1746</v>
      </c>
      <c r="B254" t="s">
        <v>6092</v>
      </c>
      <c r="C254" t="s">
        <v>1744</v>
      </c>
      <c r="D254" s="96">
        <v>18.809999999999999</v>
      </c>
      <c r="E254" s="13">
        <v>37092.44</v>
      </c>
      <c r="F254" s="486">
        <v>1.972</v>
      </c>
      <c r="G254"/>
      <c r="H254" s="13">
        <v>37092.44</v>
      </c>
      <c r="I254" s="13">
        <v>1.972</v>
      </c>
      <c r="J254">
        <v>13</v>
      </c>
      <c r="K254" s="131">
        <v>45688</v>
      </c>
      <c r="M254">
        <v>570</v>
      </c>
      <c r="N254" t="s">
        <v>6094</v>
      </c>
    </row>
    <row r="255" spans="1:14">
      <c r="A255" t="s">
        <v>1746</v>
      </c>
      <c r="B255" t="s">
        <v>5966</v>
      </c>
      <c r="C255" t="s">
        <v>1744</v>
      </c>
      <c r="D255" s="96">
        <v>19.170000000000002</v>
      </c>
      <c r="E255" s="13">
        <v>35102.17</v>
      </c>
      <c r="F255" s="486">
        <v>1.8310999999999999</v>
      </c>
      <c r="G255"/>
      <c r="H255" s="13">
        <v>35102.17</v>
      </c>
      <c r="I255" s="13">
        <v>1.8310999999999999</v>
      </c>
      <c r="J255">
        <v>13</v>
      </c>
      <c r="K255" s="131">
        <v>45688</v>
      </c>
      <c r="M255">
        <v>710</v>
      </c>
      <c r="N255" t="s">
        <v>6095</v>
      </c>
    </row>
    <row r="256" spans="1:14">
      <c r="A256" t="s">
        <v>1746</v>
      </c>
      <c r="B256" t="s">
        <v>1748</v>
      </c>
      <c r="C256" t="s">
        <v>1744</v>
      </c>
      <c r="D256" s="96">
        <v>19.38</v>
      </c>
      <c r="E256" s="13">
        <v>27985.62</v>
      </c>
      <c r="F256" s="486">
        <v>1.444</v>
      </c>
      <c r="G256"/>
      <c r="H256" s="13">
        <v>27985.62</v>
      </c>
      <c r="I256" s="13">
        <v>1.444</v>
      </c>
      <c r="J256">
        <v>13</v>
      </c>
      <c r="K256" s="131">
        <v>45688</v>
      </c>
      <c r="M256">
        <v>570</v>
      </c>
      <c r="N256" t="s">
        <v>6096</v>
      </c>
    </row>
    <row r="257" spans="1:14">
      <c r="A257" t="s">
        <v>1746</v>
      </c>
      <c r="B257" t="s">
        <v>1748</v>
      </c>
      <c r="C257" t="s">
        <v>1744</v>
      </c>
      <c r="D257" s="96">
        <v>19.38</v>
      </c>
      <c r="E257" s="13">
        <v>28082.15</v>
      </c>
      <c r="F257" s="486">
        <v>1.4490000000000001</v>
      </c>
      <c r="G257"/>
      <c r="H257" s="13">
        <v>28082.15</v>
      </c>
      <c r="I257" s="13">
        <v>1.4490000000000001</v>
      </c>
      <c r="J257">
        <v>13</v>
      </c>
      <c r="K257" s="131">
        <v>45688</v>
      </c>
      <c r="M257">
        <v>570</v>
      </c>
      <c r="N257" t="s">
        <v>6097</v>
      </c>
    </row>
    <row r="258" spans="1:14">
      <c r="A258" t="s">
        <v>1746</v>
      </c>
      <c r="B258" t="s">
        <v>1747</v>
      </c>
      <c r="C258" t="s">
        <v>1744</v>
      </c>
      <c r="D258" s="96">
        <v>19.38</v>
      </c>
      <c r="E258" s="13">
        <v>28243.98</v>
      </c>
      <c r="F258" s="486">
        <v>1.4574</v>
      </c>
      <c r="G258"/>
      <c r="H258" s="13">
        <v>28243.98</v>
      </c>
      <c r="I258" s="13">
        <v>1.4574</v>
      </c>
      <c r="J258">
        <v>13</v>
      </c>
      <c r="K258" s="131">
        <v>45688</v>
      </c>
      <c r="M258">
        <v>570</v>
      </c>
      <c r="N258" t="s">
        <v>6098</v>
      </c>
    </row>
    <row r="259" spans="1:14">
      <c r="A259" t="s">
        <v>1746</v>
      </c>
      <c r="B259" t="s">
        <v>1747</v>
      </c>
      <c r="C259" t="s">
        <v>1744</v>
      </c>
      <c r="D259" s="96">
        <v>19.38</v>
      </c>
      <c r="E259" s="13">
        <v>28340.52</v>
      </c>
      <c r="F259" s="486">
        <v>1.4623999999999999</v>
      </c>
      <c r="G259"/>
      <c r="H259" s="13">
        <v>28340.52</v>
      </c>
      <c r="I259" s="13">
        <v>1.4623999999999999</v>
      </c>
      <c r="J259">
        <v>13</v>
      </c>
      <c r="K259" s="131">
        <v>45688</v>
      </c>
      <c r="M259">
        <v>570</v>
      </c>
      <c r="N259" t="s">
        <v>6099</v>
      </c>
    </row>
    <row r="260" spans="1:14">
      <c r="A260" t="s">
        <v>1746</v>
      </c>
      <c r="B260" t="s">
        <v>1748</v>
      </c>
      <c r="C260" t="s">
        <v>1744</v>
      </c>
      <c r="D260" s="96">
        <v>19.38</v>
      </c>
      <c r="E260" s="13">
        <v>30496.6</v>
      </c>
      <c r="F260" s="486">
        <v>1.5736000000000001</v>
      </c>
      <c r="G260"/>
      <c r="H260" s="13">
        <v>30496.6</v>
      </c>
      <c r="I260" s="13">
        <v>1.5736000000000001</v>
      </c>
      <c r="J260">
        <v>13</v>
      </c>
      <c r="K260" s="131">
        <v>45688</v>
      </c>
      <c r="M260">
        <v>570</v>
      </c>
      <c r="N260" t="s">
        <v>6100</v>
      </c>
    </row>
    <row r="261" spans="1:14">
      <c r="A261" t="s">
        <v>1746</v>
      </c>
      <c r="B261" t="s">
        <v>1748</v>
      </c>
      <c r="C261" t="s">
        <v>1744</v>
      </c>
      <c r="D261" s="96">
        <v>19.38</v>
      </c>
      <c r="E261" s="13">
        <v>30593.14</v>
      </c>
      <c r="F261" s="486">
        <v>1.5786</v>
      </c>
      <c r="G261"/>
      <c r="H261" s="13">
        <v>30593.14</v>
      </c>
      <c r="I261" s="13">
        <v>1.5786</v>
      </c>
      <c r="J261">
        <v>13</v>
      </c>
      <c r="K261" s="131">
        <v>45688</v>
      </c>
      <c r="M261">
        <v>570</v>
      </c>
      <c r="N261" t="s">
        <v>6101</v>
      </c>
    </row>
    <row r="262" spans="1:14">
      <c r="A262" t="s">
        <v>1746</v>
      </c>
      <c r="B262" t="s">
        <v>1747</v>
      </c>
      <c r="C262" t="s">
        <v>1744</v>
      </c>
      <c r="D262" s="96">
        <v>19.38</v>
      </c>
      <c r="E262" s="13">
        <v>31292.34</v>
      </c>
      <c r="F262" s="486">
        <v>1.6147</v>
      </c>
      <c r="G262"/>
      <c r="H262" s="13">
        <v>31292.34</v>
      </c>
      <c r="I262" s="13">
        <v>1.6147</v>
      </c>
      <c r="J262">
        <v>13</v>
      </c>
      <c r="K262" s="131">
        <v>45688</v>
      </c>
      <c r="M262">
        <v>570</v>
      </c>
      <c r="N262" t="s">
        <v>6102</v>
      </c>
    </row>
    <row r="263" spans="1:14">
      <c r="A263" t="s">
        <v>1746</v>
      </c>
      <c r="B263" t="s">
        <v>1747</v>
      </c>
      <c r="C263" t="s">
        <v>1744</v>
      </c>
      <c r="D263" s="96">
        <v>19.38</v>
      </c>
      <c r="E263" s="13">
        <v>31388.87</v>
      </c>
      <c r="F263" s="486">
        <v>1.6196999999999999</v>
      </c>
      <c r="G263"/>
      <c r="H263" s="13">
        <v>31388.87</v>
      </c>
      <c r="I263" s="13">
        <v>1.6196999999999999</v>
      </c>
      <c r="J263">
        <v>13</v>
      </c>
      <c r="K263" s="131">
        <v>45688</v>
      </c>
      <c r="M263">
        <v>570</v>
      </c>
      <c r="N263" t="s">
        <v>6103</v>
      </c>
    </row>
    <row r="264" spans="1:14">
      <c r="A264" t="s">
        <v>1746</v>
      </c>
      <c r="B264" t="s">
        <v>6092</v>
      </c>
      <c r="C264" t="s">
        <v>1744</v>
      </c>
      <c r="D264" s="96">
        <v>19.38</v>
      </c>
      <c r="E264" s="13">
        <v>37523.440000000002</v>
      </c>
      <c r="F264" s="486">
        <v>1.9361999999999999</v>
      </c>
      <c r="G264"/>
      <c r="H264" s="13">
        <v>37523.440000000002</v>
      </c>
      <c r="I264" s="13">
        <v>1.9361999999999999</v>
      </c>
      <c r="J264">
        <v>13</v>
      </c>
      <c r="K264" s="131">
        <v>45688</v>
      </c>
      <c r="M264">
        <v>570</v>
      </c>
      <c r="N264" t="s">
        <v>6104</v>
      </c>
    </row>
    <row r="265" spans="1:14">
      <c r="A265" t="s">
        <v>1746</v>
      </c>
      <c r="B265" t="s">
        <v>6092</v>
      </c>
      <c r="C265" t="s">
        <v>1744</v>
      </c>
      <c r="D265" s="96">
        <v>19.38</v>
      </c>
      <c r="E265" s="13">
        <v>37619.97</v>
      </c>
      <c r="F265" s="486">
        <v>1.9412</v>
      </c>
      <c r="G265"/>
      <c r="H265" s="13">
        <v>37619.97</v>
      </c>
      <c r="I265" s="13">
        <v>1.9412</v>
      </c>
      <c r="J265">
        <v>13</v>
      </c>
      <c r="K265" s="131">
        <v>45688</v>
      </c>
      <c r="M265">
        <v>570</v>
      </c>
      <c r="N265" t="s">
        <v>6105</v>
      </c>
    </row>
    <row r="266" spans="1:14">
      <c r="A266" t="s">
        <v>1746</v>
      </c>
      <c r="B266" t="s">
        <v>5966</v>
      </c>
      <c r="C266" t="s">
        <v>1744</v>
      </c>
      <c r="D266" s="96">
        <v>19.88</v>
      </c>
      <c r="E266" s="13">
        <v>35830.33</v>
      </c>
      <c r="F266" s="486">
        <v>1.8023</v>
      </c>
      <c r="G266"/>
      <c r="H266" s="13">
        <v>35830.33</v>
      </c>
      <c r="I266" s="13">
        <v>1.8023</v>
      </c>
      <c r="J266">
        <v>13</v>
      </c>
      <c r="K266" s="131">
        <v>45688</v>
      </c>
      <c r="M266">
        <v>710</v>
      </c>
      <c r="N266" t="s">
        <v>6106</v>
      </c>
    </row>
    <row r="267" spans="1:14">
      <c r="A267" t="s">
        <v>1746</v>
      </c>
      <c r="B267" t="s">
        <v>1748</v>
      </c>
      <c r="C267" t="s">
        <v>1744</v>
      </c>
      <c r="D267" s="96">
        <v>19.95</v>
      </c>
      <c r="E267" s="13">
        <v>28510.3</v>
      </c>
      <c r="F267" s="486">
        <v>1.4291</v>
      </c>
      <c r="G267"/>
      <c r="H267" s="13">
        <v>28510.3</v>
      </c>
      <c r="I267" s="13">
        <v>1.4291</v>
      </c>
      <c r="J267">
        <v>13</v>
      </c>
      <c r="K267" s="131">
        <v>45688</v>
      </c>
      <c r="M267">
        <v>570</v>
      </c>
      <c r="N267" t="s">
        <v>6107</v>
      </c>
    </row>
    <row r="268" spans="1:14">
      <c r="A268" t="s">
        <v>1746</v>
      </c>
      <c r="B268" t="s">
        <v>1748</v>
      </c>
      <c r="C268" t="s">
        <v>1744</v>
      </c>
      <c r="D268" s="96">
        <v>19.95</v>
      </c>
      <c r="E268" s="13">
        <v>28609.67</v>
      </c>
      <c r="F268" s="486">
        <v>1.4340999999999999</v>
      </c>
      <c r="G268"/>
      <c r="H268" s="13">
        <v>28609.67</v>
      </c>
      <c r="I268" s="13">
        <v>1.4340999999999999</v>
      </c>
      <c r="J268">
        <v>13</v>
      </c>
      <c r="K268" s="131">
        <v>45688</v>
      </c>
      <c r="M268">
        <v>570</v>
      </c>
      <c r="N268" t="s">
        <v>6108</v>
      </c>
    </row>
    <row r="269" spans="1:14">
      <c r="A269" t="s">
        <v>1746</v>
      </c>
      <c r="B269" t="s">
        <v>1747</v>
      </c>
      <c r="C269" t="s">
        <v>1744</v>
      </c>
      <c r="D269" s="96">
        <v>19.95</v>
      </c>
      <c r="E269" s="13">
        <v>28768.67</v>
      </c>
      <c r="F269" s="486">
        <v>1.4419999999999999</v>
      </c>
      <c r="G269"/>
      <c r="H269" s="13">
        <v>28768.67</v>
      </c>
      <c r="I269" s="13">
        <v>1.4419999999999999</v>
      </c>
      <c r="J269">
        <v>13</v>
      </c>
      <c r="K269" s="131">
        <v>45688</v>
      </c>
      <c r="M269">
        <v>570</v>
      </c>
      <c r="N269" t="s">
        <v>6109</v>
      </c>
    </row>
    <row r="270" spans="1:14">
      <c r="A270" t="s">
        <v>1746</v>
      </c>
      <c r="B270" t="s">
        <v>1747</v>
      </c>
      <c r="C270" t="s">
        <v>1744</v>
      </c>
      <c r="D270" s="96">
        <v>19.95</v>
      </c>
      <c r="E270" s="13">
        <v>28868.04</v>
      </c>
      <c r="F270" s="486">
        <v>1.4470000000000001</v>
      </c>
      <c r="G270"/>
      <c r="H270" s="13">
        <v>28868.04</v>
      </c>
      <c r="I270" s="13">
        <v>1.4470000000000001</v>
      </c>
      <c r="J270">
        <v>13</v>
      </c>
      <c r="K270" s="131">
        <v>45688</v>
      </c>
      <c r="M270">
        <v>570</v>
      </c>
      <c r="N270" t="s">
        <v>6110</v>
      </c>
    </row>
    <row r="271" spans="1:14">
      <c r="A271" t="s">
        <v>1746</v>
      </c>
      <c r="B271" t="s">
        <v>1748</v>
      </c>
      <c r="C271" t="s">
        <v>1744</v>
      </c>
      <c r="D271" s="96">
        <v>19.95</v>
      </c>
      <c r="E271" s="13">
        <v>31021.29</v>
      </c>
      <c r="F271" s="486">
        <v>1.5549999999999999</v>
      </c>
      <c r="G271"/>
      <c r="H271" s="13">
        <v>31021.29</v>
      </c>
      <c r="I271" s="13">
        <v>1.5549999999999999</v>
      </c>
      <c r="J271">
        <v>13</v>
      </c>
      <c r="K271" s="131">
        <v>45688</v>
      </c>
      <c r="M271">
        <v>570</v>
      </c>
      <c r="N271" t="s">
        <v>6111</v>
      </c>
    </row>
    <row r="272" spans="1:14">
      <c r="A272" t="s">
        <v>1746</v>
      </c>
      <c r="B272" t="s">
        <v>1748</v>
      </c>
      <c r="C272" t="s">
        <v>1744</v>
      </c>
      <c r="D272" s="96">
        <v>19.95</v>
      </c>
      <c r="E272" s="13">
        <v>31120.66</v>
      </c>
      <c r="F272" s="486">
        <v>1.5599000000000001</v>
      </c>
      <c r="G272"/>
      <c r="H272" s="13">
        <v>31120.66</v>
      </c>
      <c r="I272" s="13">
        <v>1.5599000000000001</v>
      </c>
      <c r="J272">
        <v>13</v>
      </c>
      <c r="K272" s="131">
        <v>45688</v>
      </c>
      <c r="M272">
        <v>570</v>
      </c>
      <c r="N272" t="s">
        <v>6112</v>
      </c>
    </row>
    <row r="273" spans="1:14">
      <c r="A273" t="s">
        <v>1746</v>
      </c>
      <c r="B273" t="s">
        <v>1747</v>
      </c>
      <c r="C273" t="s">
        <v>1744</v>
      </c>
      <c r="D273" s="96">
        <v>19.95</v>
      </c>
      <c r="E273" s="13">
        <v>31817.02</v>
      </c>
      <c r="F273" s="486">
        <v>1.5948</v>
      </c>
      <c r="G273"/>
      <c r="H273" s="13">
        <v>31817.02</v>
      </c>
      <c r="I273" s="13">
        <v>1.5948</v>
      </c>
      <c r="J273">
        <v>13</v>
      </c>
      <c r="K273" s="131">
        <v>45688</v>
      </c>
      <c r="M273">
        <v>570</v>
      </c>
      <c r="N273" t="s">
        <v>6113</v>
      </c>
    </row>
    <row r="274" spans="1:14">
      <c r="A274" t="s">
        <v>1746</v>
      </c>
      <c r="B274" t="s">
        <v>1747</v>
      </c>
      <c r="C274" t="s">
        <v>1744</v>
      </c>
      <c r="D274" s="96">
        <v>19.95</v>
      </c>
      <c r="E274" s="13">
        <v>31916.39</v>
      </c>
      <c r="F274" s="486">
        <v>1.5998000000000001</v>
      </c>
      <c r="G274"/>
      <c r="H274" s="13">
        <v>31916.39</v>
      </c>
      <c r="I274" s="13">
        <v>1.5998000000000001</v>
      </c>
      <c r="J274">
        <v>13</v>
      </c>
      <c r="K274" s="131">
        <v>45688</v>
      </c>
      <c r="M274">
        <v>570</v>
      </c>
      <c r="N274" t="s">
        <v>6114</v>
      </c>
    </row>
    <row r="275" spans="1:14">
      <c r="A275" t="s">
        <v>1746</v>
      </c>
      <c r="B275" t="s">
        <v>6092</v>
      </c>
      <c r="C275" t="s">
        <v>1744</v>
      </c>
      <c r="D275" s="96">
        <v>19.95</v>
      </c>
      <c r="E275" s="13">
        <v>38048.120000000003</v>
      </c>
      <c r="F275" s="486">
        <v>1.9072</v>
      </c>
      <c r="G275"/>
      <c r="H275" s="13">
        <v>38048.120000000003</v>
      </c>
      <c r="I275" s="13">
        <v>1.9072</v>
      </c>
      <c r="J275">
        <v>13</v>
      </c>
      <c r="K275" s="131">
        <v>45688</v>
      </c>
      <c r="M275">
        <v>570</v>
      </c>
      <c r="N275" t="s">
        <v>6115</v>
      </c>
    </row>
    <row r="276" spans="1:14">
      <c r="A276" t="s">
        <v>1746</v>
      </c>
      <c r="B276" t="s">
        <v>6092</v>
      </c>
      <c r="C276" t="s">
        <v>1744</v>
      </c>
      <c r="D276" s="96">
        <v>19.95</v>
      </c>
      <c r="E276" s="13">
        <v>38147.49</v>
      </c>
      <c r="F276" s="486">
        <v>1.9121999999999999</v>
      </c>
      <c r="G276"/>
      <c r="H276" s="13">
        <v>38147.49</v>
      </c>
      <c r="I276" s="13">
        <v>1.9121999999999999</v>
      </c>
      <c r="J276">
        <v>13</v>
      </c>
      <c r="K276" s="131">
        <v>45688</v>
      </c>
      <c r="M276">
        <v>570</v>
      </c>
      <c r="N276" t="s">
        <v>6116</v>
      </c>
    </row>
    <row r="277" spans="1:14">
      <c r="A277" t="s">
        <v>1746</v>
      </c>
      <c r="B277" t="s">
        <v>1748</v>
      </c>
      <c r="C277" t="s">
        <v>1744</v>
      </c>
      <c r="D277" s="96">
        <v>20.52</v>
      </c>
      <c r="E277" s="13">
        <v>29034.98</v>
      </c>
      <c r="F277" s="486">
        <v>1.415</v>
      </c>
      <c r="G277"/>
      <c r="H277" s="13">
        <v>29034.98</v>
      </c>
      <c r="I277" s="13">
        <v>1.415</v>
      </c>
      <c r="J277">
        <v>13</v>
      </c>
      <c r="K277" s="131">
        <v>45688</v>
      </c>
      <c r="M277">
        <v>570</v>
      </c>
      <c r="N277" t="s">
        <v>6117</v>
      </c>
    </row>
    <row r="278" spans="1:14">
      <c r="A278" t="s">
        <v>1746</v>
      </c>
      <c r="B278" t="s">
        <v>1748</v>
      </c>
      <c r="C278" t="s">
        <v>1744</v>
      </c>
      <c r="D278" s="96">
        <v>20.52</v>
      </c>
      <c r="E278" s="13">
        <v>29137.200000000001</v>
      </c>
      <c r="F278" s="486">
        <v>1.4198999999999999</v>
      </c>
      <c r="G278"/>
      <c r="H278" s="13">
        <v>29137.200000000001</v>
      </c>
      <c r="I278" s="13">
        <v>1.4198999999999999</v>
      </c>
      <c r="J278">
        <v>13</v>
      </c>
      <c r="K278" s="131">
        <v>45688</v>
      </c>
      <c r="M278">
        <v>570</v>
      </c>
      <c r="N278" t="s">
        <v>6118</v>
      </c>
    </row>
    <row r="279" spans="1:14">
      <c r="A279" t="s">
        <v>1746</v>
      </c>
      <c r="B279" t="s">
        <v>1747</v>
      </c>
      <c r="C279" t="s">
        <v>1744</v>
      </c>
      <c r="D279" s="96">
        <v>20.52</v>
      </c>
      <c r="E279" s="13">
        <v>29293.35</v>
      </c>
      <c r="F279" s="486">
        <v>1.4276</v>
      </c>
      <c r="H279" s="13">
        <v>29293.35</v>
      </c>
      <c r="I279" s="13">
        <v>1.4276</v>
      </c>
      <c r="J279">
        <v>13</v>
      </c>
      <c r="K279" s="131">
        <v>45688</v>
      </c>
      <c r="M279">
        <v>570</v>
      </c>
      <c r="N279" t="s">
        <v>6119</v>
      </c>
    </row>
    <row r="280" spans="1:14">
      <c r="A280" t="s">
        <v>1746</v>
      </c>
      <c r="B280" t="s">
        <v>1747</v>
      </c>
      <c r="C280" t="s">
        <v>1744</v>
      </c>
      <c r="D280" s="96">
        <v>20.52</v>
      </c>
      <c r="E280" s="13">
        <v>29395.56</v>
      </c>
      <c r="F280" s="486">
        <v>1.4325000000000001</v>
      </c>
      <c r="G280"/>
      <c r="H280" s="13">
        <v>29395.56</v>
      </c>
      <c r="I280" s="13">
        <v>1.4325000000000001</v>
      </c>
      <c r="J280">
        <v>13</v>
      </c>
      <c r="K280" s="131">
        <v>45688</v>
      </c>
      <c r="M280">
        <v>570</v>
      </c>
      <c r="N280" t="s">
        <v>6120</v>
      </c>
    </row>
    <row r="281" spans="1:14">
      <c r="A281" t="s">
        <v>1746</v>
      </c>
      <c r="B281" t="s">
        <v>1748</v>
      </c>
      <c r="C281" t="s">
        <v>1744</v>
      </c>
      <c r="D281" s="96">
        <v>20.52</v>
      </c>
      <c r="E281" s="13">
        <v>31545.97</v>
      </c>
      <c r="F281" s="486">
        <v>1.5373000000000001</v>
      </c>
      <c r="G281"/>
      <c r="H281" s="13">
        <v>31545.97</v>
      </c>
      <c r="I281" s="13">
        <v>1.5373000000000001</v>
      </c>
      <c r="J281">
        <v>13</v>
      </c>
      <c r="K281" s="131">
        <v>45688</v>
      </c>
      <c r="M281">
        <v>570</v>
      </c>
      <c r="N281" t="s">
        <v>6121</v>
      </c>
    </row>
    <row r="282" spans="1:14">
      <c r="A282" t="s">
        <v>1746</v>
      </c>
      <c r="B282" t="s">
        <v>1748</v>
      </c>
      <c r="C282" t="s">
        <v>1744</v>
      </c>
      <c r="D282" s="96">
        <v>20.52</v>
      </c>
      <c r="E282" s="13">
        <v>31648.18</v>
      </c>
      <c r="F282" s="486">
        <v>1.5423</v>
      </c>
      <c r="G282"/>
      <c r="H282" s="13">
        <v>31648.18</v>
      </c>
      <c r="I282" s="13">
        <v>1.5423</v>
      </c>
      <c r="J282">
        <v>13</v>
      </c>
      <c r="K282" s="131">
        <v>45688</v>
      </c>
      <c r="M282">
        <v>570</v>
      </c>
      <c r="N282" t="s">
        <v>6122</v>
      </c>
    </row>
    <row r="283" spans="1:14">
      <c r="A283" t="s">
        <v>1746</v>
      </c>
      <c r="B283" t="s">
        <v>1747</v>
      </c>
      <c r="C283" t="s">
        <v>1744</v>
      </c>
      <c r="D283" s="96">
        <v>20.52</v>
      </c>
      <c r="E283" s="13">
        <v>32341.71</v>
      </c>
      <c r="F283" s="486">
        <v>1.5761000000000001</v>
      </c>
      <c r="G283"/>
      <c r="H283" s="13">
        <v>32341.71</v>
      </c>
      <c r="I283" s="13">
        <v>1.5761000000000001</v>
      </c>
      <c r="J283">
        <v>13</v>
      </c>
      <c r="K283" s="131">
        <v>45688</v>
      </c>
      <c r="M283">
        <v>570</v>
      </c>
      <c r="N283" t="s">
        <v>6123</v>
      </c>
    </row>
    <row r="284" spans="1:14">
      <c r="A284" t="s">
        <v>1746</v>
      </c>
      <c r="B284" t="s">
        <v>1747</v>
      </c>
      <c r="C284" t="s">
        <v>1744</v>
      </c>
      <c r="D284" s="96">
        <v>20.52</v>
      </c>
      <c r="E284" s="13">
        <v>32443.919999999998</v>
      </c>
      <c r="F284" s="486">
        <v>1.5810999999999999</v>
      </c>
      <c r="G284"/>
      <c r="H284" s="13">
        <v>32443.919999999998</v>
      </c>
      <c r="I284" s="13">
        <v>1.5810999999999999</v>
      </c>
      <c r="J284">
        <v>13</v>
      </c>
      <c r="K284" s="131">
        <v>45688</v>
      </c>
      <c r="M284">
        <v>570</v>
      </c>
      <c r="N284" t="s">
        <v>6124</v>
      </c>
    </row>
    <row r="285" spans="1:14">
      <c r="A285" t="s">
        <v>1746</v>
      </c>
      <c r="B285" t="s">
        <v>6092</v>
      </c>
      <c r="C285" t="s">
        <v>1744</v>
      </c>
      <c r="D285" s="96">
        <v>20.52</v>
      </c>
      <c r="E285" s="13">
        <v>38572.800000000003</v>
      </c>
      <c r="F285" s="486">
        <v>1.8797999999999999</v>
      </c>
      <c r="G285"/>
      <c r="H285" s="13">
        <v>38572.800000000003</v>
      </c>
      <c r="I285" s="13">
        <v>1.8797999999999999</v>
      </c>
      <c r="J285">
        <v>13</v>
      </c>
      <c r="K285" s="131">
        <v>45688</v>
      </c>
      <c r="M285">
        <v>570</v>
      </c>
      <c r="N285" t="s">
        <v>6125</v>
      </c>
    </row>
    <row r="286" spans="1:14">
      <c r="A286" t="s">
        <v>1746</v>
      </c>
      <c r="B286" t="s">
        <v>6092</v>
      </c>
      <c r="C286" t="s">
        <v>1744</v>
      </c>
      <c r="D286" s="96">
        <v>20.52</v>
      </c>
      <c r="E286" s="13">
        <v>38675.01</v>
      </c>
      <c r="F286" s="486">
        <v>1.8847</v>
      </c>
      <c r="G286"/>
      <c r="H286" s="13">
        <v>38675.01</v>
      </c>
      <c r="I286" s="13">
        <v>1.8847</v>
      </c>
      <c r="J286">
        <v>13</v>
      </c>
      <c r="K286" s="131">
        <v>45688</v>
      </c>
      <c r="M286">
        <v>570</v>
      </c>
      <c r="N286" t="s">
        <v>6126</v>
      </c>
    </row>
    <row r="287" spans="1:14">
      <c r="A287" t="s">
        <v>1746</v>
      </c>
      <c r="B287" t="s">
        <v>6038</v>
      </c>
      <c r="C287" t="s">
        <v>1744</v>
      </c>
      <c r="D287" s="96">
        <v>20.59</v>
      </c>
      <c r="E287" s="13">
        <v>38679.65</v>
      </c>
      <c r="F287" s="486">
        <v>1.8786</v>
      </c>
      <c r="G287"/>
      <c r="H287" s="13">
        <v>38679.65</v>
      </c>
      <c r="I287" s="13">
        <v>1.8786</v>
      </c>
      <c r="J287">
        <v>13</v>
      </c>
      <c r="K287" s="131">
        <v>45688</v>
      </c>
      <c r="M287">
        <v>710</v>
      </c>
      <c r="N287" t="s">
        <v>6127</v>
      </c>
    </row>
    <row r="288" spans="1:14">
      <c r="A288" t="s">
        <v>1746</v>
      </c>
      <c r="B288" t="s">
        <v>1747</v>
      </c>
      <c r="C288" t="s">
        <v>1744</v>
      </c>
      <c r="D288" s="96">
        <v>21.09</v>
      </c>
      <c r="E288" s="13">
        <v>30132.62</v>
      </c>
      <c r="F288" s="486">
        <v>1.4288000000000001</v>
      </c>
      <c r="G288"/>
      <c r="H288" s="13">
        <v>30132.62</v>
      </c>
      <c r="I288" s="13">
        <v>1.4288000000000001</v>
      </c>
      <c r="J288">
        <v>13</v>
      </c>
      <c r="K288" s="131">
        <v>45688</v>
      </c>
      <c r="M288">
        <v>570</v>
      </c>
      <c r="N288" t="s">
        <v>6128</v>
      </c>
    </row>
    <row r="289" spans="1:14">
      <c r="A289" t="s">
        <v>1746</v>
      </c>
      <c r="B289" t="s">
        <v>1747</v>
      </c>
      <c r="C289" t="s">
        <v>1744</v>
      </c>
      <c r="D289" s="96">
        <v>21.09</v>
      </c>
      <c r="E289" s="13">
        <v>30237.67</v>
      </c>
      <c r="F289" s="486">
        <v>1.4337</v>
      </c>
      <c r="G289"/>
      <c r="H289" s="13">
        <v>30237.67</v>
      </c>
      <c r="I289" s="13">
        <v>1.4337</v>
      </c>
      <c r="J289">
        <v>13</v>
      </c>
      <c r="K289" s="131">
        <v>45688</v>
      </c>
      <c r="M289">
        <v>570</v>
      </c>
      <c r="N289" t="s">
        <v>6129</v>
      </c>
    </row>
    <row r="290" spans="1:14">
      <c r="A290" t="s">
        <v>1746</v>
      </c>
      <c r="B290" t="s">
        <v>1748</v>
      </c>
      <c r="C290" t="s">
        <v>1744</v>
      </c>
      <c r="D290" s="96">
        <v>21.09</v>
      </c>
      <c r="E290" s="13">
        <v>30557.55</v>
      </c>
      <c r="F290" s="486">
        <v>1.4489000000000001</v>
      </c>
      <c r="G290"/>
      <c r="H290" s="13">
        <v>30557.55</v>
      </c>
      <c r="I290" s="13">
        <v>1.4489000000000001</v>
      </c>
      <c r="J290">
        <v>13</v>
      </c>
      <c r="K290" s="131">
        <v>45688</v>
      </c>
      <c r="M290">
        <v>570</v>
      </c>
      <c r="N290" t="s">
        <v>6130</v>
      </c>
    </row>
    <row r="291" spans="1:14">
      <c r="A291" t="s">
        <v>1746</v>
      </c>
      <c r="B291" t="s">
        <v>1748</v>
      </c>
      <c r="C291" t="s">
        <v>1744</v>
      </c>
      <c r="D291" s="96">
        <v>21.09</v>
      </c>
      <c r="E291" s="13">
        <v>30662.6</v>
      </c>
      <c r="F291" s="486">
        <v>1.4539</v>
      </c>
      <c r="G291"/>
      <c r="H291" s="13">
        <v>30662.6</v>
      </c>
      <c r="I291" s="13">
        <v>1.4539</v>
      </c>
      <c r="J291">
        <v>13</v>
      </c>
      <c r="K291" s="131">
        <v>45688</v>
      </c>
      <c r="M291">
        <v>570</v>
      </c>
      <c r="N291" t="s">
        <v>6131</v>
      </c>
    </row>
    <row r="292" spans="1:14">
      <c r="A292" t="s">
        <v>1746</v>
      </c>
      <c r="B292" t="s">
        <v>1748</v>
      </c>
      <c r="C292" t="s">
        <v>1744</v>
      </c>
      <c r="D292" s="96">
        <v>21.09</v>
      </c>
      <c r="E292" s="13">
        <v>33789.699999999997</v>
      </c>
      <c r="F292" s="486">
        <v>1.6022000000000001</v>
      </c>
      <c r="G292"/>
      <c r="H292" s="13">
        <v>33789.699999999997</v>
      </c>
      <c r="I292" s="13">
        <v>1.6022000000000001</v>
      </c>
      <c r="J292">
        <v>13</v>
      </c>
      <c r="K292" s="131">
        <v>45688</v>
      </c>
      <c r="M292">
        <v>570</v>
      </c>
      <c r="N292" t="s">
        <v>6132</v>
      </c>
    </row>
    <row r="293" spans="1:14">
      <c r="A293" t="s">
        <v>1746</v>
      </c>
      <c r="B293" t="s">
        <v>1748</v>
      </c>
      <c r="C293" t="s">
        <v>1744</v>
      </c>
      <c r="D293" s="96">
        <v>21.09</v>
      </c>
      <c r="E293" s="13">
        <v>33789.699999999997</v>
      </c>
      <c r="F293" s="486">
        <v>1.6022000000000001</v>
      </c>
      <c r="G293"/>
      <c r="H293" s="13">
        <v>33789.699999999997</v>
      </c>
      <c r="I293" s="13">
        <v>1.6022000000000001</v>
      </c>
      <c r="J293">
        <v>13</v>
      </c>
      <c r="K293" s="131">
        <v>45688</v>
      </c>
      <c r="M293">
        <v>570</v>
      </c>
      <c r="N293" t="s">
        <v>6132</v>
      </c>
    </row>
    <row r="294" spans="1:14">
      <c r="A294" t="s">
        <v>1746</v>
      </c>
      <c r="B294" t="s">
        <v>1748</v>
      </c>
      <c r="C294" t="s">
        <v>1744</v>
      </c>
      <c r="D294" s="96">
        <v>21.09</v>
      </c>
      <c r="E294" s="13">
        <v>33894.75</v>
      </c>
      <c r="F294" s="486">
        <v>1.6071</v>
      </c>
      <c r="G294"/>
      <c r="H294" s="13">
        <v>33894.75</v>
      </c>
      <c r="I294" s="13">
        <v>1.6071</v>
      </c>
      <c r="J294">
        <v>13</v>
      </c>
      <c r="K294" s="131">
        <v>45688</v>
      </c>
      <c r="M294">
        <v>570</v>
      </c>
      <c r="N294" t="s">
        <v>6133</v>
      </c>
    </row>
    <row r="295" spans="1:14">
      <c r="A295" t="s">
        <v>1746</v>
      </c>
      <c r="B295" t="s">
        <v>1748</v>
      </c>
      <c r="C295" t="s">
        <v>1744</v>
      </c>
      <c r="D295" s="96">
        <v>21.09</v>
      </c>
      <c r="E295" s="13">
        <v>33894.75</v>
      </c>
      <c r="F295" s="486">
        <v>1.6071</v>
      </c>
      <c r="G295"/>
      <c r="H295" s="13">
        <v>33894.75</v>
      </c>
      <c r="I295" s="13">
        <v>1.6071</v>
      </c>
      <c r="J295">
        <v>13</v>
      </c>
      <c r="K295" s="131">
        <v>45688</v>
      </c>
      <c r="M295">
        <v>570</v>
      </c>
      <c r="N295" t="s">
        <v>6133</v>
      </c>
    </row>
    <row r="296" spans="1:14">
      <c r="A296" t="s">
        <v>1746</v>
      </c>
      <c r="B296" t="s">
        <v>6092</v>
      </c>
      <c r="C296" t="s">
        <v>1744</v>
      </c>
      <c r="D296" s="96">
        <v>21.09</v>
      </c>
      <c r="E296" s="13">
        <v>41184.870000000003</v>
      </c>
      <c r="F296" s="486">
        <v>1.9528000000000001</v>
      </c>
      <c r="G296"/>
      <c r="H296" s="13">
        <v>41184.870000000003</v>
      </c>
      <c r="I296" s="13">
        <v>1.9528000000000001</v>
      </c>
      <c r="J296">
        <v>13</v>
      </c>
      <c r="K296" s="131">
        <v>45688</v>
      </c>
      <c r="M296">
        <v>570</v>
      </c>
      <c r="N296" t="s">
        <v>6134</v>
      </c>
    </row>
    <row r="297" spans="1:14">
      <c r="A297" t="s">
        <v>1746</v>
      </c>
      <c r="B297" t="s">
        <v>6092</v>
      </c>
      <c r="C297" t="s">
        <v>1744</v>
      </c>
      <c r="D297" s="96">
        <v>21.09</v>
      </c>
      <c r="E297" s="13">
        <v>41289.919999999998</v>
      </c>
      <c r="F297" s="486">
        <v>1.9578</v>
      </c>
      <c r="G297"/>
      <c r="H297" s="13">
        <v>41289.919999999998</v>
      </c>
      <c r="I297" s="13">
        <v>1.9578</v>
      </c>
      <c r="J297">
        <v>13</v>
      </c>
      <c r="K297" s="131">
        <v>45688</v>
      </c>
      <c r="M297">
        <v>570</v>
      </c>
      <c r="N297" t="s">
        <v>6135</v>
      </c>
    </row>
    <row r="298" spans="1:14">
      <c r="A298" t="s">
        <v>1746</v>
      </c>
      <c r="B298" t="s">
        <v>6038</v>
      </c>
      <c r="C298" t="s">
        <v>1744</v>
      </c>
      <c r="D298" s="96">
        <v>21.3</v>
      </c>
      <c r="E298" s="13">
        <v>39407.81</v>
      </c>
      <c r="F298" s="486">
        <v>1.8501000000000001</v>
      </c>
      <c r="G298"/>
      <c r="H298" s="13">
        <v>39407.81</v>
      </c>
      <c r="I298" s="13">
        <v>1.8501000000000001</v>
      </c>
      <c r="J298">
        <v>13</v>
      </c>
      <c r="K298" s="131">
        <v>45688</v>
      </c>
      <c r="M298">
        <v>710</v>
      </c>
      <c r="N298" t="s">
        <v>6136</v>
      </c>
    </row>
    <row r="299" spans="1:14">
      <c r="A299" t="s">
        <v>1746</v>
      </c>
      <c r="B299" t="s">
        <v>1747</v>
      </c>
      <c r="C299" t="s">
        <v>1744</v>
      </c>
      <c r="D299" s="96">
        <v>21.66</v>
      </c>
      <c r="E299" s="13">
        <v>31066.15</v>
      </c>
      <c r="F299" s="486">
        <v>1.4342999999999999</v>
      </c>
      <c r="G299"/>
      <c r="H299" s="13">
        <v>31066.15</v>
      </c>
      <c r="I299" s="13">
        <v>1.4342999999999999</v>
      </c>
      <c r="J299">
        <v>13</v>
      </c>
      <c r="K299" s="131">
        <v>45688</v>
      </c>
      <c r="M299">
        <v>570</v>
      </c>
      <c r="N299" t="s">
        <v>6137</v>
      </c>
    </row>
    <row r="300" spans="1:14">
      <c r="A300" t="s">
        <v>1746</v>
      </c>
      <c r="B300" t="s">
        <v>1748</v>
      </c>
      <c r="C300" t="s">
        <v>1744</v>
      </c>
      <c r="D300" s="96">
        <v>21.66</v>
      </c>
      <c r="E300" s="13">
        <v>31082.240000000002</v>
      </c>
      <c r="F300" s="486">
        <v>1.4350000000000001</v>
      </c>
      <c r="G300"/>
      <c r="H300" s="13">
        <v>31082.240000000002</v>
      </c>
      <c r="I300" s="13">
        <v>1.4350000000000001</v>
      </c>
      <c r="J300">
        <v>13</v>
      </c>
      <c r="K300" s="131">
        <v>45688</v>
      </c>
      <c r="M300">
        <v>570</v>
      </c>
      <c r="N300" t="s">
        <v>6138</v>
      </c>
    </row>
    <row r="301" spans="1:14">
      <c r="A301" t="s">
        <v>1746</v>
      </c>
      <c r="B301" t="s">
        <v>1747</v>
      </c>
      <c r="C301" t="s">
        <v>1744</v>
      </c>
      <c r="D301" s="96">
        <v>21.66</v>
      </c>
      <c r="E301" s="13">
        <v>31174.04</v>
      </c>
      <c r="F301" s="486">
        <v>1.4392</v>
      </c>
      <c r="G301"/>
      <c r="H301" s="13">
        <v>31174.04</v>
      </c>
      <c r="I301" s="13">
        <v>1.4392</v>
      </c>
      <c r="J301">
        <v>13</v>
      </c>
      <c r="K301" s="131">
        <v>45688</v>
      </c>
      <c r="M301">
        <v>570</v>
      </c>
      <c r="N301" t="s">
        <v>6139</v>
      </c>
    </row>
    <row r="302" spans="1:14">
      <c r="A302" t="s">
        <v>1746</v>
      </c>
      <c r="B302" t="s">
        <v>1748</v>
      </c>
      <c r="C302" t="s">
        <v>1744</v>
      </c>
      <c r="D302" s="96">
        <v>21.66</v>
      </c>
      <c r="E302" s="13">
        <v>31190.13</v>
      </c>
      <c r="F302" s="486">
        <v>1.44</v>
      </c>
      <c r="G302"/>
      <c r="H302" s="13">
        <v>31190.13</v>
      </c>
      <c r="I302" s="13">
        <v>1.44</v>
      </c>
      <c r="J302">
        <v>13</v>
      </c>
      <c r="K302" s="131">
        <v>45688</v>
      </c>
      <c r="M302">
        <v>570</v>
      </c>
      <c r="N302" t="s">
        <v>6140</v>
      </c>
    </row>
    <row r="303" spans="1:14">
      <c r="A303" t="s">
        <v>1746</v>
      </c>
      <c r="B303" t="s">
        <v>1748</v>
      </c>
      <c r="C303" t="s">
        <v>1744</v>
      </c>
      <c r="D303" s="96">
        <v>21.66</v>
      </c>
      <c r="E303" s="13">
        <v>34314.379999999997</v>
      </c>
      <c r="F303" s="486">
        <v>1.5842000000000001</v>
      </c>
      <c r="G303"/>
      <c r="H303" s="13">
        <v>34314.379999999997</v>
      </c>
      <c r="I303" s="13">
        <v>1.5842000000000001</v>
      </c>
      <c r="J303">
        <v>13</v>
      </c>
      <c r="K303" s="131">
        <v>45688</v>
      </c>
      <c r="M303">
        <v>570</v>
      </c>
      <c r="N303" t="s">
        <v>6141</v>
      </c>
    </row>
    <row r="304" spans="1:14">
      <c r="A304" t="s">
        <v>1746</v>
      </c>
      <c r="B304" t="s">
        <v>1748</v>
      </c>
      <c r="C304" t="s">
        <v>1744</v>
      </c>
      <c r="D304" s="96">
        <v>21.66</v>
      </c>
      <c r="E304" s="13">
        <v>34422.269999999997</v>
      </c>
      <c r="F304" s="486">
        <v>1.5891999999999999</v>
      </c>
      <c r="G304"/>
      <c r="H304" s="13">
        <v>34422.269999999997</v>
      </c>
      <c r="I304" s="13">
        <v>1.5891999999999999</v>
      </c>
      <c r="J304">
        <v>13</v>
      </c>
      <c r="K304" s="131">
        <v>45688</v>
      </c>
      <c r="M304">
        <v>570</v>
      </c>
      <c r="N304" t="s">
        <v>6142</v>
      </c>
    </row>
    <row r="305" spans="1:14">
      <c r="A305" t="s">
        <v>1746</v>
      </c>
      <c r="B305" t="s">
        <v>1747</v>
      </c>
      <c r="C305" t="s">
        <v>1744</v>
      </c>
      <c r="D305" s="96">
        <v>21.66</v>
      </c>
      <c r="E305" s="13">
        <v>35758.400000000001</v>
      </c>
      <c r="F305" s="486">
        <v>1.6509</v>
      </c>
      <c r="G305"/>
      <c r="H305" s="13">
        <v>35758.400000000001</v>
      </c>
      <c r="I305" s="13">
        <v>1.6509</v>
      </c>
      <c r="J305">
        <v>13</v>
      </c>
      <c r="K305" s="131">
        <v>45688</v>
      </c>
      <c r="M305">
        <v>570</v>
      </c>
      <c r="N305" t="s">
        <v>6143</v>
      </c>
    </row>
    <row r="306" spans="1:14">
      <c r="A306" t="s">
        <v>1746</v>
      </c>
      <c r="B306" t="s">
        <v>1747</v>
      </c>
      <c r="C306" t="s">
        <v>1744</v>
      </c>
      <c r="D306" s="96">
        <v>21.66</v>
      </c>
      <c r="E306" s="13">
        <v>35866.29</v>
      </c>
      <c r="F306" s="486">
        <v>1.6558999999999999</v>
      </c>
      <c r="G306"/>
      <c r="H306" s="13">
        <v>35866.29</v>
      </c>
      <c r="I306" s="13">
        <v>1.6558999999999999</v>
      </c>
      <c r="J306">
        <v>13</v>
      </c>
      <c r="K306" s="131">
        <v>45688</v>
      </c>
      <c r="M306">
        <v>570</v>
      </c>
      <c r="N306" t="s">
        <v>6144</v>
      </c>
    </row>
    <row r="307" spans="1:14">
      <c r="A307" t="s">
        <v>1746</v>
      </c>
      <c r="B307" t="s">
        <v>6092</v>
      </c>
      <c r="C307" t="s">
        <v>1744</v>
      </c>
      <c r="D307" s="96">
        <v>21.66</v>
      </c>
      <c r="E307" s="13">
        <v>41709.550000000003</v>
      </c>
      <c r="F307" s="486">
        <v>1.9256</v>
      </c>
      <c r="G307"/>
      <c r="H307" s="13">
        <v>41709.550000000003</v>
      </c>
      <c r="I307" s="13">
        <v>1.9256</v>
      </c>
      <c r="J307">
        <v>13</v>
      </c>
      <c r="K307" s="131">
        <v>45688</v>
      </c>
      <c r="M307">
        <v>570</v>
      </c>
      <c r="N307" t="s">
        <v>6145</v>
      </c>
    </row>
    <row r="308" spans="1:14">
      <c r="A308" t="s">
        <v>1746</v>
      </c>
      <c r="B308" t="s">
        <v>6092</v>
      </c>
      <c r="C308" t="s">
        <v>1744</v>
      </c>
      <c r="D308" s="96">
        <v>21.66</v>
      </c>
      <c r="E308" s="13">
        <v>41817.440000000002</v>
      </c>
      <c r="F308" s="486">
        <v>1.9306000000000001</v>
      </c>
      <c r="G308"/>
      <c r="H308" s="13">
        <v>41817.440000000002</v>
      </c>
      <c r="I308" s="13">
        <v>1.9306000000000001</v>
      </c>
      <c r="J308">
        <v>13</v>
      </c>
      <c r="K308" s="131">
        <v>45688</v>
      </c>
      <c r="M308">
        <v>570</v>
      </c>
      <c r="N308" t="s">
        <v>6146</v>
      </c>
    </row>
    <row r="309" spans="1:14">
      <c r="A309" t="s">
        <v>1746</v>
      </c>
      <c r="B309" t="s">
        <v>6038</v>
      </c>
      <c r="C309" t="s">
        <v>1744</v>
      </c>
      <c r="D309" s="96">
        <v>22.01</v>
      </c>
      <c r="E309" s="13">
        <v>40135.97</v>
      </c>
      <c r="F309" s="486">
        <v>1.8234999999999999</v>
      </c>
      <c r="G309"/>
      <c r="H309" s="13">
        <v>40135.97</v>
      </c>
      <c r="I309" s="13">
        <v>1.8234999999999999</v>
      </c>
      <c r="J309">
        <v>13</v>
      </c>
      <c r="K309" s="131">
        <v>45688</v>
      </c>
      <c r="M309">
        <v>710</v>
      </c>
      <c r="N309" t="s">
        <v>6147</v>
      </c>
    </row>
    <row r="310" spans="1:14">
      <c r="A310" t="s">
        <v>1746</v>
      </c>
      <c r="B310" t="s">
        <v>1747</v>
      </c>
      <c r="C310" t="s">
        <v>1744</v>
      </c>
      <c r="D310" s="96">
        <v>22.23</v>
      </c>
      <c r="E310" s="13">
        <v>31590.83</v>
      </c>
      <c r="F310" s="486">
        <v>1.4211</v>
      </c>
      <c r="G310"/>
      <c r="H310" s="13">
        <v>31590.83</v>
      </c>
      <c r="I310" s="13">
        <v>1.4211</v>
      </c>
      <c r="J310">
        <v>13</v>
      </c>
      <c r="K310" s="131">
        <v>45688</v>
      </c>
      <c r="M310">
        <v>570</v>
      </c>
      <c r="N310" t="s">
        <v>6148</v>
      </c>
    </row>
    <row r="311" spans="1:14">
      <c r="A311" t="s">
        <v>1746</v>
      </c>
      <c r="B311" t="s">
        <v>1748</v>
      </c>
      <c r="C311" t="s">
        <v>1744</v>
      </c>
      <c r="D311" s="96">
        <v>22.23</v>
      </c>
      <c r="E311" s="13">
        <v>31606.92</v>
      </c>
      <c r="F311" s="486">
        <v>1.4218</v>
      </c>
      <c r="G311"/>
      <c r="H311" s="13">
        <v>31606.92</v>
      </c>
      <c r="I311" s="13">
        <v>1.4218</v>
      </c>
      <c r="J311">
        <v>13</v>
      </c>
      <c r="K311" s="131">
        <v>45688</v>
      </c>
      <c r="M311">
        <v>570</v>
      </c>
      <c r="N311" t="s">
        <v>6149</v>
      </c>
    </row>
    <row r="312" spans="1:14">
      <c r="A312" t="s">
        <v>1746</v>
      </c>
      <c r="B312" t="s">
        <v>1747</v>
      </c>
      <c r="C312" t="s">
        <v>1744</v>
      </c>
      <c r="D312" s="96">
        <v>22.23</v>
      </c>
      <c r="E312" s="13">
        <v>31701.56</v>
      </c>
      <c r="F312" s="486">
        <v>1.4260999999999999</v>
      </c>
      <c r="G312"/>
      <c r="H312" s="13">
        <v>31701.56</v>
      </c>
      <c r="I312" s="13">
        <v>1.4260999999999999</v>
      </c>
      <c r="J312">
        <v>13</v>
      </c>
      <c r="K312" s="131">
        <v>45688</v>
      </c>
      <c r="M312">
        <v>570</v>
      </c>
      <c r="N312" t="s">
        <v>6150</v>
      </c>
    </row>
    <row r="313" spans="1:14">
      <c r="A313" t="s">
        <v>1746</v>
      </c>
      <c r="B313" t="s">
        <v>1748</v>
      </c>
      <c r="C313" t="s">
        <v>1744</v>
      </c>
      <c r="D313" s="96">
        <v>22.23</v>
      </c>
      <c r="E313" s="13">
        <v>31717.65</v>
      </c>
      <c r="F313" s="486">
        <v>1.4268000000000001</v>
      </c>
      <c r="G313"/>
      <c r="H313" s="13">
        <v>31717.65</v>
      </c>
      <c r="I313" s="13">
        <v>1.4268000000000001</v>
      </c>
      <c r="J313">
        <v>13</v>
      </c>
      <c r="K313" s="131">
        <v>45688</v>
      </c>
      <c r="M313">
        <v>570</v>
      </c>
      <c r="N313" t="s">
        <v>6151</v>
      </c>
    </row>
    <row r="314" spans="1:14">
      <c r="A314" t="s">
        <v>1746</v>
      </c>
      <c r="B314" t="s">
        <v>1748</v>
      </c>
      <c r="C314" t="s">
        <v>1744</v>
      </c>
      <c r="D314" s="96">
        <v>22.23</v>
      </c>
      <c r="E314" s="13">
        <v>34839.07</v>
      </c>
      <c r="F314" s="486">
        <v>1.5671999999999999</v>
      </c>
      <c r="G314"/>
      <c r="H314" s="13">
        <v>34839.07</v>
      </c>
      <c r="I314" s="13">
        <v>1.5671999999999999</v>
      </c>
      <c r="J314">
        <v>13</v>
      </c>
      <c r="K314" s="131">
        <v>45688</v>
      </c>
      <c r="M314">
        <v>570</v>
      </c>
      <c r="N314" t="s">
        <v>6152</v>
      </c>
    </row>
    <row r="315" spans="1:14">
      <c r="A315" t="s">
        <v>1746</v>
      </c>
      <c r="B315" t="s">
        <v>1748</v>
      </c>
      <c r="C315" t="s">
        <v>1744</v>
      </c>
      <c r="D315" s="96">
        <v>22.23</v>
      </c>
      <c r="E315" s="13">
        <v>34949.79</v>
      </c>
      <c r="F315" s="486">
        <v>1.5722</v>
      </c>
      <c r="G315"/>
      <c r="H315" s="13">
        <v>34949.79</v>
      </c>
      <c r="I315" s="13">
        <v>1.5722</v>
      </c>
      <c r="J315">
        <v>13</v>
      </c>
      <c r="K315" s="131">
        <v>45688</v>
      </c>
      <c r="M315">
        <v>570</v>
      </c>
      <c r="N315" t="s">
        <v>6153</v>
      </c>
    </row>
    <row r="316" spans="1:14">
      <c r="A316" t="s">
        <v>1746</v>
      </c>
      <c r="B316" t="s">
        <v>1747</v>
      </c>
      <c r="C316" t="s">
        <v>1744</v>
      </c>
      <c r="D316" s="96">
        <v>22.23</v>
      </c>
      <c r="E316" s="13">
        <v>36283.08</v>
      </c>
      <c r="F316" s="486">
        <v>1.6322000000000001</v>
      </c>
      <c r="G316"/>
      <c r="H316" s="13">
        <v>36283.08</v>
      </c>
      <c r="I316" s="13">
        <v>1.6322000000000001</v>
      </c>
      <c r="J316">
        <v>13</v>
      </c>
      <c r="K316" s="131">
        <v>45688</v>
      </c>
      <c r="M316">
        <v>570</v>
      </c>
      <c r="N316" t="s">
        <v>6154</v>
      </c>
    </row>
    <row r="317" spans="1:14">
      <c r="A317" t="s">
        <v>1746</v>
      </c>
      <c r="B317" t="s">
        <v>1747</v>
      </c>
      <c r="C317" t="s">
        <v>1744</v>
      </c>
      <c r="D317" s="96">
        <v>22.23</v>
      </c>
      <c r="E317" s="13">
        <v>36393.81</v>
      </c>
      <c r="F317" s="486">
        <v>1.6371</v>
      </c>
      <c r="G317"/>
      <c r="H317" s="13">
        <v>36393.81</v>
      </c>
      <c r="I317" s="13">
        <v>1.6371</v>
      </c>
      <c r="J317">
        <v>13</v>
      </c>
      <c r="K317" s="131">
        <v>45688</v>
      </c>
      <c r="M317">
        <v>570</v>
      </c>
      <c r="N317" t="s">
        <v>6155</v>
      </c>
    </row>
    <row r="318" spans="1:14">
      <c r="A318" t="s">
        <v>1746</v>
      </c>
      <c r="B318" t="s">
        <v>6092</v>
      </c>
      <c r="C318" t="s">
        <v>1744</v>
      </c>
      <c r="D318" s="96">
        <v>22.23</v>
      </c>
      <c r="E318" s="13">
        <v>42234.239999999998</v>
      </c>
      <c r="F318" s="486">
        <v>1.8998999999999999</v>
      </c>
      <c r="G318"/>
      <c r="H318" s="13">
        <v>42234.239999999998</v>
      </c>
      <c r="I318" s="13">
        <v>1.8998999999999999</v>
      </c>
      <c r="J318">
        <v>13</v>
      </c>
      <c r="K318" s="131">
        <v>45688</v>
      </c>
      <c r="M318">
        <v>570</v>
      </c>
      <c r="N318" t="s">
        <v>6156</v>
      </c>
    </row>
    <row r="319" spans="1:14">
      <c r="A319" t="s">
        <v>1746</v>
      </c>
      <c r="B319" t="s">
        <v>6092</v>
      </c>
      <c r="C319" t="s">
        <v>1744</v>
      </c>
      <c r="D319" s="96">
        <v>22.23</v>
      </c>
      <c r="E319" s="13">
        <v>42344.959999999999</v>
      </c>
      <c r="F319" s="486">
        <v>1.9049</v>
      </c>
      <c r="G319"/>
      <c r="H319" s="13">
        <v>42344.959999999999</v>
      </c>
      <c r="I319" s="13">
        <v>1.9049</v>
      </c>
      <c r="J319">
        <v>13</v>
      </c>
      <c r="K319" s="131">
        <v>45688</v>
      </c>
      <c r="M319">
        <v>570</v>
      </c>
      <c r="N319" t="s">
        <v>6157</v>
      </c>
    </row>
    <row r="320" spans="1:14">
      <c r="A320" t="s">
        <v>1746</v>
      </c>
      <c r="B320" t="s">
        <v>6038</v>
      </c>
      <c r="C320" t="s">
        <v>1744</v>
      </c>
      <c r="D320" s="96">
        <v>22.72</v>
      </c>
      <c r="E320" s="13">
        <v>40864.129999999997</v>
      </c>
      <c r="F320" s="486">
        <v>1.7986</v>
      </c>
      <c r="G320"/>
      <c r="H320" s="13">
        <v>40864.129999999997</v>
      </c>
      <c r="I320" s="13">
        <v>1.7986</v>
      </c>
      <c r="J320">
        <v>13</v>
      </c>
      <c r="K320" s="131">
        <v>45688</v>
      </c>
      <c r="M320">
        <v>710</v>
      </c>
      <c r="N320" t="s">
        <v>6158</v>
      </c>
    </row>
    <row r="321" spans="1:14">
      <c r="A321" t="s">
        <v>1746</v>
      </c>
      <c r="B321" t="s">
        <v>1747</v>
      </c>
      <c r="C321" t="s">
        <v>1744</v>
      </c>
      <c r="D321" s="96">
        <v>22.8</v>
      </c>
      <c r="E321" s="13">
        <v>32115.52</v>
      </c>
      <c r="F321" s="486">
        <v>1.4086000000000001</v>
      </c>
      <c r="G321"/>
      <c r="H321" s="13">
        <v>32115.52</v>
      </c>
      <c r="I321" s="13">
        <v>1.4086000000000001</v>
      </c>
      <c r="J321">
        <v>13</v>
      </c>
      <c r="K321" s="131">
        <v>45688</v>
      </c>
      <c r="M321">
        <v>570</v>
      </c>
      <c r="N321" t="s">
        <v>6159</v>
      </c>
    </row>
    <row r="322" spans="1:14">
      <c r="A322" t="s">
        <v>1746</v>
      </c>
      <c r="B322" t="s">
        <v>1748</v>
      </c>
      <c r="C322" t="s">
        <v>1744</v>
      </c>
      <c r="D322" s="96">
        <v>22.8</v>
      </c>
      <c r="E322" s="13">
        <v>32131.599999999999</v>
      </c>
      <c r="F322" s="486">
        <v>1.4093</v>
      </c>
      <c r="G322"/>
      <c r="H322" s="13">
        <v>32131.599999999999</v>
      </c>
      <c r="I322" s="13">
        <v>1.4093</v>
      </c>
      <c r="J322">
        <v>13</v>
      </c>
      <c r="K322" s="131">
        <v>45688</v>
      </c>
      <c r="M322">
        <v>570</v>
      </c>
      <c r="N322" t="s">
        <v>6160</v>
      </c>
    </row>
    <row r="323" spans="1:14">
      <c r="A323" t="s">
        <v>1746</v>
      </c>
      <c r="B323" t="s">
        <v>1747</v>
      </c>
      <c r="C323" t="s">
        <v>1744</v>
      </c>
      <c r="D323" s="96">
        <v>22.8</v>
      </c>
      <c r="E323" s="13">
        <v>32229.08</v>
      </c>
      <c r="F323" s="486">
        <v>1.4136</v>
      </c>
      <c r="G323"/>
      <c r="H323" s="13">
        <v>32229.08</v>
      </c>
      <c r="I323" s="13">
        <v>1.4136</v>
      </c>
      <c r="J323">
        <v>13</v>
      </c>
      <c r="K323" s="131">
        <v>45688</v>
      </c>
      <c r="M323">
        <v>570</v>
      </c>
      <c r="N323" t="s">
        <v>6161</v>
      </c>
    </row>
    <row r="324" spans="1:14">
      <c r="A324" t="s">
        <v>1746</v>
      </c>
      <c r="B324" t="s">
        <v>1748</v>
      </c>
      <c r="C324" t="s">
        <v>1744</v>
      </c>
      <c r="D324" s="96">
        <v>22.8</v>
      </c>
      <c r="E324" s="13">
        <v>32245.17</v>
      </c>
      <c r="F324" s="486">
        <v>1.4142999999999999</v>
      </c>
      <c r="G324"/>
      <c r="H324" s="13">
        <v>32245.17</v>
      </c>
      <c r="I324" s="13">
        <v>1.4142999999999999</v>
      </c>
      <c r="J324">
        <v>13</v>
      </c>
      <c r="K324" s="131">
        <v>45688</v>
      </c>
      <c r="M324">
        <v>570</v>
      </c>
      <c r="N324" t="s">
        <v>6162</v>
      </c>
    </row>
    <row r="325" spans="1:14">
      <c r="A325" t="s">
        <v>1746</v>
      </c>
      <c r="B325" t="s">
        <v>1748</v>
      </c>
      <c r="C325" t="s">
        <v>1744</v>
      </c>
      <c r="D325" s="96">
        <v>22.8</v>
      </c>
      <c r="E325" s="13">
        <v>35363.75</v>
      </c>
      <c r="F325" s="486">
        <v>1.5509999999999999</v>
      </c>
      <c r="G325"/>
      <c r="H325" s="13">
        <v>35363.75</v>
      </c>
      <c r="I325" s="13">
        <v>1.5509999999999999</v>
      </c>
      <c r="J325">
        <v>13</v>
      </c>
      <c r="K325" s="131">
        <v>45688</v>
      </c>
      <c r="M325">
        <v>570</v>
      </c>
      <c r="N325" t="s">
        <v>6163</v>
      </c>
    </row>
    <row r="326" spans="1:14">
      <c r="A326" t="s">
        <v>1746</v>
      </c>
      <c r="B326" t="s">
        <v>1748</v>
      </c>
      <c r="C326" t="s">
        <v>1744</v>
      </c>
      <c r="D326" s="96">
        <v>22.8</v>
      </c>
      <c r="E326" s="13">
        <v>35477.32</v>
      </c>
      <c r="F326" s="486">
        <v>1.556</v>
      </c>
      <c r="G326"/>
      <c r="H326" s="13">
        <v>35477.32</v>
      </c>
      <c r="I326" s="13">
        <v>1.556</v>
      </c>
      <c r="J326">
        <v>13</v>
      </c>
      <c r="K326" s="131">
        <v>45688</v>
      </c>
      <c r="M326">
        <v>570</v>
      </c>
      <c r="N326" t="s">
        <v>6164</v>
      </c>
    </row>
    <row r="327" spans="1:14">
      <c r="A327" t="s">
        <v>1746</v>
      </c>
      <c r="B327" t="s">
        <v>1747</v>
      </c>
      <c r="C327" t="s">
        <v>1744</v>
      </c>
      <c r="D327" s="96">
        <v>22.8</v>
      </c>
      <c r="E327" s="13">
        <v>36807.769999999997</v>
      </c>
      <c r="F327" s="486">
        <v>1.6144000000000001</v>
      </c>
      <c r="G327"/>
      <c r="H327" s="13">
        <v>36807.769999999997</v>
      </c>
      <c r="I327" s="13">
        <v>1.6144000000000001</v>
      </c>
      <c r="J327">
        <v>13</v>
      </c>
      <c r="K327" s="131">
        <v>45688</v>
      </c>
      <c r="M327">
        <v>570</v>
      </c>
      <c r="N327" t="s">
        <v>6165</v>
      </c>
    </row>
    <row r="328" spans="1:14">
      <c r="A328" t="s">
        <v>1746</v>
      </c>
      <c r="B328" t="s">
        <v>1747</v>
      </c>
      <c r="C328" t="s">
        <v>1744</v>
      </c>
      <c r="D328" s="96">
        <v>22.8</v>
      </c>
      <c r="E328" s="13">
        <v>36921.339999999997</v>
      </c>
      <c r="F328" s="486">
        <v>1.6194</v>
      </c>
      <c r="G328"/>
      <c r="H328" s="13">
        <v>36921.339999999997</v>
      </c>
      <c r="I328" s="13">
        <v>1.6194</v>
      </c>
      <c r="J328">
        <v>13</v>
      </c>
      <c r="K328" s="131">
        <v>45688</v>
      </c>
      <c r="M328">
        <v>570</v>
      </c>
      <c r="N328" t="s">
        <v>6166</v>
      </c>
    </row>
    <row r="329" spans="1:14">
      <c r="A329" t="s">
        <v>1746</v>
      </c>
      <c r="B329" t="s">
        <v>6092</v>
      </c>
      <c r="C329" t="s">
        <v>1744</v>
      </c>
      <c r="D329" s="96">
        <v>22.8</v>
      </c>
      <c r="E329" s="13">
        <v>42758.92</v>
      </c>
      <c r="F329" s="486">
        <v>1.8754</v>
      </c>
      <c r="G329"/>
      <c r="H329" s="13">
        <v>42758.92</v>
      </c>
      <c r="I329" s="13">
        <v>1.8754</v>
      </c>
      <c r="J329">
        <v>13</v>
      </c>
      <c r="K329" s="131">
        <v>45688</v>
      </c>
      <c r="M329">
        <v>570</v>
      </c>
      <c r="N329" t="s">
        <v>6167</v>
      </c>
    </row>
    <row r="330" spans="1:14">
      <c r="A330" t="s">
        <v>1746</v>
      </c>
      <c r="B330" t="s">
        <v>6092</v>
      </c>
      <c r="C330" t="s">
        <v>1744</v>
      </c>
      <c r="D330" s="96">
        <v>22.8</v>
      </c>
      <c r="E330" s="13">
        <v>42872.49</v>
      </c>
      <c r="F330" s="486">
        <v>1.8804000000000001</v>
      </c>
      <c r="G330"/>
      <c r="H330" s="13">
        <v>42872.49</v>
      </c>
      <c r="I330" s="13">
        <v>1.8804000000000001</v>
      </c>
      <c r="J330">
        <v>13</v>
      </c>
      <c r="K330" s="131">
        <v>45688</v>
      </c>
      <c r="M330">
        <v>570</v>
      </c>
      <c r="N330" t="s">
        <v>6168</v>
      </c>
    </row>
    <row r="331" spans="1:14">
      <c r="A331" t="s">
        <v>1746</v>
      </c>
      <c r="B331" t="s">
        <v>1747</v>
      </c>
      <c r="C331" t="s">
        <v>1744</v>
      </c>
      <c r="D331" s="96">
        <v>23.37</v>
      </c>
      <c r="E331" s="13">
        <v>32954.78</v>
      </c>
      <c r="F331" s="486">
        <v>1.4100999999999999</v>
      </c>
      <c r="G331"/>
      <c r="H331" s="13">
        <v>32954.78</v>
      </c>
      <c r="I331" s="13">
        <v>1.4100999999999999</v>
      </c>
      <c r="J331">
        <v>13</v>
      </c>
      <c r="K331" s="131">
        <v>45688</v>
      </c>
      <c r="M331">
        <v>570</v>
      </c>
      <c r="N331" t="s">
        <v>6169</v>
      </c>
    </row>
    <row r="332" spans="1:14">
      <c r="A332" t="s">
        <v>1746</v>
      </c>
      <c r="B332" t="s">
        <v>1748</v>
      </c>
      <c r="C332" t="s">
        <v>1744</v>
      </c>
      <c r="D332" s="96">
        <v>23.37</v>
      </c>
      <c r="E332" s="13">
        <v>32970.870000000003</v>
      </c>
      <c r="F332" s="486">
        <v>1.4108000000000001</v>
      </c>
      <c r="G332"/>
      <c r="H332" s="13">
        <v>32970.870000000003</v>
      </c>
      <c r="I332" s="13">
        <v>1.4108000000000001</v>
      </c>
      <c r="J332">
        <v>13</v>
      </c>
      <c r="K332" s="131">
        <v>45688</v>
      </c>
      <c r="M332">
        <v>570</v>
      </c>
      <c r="N332" t="s">
        <v>6170</v>
      </c>
    </row>
    <row r="333" spans="1:14">
      <c r="A333" t="s">
        <v>1746</v>
      </c>
      <c r="B333" t="s">
        <v>1747</v>
      </c>
      <c r="C333" t="s">
        <v>1744</v>
      </c>
      <c r="D333" s="96">
        <v>23.37</v>
      </c>
      <c r="E333" s="13">
        <v>33071.19</v>
      </c>
      <c r="F333" s="486">
        <v>1.4151</v>
      </c>
      <c r="G333"/>
      <c r="H333" s="13">
        <v>33071.19</v>
      </c>
      <c r="I333" s="13">
        <v>1.4151</v>
      </c>
      <c r="J333">
        <v>13</v>
      </c>
      <c r="K333" s="131">
        <v>45688</v>
      </c>
      <c r="M333">
        <v>570</v>
      </c>
      <c r="N333" t="s">
        <v>6171</v>
      </c>
    </row>
    <row r="334" spans="1:14">
      <c r="A334" t="s">
        <v>1746</v>
      </c>
      <c r="B334" t="s">
        <v>1748</v>
      </c>
      <c r="C334" t="s">
        <v>1744</v>
      </c>
      <c r="D334" s="96">
        <v>23.37</v>
      </c>
      <c r="E334" s="13">
        <v>33087.279999999999</v>
      </c>
      <c r="F334" s="486">
        <v>1.4157999999999999</v>
      </c>
      <c r="G334"/>
      <c r="H334" s="13">
        <v>33087.279999999999</v>
      </c>
      <c r="I334" s="13">
        <v>1.4157999999999999</v>
      </c>
      <c r="J334">
        <v>13</v>
      </c>
      <c r="K334" s="131">
        <v>45688</v>
      </c>
      <c r="M334">
        <v>570</v>
      </c>
      <c r="N334" t="s">
        <v>6172</v>
      </c>
    </row>
    <row r="335" spans="1:14">
      <c r="A335" t="s">
        <v>1746</v>
      </c>
      <c r="B335" t="s">
        <v>1748</v>
      </c>
      <c r="C335" t="s">
        <v>1744</v>
      </c>
      <c r="D335" s="96">
        <v>23.37</v>
      </c>
      <c r="E335" s="13">
        <v>36203.019999999997</v>
      </c>
      <c r="F335" s="486">
        <v>1.5490999999999999</v>
      </c>
      <c r="G335"/>
      <c r="H335" s="13">
        <v>36203.019999999997</v>
      </c>
      <c r="I335" s="13">
        <v>1.5490999999999999</v>
      </c>
      <c r="J335">
        <v>13</v>
      </c>
      <c r="K335" s="131">
        <v>45688</v>
      </c>
      <c r="M335">
        <v>570</v>
      </c>
      <c r="N335" t="s">
        <v>6173</v>
      </c>
    </row>
    <row r="336" spans="1:14">
      <c r="A336" t="s">
        <v>1746</v>
      </c>
      <c r="B336" t="s">
        <v>1748</v>
      </c>
      <c r="C336" t="s">
        <v>1744</v>
      </c>
      <c r="D336" s="96">
        <v>23.37</v>
      </c>
      <c r="E336" s="13">
        <v>36319.42</v>
      </c>
      <c r="F336" s="486">
        <v>1.5541</v>
      </c>
      <c r="G336"/>
      <c r="H336" s="13">
        <v>36319.42</v>
      </c>
      <c r="I336" s="13">
        <v>1.5541</v>
      </c>
      <c r="J336">
        <v>13</v>
      </c>
      <c r="K336" s="131">
        <v>45688</v>
      </c>
      <c r="M336">
        <v>570</v>
      </c>
      <c r="N336" t="s">
        <v>6174</v>
      </c>
    </row>
    <row r="337" spans="1:14">
      <c r="A337" t="s">
        <v>1746</v>
      </c>
      <c r="B337" t="s">
        <v>1747</v>
      </c>
      <c r="C337" t="s">
        <v>1744</v>
      </c>
      <c r="D337" s="96">
        <v>23.37</v>
      </c>
      <c r="E337" s="13">
        <v>37647.03</v>
      </c>
      <c r="F337" s="486">
        <v>1.6109</v>
      </c>
      <c r="G337"/>
      <c r="H337" s="13">
        <v>37647.03</v>
      </c>
      <c r="I337" s="13">
        <v>1.6109</v>
      </c>
      <c r="J337">
        <v>13</v>
      </c>
      <c r="K337" s="131">
        <v>45688</v>
      </c>
      <c r="M337">
        <v>570</v>
      </c>
      <c r="N337" t="s">
        <v>6175</v>
      </c>
    </row>
    <row r="338" spans="1:14">
      <c r="A338" t="s">
        <v>1746</v>
      </c>
      <c r="B338" t="s">
        <v>1747</v>
      </c>
      <c r="C338" t="s">
        <v>1744</v>
      </c>
      <c r="D338" s="96">
        <v>23.37</v>
      </c>
      <c r="E338" s="13">
        <v>37763.440000000002</v>
      </c>
      <c r="F338" s="486">
        <v>1.6158999999999999</v>
      </c>
      <c r="G338"/>
      <c r="H338" s="13">
        <v>37763.440000000002</v>
      </c>
      <c r="I338" s="13">
        <v>1.6158999999999999</v>
      </c>
      <c r="J338">
        <v>13</v>
      </c>
      <c r="K338" s="131">
        <v>45688</v>
      </c>
      <c r="M338">
        <v>570</v>
      </c>
      <c r="N338" t="s">
        <v>6176</v>
      </c>
    </row>
    <row r="339" spans="1:14">
      <c r="A339" t="s">
        <v>1746</v>
      </c>
      <c r="B339" t="s">
        <v>6177</v>
      </c>
      <c r="C339" t="s">
        <v>1744</v>
      </c>
      <c r="D339" s="96">
        <v>23.37</v>
      </c>
      <c r="E339" s="13">
        <v>45404.77</v>
      </c>
      <c r="F339" s="486">
        <v>1.9429000000000001</v>
      </c>
      <c r="G339"/>
      <c r="H339" s="13">
        <v>45404.77</v>
      </c>
      <c r="I339" s="13">
        <v>1.9429000000000001</v>
      </c>
      <c r="J339">
        <v>13</v>
      </c>
      <c r="K339" s="131">
        <v>45688</v>
      </c>
      <c r="M339">
        <v>570</v>
      </c>
      <c r="N339" t="s">
        <v>6178</v>
      </c>
    </row>
    <row r="340" spans="1:14">
      <c r="A340" t="s">
        <v>1746</v>
      </c>
      <c r="B340" t="s">
        <v>6177</v>
      </c>
      <c r="C340" t="s">
        <v>1744</v>
      </c>
      <c r="D340" s="96">
        <v>23.37</v>
      </c>
      <c r="E340" s="13">
        <v>45521.18</v>
      </c>
      <c r="F340" s="486">
        <v>1.9478</v>
      </c>
      <c r="G340"/>
      <c r="H340" s="13">
        <v>45521.18</v>
      </c>
      <c r="I340" s="13">
        <v>1.9478</v>
      </c>
      <c r="J340">
        <v>13</v>
      </c>
      <c r="K340" s="131">
        <v>45688</v>
      </c>
      <c r="M340">
        <v>570</v>
      </c>
      <c r="N340" t="s">
        <v>6179</v>
      </c>
    </row>
    <row r="341" spans="1:14">
      <c r="A341" t="s">
        <v>1746</v>
      </c>
      <c r="B341" t="s">
        <v>6092</v>
      </c>
      <c r="C341" t="s">
        <v>1744</v>
      </c>
      <c r="D341" s="96">
        <v>23.43</v>
      </c>
      <c r="E341" s="13">
        <v>43713.46</v>
      </c>
      <c r="F341" s="486">
        <v>1.8656999999999999</v>
      </c>
      <c r="G341"/>
      <c r="H341" s="13">
        <v>43713.46</v>
      </c>
      <c r="I341" s="13">
        <v>1.8656999999999999</v>
      </c>
      <c r="J341">
        <v>13</v>
      </c>
      <c r="K341" s="131">
        <v>45688</v>
      </c>
      <c r="M341">
        <v>710</v>
      </c>
      <c r="N341" t="s">
        <v>6180</v>
      </c>
    </row>
    <row r="342" spans="1:14">
      <c r="A342" t="s">
        <v>1746</v>
      </c>
      <c r="B342" t="s">
        <v>1748</v>
      </c>
      <c r="C342" t="s">
        <v>1744</v>
      </c>
      <c r="D342" s="96">
        <v>23.94</v>
      </c>
      <c r="E342" s="13">
        <v>33224.89</v>
      </c>
      <c r="F342" s="486">
        <v>1.3877999999999999</v>
      </c>
      <c r="G342"/>
      <c r="H342" s="13">
        <v>33224.89</v>
      </c>
      <c r="I342" s="13">
        <v>1.3877999999999999</v>
      </c>
      <c r="J342">
        <v>13</v>
      </c>
      <c r="K342" s="131">
        <v>45688</v>
      </c>
      <c r="M342">
        <v>570</v>
      </c>
      <c r="N342" t="s">
        <v>6181</v>
      </c>
    </row>
    <row r="343" spans="1:14">
      <c r="A343" t="s">
        <v>1746</v>
      </c>
      <c r="B343" t="s">
        <v>1748</v>
      </c>
      <c r="C343" t="s">
        <v>1744</v>
      </c>
      <c r="D343" s="96">
        <v>23.94</v>
      </c>
      <c r="E343" s="13">
        <v>33344.129999999997</v>
      </c>
      <c r="F343" s="486">
        <v>1.3928</v>
      </c>
      <c r="G343"/>
      <c r="H343" s="13">
        <v>33344.129999999997</v>
      </c>
      <c r="I343" s="13">
        <v>1.3928</v>
      </c>
      <c r="J343">
        <v>13</v>
      </c>
      <c r="K343" s="131">
        <v>45688</v>
      </c>
      <c r="M343">
        <v>570</v>
      </c>
      <c r="N343" t="s">
        <v>6182</v>
      </c>
    </row>
    <row r="344" spans="1:14">
      <c r="A344" t="s">
        <v>1746</v>
      </c>
      <c r="B344" t="s">
        <v>1747</v>
      </c>
      <c r="C344" t="s">
        <v>1744</v>
      </c>
      <c r="D344" s="96">
        <v>23.94</v>
      </c>
      <c r="E344" s="13">
        <v>33479.47</v>
      </c>
      <c r="F344" s="486">
        <v>1.3985000000000001</v>
      </c>
      <c r="G344"/>
      <c r="H344" s="13">
        <v>33479.47</v>
      </c>
      <c r="I344" s="13">
        <v>1.3985000000000001</v>
      </c>
      <c r="J344">
        <v>13</v>
      </c>
      <c r="K344" s="131">
        <v>45688</v>
      </c>
      <c r="M344">
        <v>570</v>
      </c>
      <c r="N344" t="s">
        <v>6183</v>
      </c>
    </row>
    <row r="345" spans="1:14">
      <c r="A345" t="s">
        <v>1746</v>
      </c>
      <c r="B345" t="s">
        <v>1747</v>
      </c>
      <c r="C345" t="s">
        <v>1744</v>
      </c>
      <c r="D345" s="96">
        <v>23.94</v>
      </c>
      <c r="E345" s="13">
        <v>33598.71</v>
      </c>
      <c r="F345" s="486">
        <v>1.4035</v>
      </c>
      <c r="G345"/>
      <c r="H345" s="13">
        <v>33598.71</v>
      </c>
      <c r="I345" s="13">
        <v>1.4035</v>
      </c>
      <c r="J345">
        <v>13</v>
      </c>
      <c r="K345" s="131">
        <v>45688</v>
      </c>
      <c r="M345">
        <v>570</v>
      </c>
      <c r="N345" t="s">
        <v>6184</v>
      </c>
    </row>
    <row r="346" spans="1:14">
      <c r="A346" t="s">
        <v>1746</v>
      </c>
      <c r="B346" t="s">
        <v>1748</v>
      </c>
      <c r="C346" t="s">
        <v>1744</v>
      </c>
      <c r="D346" s="96">
        <v>23.94</v>
      </c>
      <c r="E346" s="13">
        <v>36727.699999999997</v>
      </c>
      <c r="F346" s="486">
        <v>1.5342</v>
      </c>
      <c r="G346"/>
      <c r="H346" s="13">
        <v>36727.699999999997</v>
      </c>
      <c r="I346" s="13">
        <v>1.5342</v>
      </c>
      <c r="J346">
        <v>13</v>
      </c>
      <c r="K346" s="131">
        <v>45688</v>
      </c>
      <c r="M346">
        <v>570</v>
      </c>
      <c r="N346" t="s">
        <v>6185</v>
      </c>
    </row>
    <row r="347" spans="1:14">
      <c r="A347" t="s">
        <v>1746</v>
      </c>
      <c r="B347" t="s">
        <v>1748</v>
      </c>
      <c r="C347" t="s">
        <v>1744</v>
      </c>
      <c r="D347" s="96">
        <v>23.94</v>
      </c>
      <c r="E347" s="13">
        <v>36846.949999999997</v>
      </c>
      <c r="F347" s="486">
        <v>1.5390999999999999</v>
      </c>
      <c r="G347"/>
      <c r="H347" s="13">
        <v>36846.949999999997</v>
      </c>
      <c r="I347" s="13">
        <v>1.5390999999999999</v>
      </c>
      <c r="J347">
        <v>13</v>
      </c>
      <c r="K347" s="131">
        <v>45688</v>
      </c>
      <c r="M347">
        <v>570</v>
      </c>
      <c r="N347" t="s">
        <v>6186</v>
      </c>
    </row>
    <row r="348" spans="1:14">
      <c r="A348" t="s">
        <v>1746</v>
      </c>
      <c r="B348" t="s">
        <v>1747</v>
      </c>
      <c r="C348" t="s">
        <v>1744</v>
      </c>
      <c r="D348" s="96">
        <v>23.94</v>
      </c>
      <c r="E348" s="13">
        <v>38171.72</v>
      </c>
      <c r="F348" s="486">
        <v>1.5945</v>
      </c>
      <c r="G348"/>
      <c r="H348" s="13">
        <v>38171.72</v>
      </c>
      <c r="I348" s="13">
        <v>1.5945</v>
      </c>
      <c r="J348">
        <v>13</v>
      </c>
      <c r="K348" s="131">
        <v>45688</v>
      </c>
      <c r="M348">
        <v>570</v>
      </c>
      <c r="N348" t="s">
        <v>6187</v>
      </c>
    </row>
    <row r="349" spans="1:14">
      <c r="A349" t="s">
        <v>1746</v>
      </c>
      <c r="B349" t="s">
        <v>1747</v>
      </c>
      <c r="C349" t="s">
        <v>1744</v>
      </c>
      <c r="D349" s="96">
        <v>23.94</v>
      </c>
      <c r="E349" s="13">
        <v>38290.97</v>
      </c>
      <c r="F349" s="486">
        <v>1.5994999999999999</v>
      </c>
      <c r="G349"/>
      <c r="H349" s="13">
        <v>38290.97</v>
      </c>
      <c r="I349" s="13">
        <v>1.5994999999999999</v>
      </c>
      <c r="J349">
        <v>13</v>
      </c>
      <c r="K349" s="131">
        <v>45688</v>
      </c>
      <c r="M349">
        <v>570</v>
      </c>
      <c r="N349" t="s">
        <v>6188</v>
      </c>
    </row>
    <row r="350" spans="1:14">
      <c r="A350" t="s">
        <v>1746</v>
      </c>
      <c r="B350" t="s">
        <v>6177</v>
      </c>
      <c r="C350" t="s">
        <v>1744</v>
      </c>
      <c r="D350" s="96">
        <v>23.94</v>
      </c>
      <c r="E350" s="13">
        <v>45929.45</v>
      </c>
      <c r="F350" s="486">
        <v>1.9185000000000001</v>
      </c>
      <c r="G350"/>
      <c r="H350" s="13">
        <v>45929.45</v>
      </c>
      <c r="I350" s="13">
        <v>1.9185000000000001</v>
      </c>
      <c r="J350">
        <v>13</v>
      </c>
      <c r="K350" s="131">
        <v>45688</v>
      </c>
      <c r="M350">
        <v>570</v>
      </c>
      <c r="N350" t="s">
        <v>6189</v>
      </c>
    </row>
    <row r="351" spans="1:14">
      <c r="A351" t="s">
        <v>1746</v>
      </c>
      <c r="B351" t="s">
        <v>6177</v>
      </c>
      <c r="C351" t="s">
        <v>1744</v>
      </c>
      <c r="D351" s="96">
        <v>23.94</v>
      </c>
      <c r="E351" s="13">
        <v>46048.7</v>
      </c>
      <c r="F351" s="486">
        <v>1.9235</v>
      </c>
      <c r="G351"/>
      <c r="H351" s="13">
        <v>46048.7</v>
      </c>
      <c r="I351" s="13">
        <v>1.9235</v>
      </c>
      <c r="J351">
        <v>13</v>
      </c>
      <c r="K351" s="131">
        <v>45688</v>
      </c>
      <c r="M351">
        <v>570</v>
      </c>
      <c r="N351" t="s">
        <v>6190</v>
      </c>
    </row>
    <row r="352" spans="1:14">
      <c r="A352" t="s">
        <v>1746</v>
      </c>
      <c r="B352" t="s">
        <v>6092</v>
      </c>
      <c r="C352" t="s">
        <v>1744</v>
      </c>
      <c r="D352" s="96">
        <v>24.14</v>
      </c>
      <c r="E352" s="13">
        <v>44441.62</v>
      </c>
      <c r="F352" s="486">
        <v>1.841</v>
      </c>
      <c r="G352"/>
      <c r="H352" s="13">
        <v>44441.62</v>
      </c>
      <c r="I352" s="13">
        <v>1.841</v>
      </c>
      <c r="J352">
        <v>13</v>
      </c>
      <c r="K352" s="131">
        <v>45688</v>
      </c>
      <c r="M352">
        <v>710</v>
      </c>
      <c r="N352" t="s">
        <v>6191</v>
      </c>
    </row>
    <row r="353" spans="1:14">
      <c r="A353" t="s">
        <v>1746</v>
      </c>
      <c r="B353" t="s">
        <v>1748</v>
      </c>
      <c r="C353" t="s">
        <v>1744</v>
      </c>
      <c r="D353" s="96">
        <v>24.51</v>
      </c>
      <c r="E353" s="13">
        <v>33749.57</v>
      </c>
      <c r="F353" s="486">
        <v>1.377</v>
      </c>
      <c r="G353"/>
      <c r="H353" s="13">
        <v>33749.57</v>
      </c>
      <c r="I353" s="13">
        <v>1.377</v>
      </c>
      <c r="J353">
        <v>13</v>
      </c>
      <c r="K353" s="131">
        <v>45688</v>
      </c>
      <c r="M353">
        <v>570</v>
      </c>
      <c r="N353" t="s">
        <v>6192</v>
      </c>
    </row>
    <row r="354" spans="1:14">
      <c r="A354" t="s">
        <v>1746</v>
      </c>
      <c r="B354" t="s">
        <v>1748</v>
      </c>
      <c r="C354" t="s">
        <v>1744</v>
      </c>
      <c r="D354" s="96">
        <v>24.51</v>
      </c>
      <c r="E354" s="13">
        <v>33871.660000000003</v>
      </c>
      <c r="F354" s="486">
        <v>1.3819999999999999</v>
      </c>
      <c r="G354"/>
      <c r="H354" s="13">
        <v>33871.660000000003</v>
      </c>
      <c r="I354" s="13">
        <v>1.3819999999999999</v>
      </c>
      <c r="J354">
        <v>13</v>
      </c>
      <c r="K354" s="131">
        <v>45688</v>
      </c>
      <c r="M354">
        <v>570</v>
      </c>
      <c r="N354" t="s">
        <v>6193</v>
      </c>
    </row>
    <row r="355" spans="1:14">
      <c r="A355" t="s">
        <v>1746</v>
      </c>
      <c r="B355" t="s">
        <v>1747</v>
      </c>
      <c r="C355" t="s">
        <v>1744</v>
      </c>
      <c r="D355" s="96">
        <v>24.51</v>
      </c>
      <c r="E355" s="13">
        <v>34004.15</v>
      </c>
      <c r="F355" s="486">
        <v>1.3874</v>
      </c>
      <c r="G355"/>
      <c r="H355" s="13">
        <v>34004.15</v>
      </c>
      <c r="I355" s="13">
        <v>1.3874</v>
      </c>
      <c r="J355">
        <v>13</v>
      </c>
      <c r="K355" s="131">
        <v>45688</v>
      </c>
      <c r="M355">
        <v>570</v>
      </c>
      <c r="N355" t="s">
        <v>6194</v>
      </c>
    </row>
    <row r="356" spans="1:14">
      <c r="A356" t="s">
        <v>1746</v>
      </c>
      <c r="B356" t="s">
        <v>1747</v>
      </c>
      <c r="C356" t="s">
        <v>1744</v>
      </c>
      <c r="D356" s="96">
        <v>24.51</v>
      </c>
      <c r="E356" s="13">
        <v>34126.239999999998</v>
      </c>
      <c r="F356" s="486">
        <v>1.3923000000000001</v>
      </c>
      <c r="G356"/>
      <c r="H356" s="13">
        <v>34126.239999999998</v>
      </c>
      <c r="I356" s="13">
        <v>1.3923000000000001</v>
      </c>
      <c r="J356">
        <v>13</v>
      </c>
      <c r="K356" s="131">
        <v>45688</v>
      </c>
      <c r="M356">
        <v>570</v>
      </c>
      <c r="N356" t="s">
        <v>6195</v>
      </c>
    </row>
    <row r="357" spans="1:14">
      <c r="A357" t="s">
        <v>1746</v>
      </c>
      <c r="B357" t="s">
        <v>1748</v>
      </c>
      <c r="C357" t="s">
        <v>1744</v>
      </c>
      <c r="D357" s="96">
        <v>24.51</v>
      </c>
      <c r="E357" s="13">
        <v>37252.39</v>
      </c>
      <c r="F357" s="486">
        <v>1.5199</v>
      </c>
      <c r="G357"/>
      <c r="H357" s="13">
        <v>37252.39</v>
      </c>
      <c r="I357" s="13">
        <v>1.5199</v>
      </c>
      <c r="J357">
        <v>13</v>
      </c>
      <c r="K357" s="131">
        <v>45688</v>
      </c>
      <c r="M357">
        <v>570</v>
      </c>
      <c r="N357" t="s">
        <v>6196</v>
      </c>
    </row>
    <row r="358" spans="1:14">
      <c r="A358" t="s">
        <v>1746</v>
      </c>
      <c r="B358" t="s">
        <v>1748</v>
      </c>
      <c r="C358" t="s">
        <v>1744</v>
      </c>
      <c r="D358" s="96">
        <v>24.51</v>
      </c>
      <c r="E358" s="13">
        <v>37374.47</v>
      </c>
      <c r="F358" s="486">
        <v>1.5248999999999999</v>
      </c>
      <c r="G358"/>
      <c r="H358" s="13">
        <v>37374.47</v>
      </c>
      <c r="I358" s="13">
        <v>1.5248999999999999</v>
      </c>
      <c r="J358">
        <v>13</v>
      </c>
      <c r="K358" s="131">
        <v>45688</v>
      </c>
      <c r="M358">
        <v>570</v>
      </c>
      <c r="N358" t="s">
        <v>6197</v>
      </c>
    </row>
    <row r="359" spans="1:14">
      <c r="A359" t="s">
        <v>1746</v>
      </c>
      <c r="B359" t="s">
        <v>1747</v>
      </c>
      <c r="C359" t="s">
        <v>1744</v>
      </c>
      <c r="D359" s="96">
        <v>24.51</v>
      </c>
      <c r="E359" s="13">
        <v>38696.400000000001</v>
      </c>
      <c r="F359" s="486">
        <v>1.5788</v>
      </c>
      <c r="G359"/>
      <c r="H359" s="13">
        <v>38696.400000000001</v>
      </c>
      <c r="I359" s="13">
        <v>1.5788</v>
      </c>
      <c r="J359">
        <v>13</v>
      </c>
      <c r="K359" s="131">
        <v>45688</v>
      </c>
      <c r="M359">
        <v>570</v>
      </c>
      <c r="N359" t="s">
        <v>6198</v>
      </c>
    </row>
    <row r="360" spans="1:14">
      <c r="A360" t="s">
        <v>1746</v>
      </c>
      <c r="B360" t="s">
        <v>1747</v>
      </c>
      <c r="C360" t="s">
        <v>1744</v>
      </c>
      <c r="D360" s="96">
        <v>24.51</v>
      </c>
      <c r="E360" s="13">
        <v>38818.49</v>
      </c>
      <c r="F360" s="486">
        <v>1.5838000000000001</v>
      </c>
      <c r="G360"/>
      <c r="H360" s="13">
        <v>38818.49</v>
      </c>
      <c r="I360" s="13">
        <v>1.5838000000000001</v>
      </c>
      <c r="J360">
        <v>13</v>
      </c>
      <c r="K360" s="131">
        <v>45688</v>
      </c>
      <c r="M360">
        <v>570</v>
      </c>
      <c r="N360" t="s">
        <v>6199</v>
      </c>
    </row>
    <row r="361" spans="1:14">
      <c r="A361" t="s">
        <v>1746</v>
      </c>
      <c r="B361" t="s">
        <v>6177</v>
      </c>
      <c r="C361" t="s">
        <v>1744</v>
      </c>
      <c r="D361" s="96">
        <v>24.51</v>
      </c>
      <c r="E361" s="13">
        <v>46454.14</v>
      </c>
      <c r="F361" s="486">
        <v>1.8953</v>
      </c>
      <c r="G361"/>
      <c r="H361" s="13">
        <v>46454.14</v>
      </c>
      <c r="I361" s="13">
        <v>1.8953</v>
      </c>
      <c r="J361">
        <v>13</v>
      </c>
      <c r="K361" s="131">
        <v>45688</v>
      </c>
      <c r="M361">
        <v>570</v>
      </c>
      <c r="N361" t="s">
        <v>6200</v>
      </c>
    </row>
    <row r="362" spans="1:14">
      <c r="A362" t="s">
        <v>1746</v>
      </c>
      <c r="B362" t="s">
        <v>6177</v>
      </c>
      <c r="C362" t="s">
        <v>1744</v>
      </c>
      <c r="D362" s="96">
        <v>24.51</v>
      </c>
      <c r="E362" s="13">
        <v>46576.22</v>
      </c>
      <c r="F362" s="486">
        <v>1.9003000000000001</v>
      </c>
      <c r="G362"/>
      <c r="H362" s="13">
        <v>46576.22</v>
      </c>
      <c r="I362" s="13">
        <v>1.9003000000000001</v>
      </c>
      <c r="J362">
        <v>13</v>
      </c>
      <c r="K362" s="131">
        <v>45688</v>
      </c>
      <c r="M362">
        <v>570</v>
      </c>
      <c r="N362" t="s">
        <v>6201</v>
      </c>
    </row>
    <row r="363" spans="1:14">
      <c r="A363" t="s">
        <v>1746</v>
      </c>
      <c r="B363" t="s">
        <v>6092</v>
      </c>
      <c r="C363" t="s">
        <v>1744</v>
      </c>
      <c r="D363" s="96">
        <v>24.85</v>
      </c>
      <c r="E363" s="13">
        <v>45169.78</v>
      </c>
      <c r="F363" s="486">
        <v>1.8177000000000001</v>
      </c>
      <c r="G363"/>
      <c r="H363" s="13">
        <v>45169.78</v>
      </c>
      <c r="I363" s="13">
        <v>1.8177000000000001</v>
      </c>
      <c r="J363">
        <v>13</v>
      </c>
      <c r="K363" s="131">
        <v>45688</v>
      </c>
      <c r="M363">
        <v>710</v>
      </c>
      <c r="N363" t="s">
        <v>6202</v>
      </c>
    </row>
    <row r="364" spans="1:14">
      <c r="A364" t="s">
        <v>1746</v>
      </c>
      <c r="B364" t="s">
        <v>1748</v>
      </c>
      <c r="C364" t="s">
        <v>1744</v>
      </c>
      <c r="D364" s="96">
        <v>25.08</v>
      </c>
      <c r="E364" s="13">
        <v>34274.25</v>
      </c>
      <c r="F364" s="486">
        <v>1.3666</v>
      </c>
      <c r="G364"/>
      <c r="H364" s="13">
        <v>34274.25</v>
      </c>
      <c r="I364" s="13">
        <v>1.3666</v>
      </c>
      <c r="J364">
        <v>13</v>
      </c>
      <c r="K364" s="131">
        <v>45688</v>
      </c>
      <c r="M364">
        <v>570</v>
      </c>
      <c r="N364" t="s">
        <v>6203</v>
      </c>
    </row>
    <row r="365" spans="1:14">
      <c r="A365" t="s">
        <v>1746</v>
      </c>
      <c r="B365" t="s">
        <v>1748</v>
      </c>
      <c r="C365" t="s">
        <v>1744</v>
      </c>
      <c r="D365" s="96">
        <v>25.08</v>
      </c>
      <c r="E365" s="13">
        <v>34399.18</v>
      </c>
      <c r="F365" s="486">
        <v>1.3715999999999999</v>
      </c>
      <c r="G365"/>
      <c r="H365" s="13">
        <v>34399.18</v>
      </c>
      <c r="I365" s="13">
        <v>1.3715999999999999</v>
      </c>
      <c r="J365">
        <v>13</v>
      </c>
      <c r="K365" s="131">
        <v>45688</v>
      </c>
      <c r="M365">
        <v>570</v>
      </c>
      <c r="N365" t="s">
        <v>6204</v>
      </c>
    </row>
    <row r="366" spans="1:14">
      <c r="A366" t="s">
        <v>1746</v>
      </c>
      <c r="B366" t="s">
        <v>1747</v>
      </c>
      <c r="C366" t="s">
        <v>1744</v>
      </c>
      <c r="D366" s="96">
        <v>25.08</v>
      </c>
      <c r="E366" s="13">
        <v>34528.839999999997</v>
      </c>
      <c r="F366" s="486">
        <v>1.3767</v>
      </c>
      <c r="G366"/>
      <c r="H366" s="13">
        <v>34528.839999999997</v>
      </c>
      <c r="I366" s="13">
        <v>1.3767</v>
      </c>
      <c r="J366">
        <v>13</v>
      </c>
      <c r="K366" s="131">
        <v>45688</v>
      </c>
      <c r="M366">
        <v>570</v>
      </c>
      <c r="N366" t="s">
        <v>6205</v>
      </c>
    </row>
    <row r="367" spans="1:14">
      <c r="A367" t="s">
        <v>1746</v>
      </c>
      <c r="B367" t="s">
        <v>1747</v>
      </c>
      <c r="C367" t="s">
        <v>1744</v>
      </c>
      <c r="D367" s="96">
        <v>25.08</v>
      </c>
      <c r="E367" s="13">
        <v>34653.760000000002</v>
      </c>
      <c r="F367" s="486">
        <v>1.3816999999999999</v>
      </c>
      <c r="G367"/>
      <c r="H367" s="13">
        <v>34653.760000000002</v>
      </c>
      <c r="I367" s="13">
        <v>1.3816999999999999</v>
      </c>
      <c r="J367">
        <v>13</v>
      </c>
      <c r="K367" s="131">
        <v>45688</v>
      </c>
      <c r="M367">
        <v>570</v>
      </c>
      <c r="N367" t="s">
        <v>6206</v>
      </c>
    </row>
    <row r="368" spans="1:14">
      <c r="A368" t="s">
        <v>1746</v>
      </c>
      <c r="B368" t="s">
        <v>1748</v>
      </c>
      <c r="C368" t="s">
        <v>1744</v>
      </c>
      <c r="D368" s="96">
        <v>25.08</v>
      </c>
      <c r="E368" s="13">
        <v>37777.07</v>
      </c>
      <c r="F368" s="486">
        <v>1.5063</v>
      </c>
      <c r="G368"/>
      <c r="H368" s="13">
        <v>37777.07</v>
      </c>
      <c r="I368" s="13">
        <v>1.5063</v>
      </c>
      <c r="J368">
        <v>13</v>
      </c>
      <c r="K368" s="131">
        <v>45688</v>
      </c>
      <c r="M368">
        <v>570</v>
      </c>
      <c r="N368" t="s">
        <v>6207</v>
      </c>
    </row>
    <row r="369" spans="1:14">
      <c r="A369" t="s">
        <v>1746</v>
      </c>
      <c r="B369" t="s">
        <v>1748</v>
      </c>
      <c r="C369" t="s">
        <v>1744</v>
      </c>
      <c r="D369" s="96">
        <v>25.08</v>
      </c>
      <c r="E369" s="13">
        <v>37902</v>
      </c>
      <c r="F369" s="486">
        <v>1.5112000000000001</v>
      </c>
      <c r="G369"/>
      <c r="H369" s="13">
        <v>37902</v>
      </c>
      <c r="I369" s="13">
        <v>1.5112000000000001</v>
      </c>
      <c r="J369">
        <v>13</v>
      </c>
      <c r="K369" s="131">
        <v>45688</v>
      </c>
      <c r="M369">
        <v>570</v>
      </c>
      <c r="N369" t="s">
        <v>6208</v>
      </c>
    </row>
    <row r="370" spans="1:14">
      <c r="A370" t="s">
        <v>1746</v>
      </c>
      <c r="B370" t="s">
        <v>1747</v>
      </c>
      <c r="C370" t="s">
        <v>1744</v>
      </c>
      <c r="D370" s="96">
        <v>25.08</v>
      </c>
      <c r="E370" s="13">
        <v>39221.089999999997</v>
      </c>
      <c r="F370" s="486">
        <v>1.5638000000000001</v>
      </c>
      <c r="G370"/>
      <c r="H370" s="13">
        <v>39221.089999999997</v>
      </c>
      <c r="I370" s="13">
        <v>1.5638000000000001</v>
      </c>
      <c r="J370">
        <v>13</v>
      </c>
      <c r="K370" s="131">
        <v>45688</v>
      </c>
      <c r="M370">
        <v>570</v>
      </c>
      <c r="N370" t="s">
        <v>6209</v>
      </c>
    </row>
    <row r="371" spans="1:14">
      <c r="A371" t="s">
        <v>1746</v>
      </c>
      <c r="B371" t="s">
        <v>1747</v>
      </c>
      <c r="C371" t="s">
        <v>1744</v>
      </c>
      <c r="D371" s="96">
        <v>25.08</v>
      </c>
      <c r="E371" s="13">
        <v>39346.01</v>
      </c>
      <c r="F371" s="486">
        <v>1.5688</v>
      </c>
      <c r="G371"/>
      <c r="H371" s="13">
        <v>39346.01</v>
      </c>
      <c r="I371" s="13">
        <v>1.5688</v>
      </c>
      <c r="J371">
        <v>13</v>
      </c>
      <c r="K371" s="131">
        <v>45688</v>
      </c>
      <c r="M371">
        <v>570</v>
      </c>
      <c r="N371" t="s">
        <v>6210</v>
      </c>
    </row>
    <row r="372" spans="1:14">
      <c r="A372" t="s">
        <v>1746</v>
      </c>
      <c r="B372" t="s">
        <v>6177</v>
      </c>
      <c r="C372" t="s">
        <v>1744</v>
      </c>
      <c r="D372" s="96">
        <v>25.08</v>
      </c>
      <c r="E372" s="13">
        <v>46978.82</v>
      </c>
      <c r="F372" s="486">
        <v>1.8732</v>
      </c>
      <c r="G372"/>
      <c r="H372" s="13">
        <v>46978.82</v>
      </c>
      <c r="I372" s="13">
        <v>1.8732</v>
      </c>
      <c r="J372">
        <v>13</v>
      </c>
      <c r="K372" s="131">
        <v>45688</v>
      </c>
      <c r="M372">
        <v>570</v>
      </c>
      <c r="N372" t="s">
        <v>6211</v>
      </c>
    </row>
    <row r="373" spans="1:14">
      <c r="A373" t="s">
        <v>1746</v>
      </c>
      <c r="B373" t="s">
        <v>6177</v>
      </c>
      <c r="C373" t="s">
        <v>1744</v>
      </c>
      <c r="D373" s="96">
        <v>25.08</v>
      </c>
      <c r="E373" s="13">
        <v>47103.75</v>
      </c>
      <c r="F373" s="486">
        <v>1.8781000000000001</v>
      </c>
      <c r="G373"/>
      <c r="H373" s="13">
        <v>47103.75</v>
      </c>
      <c r="I373" s="13">
        <v>1.8781000000000001</v>
      </c>
      <c r="J373">
        <v>13</v>
      </c>
      <c r="K373" s="131">
        <v>45688</v>
      </c>
      <c r="M373">
        <v>570</v>
      </c>
      <c r="N373" t="s">
        <v>6212</v>
      </c>
    </row>
    <row r="374" spans="1:14">
      <c r="A374" t="s">
        <v>1746</v>
      </c>
      <c r="B374" t="s">
        <v>6092</v>
      </c>
      <c r="C374" t="s">
        <v>1744</v>
      </c>
      <c r="D374" s="96">
        <v>25.56</v>
      </c>
      <c r="E374" s="13">
        <v>45897.94</v>
      </c>
      <c r="F374" s="486">
        <v>1.7957000000000001</v>
      </c>
      <c r="G374"/>
      <c r="H374" s="13">
        <v>45897.94</v>
      </c>
      <c r="I374" s="13">
        <v>1.7957000000000001</v>
      </c>
      <c r="J374">
        <v>13</v>
      </c>
      <c r="K374" s="131">
        <v>45688</v>
      </c>
      <c r="M374">
        <v>710</v>
      </c>
      <c r="N374" t="s">
        <v>6213</v>
      </c>
    </row>
    <row r="375" spans="1:14">
      <c r="A375" t="s">
        <v>1746</v>
      </c>
      <c r="B375" t="s">
        <v>1748</v>
      </c>
      <c r="C375" t="s">
        <v>1744</v>
      </c>
      <c r="D375" s="96">
        <v>25.65</v>
      </c>
      <c r="E375" s="13">
        <v>35113.519999999997</v>
      </c>
      <c r="F375" s="486">
        <v>1.3689</v>
      </c>
      <c r="G375"/>
      <c r="H375" s="13">
        <v>35113.519999999997</v>
      </c>
      <c r="I375" s="13">
        <v>1.3689</v>
      </c>
      <c r="J375">
        <v>13</v>
      </c>
      <c r="K375" s="131">
        <v>45688</v>
      </c>
      <c r="M375">
        <v>570</v>
      </c>
      <c r="N375" t="s">
        <v>6214</v>
      </c>
    </row>
    <row r="376" spans="1:14">
      <c r="A376" t="s">
        <v>1746</v>
      </c>
      <c r="B376" t="s">
        <v>1748</v>
      </c>
      <c r="C376" t="s">
        <v>1744</v>
      </c>
      <c r="D376" s="96">
        <v>25.65</v>
      </c>
      <c r="E376" s="13">
        <v>35241.29</v>
      </c>
      <c r="F376" s="486">
        <v>1.3738999999999999</v>
      </c>
      <c r="G376"/>
      <c r="H376" s="13">
        <v>35241.29</v>
      </c>
      <c r="I376" s="13">
        <v>1.3738999999999999</v>
      </c>
      <c r="J376">
        <v>13</v>
      </c>
      <c r="K376" s="131">
        <v>45688</v>
      </c>
      <c r="M376">
        <v>570</v>
      </c>
      <c r="N376" t="s">
        <v>6215</v>
      </c>
    </row>
    <row r="377" spans="1:14">
      <c r="A377" t="s">
        <v>1746</v>
      </c>
      <c r="B377" t="s">
        <v>1747</v>
      </c>
      <c r="C377" t="s">
        <v>1744</v>
      </c>
      <c r="D377" s="96">
        <v>25.65</v>
      </c>
      <c r="E377" s="13">
        <v>35368.1</v>
      </c>
      <c r="F377" s="486">
        <v>1.3789</v>
      </c>
      <c r="G377"/>
      <c r="H377" s="13">
        <v>35368.1</v>
      </c>
      <c r="I377" s="13">
        <v>1.3789</v>
      </c>
      <c r="J377">
        <v>13</v>
      </c>
      <c r="K377" s="131">
        <v>45688</v>
      </c>
      <c r="M377">
        <v>570</v>
      </c>
      <c r="N377" t="s">
        <v>6216</v>
      </c>
    </row>
    <row r="378" spans="1:14">
      <c r="A378" t="s">
        <v>1746</v>
      </c>
      <c r="B378" t="s">
        <v>1747</v>
      </c>
      <c r="C378" t="s">
        <v>1744</v>
      </c>
      <c r="D378" s="96">
        <v>25.65</v>
      </c>
      <c r="E378" s="13">
        <v>35495.870000000003</v>
      </c>
      <c r="F378" s="486">
        <v>1.3838999999999999</v>
      </c>
      <c r="G378"/>
      <c r="H378" s="13">
        <v>35495.870000000003</v>
      </c>
      <c r="I378" s="13">
        <v>1.3838999999999999</v>
      </c>
      <c r="J378">
        <v>13</v>
      </c>
      <c r="K378" s="131">
        <v>45688</v>
      </c>
      <c r="M378">
        <v>570</v>
      </c>
      <c r="N378" t="s">
        <v>6217</v>
      </c>
    </row>
    <row r="379" spans="1:14">
      <c r="A379" t="s">
        <v>1746</v>
      </c>
      <c r="B379" t="s">
        <v>1748</v>
      </c>
      <c r="C379" t="s">
        <v>1744</v>
      </c>
      <c r="D379" s="96">
        <v>25.65</v>
      </c>
      <c r="E379" s="13">
        <v>38616.339999999997</v>
      </c>
      <c r="F379" s="486">
        <v>1.5055000000000001</v>
      </c>
      <c r="G379"/>
      <c r="H379" s="13">
        <v>38616.339999999997</v>
      </c>
      <c r="I379" s="13">
        <v>1.5055000000000001</v>
      </c>
      <c r="J379">
        <v>13</v>
      </c>
      <c r="K379" s="131">
        <v>45688</v>
      </c>
      <c r="M379">
        <v>570</v>
      </c>
      <c r="N379" t="s">
        <v>6218</v>
      </c>
    </row>
    <row r="380" spans="1:14">
      <c r="A380" t="s">
        <v>1746</v>
      </c>
      <c r="B380" t="s">
        <v>1748</v>
      </c>
      <c r="C380" t="s">
        <v>1744</v>
      </c>
      <c r="D380" s="96">
        <v>25.65</v>
      </c>
      <c r="E380" s="13">
        <v>38744.1</v>
      </c>
      <c r="F380" s="486">
        <v>1.5105</v>
      </c>
      <c r="G380"/>
      <c r="H380" s="13">
        <v>38744.1</v>
      </c>
      <c r="I380" s="13">
        <v>1.5105</v>
      </c>
      <c r="J380">
        <v>13</v>
      </c>
      <c r="K380" s="131">
        <v>45688</v>
      </c>
      <c r="M380">
        <v>570</v>
      </c>
      <c r="N380" t="s">
        <v>6219</v>
      </c>
    </row>
    <row r="381" spans="1:14">
      <c r="A381" t="s">
        <v>1746</v>
      </c>
      <c r="B381" t="s">
        <v>1747</v>
      </c>
      <c r="C381" t="s">
        <v>1744</v>
      </c>
      <c r="D381" s="96">
        <v>25.65</v>
      </c>
      <c r="E381" s="13">
        <v>40060.35</v>
      </c>
      <c r="F381" s="486">
        <v>1.5618000000000001</v>
      </c>
      <c r="G381"/>
      <c r="H381" s="13">
        <v>40060.35</v>
      </c>
      <c r="I381" s="13">
        <v>1.5618000000000001</v>
      </c>
      <c r="J381">
        <v>13</v>
      </c>
      <c r="K381" s="131">
        <v>45688</v>
      </c>
      <c r="M381">
        <v>570</v>
      </c>
      <c r="N381" t="s">
        <v>6220</v>
      </c>
    </row>
    <row r="382" spans="1:14">
      <c r="A382" t="s">
        <v>1746</v>
      </c>
      <c r="B382" t="s">
        <v>1747</v>
      </c>
      <c r="C382" t="s">
        <v>1744</v>
      </c>
      <c r="D382" s="96">
        <v>25.65</v>
      </c>
      <c r="E382" s="13">
        <v>40188.120000000003</v>
      </c>
      <c r="F382" s="486">
        <v>1.5668</v>
      </c>
      <c r="G382"/>
      <c r="H382" s="13">
        <v>40188.120000000003</v>
      </c>
      <c r="I382" s="13">
        <v>1.5668</v>
      </c>
      <c r="J382">
        <v>13</v>
      </c>
      <c r="K382" s="131">
        <v>45688</v>
      </c>
      <c r="M382">
        <v>570</v>
      </c>
      <c r="N382" t="s">
        <v>6221</v>
      </c>
    </row>
    <row r="383" spans="1:14">
      <c r="A383" t="s">
        <v>1746</v>
      </c>
      <c r="B383" t="s">
        <v>6222</v>
      </c>
      <c r="C383" t="s">
        <v>1744</v>
      </c>
      <c r="D383" s="96">
        <v>25.65</v>
      </c>
      <c r="E383" s="13">
        <v>49624.67</v>
      </c>
      <c r="F383" s="486">
        <v>1.9347000000000001</v>
      </c>
      <c r="G383"/>
      <c r="H383" s="13">
        <v>49624.67</v>
      </c>
      <c r="I383" s="13">
        <v>1.9347000000000001</v>
      </c>
      <c r="J383">
        <v>13</v>
      </c>
      <c r="K383" s="131">
        <v>45688</v>
      </c>
      <c r="M383">
        <v>570</v>
      </c>
      <c r="N383" t="s">
        <v>6223</v>
      </c>
    </row>
    <row r="384" spans="1:14">
      <c r="A384" t="s">
        <v>1746</v>
      </c>
      <c r="B384" t="s">
        <v>6222</v>
      </c>
      <c r="C384" t="s">
        <v>1744</v>
      </c>
      <c r="D384" s="96">
        <v>25.65</v>
      </c>
      <c r="E384" s="13">
        <v>49752.44</v>
      </c>
      <c r="F384" s="486">
        <v>1.9397</v>
      </c>
      <c r="G384"/>
      <c r="H384" s="13">
        <v>49752.44</v>
      </c>
      <c r="I384" s="13">
        <v>1.9397</v>
      </c>
      <c r="J384">
        <v>13</v>
      </c>
      <c r="K384" s="131">
        <v>45688</v>
      </c>
      <c r="M384">
        <v>570</v>
      </c>
      <c r="N384" t="s">
        <v>6224</v>
      </c>
    </row>
    <row r="385" spans="1:14">
      <c r="A385" t="s">
        <v>1746</v>
      </c>
      <c r="B385" t="s">
        <v>1748</v>
      </c>
      <c r="C385" t="s">
        <v>1744</v>
      </c>
      <c r="D385" s="96">
        <v>26.22</v>
      </c>
      <c r="E385" s="13">
        <v>35638.21</v>
      </c>
      <c r="F385" s="486">
        <v>1.3592</v>
      </c>
      <c r="G385"/>
      <c r="H385" s="13">
        <v>35638.21</v>
      </c>
      <c r="I385" s="13">
        <v>1.3592</v>
      </c>
      <c r="J385">
        <v>13</v>
      </c>
      <c r="K385" s="131">
        <v>45688</v>
      </c>
      <c r="M385">
        <v>570</v>
      </c>
      <c r="N385" t="s">
        <v>6225</v>
      </c>
    </row>
    <row r="386" spans="1:14">
      <c r="A386" t="s">
        <v>1746</v>
      </c>
      <c r="B386" t="s">
        <v>1748</v>
      </c>
      <c r="C386" t="s">
        <v>1744</v>
      </c>
      <c r="D386" s="96">
        <v>26.22</v>
      </c>
      <c r="E386" s="13">
        <v>35768.81</v>
      </c>
      <c r="F386" s="486">
        <v>1.3642000000000001</v>
      </c>
      <c r="G386"/>
      <c r="H386" s="13">
        <v>35768.81</v>
      </c>
      <c r="I386" s="13">
        <v>1.3642000000000001</v>
      </c>
      <c r="J386">
        <v>13</v>
      </c>
      <c r="K386" s="131">
        <v>45688</v>
      </c>
      <c r="M386">
        <v>570</v>
      </c>
      <c r="N386" t="s">
        <v>6226</v>
      </c>
    </row>
    <row r="387" spans="1:14">
      <c r="A387" t="s">
        <v>1746</v>
      </c>
      <c r="B387" t="s">
        <v>1747</v>
      </c>
      <c r="C387" t="s">
        <v>1744</v>
      </c>
      <c r="D387" s="96">
        <v>26.22</v>
      </c>
      <c r="E387" s="13">
        <v>35892.79</v>
      </c>
      <c r="F387" s="486">
        <v>1.3689</v>
      </c>
      <c r="G387"/>
      <c r="H387" s="13">
        <v>35892.79</v>
      </c>
      <c r="I387" s="13">
        <v>1.3689</v>
      </c>
      <c r="J387">
        <v>13</v>
      </c>
      <c r="K387" s="131">
        <v>45688</v>
      </c>
      <c r="M387">
        <v>570</v>
      </c>
      <c r="N387" t="s">
        <v>6227</v>
      </c>
    </row>
    <row r="388" spans="1:14">
      <c r="A388" t="s">
        <v>1746</v>
      </c>
      <c r="B388" t="s">
        <v>1747</v>
      </c>
      <c r="C388" t="s">
        <v>1744</v>
      </c>
      <c r="D388" s="96">
        <v>26.22</v>
      </c>
      <c r="E388" s="13">
        <v>36023.39</v>
      </c>
      <c r="F388" s="486">
        <v>1.3738999999999999</v>
      </c>
      <c r="G388"/>
      <c r="H388" s="13">
        <v>36023.39</v>
      </c>
      <c r="I388" s="13">
        <v>1.3738999999999999</v>
      </c>
      <c r="J388">
        <v>13</v>
      </c>
      <c r="K388" s="131">
        <v>45688</v>
      </c>
      <c r="M388">
        <v>570</v>
      </c>
      <c r="N388" t="s">
        <v>6228</v>
      </c>
    </row>
    <row r="389" spans="1:14">
      <c r="A389" t="s">
        <v>1746</v>
      </c>
      <c r="B389" t="s">
        <v>1748</v>
      </c>
      <c r="C389" t="s">
        <v>1744</v>
      </c>
      <c r="D389" s="96">
        <v>26.22</v>
      </c>
      <c r="E389" s="13">
        <v>39141.019999999997</v>
      </c>
      <c r="F389" s="486">
        <v>1.4927999999999999</v>
      </c>
      <c r="G389"/>
      <c r="H389" s="13">
        <v>39141.019999999997</v>
      </c>
      <c r="I389" s="13">
        <v>1.4927999999999999</v>
      </c>
      <c r="J389">
        <v>13</v>
      </c>
      <c r="K389" s="131">
        <v>45688</v>
      </c>
      <c r="M389">
        <v>570</v>
      </c>
      <c r="N389" t="s">
        <v>6229</v>
      </c>
    </row>
    <row r="390" spans="1:14">
      <c r="A390" t="s">
        <v>1746</v>
      </c>
      <c r="B390" t="s">
        <v>1748</v>
      </c>
      <c r="C390" t="s">
        <v>1744</v>
      </c>
      <c r="D390" s="96">
        <v>26.22</v>
      </c>
      <c r="E390" s="13">
        <v>39271.629999999997</v>
      </c>
      <c r="F390" s="486">
        <v>1.4978</v>
      </c>
      <c r="G390"/>
      <c r="H390" s="13">
        <v>39271.629999999997</v>
      </c>
      <c r="I390" s="13">
        <v>1.4978</v>
      </c>
      <c r="J390">
        <v>13</v>
      </c>
      <c r="K390" s="131">
        <v>45688</v>
      </c>
      <c r="M390">
        <v>570</v>
      </c>
      <c r="N390" t="s">
        <v>6230</v>
      </c>
    </row>
    <row r="391" spans="1:14">
      <c r="A391" t="s">
        <v>1746</v>
      </c>
      <c r="B391" t="s">
        <v>1747</v>
      </c>
      <c r="C391" t="s">
        <v>1744</v>
      </c>
      <c r="D391" s="96">
        <v>26.22</v>
      </c>
      <c r="E391" s="13">
        <v>40585.040000000001</v>
      </c>
      <c r="F391" s="486">
        <v>1.5479000000000001</v>
      </c>
      <c r="G391"/>
      <c r="H391" s="13">
        <v>40585.040000000001</v>
      </c>
      <c r="I391" s="13">
        <v>1.5479000000000001</v>
      </c>
      <c r="J391">
        <v>13</v>
      </c>
      <c r="K391" s="131">
        <v>45688</v>
      </c>
      <c r="M391">
        <v>570</v>
      </c>
      <c r="N391" t="s">
        <v>6231</v>
      </c>
    </row>
    <row r="392" spans="1:14">
      <c r="A392" t="s">
        <v>1746</v>
      </c>
      <c r="B392" t="s">
        <v>1747</v>
      </c>
      <c r="C392" t="s">
        <v>1744</v>
      </c>
      <c r="D392" s="96">
        <v>26.22</v>
      </c>
      <c r="E392" s="13">
        <v>40715.64</v>
      </c>
      <c r="F392" s="486">
        <v>1.5528</v>
      </c>
      <c r="G392"/>
      <c r="H392" s="13">
        <v>40715.64</v>
      </c>
      <c r="I392" s="13">
        <v>1.5528</v>
      </c>
      <c r="J392">
        <v>13</v>
      </c>
      <c r="K392" s="131">
        <v>45688</v>
      </c>
      <c r="M392">
        <v>570</v>
      </c>
      <c r="N392" t="s">
        <v>6232</v>
      </c>
    </row>
    <row r="393" spans="1:14">
      <c r="A393" t="s">
        <v>1746</v>
      </c>
      <c r="B393" t="s">
        <v>6222</v>
      </c>
      <c r="C393" t="s">
        <v>1744</v>
      </c>
      <c r="D393" s="96">
        <v>26.22</v>
      </c>
      <c r="E393" s="13">
        <v>50149.36</v>
      </c>
      <c r="F393" s="486">
        <v>1.9126000000000001</v>
      </c>
      <c r="G393"/>
      <c r="H393" s="13">
        <v>50149.36</v>
      </c>
      <c r="I393" s="13">
        <v>1.9126000000000001</v>
      </c>
      <c r="J393">
        <v>13</v>
      </c>
      <c r="K393" s="131">
        <v>45688</v>
      </c>
      <c r="M393">
        <v>570</v>
      </c>
      <c r="N393" t="s">
        <v>6233</v>
      </c>
    </row>
    <row r="394" spans="1:14">
      <c r="A394" t="s">
        <v>1746</v>
      </c>
      <c r="B394" t="s">
        <v>6222</v>
      </c>
      <c r="C394" t="s">
        <v>1744</v>
      </c>
      <c r="D394" s="96">
        <v>26.22</v>
      </c>
      <c r="E394" s="13">
        <v>50279.96</v>
      </c>
      <c r="F394" s="486">
        <v>1.9176</v>
      </c>
      <c r="G394"/>
      <c r="H394" s="13">
        <v>50279.96</v>
      </c>
      <c r="I394" s="13">
        <v>1.9176</v>
      </c>
      <c r="J394">
        <v>13</v>
      </c>
      <c r="K394" s="131">
        <v>45688</v>
      </c>
      <c r="M394">
        <v>570</v>
      </c>
      <c r="N394" t="s">
        <v>6234</v>
      </c>
    </row>
    <row r="395" spans="1:14">
      <c r="A395" t="s">
        <v>1746</v>
      </c>
      <c r="B395" t="s">
        <v>6092</v>
      </c>
      <c r="C395" t="s">
        <v>1744</v>
      </c>
      <c r="D395" s="96">
        <v>26.27</v>
      </c>
      <c r="E395" s="13">
        <v>48713.48</v>
      </c>
      <c r="F395" s="486">
        <v>1.8543000000000001</v>
      </c>
      <c r="G395"/>
      <c r="H395" s="13">
        <v>48713.48</v>
      </c>
      <c r="I395" s="13">
        <v>1.8543000000000001</v>
      </c>
      <c r="J395">
        <v>13</v>
      </c>
      <c r="K395" s="131">
        <v>45688</v>
      </c>
      <c r="M395">
        <v>710</v>
      </c>
      <c r="N395" t="s">
        <v>6235</v>
      </c>
    </row>
    <row r="396" spans="1:14">
      <c r="A396" t="s">
        <v>1746</v>
      </c>
      <c r="B396" t="s">
        <v>1748</v>
      </c>
      <c r="C396" t="s">
        <v>1744</v>
      </c>
      <c r="D396" s="96">
        <v>26.79</v>
      </c>
      <c r="E396" s="13">
        <v>36162.89</v>
      </c>
      <c r="F396" s="486">
        <v>1.3499000000000001</v>
      </c>
      <c r="G396"/>
      <c r="H396" s="13">
        <v>36162.89</v>
      </c>
      <c r="I396" s="13">
        <v>1.3499000000000001</v>
      </c>
      <c r="J396">
        <v>13</v>
      </c>
      <c r="K396" s="131">
        <v>45688</v>
      </c>
      <c r="M396">
        <v>570</v>
      </c>
      <c r="N396" t="s">
        <v>6236</v>
      </c>
    </row>
    <row r="397" spans="1:14">
      <c r="A397" t="s">
        <v>1746</v>
      </c>
      <c r="B397" t="s">
        <v>1748</v>
      </c>
      <c r="C397" t="s">
        <v>1744</v>
      </c>
      <c r="D397" s="96">
        <v>26.79</v>
      </c>
      <c r="E397" s="13">
        <v>36296.33</v>
      </c>
      <c r="F397" s="486">
        <v>1.3548</v>
      </c>
      <c r="G397"/>
      <c r="H397" s="13">
        <v>36296.33</v>
      </c>
      <c r="I397" s="13">
        <v>1.3548</v>
      </c>
      <c r="J397">
        <v>13</v>
      </c>
      <c r="K397" s="131">
        <v>45688</v>
      </c>
      <c r="M397">
        <v>570</v>
      </c>
      <c r="N397" t="s">
        <v>6237</v>
      </c>
    </row>
    <row r="398" spans="1:14">
      <c r="A398" t="s">
        <v>1746</v>
      </c>
      <c r="B398" t="s">
        <v>1747</v>
      </c>
      <c r="C398" t="s">
        <v>1744</v>
      </c>
      <c r="D398" s="96">
        <v>26.79</v>
      </c>
      <c r="E398" s="13">
        <v>36417.47</v>
      </c>
      <c r="F398" s="486">
        <v>1.3593999999999999</v>
      </c>
      <c r="G398"/>
      <c r="H398" s="13">
        <v>36417.47</v>
      </c>
      <c r="I398" s="13">
        <v>1.3593999999999999</v>
      </c>
      <c r="J398">
        <v>13</v>
      </c>
      <c r="K398" s="131">
        <v>45688</v>
      </c>
      <c r="M398">
        <v>570</v>
      </c>
      <c r="N398" t="s">
        <v>6238</v>
      </c>
    </row>
    <row r="399" spans="1:14">
      <c r="A399" t="s">
        <v>1746</v>
      </c>
      <c r="B399" t="s">
        <v>1747</v>
      </c>
      <c r="C399" t="s">
        <v>1744</v>
      </c>
      <c r="D399" s="96">
        <v>26.79</v>
      </c>
      <c r="E399" s="13">
        <v>36550.910000000003</v>
      </c>
      <c r="F399" s="486">
        <v>1.3643000000000001</v>
      </c>
      <c r="G399"/>
      <c r="H399" s="13">
        <v>36550.910000000003</v>
      </c>
      <c r="I399" s="13">
        <v>1.3643000000000001</v>
      </c>
      <c r="J399">
        <v>13</v>
      </c>
      <c r="K399" s="131">
        <v>45688</v>
      </c>
      <c r="M399">
        <v>570</v>
      </c>
      <c r="N399" t="s">
        <v>6239</v>
      </c>
    </row>
    <row r="400" spans="1:14">
      <c r="A400" t="s">
        <v>1746</v>
      </c>
      <c r="B400" t="s">
        <v>1748</v>
      </c>
      <c r="C400" t="s">
        <v>1744</v>
      </c>
      <c r="D400" s="96">
        <v>26.79</v>
      </c>
      <c r="E400" s="13">
        <v>39665.71</v>
      </c>
      <c r="F400" s="486">
        <v>1.4805999999999999</v>
      </c>
      <c r="G400"/>
      <c r="H400" s="13">
        <v>39665.71</v>
      </c>
      <c r="I400" s="13">
        <v>1.4805999999999999</v>
      </c>
      <c r="J400">
        <v>13</v>
      </c>
      <c r="K400" s="131">
        <v>45688</v>
      </c>
      <c r="M400">
        <v>570</v>
      </c>
      <c r="N400" t="s">
        <v>6240</v>
      </c>
    </row>
    <row r="401" spans="1:14">
      <c r="A401" t="s">
        <v>1746</v>
      </c>
      <c r="B401" t="s">
        <v>1748</v>
      </c>
      <c r="C401" t="s">
        <v>1744</v>
      </c>
      <c r="D401" s="96">
        <v>26.79</v>
      </c>
      <c r="E401" s="13">
        <v>39799.15</v>
      </c>
      <c r="F401" s="486">
        <v>1.4856</v>
      </c>
      <c r="G401"/>
      <c r="H401" s="13">
        <v>39799.15</v>
      </c>
      <c r="I401" s="13">
        <v>1.4856</v>
      </c>
      <c r="J401">
        <v>13</v>
      </c>
      <c r="K401" s="131">
        <v>45688</v>
      </c>
      <c r="M401">
        <v>570</v>
      </c>
      <c r="N401" t="s">
        <v>6241</v>
      </c>
    </row>
    <row r="402" spans="1:14">
      <c r="A402" t="s">
        <v>1746</v>
      </c>
      <c r="B402" t="s">
        <v>1747</v>
      </c>
      <c r="C402" t="s">
        <v>1744</v>
      </c>
      <c r="D402" s="96">
        <v>26.79</v>
      </c>
      <c r="E402" s="13">
        <v>41109.72</v>
      </c>
      <c r="F402" s="486">
        <v>1.5345</v>
      </c>
      <c r="G402"/>
      <c r="H402" s="13">
        <v>41109.72</v>
      </c>
      <c r="I402" s="13">
        <v>1.5345</v>
      </c>
      <c r="J402">
        <v>13</v>
      </c>
      <c r="K402" s="131">
        <v>45688</v>
      </c>
      <c r="M402">
        <v>570</v>
      </c>
      <c r="N402" t="s">
        <v>6242</v>
      </c>
    </row>
    <row r="403" spans="1:14">
      <c r="A403" t="s">
        <v>1746</v>
      </c>
      <c r="B403" t="s">
        <v>1747</v>
      </c>
      <c r="C403" t="s">
        <v>1744</v>
      </c>
      <c r="D403" s="96">
        <v>26.79</v>
      </c>
      <c r="E403" s="13">
        <v>41243.17</v>
      </c>
      <c r="F403" s="486">
        <v>1.5395000000000001</v>
      </c>
      <c r="G403"/>
      <c r="H403" s="13">
        <v>41243.17</v>
      </c>
      <c r="I403" s="13">
        <v>1.5395000000000001</v>
      </c>
      <c r="J403">
        <v>13</v>
      </c>
      <c r="K403" s="131">
        <v>45688</v>
      </c>
      <c r="M403">
        <v>570</v>
      </c>
      <c r="N403" t="s">
        <v>6243</v>
      </c>
    </row>
    <row r="404" spans="1:14">
      <c r="A404" t="s">
        <v>1746</v>
      </c>
      <c r="B404" t="s">
        <v>6222</v>
      </c>
      <c r="C404" t="s">
        <v>1744</v>
      </c>
      <c r="D404" s="96">
        <v>26.79</v>
      </c>
      <c r="E404" s="13">
        <v>50674.04</v>
      </c>
      <c r="F404" s="486">
        <v>1.8915</v>
      </c>
      <c r="G404"/>
      <c r="H404" s="13">
        <v>50674.04</v>
      </c>
      <c r="I404" s="13">
        <v>1.8915</v>
      </c>
      <c r="J404">
        <v>13</v>
      </c>
      <c r="K404" s="131">
        <v>45688</v>
      </c>
      <c r="M404">
        <v>570</v>
      </c>
      <c r="N404" t="s">
        <v>6244</v>
      </c>
    </row>
    <row r="405" spans="1:14">
      <c r="A405" t="s">
        <v>1746</v>
      </c>
      <c r="B405" t="s">
        <v>6222</v>
      </c>
      <c r="C405" t="s">
        <v>1744</v>
      </c>
      <c r="D405" s="96">
        <v>26.79</v>
      </c>
      <c r="E405" s="13">
        <v>50807.48</v>
      </c>
      <c r="F405" s="486">
        <v>1.8965000000000001</v>
      </c>
      <c r="G405"/>
      <c r="H405" s="13">
        <v>50807.48</v>
      </c>
      <c r="I405" s="13">
        <v>1.8965000000000001</v>
      </c>
      <c r="J405">
        <v>13</v>
      </c>
      <c r="K405" s="131">
        <v>45688</v>
      </c>
      <c r="M405">
        <v>570</v>
      </c>
      <c r="N405" t="s">
        <v>6245</v>
      </c>
    </row>
    <row r="406" spans="1:14">
      <c r="A406" t="s">
        <v>1746</v>
      </c>
      <c r="B406" t="s">
        <v>6092</v>
      </c>
      <c r="C406" t="s">
        <v>1744</v>
      </c>
      <c r="D406" s="96">
        <v>26.98</v>
      </c>
      <c r="E406" s="13">
        <v>49441.64</v>
      </c>
      <c r="F406" s="486">
        <v>1.8325</v>
      </c>
      <c r="H406" s="13">
        <v>49441.64</v>
      </c>
      <c r="I406" s="13">
        <v>1.8325</v>
      </c>
      <c r="J406">
        <v>13</v>
      </c>
      <c r="K406" s="131">
        <v>45688</v>
      </c>
      <c r="M406">
        <v>710</v>
      </c>
      <c r="N406" t="s">
        <v>6246</v>
      </c>
    </row>
    <row r="407" spans="1:14">
      <c r="A407" t="s">
        <v>1746</v>
      </c>
      <c r="B407" t="s">
        <v>1748</v>
      </c>
      <c r="C407" t="s">
        <v>1744</v>
      </c>
      <c r="D407" s="96">
        <v>27.36</v>
      </c>
      <c r="E407" s="13">
        <v>36687.57</v>
      </c>
      <c r="F407" s="486">
        <v>1.3409</v>
      </c>
      <c r="G407"/>
      <c r="H407" s="13">
        <v>36687.57</v>
      </c>
      <c r="I407" s="13">
        <v>1.3409</v>
      </c>
      <c r="J407">
        <v>13</v>
      </c>
      <c r="K407" s="131">
        <v>45688</v>
      </c>
      <c r="M407">
        <v>570</v>
      </c>
      <c r="N407" t="s">
        <v>6247</v>
      </c>
    </row>
    <row r="408" spans="1:14">
      <c r="A408" t="s">
        <v>1746</v>
      </c>
      <c r="B408" t="s">
        <v>1748</v>
      </c>
      <c r="C408" t="s">
        <v>1744</v>
      </c>
      <c r="D408" s="96">
        <v>27.36</v>
      </c>
      <c r="E408" s="13">
        <v>36823.86</v>
      </c>
      <c r="F408" s="486">
        <v>1.3459000000000001</v>
      </c>
      <c r="G408"/>
      <c r="H408" s="13">
        <v>36823.86</v>
      </c>
      <c r="I408" s="13">
        <v>1.3459000000000001</v>
      </c>
      <c r="J408">
        <v>13</v>
      </c>
      <c r="K408" s="131">
        <v>45688</v>
      </c>
      <c r="M408">
        <v>570</v>
      </c>
      <c r="N408" t="s">
        <v>6248</v>
      </c>
    </row>
    <row r="409" spans="1:14">
      <c r="A409" t="s">
        <v>1746</v>
      </c>
      <c r="B409" t="s">
        <v>1747</v>
      </c>
      <c r="C409" t="s">
        <v>1744</v>
      </c>
      <c r="D409" s="96">
        <v>27.36</v>
      </c>
      <c r="E409" s="13">
        <v>36942.160000000003</v>
      </c>
      <c r="F409" s="486">
        <v>1.3502000000000001</v>
      </c>
      <c r="G409"/>
      <c r="H409" s="13">
        <v>36942.160000000003</v>
      </c>
      <c r="I409" s="13">
        <v>1.3502000000000001</v>
      </c>
      <c r="J409">
        <v>13</v>
      </c>
      <c r="K409" s="131">
        <v>45688</v>
      </c>
      <c r="M409">
        <v>570</v>
      </c>
      <c r="N409" t="s">
        <v>6249</v>
      </c>
    </row>
    <row r="410" spans="1:14">
      <c r="A410" t="s">
        <v>1746</v>
      </c>
      <c r="B410" t="s">
        <v>1747</v>
      </c>
      <c r="C410" t="s">
        <v>1744</v>
      </c>
      <c r="D410" s="96">
        <v>27.36</v>
      </c>
      <c r="E410" s="13">
        <v>37078.44</v>
      </c>
      <c r="F410" s="486">
        <v>1.3552</v>
      </c>
      <c r="G410"/>
      <c r="H410" s="13">
        <v>37078.44</v>
      </c>
      <c r="I410" s="13">
        <v>1.3552</v>
      </c>
      <c r="J410">
        <v>13</v>
      </c>
      <c r="K410" s="131">
        <v>45688</v>
      </c>
      <c r="M410">
        <v>570</v>
      </c>
      <c r="N410" t="s">
        <v>6250</v>
      </c>
    </row>
    <row r="411" spans="1:14">
      <c r="A411" t="s">
        <v>1746</v>
      </c>
      <c r="B411" t="s">
        <v>1748</v>
      </c>
      <c r="C411" t="s">
        <v>1744</v>
      </c>
      <c r="D411" s="96">
        <v>27.36</v>
      </c>
      <c r="E411" s="13">
        <v>40190.39</v>
      </c>
      <c r="F411" s="486">
        <v>1.4689000000000001</v>
      </c>
      <c r="G411"/>
      <c r="H411" s="13">
        <v>40190.39</v>
      </c>
      <c r="I411" s="13">
        <v>1.4689000000000001</v>
      </c>
      <c r="J411">
        <v>13</v>
      </c>
      <c r="K411" s="131">
        <v>45688</v>
      </c>
      <c r="M411">
        <v>570</v>
      </c>
      <c r="N411" t="s">
        <v>6251</v>
      </c>
    </row>
    <row r="412" spans="1:14">
      <c r="A412" t="s">
        <v>1746</v>
      </c>
      <c r="B412" t="s">
        <v>1748</v>
      </c>
      <c r="C412" t="s">
        <v>1744</v>
      </c>
      <c r="D412" s="96">
        <v>27.36</v>
      </c>
      <c r="E412" s="13">
        <v>40326.67</v>
      </c>
      <c r="F412" s="486">
        <v>1.4739</v>
      </c>
      <c r="G412"/>
      <c r="H412" s="13">
        <v>40326.67</v>
      </c>
      <c r="I412" s="13">
        <v>1.4739</v>
      </c>
      <c r="J412">
        <v>13</v>
      </c>
      <c r="K412" s="131">
        <v>45688</v>
      </c>
      <c r="M412">
        <v>570</v>
      </c>
      <c r="N412" t="s">
        <v>6252</v>
      </c>
    </row>
    <row r="413" spans="1:14">
      <c r="A413" t="s">
        <v>1746</v>
      </c>
      <c r="B413" t="s">
        <v>1747</v>
      </c>
      <c r="C413" t="s">
        <v>1744</v>
      </c>
      <c r="D413" s="96">
        <v>27.36</v>
      </c>
      <c r="E413" s="13">
        <v>41634.410000000003</v>
      </c>
      <c r="F413" s="486">
        <v>1.5217000000000001</v>
      </c>
      <c r="G413"/>
      <c r="H413" s="13">
        <v>41634.410000000003</v>
      </c>
      <c r="I413" s="13">
        <v>1.5217000000000001</v>
      </c>
      <c r="J413">
        <v>13</v>
      </c>
      <c r="K413" s="131">
        <v>45688</v>
      </c>
      <c r="M413">
        <v>570</v>
      </c>
      <c r="N413" t="s">
        <v>6253</v>
      </c>
    </row>
    <row r="414" spans="1:14">
      <c r="A414" t="s">
        <v>1746</v>
      </c>
      <c r="B414" t="s">
        <v>1747</v>
      </c>
      <c r="C414" t="s">
        <v>1744</v>
      </c>
      <c r="D414" s="96">
        <v>27.36</v>
      </c>
      <c r="E414" s="13">
        <v>41770.69</v>
      </c>
      <c r="F414" s="486">
        <v>1.5266999999999999</v>
      </c>
      <c r="G414"/>
      <c r="H414" s="13">
        <v>41770.69</v>
      </c>
      <c r="I414" s="13">
        <v>1.5266999999999999</v>
      </c>
      <c r="J414">
        <v>13</v>
      </c>
      <c r="K414" s="131">
        <v>45688</v>
      </c>
      <c r="M414">
        <v>570</v>
      </c>
      <c r="N414" t="s">
        <v>6254</v>
      </c>
    </row>
    <row r="415" spans="1:14">
      <c r="A415" t="s">
        <v>1746</v>
      </c>
      <c r="B415" t="s">
        <v>6222</v>
      </c>
      <c r="C415" t="s">
        <v>1744</v>
      </c>
      <c r="D415" s="96">
        <v>27.36</v>
      </c>
      <c r="E415" s="13">
        <v>51198.73</v>
      </c>
      <c r="F415" s="486">
        <v>1.8713</v>
      </c>
      <c r="G415"/>
      <c r="H415" s="13">
        <v>51198.73</v>
      </c>
      <c r="I415" s="13">
        <v>1.8713</v>
      </c>
      <c r="J415">
        <v>13</v>
      </c>
      <c r="K415" s="131">
        <v>45688</v>
      </c>
      <c r="M415">
        <v>570</v>
      </c>
      <c r="N415" t="s">
        <v>6255</v>
      </c>
    </row>
    <row r="416" spans="1:14">
      <c r="A416" t="s">
        <v>1746</v>
      </c>
      <c r="B416" t="s">
        <v>6222</v>
      </c>
      <c r="C416" t="s">
        <v>1744</v>
      </c>
      <c r="D416" s="96">
        <v>27.36</v>
      </c>
      <c r="E416" s="13">
        <v>51335.01</v>
      </c>
      <c r="F416" s="486">
        <v>1.8763000000000001</v>
      </c>
      <c r="G416"/>
      <c r="H416" s="13">
        <v>51335.01</v>
      </c>
      <c r="I416" s="13">
        <v>1.8763000000000001</v>
      </c>
      <c r="J416">
        <v>13</v>
      </c>
      <c r="K416" s="131">
        <v>45688</v>
      </c>
      <c r="M416">
        <v>570</v>
      </c>
      <c r="N416" t="s">
        <v>6256</v>
      </c>
    </row>
    <row r="417" spans="1:14">
      <c r="A417" t="s">
        <v>1746</v>
      </c>
      <c r="B417" t="s">
        <v>6092</v>
      </c>
      <c r="C417" t="s">
        <v>1744</v>
      </c>
      <c r="D417" s="96">
        <v>27.69</v>
      </c>
      <c r="E417" s="13">
        <v>50169.8</v>
      </c>
      <c r="F417" s="486">
        <v>1.8118000000000001</v>
      </c>
      <c r="G417"/>
      <c r="H417" s="13">
        <v>50169.8</v>
      </c>
      <c r="I417" s="13">
        <v>1.8118000000000001</v>
      </c>
      <c r="J417">
        <v>13</v>
      </c>
      <c r="K417" s="131">
        <v>45688</v>
      </c>
      <c r="M417">
        <v>710</v>
      </c>
      <c r="N417" t="s">
        <v>6257</v>
      </c>
    </row>
    <row r="418" spans="1:14">
      <c r="A418" t="s">
        <v>1746</v>
      </c>
      <c r="B418" t="s">
        <v>1747</v>
      </c>
      <c r="C418" t="s">
        <v>1744</v>
      </c>
      <c r="D418" s="96">
        <v>27.93</v>
      </c>
      <c r="E418" s="13">
        <v>37781.42</v>
      </c>
      <c r="F418" s="486">
        <v>1.3527</v>
      </c>
      <c r="G418"/>
      <c r="H418" s="13">
        <v>37781.42</v>
      </c>
      <c r="I418" s="13">
        <v>1.3527</v>
      </c>
      <c r="J418">
        <v>13</v>
      </c>
      <c r="K418" s="131">
        <v>45688</v>
      </c>
      <c r="M418">
        <v>570</v>
      </c>
      <c r="N418" t="s">
        <v>6258</v>
      </c>
    </row>
    <row r="419" spans="1:14">
      <c r="A419" t="s">
        <v>1746</v>
      </c>
      <c r="B419" t="s">
        <v>1747</v>
      </c>
      <c r="C419" t="s">
        <v>1744</v>
      </c>
      <c r="D419" s="96">
        <v>27.93</v>
      </c>
      <c r="E419" s="13">
        <v>37920.54</v>
      </c>
      <c r="F419" s="486">
        <v>1.3576999999999999</v>
      </c>
      <c r="G419"/>
      <c r="H419" s="13">
        <v>37920.54</v>
      </c>
      <c r="I419" s="13">
        <v>1.3576999999999999</v>
      </c>
      <c r="J419">
        <v>13</v>
      </c>
      <c r="K419" s="131">
        <v>45688</v>
      </c>
      <c r="M419">
        <v>570</v>
      </c>
      <c r="N419" t="s">
        <v>6259</v>
      </c>
    </row>
    <row r="420" spans="1:14">
      <c r="A420" t="s">
        <v>1746</v>
      </c>
      <c r="B420" t="s">
        <v>1748</v>
      </c>
      <c r="C420" t="s">
        <v>1744</v>
      </c>
      <c r="D420" s="96">
        <v>27.93</v>
      </c>
      <c r="E420" s="13">
        <v>39328.03</v>
      </c>
      <c r="F420" s="486">
        <v>1.4080999999999999</v>
      </c>
      <c r="G420"/>
      <c r="H420" s="13">
        <v>39328.03</v>
      </c>
      <c r="I420" s="13">
        <v>1.4080999999999999</v>
      </c>
      <c r="J420">
        <v>13</v>
      </c>
      <c r="K420" s="131">
        <v>45688</v>
      </c>
      <c r="M420">
        <v>570</v>
      </c>
      <c r="N420" t="s">
        <v>6260</v>
      </c>
    </row>
    <row r="421" spans="1:14">
      <c r="A421" t="s">
        <v>1746</v>
      </c>
      <c r="B421" t="s">
        <v>1748</v>
      </c>
      <c r="C421" t="s">
        <v>1744</v>
      </c>
      <c r="D421" s="96">
        <v>27.93</v>
      </c>
      <c r="E421" s="13">
        <v>39467.15</v>
      </c>
      <c r="F421" s="486">
        <v>1.4131</v>
      </c>
      <c r="G421"/>
      <c r="H421" s="13">
        <v>39467.15</v>
      </c>
      <c r="I421" s="13">
        <v>1.4131</v>
      </c>
      <c r="J421">
        <v>13</v>
      </c>
      <c r="K421" s="131">
        <v>45688</v>
      </c>
      <c r="M421">
        <v>570</v>
      </c>
      <c r="N421" t="s">
        <v>6261</v>
      </c>
    </row>
    <row r="422" spans="1:14">
      <c r="A422" t="s">
        <v>1746</v>
      </c>
      <c r="B422" t="s">
        <v>1748</v>
      </c>
      <c r="C422" t="s">
        <v>1744</v>
      </c>
      <c r="D422" s="96">
        <v>27.93</v>
      </c>
      <c r="E422" s="13">
        <v>41290.11</v>
      </c>
      <c r="F422" s="486">
        <v>1.4782999999999999</v>
      </c>
      <c r="G422"/>
      <c r="H422" s="13">
        <v>41290.11</v>
      </c>
      <c r="I422" s="13">
        <v>1.4782999999999999</v>
      </c>
      <c r="J422">
        <v>13</v>
      </c>
      <c r="K422" s="131">
        <v>45688</v>
      </c>
      <c r="M422">
        <v>570</v>
      </c>
      <c r="N422" t="s">
        <v>6262</v>
      </c>
    </row>
    <row r="423" spans="1:14">
      <c r="A423" t="s">
        <v>1746</v>
      </c>
      <c r="B423" t="s">
        <v>1748</v>
      </c>
      <c r="C423" t="s">
        <v>1744</v>
      </c>
      <c r="D423" s="96">
        <v>27.93</v>
      </c>
      <c r="E423" s="13">
        <v>41429.230000000003</v>
      </c>
      <c r="F423" s="486">
        <v>1.4833000000000001</v>
      </c>
      <c r="G423"/>
      <c r="H423" s="13">
        <v>41429.230000000003</v>
      </c>
      <c r="I423" s="13">
        <v>1.4833000000000001</v>
      </c>
      <c r="J423">
        <v>13</v>
      </c>
      <c r="K423" s="131">
        <v>45688</v>
      </c>
      <c r="M423">
        <v>570</v>
      </c>
      <c r="N423" t="s">
        <v>6263</v>
      </c>
    </row>
    <row r="424" spans="1:14">
      <c r="A424" t="s">
        <v>1746</v>
      </c>
      <c r="B424" t="s">
        <v>1747</v>
      </c>
      <c r="C424" t="s">
        <v>1744</v>
      </c>
      <c r="D424" s="96">
        <v>27.93</v>
      </c>
      <c r="E424" s="13">
        <v>42473.67</v>
      </c>
      <c r="F424" s="486">
        <v>1.5206999999999999</v>
      </c>
      <c r="G424"/>
      <c r="H424" s="13">
        <v>42473.67</v>
      </c>
      <c r="I424" s="13">
        <v>1.5206999999999999</v>
      </c>
      <c r="J424">
        <v>13</v>
      </c>
      <c r="K424" s="131">
        <v>45688</v>
      </c>
      <c r="M424">
        <v>570</v>
      </c>
      <c r="N424" t="s">
        <v>6264</v>
      </c>
    </row>
    <row r="425" spans="1:14">
      <c r="A425" t="s">
        <v>1746</v>
      </c>
      <c r="B425" t="s">
        <v>1747</v>
      </c>
      <c r="C425" t="s">
        <v>1744</v>
      </c>
      <c r="D425" s="96">
        <v>27.93</v>
      </c>
      <c r="E425" s="13">
        <v>42612.800000000003</v>
      </c>
      <c r="F425" s="486">
        <v>1.5257000000000001</v>
      </c>
      <c r="G425"/>
      <c r="H425" s="13">
        <v>42612.800000000003</v>
      </c>
      <c r="I425" s="13">
        <v>1.5257000000000001</v>
      </c>
      <c r="J425">
        <v>13</v>
      </c>
      <c r="K425" s="131">
        <v>45688</v>
      </c>
      <c r="M425">
        <v>570</v>
      </c>
      <c r="N425" t="s">
        <v>6265</v>
      </c>
    </row>
    <row r="426" spans="1:14">
      <c r="A426" t="s">
        <v>1746</v>
      </c>
      <c r="B426" t="s">
        <v>6222</v>
      </c>
      <c r="C426" t="s">
        <v>1744</v>
      </c>
      <c r="D426" s="96">
        <v>27.93</v>
      </c>
      <c r="E426" s="13">
        <v>53810.79</v>
      </c>
      <c r="F426" s="486">
        <v>1.9266000000000001</v>
      </c>
      <c r="G426"/>
      <c r="H426" s="13">
        <v>53810.79</v>
      </c>
      <c r="I426" s="13">
        <v>1.9266000000000001</v>
      </c>
      <c r="J426">
        <v>13</v>
      </c>
      <c r="K426" s="131">
        <v>45688</v>
      </c>
      <c r="M426">
        <v>570</v>
      </c>
      <c r="N426" t="s">
        <v>6266</v>
      </c>
    </row>
    <row r="427" spans="1:14">
      <c r="A427" t="s">
        <v>1746</v>
      </c>
      <c r="B427" t="s">
        <v>6222</v>
      </c>
      <c r="C427" t="s">
        <v>1744</v>
      </c>
      <c r="D427" s="96">
        <v>27.93</v>
      </c>
      <c r="E427" s="13">
        <v>53949.91</v>
      </c>
      <c r="F427" s="486">
        <v>1.9316</v>
      </c>
      <c r="G427"/>
      <c r="H427" s="13">
        <v>53949.91</v>
      </c>
      <c r="I427" s="13">
        <v>1.9316</v>
      </c>
      <c r="J427">
        <v>13</v>
      </c>
      <c r="K427" s="131">
        <v>45688</v>
      </c>
      <c r="M427">
        <v>570</v>
      </c>
      <c r="N427" t="s">
        <v>6267</v>
      </c>
    </row>
    <row r="428" spans="1:14">
      <c r="A428" t="s">
        <v>1746</v>
      </c>
      <c r="B428" t="s">
        <v>6092</v>
      </c>
      <c r="C428" t="s">
        <v>1744</v>
      </c>
      <c r="D428" s="96">
        <v>28.4</v>
      </c>
      <c r="E428" s="13">
        <v>50897.96</v>
      </c>
      <c r="F428" s="486">
        <v>1.7922</v>
      </c>
      <c r="G428"/>
      <c r="H428" s="13">
        <v>50897.96</v>
      </c>
      <c r="I428" s="13">
        <v>1.7922</v>
      </c>
      <c r="J428">
        <v>13</v>
      </c>
      <c r="K428" s="131">
        <v>45688</v>
      </c>
      <c r="M428">
        <v>710</v>
      </c>
      <c r="N428" t="s">
        <v>6268</v>
      </c>
    </row>
    <row r="429" spans="1:14">
      <c r="A429" t="s">
        <v>1746</v>
      </c>
      <c r="B429" t="s">
        <v>1748</v>
      </c>
      <c r="C429" t="s">
        <v>1744</v>
      </c>
      <c r="D429" s="96">
        <v>28.5</v>
      </c>
      <c r="E429" s="13">
        <v>39852.71</v>
      </c>
      <c r="F429" s="486">
        <v>1.3983000000000001</v>
      </c>
      <c r="G429"/>
      <c r="H429" s="13">
        <v>39852.71</v>
      </c>
      <c r="I429" s="13">
        <v>1.3983000000000001</v>
      </c>
      <c r="J429">
        <v>13</v>
      </c>
      <c r="K429" s="131">
        <v>45688</v>
      </c>
      <c r="M429">
        <v>570</v>
      </c>
      <c r="N429" t="s">
        <v>6269</v>
      </c>
    </row>
    <row r="430" spans="1:14">
      <c r="A430" t="s">
        <v>1746</v>
      </c>
      <c r="B430" t="s">
        <v>1747</v>
      </c>
      <c r="C430" t="s">
        <v>1744</v>
      </c>
      <c r="D430" s="96">
        <v>28.5</v>
      </c>
      <c r="E430" s="13">
        <v>39871.64</v>
      </c>
      <c r="F430" s="486">
        <v>1.399</v>
      </c>
      <c r="G430"/>
      <c r="H430" s="13">
        <v>39871.64</v>
      </c>
      <c r="I430" s="13">
        <v>1.399</v>
      </c>
      <c r="J430">
        <v>13</v>
      </c>
      <c r="K430" s="131">
        <v>45688</v>
      </c>
      <c r="M430">
        <v>570</v>
      </c>
      <c r="N430" t="s">
        <v>6270</v>
      </c>
    </row>
    <row r="431" spans="1:14">
      <c r="A431" t="s">
        <v>1746</v>
      </c>
      <c r="B431" t="s">
        <v>1748</v>
      </c>
      <c r="C431" t="s">
        <v>1744</v>
      </c>
      <c r="D431" s="96">
        <v>28.5</v>
      </c>
      <c r="E431" s="13">
        <v>39994.67</v>
      </c>
      <c r="F431" s="486">
        <v>1.4033</v>
      </c>
      <c r="G431"/>
      <c r="H431" s="13">
        <v>39994.67</v>
      </c>
      <c r="I431" s="13">
        <v>1.4033</v>
      </c>
      <c r="J431">
        <v>13</v>
      </c>
      <c r="K431" s="131">
        <v>45688</v>
      </c>
      <c r="M431">
        <v>570</v>
      </c>
      <c r="N431" t="s">
        <v>6271</v>
      </c>
    </row>
    <row r="432" spans="1:14">
      <c r="A432" t="s">
        <v>1746</v>
      </c>
      <c r="B432" t="s">
        <v>1747</v>
      </c>
      <c r="C432" t="s">
        <v>1744</v>
      </c>
      <c r="D432" s="96">
        <v>28.5</v>
      </c>
      <c r="E432" s="13">
        <v>40013.599999999999</v>
      </c>
      <c r="F432" s="486">
        <v>1.4039999999999999</v>
      </c>
      <c r="G432"/>
      <c r="H432" s="13">
        <v>40013.599999999999</v>
      </c>
      <c r="I432" s="13">
        <v>1.4039999999999999</v>
      </c>
      <c r="J432">
        <v>13</v>
      </c>
      <c r="K432" s="131">
        <v>45688</v>
      </c>
      <c r="M432">
        <v>570</v>
      </c>
      <c r="N432" t="s">
        <v>6272</v>
      </c>
    </row>
    <row r="433" spans="1:14">
      <c r="A433" t="s">
        <v>1746</v>
      </c>
      <c r="B433" t="s">
        <v>1748</v>
      </c>
      <c r="C433" t="s">
        <v>1744</v>
      </c>
      <c r="D433" s="96">
        <v>28.5</v>
      </c>
      <c r="E433" s="13">
        <v>41814.79</v>
      </c>
      <c r="F433" s="486">
        <v>1.4672000000000001</v>
      </c>
      <c r="G433"/>
      <c r="H433" s="13">
        <v>41814.79</v>
      </c>
      <c r="I433" s="13">
        <v>1.4672000000000001</v>
      </c>
      <c r="J433">
        <v>13</v>
      </c>
      <c r="K433" s="131">
        <v>45688</v>
      </c>
      <c r="M433">
        <v>570</v>
      </c>
      <c r="N433" t="s">
        <v>6273</v>
      </c>
    </row>
    <row r="434" spans="1:14">
      <c r="A434" t="s">
        <v>1746</v>
      </c>
      <c r="B434" t="s">
        <v>1748</v>
      </c>
      <c r="C434" t="s">
        <v>1744</v>
      </c>
      <c r="D434" s="96">
        <v>28.5</v>
      </c>
      <c r="E434" s="13">
        <v>41956.75</v>
      </c>
      <c r="F434" s="486">
        <v>1.4722</v>
      </c>
      <c r="G434"/>
      <c r="H434" s="13">
        <v>41956.75</v>
      </c>
      <c r="I434" s="13">
        <v>1.4722</v>
      </c>
      <c r="J434">
        <v>13</v>
      </c>
      <c r="K434" s="131">
        <v>45688</v>
      </c>
      <c r="M434">
        <v>570</v>
      </c>
      <c r="N434" t="s">
        <v>6274</v>
      </c>
    </row>
    <row r="435" spans="1:14">
      <c r="A435" t="s">
        <v>1746</v>
      </c>
      <c r="B435" t="s">
        <v>1747</v>
      </c>
      <c r="C435" t="s">
        <v>1744</v>
      </c>
      <c r="D435" s="96">
        <v>28.5</v>
      </c>
      <c r="E435" s="13">
        <v>43661.41</v>
      </c>
      <c r="F435" s="486">
        <v>1.532</v>
      </c>
      <c r="G435"/>
      <c r="H435" s="13">
        <v>43661.41</v>
      </c>
      <c r="I435" s="13">
        <v>1.532</v>
      </c>
      <c r="J435">
        <v>13</v>
      </c>
      <c r="K435" s="131">
        <v>45688</v>
      </c>
      <c r="M435">
        <v>570</v>
      </c>
      <c r="N435" t="s">
        <v>6275</v>
      </c>
    </row>
    <row r="436" spans="1:14">
      <c r="A436" t="s">
        <v>1746</v>
      </c>
      <c r="B436" t="s">
        <v>1747</v>
      </c>
      <c r="C436" t="s">
        <v>1744</v>
      </c>
      <c r="D436" s="96">
        <v>28.5</v>
      </c>
      <c r="E436" s="13">
        <v>43803.37</v>
      </c>
      <c r="F436" s="486">
        <v>1.5369999999999999</v>
      </c>
      <c r="G436"/>
      <c r="H436" s="13">
        <v>43803.37</v>
      </c>
      <c r="I436" s="13">
        <v>1.5369999999999999</v>
      </c>
      <c r="J436">
        <v>13</v>
      </c>
      <c r="K436" s="131">
        <v>45688</v>
      </c>
      <c r="M436">
        <v>570</v>
      </c>
      <c r="N436" t="s">
        <v>6276</v>
      </c>
    </row>
    <row r="437" spans="1:14">
      <c r="A437" t="s">
        <v>1746</v>
      </c>
      <c r="B437" t="s">
        <v>6222</v>
      </c>
      <c r="C437" t="s">
        <v>1744</v>
      </c>
      <c r="D437" s="96">
        <v>28.5</v>
      </c>
      <c r="E437" s="13">
        <v>54335.47</v>
      </c>
      <c r="F437" s="486">
        <v>1.9065000000000001</v>
      </c>
      <c r="G437"/>
      <c r="H437" s="13">
        <v>54335.47</v>
      </c>
      <c r="I437" s="13">
        <v>1.9065000000000001</v>
      </c>
      <c r="J437">
        <v>13</v>
      </c>
      <c r="K437" s="131">
        <v>45688</v>
      </c>
      <c r="M437">
        <v>570</v>
      </c>
      <c r="N437" t="s">
        <v>6277</v>
      </c>
    </row>
    <row r="438" spans="1:14">
      <c r="A438" t="s">
        <v>1746</v>
      </c>
      <c r="B438" t="s">
        <v>6222</v>
      </c>
      <c r="C438" t="s">
        <v>1744</v>
      </c>
      <c r="D438" s="96">
        <v>28.5</v>
      </c>
      <c r="E438" s="13">
        <v>54477.43</v>
      </c>
      <c r="F438" s="486">
        <v>1.9115</v>
      </c>
      <c r="G438"/>
      <c r="H438" s="13">
        <v>54477.43</v>
      </c>
      <c r="I438" s="13">
        <v>1.9115</v>
      </c>
      <c r="J438">
        <v>13</v>
      </c>
      <c r="K438" s="131">
        <v>45688</v>
      </c>
      <c r="M438">
        <v>570</v>
      </c>
      <c r="N438" t="s">
        <v>6278</v>
      </c>
    </row>
    <row r="439" spans="1:14">
      <c r="A439" t="s">
        <v>1746</v>
      </c>
      <c r="B439" t="s">
        <v>1748</v>
      </c>
      <c r="C439" t="s">
        <v>1744</v>
      </c>
      <c r="D439" s="96">
        <v>29.07</v>
      </c>
      <c r="E439" s="13">
        <v>40377.4</v>
      </c>
      <c r="F439" s="486">
        <v>1.389</v>
      </c>
      <c r="G439"/>
      <c r="H439" s="13">
        <v>40377.4</v>
      </c>
      <c r="I439" s="13">
        <v>1.389</v>
      </c>
      <c r="J439">
        <v>13</v>
      </c>
      <c r="K439" s="131">
        <v>45688</v>
      </c>
      <c r="M439">
        <v>570</v>
      </c>
      <c r="N439" t="s">
        <v>6279</v>
      </c>
    </row>
    <row r="440" spans="1:14">
      <c r="A440" t="s">
        <v>1746</v>
      </c>
      <c r="B440" t="s">
        <v>1747</v>
      </c>
      <c r="C440" t="s">
        <v>1744</v>
      </c>
      <c r="D440" s="96">
        <v>29.07</v>
      </c>
      <c r="E440" s="13">
        <v>40396.33</v>
      </c>
      <c r="F440" s="486">
        <v>1.3895999999999999</v>
      </c>
      <c r="G440"/>
      <c r="H440" s="13">
        <v>40396.33</v>
      </c>
      <c r="I440" s="13">
        <v>1.3895999999999999</v>
      </c>
      <c r="J440">
        <v>13</v>
      </c>
      <c r="K440" s="131">
        <v>45688</v>
      </c>
      <c r="M440">
        <v>570</v>
      </c>
      <c r="N440" t="s">
        <v>6280</v>
      </c>
    </row>
    <row r="441" spans="1:14">
      <c r="A441" t="s">
        <v>1746</v>
      </c>
      <c r="B441" t="s">
        <v>1748</v>
      </c>
      <c r="C441" t="s">
        <v>1744</v>
      </c>
      <c r="D441" s="96">
        <v>29.07</v>
      </c>
      <c r="E441" s="13">
        <v>40522.199999999997</v>
      </c>
      <c r="F441" s="486">
        <v>1.3939999999999999</v>
      </c>
      <c r="G441"/>
      <c r="H441" s="13">
        <v>40522.199999999997</v>
      </c>
      <c r="I441" s="13">
        <v>1.3939999999999999</v>
      </c>
      <c r="J441">
        <v>13</v>
      </c>
      <c r="K441" s="131">
        <v>45688</v>
      </c>
      <c r="M441">
        <v>570</v>
      </c>
      <c r="N441" t="s">
        <v>6281</v>
      </c>
    </row>
    <row r="442" spans="1:14">
      <c r="A442" t="s">
        <v>1746</v>
      </c>
      <c r="B442" t="s">
        <v>1747</v>
      </c>
      <c r="C442" t="s">
        <v>1744</v>
      </c>
      <c r="D442" s="96">
        <v>29.07</v>
      </c>
      <c r="E442" s="13">
        <v>40541.129999999997</v>
      </c>
      <c r="F442" s="486">
        <v>1.3946000000000001</v>
      </c>
      <c r="G442"/>
      <c r="H442" s="13">
        <v>40541.129999999997</v>
      </c>
      <c r="I442" s="13">
        <v>1.3946000000000001</v>
      </c>
      <c r="J442">
        <v>13</v>
      </c>
      <c r="K442" s="131">
        <v>45688</v>
      </c>
      <c r="M442">
        <v>570</v>
      </c>
      <c r="N442" t="s">
        <v>6282</v>
      </c>
    </row>
    <row r="443" spans="1:14">
      <c r="A443" t="s">
        <v>1746</v>
      </c>
      <c r="B443" t="s">
        <v>1748</v>
      </c>
      <c r="C443" t="s">
        <v>1744</v>
      </c>
      <c r="D443" s="96">
        <v>29.07</v>
      </c>
      <c r="E443" s="13">
        <v>42339.48</v>
      </c>
      <c r="F443" s="486">
        <v>1.4564999999999999</v>
      </c>
      <c r="G443"/>
      <c r="H443" s="13">
        <v>42339.48</v>
      </c>
      <c r="I443" s="13">
        <v>1.4564999999999999</v>
      </c>
      <c r="J443">
        <v>13</v>
      </c>
      <c r="K443" s="131">
        <v>45688</v>
      </c>
      <c r="M443">
        <v>570</v>
      </c>
      <c r="N443" t="s">
        <v>6283</v>
      </c>
    </row>
    <row r="444" spans="1:14">
      <c r="A444" t="s">
        <v>1746</v>
      </c>
      <c r="B444" t="s">
        <v>1748</v>
      </c>
      <c r="C444" t="s">
        <v>1744</v>
      </c>
      <c r="D444" s="96">
        <v>29.07</v>
      </c>
      <c r="E444" s="13">
        <v>42484.27</v>
      </c>
      <c r="F444" s="486">
        <v>1.4614</v>
      </c>
      <c r="G444"/>
      <c r="H444" s="13">
        <v>42484.27</v>
      </c>
      <c r="I444" s="13">
        <v>1.4614</v>
      </c>
      <c r="J444">
        <v>13</v>
      </c>
      <c r="K444" s="131">
        <v>45688</v>
      </c>
      <c r="M444">
        <v>570</v>
      </c>
      <c r="N444" t="s">
        <v>6284</v>
      </c>
    </row>
    <row r="445" spans="1:14">
      <c r="A445" t="s">
        <v>1746</v>
      </c>
      <c r="B445" t="s">
        <v>1747</v>
      </c>
      <c r="C445" t="s">
        <v>1744</v>
      </c>
      <c r="D445" s="96">
        <v>29.07</v>
      </c>
      <c r="E445" s="13">
        <v>44186.09</v>
      </c>
      <c r="F445" s="486">
        <v>1.52</v>
      </c>
      <c r="G445"/>
      <c r="H445" s="13">
        <v>44186.09</v>
      </c>
      <c r="I445" s="13">
        <v>1.52</v>
      </c>
      <c r="J445">
        <v>13</v>
      </c>
      <c r="K445" s="131">
        <v>45688</v>
      </c>
      <c r="M445">
        <v>570</v>
      </c>
      <c r="N445" t="s">
        <v>6285</v>
      </c>
    </row>
    <row r="446" spans="1:14">
      <c r="A446" t="s">
        <v>1746</v>
      </c>
      <c r="B446" t="s">
        <v>1747</v>
      </c>
      <c r="C446" t="s">
        <v>1744</v>
      </c>
      <c r="D446" s="96">
        <v>29.07</v>
      </c>
      <c r="E446" s="13">
        <v>44330.89</v>
      </c>
      <c r="F446" s="486">
        <v>1.5249999999999999</v>
      </c>
      <c r="G446"/>
      <c r="H446" s="13">
        <v>44330.89</v>
      </c>
      <c r="I446" s="13">
        <v>1.5249999999999999</v>
      </c>
      <c r="J446">
        <v>13</v>
      </c>
      <c r="K446" s="131">
        <v>45688</v>
      </c>
      <c r="M446">
        <v>570</v>
      </c>
      <c r="N446" t="s">
        <v>6286</v>
      </c>
    </row>
    <row r="447" spans="1:14">
      <c r="A447" t="s">
        <v>1746</v>
      </c>
      <c r="B447" t="s">
        <v>6222</v>
      </c>
      <c r="C447" t="s">
        <v>1744</v>
      </c>
      <c r="D447" s="96">
        <v>29.07</v>
      </c>
      <c r="E447" s="13">
        <v>54860.160000000003</v>
      </c>
      <c r="F447" s="486">
        <v>1.8872</v>
      </c>
      <c r="G447"/>
      <c r="H447" s="13">
        <v>54860.160000000003</v>
      </c>
      <c r="I447" s="13">
        <v>1.8872</v>
      </c>
      <c r="J447">
        <v>13</v>
      </c>
      <c r="K447" s="131">
        <v>45688</v>
      </c>
      <c r="M447">
        <v>570</v>
      </c>
      <c r="N447" t="s">
        <v>6287</v>
      </c>
    </row>
    <row r="448" spans="1:14">
      <c r="A448" t="s">
        <v>1746</v>
      </c>
      <c r="B448" t="s">
        <v>6222</v>
      </c>
      <c r="C448" t="s">
        <v>1744</v>
      </c>
      <c r="D448" s="96">
        <v>29.07</v>
      </c>
      <c r="E448" s="13">
        <v>55004.959999999999</v>
      </c>
      <c r="F448" s="486">
        <v>1.8922000000000001</v>
      </c>
      <c r="G448"/>
      <c r="H448" s="13">
        <v>55004.959999999999</v>
      </c>
      <c r="I448" s="13">
        <v>1.8922000000000001</v>
      </c>
      <c r="J448">
        <v>13</v>
      </c>
      <c r="K448" s="131">
        <v>45688</v>
      </c>
      <c r="M448">
        <v>570</v>
      </c>
      <c r="N448" t="s">
        <v>6288</v>
      </c>
    </row>
    <row r="449" spans="1:14">
      <c r="A449" t="s">
        <v>1746</v>
      </c>
      <c r="B449" t="s">
        <v>6177</v>
      </c>
      <c r="C449" t="s">
        <v>1744</v>
      </c>
      <c r="D449" s="96">
        <v>29.11</v>
      </c>
      <c r="E449" s="13">
        <v>53747.29</v>
      </c>
      <c r="F449" s="486">
        <v>1.8464</v>
      </c>
      <c r="G449"/>
      <c r="H449" s="13">
        <v>53747.29</v>
      </c>
      <c r="I449" s="13">
        <v>1.8464</v>
      </c>
      <c r="J449">
        <v>13</v>
      </c>
      <c r="K449" s="131">
        <v>45688</v>
      </c>
      <c r="M449">
        <v>710</v>
      </c>
      <c r="N449" t="s">
        <v>6289</v>
      </c>
    </row>
    <row r="450" spans="1:14">
      <c r="A450" t="s">
        <v>1746</v>
      </c>
      <c r="B450" t="s">
        <v>1748</v>
      </c>
      <c r="C450" t="s">
        <v>1744</v>
      </c>
      <c r="D450" s="96">
        <v>29.64</v>
      </c>
      <c r="E450" s="13">
        <v>40902.080000000002</v>
      </c>
      <c r="F450" s="486">
        <v>1.38</v>
      </c>
      <c r="G450"/>
      <c r="H450" s="13">
        <v>40902.080000000002</v>
      </c>
      <c r="I450" s="13">
        <v>1.38</v>
      </c>
      <c r="J450">
        <v>13</v>
      </c>
      <c r="K450" s="131">
        <v>45688</v>
      </c>
      <c r="M450">
        <v>570</v>
      </c>
      <c r="N450" t="s">
        <v>6290</v>
      </c>
    </row>
    <row r="451" spans="1:14">
      <c r="A451" t="s">
        <v>1746</v>
      </c>
      <c r="B451" t="s">
        <v>1747</v>
      </c>
      <c r="C451" t="s">
        <v>1744</v>
      </c>
      <c r="D451" s="96">
        <v>29.64</v>
      </c>
      <c r="E451" s="13">
        <v>40921.01</v>
      </c>
      <c r="F451" s="486">
        <v>1.3806</v>
      </c>
      <c r="G451"/>
      <c r="H451" s="13">
        <v>40921.01</v>
      </c>
      <c r="I451" s="13">
        <v>1.3806</v>
      </c>
      <c r="J451">
        <v>13</v>
      </c>
      <c r="K451" s="131">
        <v>45688</v>
      </c>
      <c r="M451">
        <v>570</v>
      </c>
      <c r="N451" t="s">
        <v>6291</v>
      </c>
    </row>
    <row r="452" spans="1:14">
      <c r="A452" t="s">
        <v>1746</v>
      </c>
      <c r="B452" t="s">
        <v>1748</v>
      </c>
      <c r="C452" t="s">
        <v>1744</v>
      </c>
      <c r="D452" s="96">
        <v>29.64</v>
      </c>
      <c r="E452" s="13">
        <v>41049.72</v>
      </c>
      <c r="F452" s="486">
        <v>1.3849</v>
      </c>
      <c r="G452"/>
      <c r="H452" s="13">
        <v>41049.72</v>
      </c>
      <c r="I452" s="13">
        <v>1.3849</v>
      </c>
      <c r="J452">
        <v>13</v>
      </c>
      <c r="K452" s="131">
        <v>45688</v>
      </c>
      <c r="M452">
        <v>570</v>
      </c>
      <c r="N452" t="s">
        <v>6292</v>
      </c>
    </row>
    <row r="453" spans="1:14">
      <c r="A453" t="s">
        <v>1746</v>
      </c>
      <c r="B453" t="s">
        <v>1747</v>
      </c>
      <c r="C453" t="s">
        <v>1744</v>
      </c>
      <c r="D453" s="96">
        <v>29.64</v>
      </c>
      <c r="E453" s="13">
        <v>41068.65</v>
      </c>
      <c r="F453" s="486">
        <v>1.3855999999999999</v>
      </c>
      <c r="G453"/>
      <c r="H453" s="13">
        <v>41068.65</v>
      </c>
      <c r="I453" s="13">
        <v>1.3855999999999999</v>
      </c>
      <c r="J453">
        <v>13</v>
      </c>
      <c r="K453" s="131">
        <v>45688</v>
      </c>
      <c r="M453">
        <v>570</v>
      </c>
      <c r="N453" t="s">
        <v>6293</v>
      </c>
    </row>
    <row r="454" spans="1:14">
      <c r="A454" t="s">
        <v>1746</v>
      </c>
      <c r="B454" t="s">
        <v>1748</v>
      </c>
      <c r="C454" t="s">
        <v>1744</v>
      </c>
      <c r="D454" s="96">
        <v>29.64</v>
      </c>
      <c r="E454" s="13">
        <v>42864.160000000003</v>
      </c>
      <c r="F454" s="486">
        <v>1.4461999999999999</v>
      </c>
      <c r="G454"/>
      <c r="H454" s="13">
        <v>42864.160000000003</v>
      </c>
      <c r="I454" s="13">
        <v>1.4461999999999999</v>
      </c>
      <c r="J454">
        <v>13</v>
      </c>
      <c r="K454" s="131">
        <v>45688</v>
      </c>
      <c r="M454">
        <v>570</v>
      </c>
      <c r="N454" t="s">
        <v>6294</v>
      </c>
    </row>
    <row r="455" spans="1:14">
      <c r="A455" t="s">
        <v>1746</v>
      </c>
      <c r="B455" t="s">
        <v>1748</v>
      </c>
      <c r="C455" t="s">
        <v>1744</v>
      </c>
      <c r="D455" s="96">
        <v>29.64</v>
      </c>
      <c r="E455" s="13">
        <v>43011.8</v>
      </c>
      <c r="F455" s="486">
        <v>1.4511000000000001</v>
      </c>
      <c r="G455"/>
      <c r="H455" s="13">
        <v>43011.8</v>
      </c>
      <c r="I455" s="13">
        <v>1.4511000000000001</v>
      </c>
      <c r="J455">
        <v>13</v>
      </c>
      <c r="K455" s="131">
        <v>45688</v>
      </c>
      <c r="M455">
        <v>570</v>
      </c>
      <c r="N455" t="s">
        <v>6295</v>
      </c>
    </row>
    <row r="456" spans="1:14">
      <c r="A456" t="s">
        <v>1746</v>
      </c>
      <c r="B456" t="s">
        <v>1747</v>
      </c>
      <c r="C456" t="s">
        <v>1744</v>
      </c>
      <c r="D456" s="96">
        <v>29.64</v>
      </c>
      <c r="E456" s="13">
        <v>44710.78</v>
      </c>
      <c r="F456" s="486">
        <v>1.5085</v>
      </c>
      <c r="G456"/>
      <c r="H456" s="13">
        <v>44710.78</v>
      </c>
      <c r="I456" s="13">
        <v>1.5085</v>
      </c>
      <c r="J456">
        <v>13</v>
      </c>
      <c r="K456" s="131">
        <v>45688</v>
      </c>
      <c r="M456">
        <v>570</v>
      </c>
      <c r="N456" t="s">
        <v>6296</v>
      </c>
    </row>
    <row r="457" spans="1:14">
      <c r="A457" t="s">
        <v>1746</v>
      </c>
      <c r="B457" t="s">
        <v>1747</v>
      </c>
      <c r="C457" t="s">
        <v>1744</v>
      </c>
      <c r="D457" s="96">
        <v>29.64</v>
      </c>
      <c r="E457" s="13">
        <v>44858.41</v>
      </c>
      <c r="F457" s="486">
        <v>1.5134000000000001</v>
      </c>
      <c r="G457"/>
      <c r="H457" s="13">
        <v>44858.41</v>
      </c>
      <c r="I457" s="13">
        <v>1.5134000000000001</v>
      </c>
      <c r="J457">
        <v>13</v>
      </c>
      <c r="K457" s="131">
        <v>45688</v>
      </c>
      <c r="M457">
        <v>570</v>
      </c>
      <c r="N457" t="s">
        <v>6297</v>
      </c>
    </row>
    <row r="458" spans="1:14">
      <c r="A458" t="s">
        <v>1746</v>
      </c>
      <c r="B458" t="s">
        <v>6222</v>
      </c>
      <c r="C458" t="s">
        <v>1744</v>
      </c>
      <c r="D458" s="96">
        <v>29.64</v>
      </c>
      <c r="E458" s="13">
        <v>55384.84</v>
      </c>
      <c r="F458" s="486">
        <v>1.8686</v>
      </c>
      <c r="G458"/>
      <c r="H458" s="13">
        <v>55384.84</v>
      </c>
      <c r="I458" s="13">
        <v>1.8686</v>
      </c>
      <c r="J458">
        <v>13</v>
      </c>
      <c r="K458" s="131">
        <v>45688</v>
      </c>
      <c r="M458">
        <v>570</v>
      </c>
      <c r="N458" t="s">
        <v>6298</v>
      </c>
    </row>
    <row r="459" spans="1:14">
      <c r="A459" t="s">
        <v>1746</v>
      </c>
      <c r="B459" t="s">
        <v>6222</v>
      </c>
      <c r="C459" t="s">
        <v>1744</v>
      </c>
      <c r="D459" s="96">
        <v>29.64</v>
      </c>
      <c r="E459" s="13">
        <v>55532.480000000003</v>
      </c>
      <c r="F459" s="486">
        <v>1.8735999999999999</v>
      </c>
      <c r="G459"/>
      <c r="H459" s="13">
        <v>55532.480000000003</v>
      </c>
      <c r="I459" s="13">
        <v>1.8735999999999999</v>
      </c>
      <c r="J459">
        <v>13</v>
      </c>
      <c r="K459" s="131">
        <v>45688</v>
      </c>
      <c r="M459">
        <v>570</v>
      </c>
      <c r="N459" t="s">
        <v>6299</v>
      </c>
    </row>
    <row r="460" spans="1:14">
      <c r="A460" t="s">
        <v>1746</v>
      </c>
      <c r="B460" t="s">
        <v>6177</v>
      </c>
      <c r="C460" t="s">
        <v>1744</v>
      </c>
      <c r="D460" s="96">
        <v>29.82</v>
      </c>
      <c r="E460" s="13">
        <v>54475.45</v>
      </c>
      <c r="F460" s="486">
        <v>1.8268</v>
      </c>
      <c r="G460"/>
      <c r="H460" s="13">
        <v>54475.45</v>
      </c>
      <c r="I460" s="13">
        <v>1.8268</v>
      </c>
      <c r="J460">
        <v>13</v>
      </c>
      <c r="K460" s="131">
        <v>45688</v>
      </c>
      <c r="M460">
        <v>710</v>
      </c>
      <c r="N460" t="s">
        <v>6300</v>
      </c>
    </row>
    <row r="461" spans="1:14">
      <c r="A461" t="s">
        <v>1746</v>
      </c>
      <c r="B461" t="s">
        <v>1748</v>
      </c>
      <c r="C461" t="s">
        <v>1744</v>
      </c>
      <c r="D461" s="96">
        <v>30.21</v>
      </c>
      <c r="E461" s="13">
        <v>41741.35</v>
      </c>
      <c r="F461" s="486">
        <v>1.3816999999999999</v>
      </c>
      <c r="G461"/>
      <c r="H461" s="13">
        <v>41741.35</v>
      </c>
      <c r="I461" s="13">
        <v>1.3816999999999999</v>
      </c>
      <c r="J461">
        <v>13</v>
      </c>
      <c r="K461" s="131">
        <v>45688</v>
      </c>
      <c r="M461">
        <v>570</v>
      </c>
      <c r="N461" t="s">
        <v>6301</v>
      </c>
    </row>
    <row r="462" spans="1:14">
      <c r="A462" t="s">
        <v>1746</v>
      </c>
      <c r="B462" t="s">
        <v>1747</v>
      </c>
      <c r="C462" t="s">
        <v>1744</v>
      </c>
      <c r="D462" s="96">
        <v>30.21</v>
      </c>
      <c r="E462" s="13">
        <v>41760.28</v>
      </c>
      <c r="F462" s="486">
        <v>1.3823000000000001</v>
      </c>
      <c r="G462"/>
      <c r="H462" s="13">
        <v>41760.28</v>
      </c>
      <c r="I462" s="13">
        <v>1.3823000000000001</v>
      </c>
      <c r="J462">
        <v>13</v>
      </c>
      <c r="K462" s="131">
        <v>45688</v>
      </c>
      <c r="M462">
        <v>570</v>
      </c>
      <c r="N462" t="s">
        <v>6302</v>
      </c>
    </row>
    <row r="463" spans="1:14">
      <c r="A463" t="s">
        <v>1746</v>
      </c>
      <c r="B463" t="s">
        <v>1748</v>
      </c>
      <c r="C463" t="s">
        <v>1744</v>
      </c>
      <c r="D463" s="96">
        <v>30.21</v>
      </c>
      <c r="E463" s="13">
        <v>41891.83</v>
      </c>
      <c r="F463" s="486">
        <v>1.3867</v>
      </c>
      <c r="G463"/>
      <c r="H463" s="13">
        <v>41891.83</v>
      </c>
      <c r="I463" s="13">
        <v>1.3867</v>
      </c>
      <c r="J463">
        <v>13</v>
      </c>
      <c r="K463" s="131">
        <v>45688</v>
      </c>
      <c r="M463">
        <v>570</v>
      </c>
      <c r="N463" t="s">
        <v>6303</v>
      </c>
    </row>
    <row r="464" spans="1:14">
      <c r="A464" t="s">
        <v>1746</v>
      </c>
      <c r="B464" t="s">
        <v>1747</v>
      </c>
      <c r="C464" t="s">
        <v>1744</v>
      </c>
      <c r="D464" s="96">
        <v>30.21</v>
      </c>
      <c r="E464" s="13">
        <v>41910.76</v>
      </c>
      <c r="F464" s="486">
        <v>1.3873</v>
      </c>
      <c r="G464"/>
      <c r="H464" s="13">
        <v>41910.76</v>
      </c>
      <c r="I464" s="13">
        <v>1.3873</v>
      </c>
      <c r="J464">
        <v>13</v>
      </c>
      <c r="K464" s="131">
        <v>45688</v>
      </c>
      <c r="M464">
        <v>570</v>
      </c>
      <c r="N464" t="s">
        <v>6304</v>
      </c>
    </row>
    <row r="465" spans="1:14">
      <c r="A465" t="s">
        <v>1746</v>
      </c>
      <c r="B465" t="s">
        <v>1748</v>
      </c>
      <c r="C465" t="s">
        <v>1744</v>
      </c>
      <c r="D465" s="96">
        <v>30.21</v>
      </c>
      <c r="E465" s="13">
        <v>43703.43</v>
      </c>
      <c r="F465" s="486">
        <v>1.4467000000000001</v>
      </c>
      <c r="G465"/>
      <c r="H465" s="13">
        <v>43703.43</v>
      </c>
      <c r="I465" s="13">
        <v>1.4467000000000001</v>
      </c>
      <c r="J465">
        <v>13</v>
      </c>
      <c r="K465" s="131">
        <v>45688</v>
      </c>
      <c r="M465">
        <v>570</v>
      </c>
      <c r="N465" t="s">
        <v>6305</v>
      </c>
    </row>
    <row r="466" spans="1:14">
      <c r="A466" t="s">
        <v>1746</v>
      </c>
      <c r="B466" t="s">
        <v>1748</v>
      </c>
      <c r="C466" t="s">
        <v>1744</v>
      </c>
      <c r="D466" s="96">
        <v>30.21</v>
      </c>
      <c r="E466" s="13">
        <v>43853.9</v>
      </c>
      <c r="F466" s="486">
        <v>1.4516</v>
      </c>
      <c r="G466"/>
      <c r="H466" s="13">
        <v>43853.9</v>
      </c>
      <c r="I466" s="13">
        <v>1.4516</v>
      </c>
      <c r="J466">
        <v>13</v>
      </c>
      <c r="K466" s="131">
        <v>45688</v>
      </c>
      <c r="M466">
        <v>570</v>
      </c>
      <c r="N466" t="s">
        <v>6306</v>
      </c>
    </row>
    <row r="467" spans="1:14">
      <c r="A467" t="s">
        <v>1746</v>
      </c>
      <c r="B467" t="s">
        <v>1747</v>
      </c>
      <c r="C467" t="s">
        <v>1744</v>
      </c>
      <c r="D467" s="96">
        <v>30.21</v>
      </c>
      <c r="E467" s="13">
        <v>45550.04</v>
      </c>
      <c r="F467" s="486">
        <v>1.5078</v>
      </c>
      <c r="G467"/>
      <c r="H467" s="13">
        <v>45550.04</v>
      </c>
      <c r="I467" s="13">
        <v>1.5078</v>
      </c>
      <c r="J467">
        <v>13</v>
      </c>
      <c r="K467" s="131">
        <v>45688</v>
      </c>
      <c r="M467">
        <v>570</v>
      </c>
      <c r="N467" t="s">
        <v>6307</v>
      </c>
    </row>
    <row r="468" spans="1:14">
      <c r="A468" t="s">
        <v>1746</v>
      </c>
      <c r="B468" t="s">
        <v>1747</v>
      </c>
      <c r="C468" t="s">
        <v>1744</v>
      </c>
      <c r="D468" s="96">
        <v>30.21</v>
      </c>
      <c r="E468" s="13">
        <v>45700.52</v>
      </c>
      <c r="F468" s="486">
        <v>1.5127999999999999</v>
      </c>
      <c r="G468"/>
      <c r="H468" s="13">
        <v>45700.52</v>
      </c>
      <c r="I468" s="13">
        <v>1.5127999999999999</v>
      </c>
      <c r="J468">
        <v>13</v>
      </c>
      <c r="K468" s="131">
        <v>45688</v>
      </c>
      <c r="M468">
        <v>570</v>
      </c>
      <c r="N468" t="s">
        <v>6308</v>
      </c>
    </row>
    <row r="469" spans="1:14">
      <c r="A469" t="s">
        <v>1746</v>
      </c>
      <c r="B469" t="s">
        <v>6309</v>
      </c>
      <c r="C469" t="s">
        <v>1744</v>
      </c>
      <c r="D469" s="96">
        <v>30.21</v>
      </c>
      <c r="E469" s="13">
        <v>58030.69</v>
      </c>
      <c r="F469" s="486">
        <v>1.9209000000000001</v>
      </c>
      <c r="G469"/>
      <c r="H469" s="13">
        <v>58030.69</v>
      </c>
      <c r="I469" s="13">
        <v>1.9209000000000001</v>
      </c>
      <c r="J469">
        <v>13</v>
      </c>
      <c r="K469" s="131">
        <v>45688</v>
      </c>
      <c r="M469">
        <v>570</v>
      </c>
      <c r="N469" t="s">
        <v>6310</v>
      </c>
    </row>
    <row r="470" spans="1:14">
      <c r="A470" t="s">
        <v>1746</v>
      </c>
      <c r="B470" t="s">
        <v>6309</v>
      </c>
      <c r="C470" t="s">
        <v>1744</v>
      </c>
      <c r="D470" s="96">
        <v>30.21</v>
      </c>
      <c r="E470" s="13">
        <v>58181.17</v>
      </c>
      <c r="F470" s="486">
        <v>1.9258999999999999</v>
      </c>
      <c r="G470"/>
      <c r="H470" s="13">
        <v>58181.17</v>
      </c>
      <c r="I470" s="13">
        <v>1.9258999999999999</v>
      </c>
      <c r="J470">
        <v>13</v>
      </c>
      <c r="K470" s="131">
        <v>45688</v>
      </c>
      <c r="M470">
        <v>570</v>
      </c>
      <c r="N470" t="s">
        <v>6311</v>
      </c>
    </row>
    <row r="471" spans="1:14">
      <c r="A471" t="s">
        <v>1746</v>
      </c>
      <c r="B471" t="s">
        <v>6177</v>
      </c>
      <c r="C471" t="s">
        <v>1744</v>
      </c>
      <c r="D471" s="96">
        <v>30.53</v>
      </c>
      <c r="E471" s="13">
        <v>55203.61</v>
      </c>
      <c r="F471" s="486">
        <v>1.8082</v>
      </c>
      <c r="G471"/>
      <c r="H471" s="13">
        <v>55203.61</v>
      </c>
      <c r="I471" s="13">
        <v>1.8082</v>
      </c>
      <c r="J471">
        <v>13</v>
      </c>
      <c r="K471" s="131">
        <v>45688</v>
      </c>
      <c r="M471">
        <v>710</v>
      </c>
      <c r="N471" t="s">
        <v>6312</v>
      </c>
    </row>
    <row r="472" spans="1:14">
      <c r="A472" t="s">
        <v>1746</v>
      </c>
      <c r="B472" t="s">
        <v>1748</v>
      </c>
      <c r="C472" t="s">
        <v>1744</v>
      </c>
      <c r="D472" s="96">
        <v>30.78</v>
      </c>
      <c r="E472" s="13">
        <v>42266.03</v>
      </c>
      <c r="F472" s="486">
        <v>1.3732</v>
      </c>
      <c r="G472"/>
      <c r="H472" s="13">
        <v>42266.03</v>
      </c>
      <c r="I472" s="13">
        <v>1.3732</v>
      </c>
      <c r="J472">
        <v>13</v>
      </c>
      <c r="K472" s="131">
        <v>45688</v>
      </c>
      <c r="M472">
        <v>570</v>
      </c>
      <c r="N472" t="s">
        <v>6313</v>
      </c>
    </row>
    <row r="473" spans="1:14">
      <c r="A473" t="s">
        <v>1746</v>
      </c>
      <c r="B473" t="s">
        <v>1747</v>
      </c>
      <c r="C473" t="s">
        <v>1744</v>
      </c>
      <c r="D473" s="96">
        <v>30.78</v>
      </c>
      <c r="E473" s="13">
        <v>42284.959999999999</v>
      </c>
      <c r="F473" s="486">
        <v>1.3737999999999999</v>
      </c>
      <c r="G473"/>
      <c r="H473" s="13">
        <v>42284.959999999999</v>
      </c>
      <c r="I473" s="13">
        <v>1.3737999999999999</v>
      </c>
      <c r="J473">
        <v>13</v>
      </c>
      <c r="K473" s="131">
        <v>45688</v>
      </c>
      <c r="M473">
        <v>570</v>
      </c>
      <c r="N473" t="s">
        <v>6314</v>
      </c>
    </row>
    <row r="474" spans="1:14">
      <c r="A474" t="s">
        <v>1746</v>
      </c>
      <c r="B474" t="s">
        <v>1748</v>
      </c>
      <c r="C474" t="s">
        <v>1744</v>
      </c>
      <c r="D474" s="96">
        <v>30.78</v>
      </c>
      <c r="E474" s="13">
        <v>42419.35</v>
      </c>
      <c r="F474" s="486">
        <v>1.3781000000000001</v>
      </c>
      <c r="G474"/>
      <c r="H474" s="13">
        <v>42419.35</v>
      </c>
      <c r="I474" s="13">
        <v>1.3781000000000001</v>
      </c>
      <c r="J474">
        <v>13</v>
      </c>
      <c r="K474" s="131">
        <v>45688</v>
      </c>
      <c r="M474">
        <v>570</v>
      </c>
      <c r="N474" t="s">
        <v>6315</v>
      </c>
    </row>
    <row r="475" spans="1:14">
      <c r="A475" t="s">
        <v>1746</v>
      </c>
      <c r="B475" t="s">
        <v>1747</v>
      </c>
      <c r="C475" t="s">
        <v>1744</v>
      </c>
      <c r="D475" s="96">
        <v>30.78</v>
      </c>
      <c r="E475" s="13">
        <v>42438.28</v>
      </c>
      <c r="F475" s="486">
        <v>1.3788</v>
      </c>
      <c r="G475"/>
      <c r="H475" s="13">
        <v>42438.28</v>
      </c>
      <c r="I475" s="13">
        <v>1.3788</v>
      </c>
      <c r="J475">
        <v>13</v>
      </c>
      <c r="K475" s="131">
        <v>45688</v>
      </c>
      <c r="M475">
        <v>570</v>
      </c>
      <c r="N475" t="s">
        <v>6316</v>
      </c>
    </row>
    <row r="476" spans="1:14">
      <c r="A476" t="s">
        <v>1746</v>
      </c>
      <c r="B476" t="s">
        <v>1748</v>
      </c>
      <c r="C476" t="s">
        <v>1744</v>
      </c>
      <c r="D476" s="96">
        <v>30.78</v>
      </c>
      <c r="E476" s="13">
        <v>44228.11</v>
      </c>
      <c r="F476" s="486">
        <v>1.4369000000000001</v>
      </c>
      <c r="G476"/>
      <c r="H476" s="13">
        <v>44228.11</v>
      </c>
      <c r="I476" s="13">
        <v>1.4369000000000001</v>
      </c>
      <c r="J476">
        <v>13</v>
      </c>
      <c r="K476" s="131">
        <v>45688</v>
      </c>
      <c r="M476">
        <v>570</v>
      </c>
      <c r="N476" t="s">
        <v>6317</v>
      </c>
    </row>
    <row r="477" spans="1:14">
      <c r="A477" t="s">
        <v>1746</v>
      </c>
      <c r="B477" t="s">
        <v>1748</v>
      </c>
      <c r="C477" t="s">
        <v>1744</v>
      </c>
      <c r="D477" s="96">
        <v>30.78</v>
      </c>
      <c r="E477" s="13">
        <v>44381.43</v>
      </c>
      <c r="F477" s="486">
        <v>1.4419</v>
      </c>
      <c r="G477"/>
      <c r="H477" s="13">
        <v>44381.43</v>
      </c>
      <c r="I477" s="13">
        <v>1.4419</v>
      </c>
      <c r="J477">
        <v>13</v>
      </c>
      <c r="K477" s="131">
        <v>45688</v>
      </c>
      <c r="M477">
        <v>570</v>
      </c>
      <c r="N477" t="s">
        <v>6318</v>
      </c>
    </row>
    <row r="478" spans="1:14">
      <c r="A478" t="s">
        <v>1746</v>
      </c>
      <c r="B478" t="s">
        <v>1747</v>
      </c>
      <c r="C478" t="s">
        <v>1744</v>
      </c>
      <c r="D478" s="96">
        <v>30.78</v>
      </c>
      <c r="E478" s="13">
        <v>46074.73</v>
      </c>
      <c r="F478" s="486">
        <v>1.4968999999999999</v>
      </c>
      <c r="G478"/>
      <c r="H478" s="13">
        <v>46074.73</v>
      </c>
      <c r="I478" s="13">
        <v>1.4968999999999999</v>
      </c>
      <c r="J478">
        <v>13</v>
      </c>
      <c r="K478" s="131">
        <v>45688</v>
      </c>
      <c r="M478">
        <v>570</v>
      </c>
      <c r="N478" t="s">
        <v>6319</v>
      </c>
    </row>
    <row r="479" spans="1:14">
      <c r="A479" t="s">
        <v>1746</v>
      </c>
      <c r="B479" t="s">
        <v>1747</v>
      </c>
      <c r="C479" t="s">
        <v>1744</v>
      </c>
      <c r="D479" s="96">
        <v>30.78</v>
      </c>
      <c r="E479" s="13">
        <v>46228.04</v>
      </c>
      <c r="F479" s="486">
        <v>1.5019</v>
      </c>
      <c r="G479"/>
      <c r="H479" s="13">
        <v>46228.04</v>
      </c>
      <c r="I479" s="13">
        <v>1.5019</v>
      </c>
      <c r="J479">
        <v>13</v>
      </c>
      <c r="K479" s="131">
        <v>45688</v>
      </c>
      <c r="M479">
        <v>570</v>
      </c>
      <c r="N479" t="s">
        <v>6320</v>
      </c>
    </row>
    <row r="480" spans="1:14">
      <c r="A480" t="s">
        <v>1746</v>
      </c>
      <c r="B480" t="s">
        <v>6309</v>
      </c>
      <c r="C480" t="s">
        <v>1744</v>
      </c>
      <c r="D480" s="96">
        <v>30.78</v>
      </c>
      <c r="E480" s="13">
        <v>58555.38</v>
      </c>
      <c r="F480" s="486">
        <v>1.9024000000000001</v>
      </c>
      <c r="G480"/>
      <c r="H480" s="13">
        <v>58555.38</v>
      </c>
      <c r="I480" s="13">
        <v>1.9024000000000001</v>
      </c>
      <c r="J480">
        <v>13</v>
      </c>
      <c r="K480" s="131">
        <v>45688</v>
      </c>
      <c r="M480">
        <v>570</v>
      </c>
      <c r="N480" t="s">
        <v>6321</v>
      </c>
    </row>
    <row r="481" spans="1:14">
      <c r="A481" t="s">
        <v>1746</v>
      </c>
      <c r="B481" t="s">
        <v>6309</v>
      </c>
      <c r="C481" t="s">
        <v>1744</v>
      </c>
      <c r="D481" s="96">
        <v>30.78</v>
      </c>
      <c r="E481" s="13">
        <v>58708.69</v>
      </c>
      <c r="F481" s="486">
        <v>1.9074</v>
      </c>
      <c r="G481"/>
      <c r="H481" s="13">
        <v>58708.69</v>
      </c>
      <c r="I481" s="13">
        <v>1.9074</v>
      </c>
      <c r="J481">
        <v>13</v>
      </c>
      <c r="K481" s="131">
        <v>45688</v>
      </c>
      <c r="M481">
        <v>570</v>
      </c>
      <c r="N481" t="s">
        <v>6322</v>
      </c>
    </row>
    <row r="482" spans="1:14">
      <c r="A482" t="s">
        <v>1746</v>
      </c>
      <c r="B482" t="s">
        <v>6177</v>
      </c>
      <c r="C482" t="s">
        <v>1744</v>
      </c>
      <c r="D482" s="96">
        <v>31.24</v>
      </c>
      <c r="E482" s="13">
        <v>55931.77</v>
      </c>
      <c r="F482" s="486">
        <v>1.7904</v>
      </c>
      <c r="G482"/>
      <c r="H482" s="13">
        <v>55931.77</v>
      </c>
      <c r="I482" s="13">
        <v>1.7904</v>
      </c>
      <c r="J482">
        <v>13</v>
      </c>
      <c r="K482" s="131">
        <v>45688</v>
      </c>
      <c r="M482">
        <v>710</v>
      </c>
      <c r="N482" t="s">
        <v>6323</v>
      </c>
    </row>
    <row r="483" spans="1:14">
      <c r="A483" t="s">
        <v>1746</v>
      </c>
      <c r="B483" t="s">
        <v>1748</v>
      </c>
      <c r="C483" t="s">
        <v>1744</v>
      </c>
      <c r="D483" s="96">
        <v>31.35</v>
      </c>
      <c r="E483" s="13">
        <v>42790.720000000001</v>
      </c>
      <c r="F483" s="486">
        <v>1.3649</v>
      </c>
      <c r="G483"/>
      <c r="H483" s="13">
        <v>42790.720000000001</v>
      </c>
      <c r="I483" s="13">
        <v>1.3649</v>
      </c>
      <c r="J483">
        <v>13</v>
      </c>
      <c r="K483" s="131">
        <v>45688</v>
      </c>
      <c r="M483">
        <v>570</v>
      </c>
      <c r="N483" t="s">
        <v>6324</v>
      </c>
    </row>
    <row r="484" spans="1:14">
      <c r="A484" t="s">
        <v>1746</v>
      </c>
      <c r="B484" t="s">
        <v>1747</v>
      </c>
      <c r="C484" t="s">
        <v>1744</v>
      </c>
      <c r="D484" s="96">
        <v>31.35</v>
      </c>
      <c r="E484" s="13">
        <v>42809.65</v>
      </c>
      <c r="F484" s="486">
        <v>1.3654999999999999</v>
      </c>
      <c r="G484"/>
      <c r="H484" s="13">
        <v>42809.65</v>
      </c>
      <c r="I484" s="13">
        <v>1.3654999999999999</v>
      </c>
      <c r="J484">
        <v>13</v>
      </c>
      <c r="K484" s="131">
        <v>45688</v>
      </c>
      <c r="M484">
        <v>570</v>
      </c>
      <c r="N484" t="s">
        <v>6325</v>
      </c>
    </row>
    <row r="485" spans="1:14">
      <c r="A485" t="s">
        <v>1746</v>
      </c>
      <c r="B485" t="s">
        <v>1748</v>
      </c>
      <c r="C485" t="s">
        <v>1744</v>
      </c>
      <c r="D485" s="96">
        <v>31.35</v>
      </c>
      <c r="E485" s="13">
        <v>42946.87</v>
      </c>
      <c r="F485" s="486">
        <v>1.3698999999999999</v>
      </c>
      <c r="G485"/>
      <c r="H485" s="13">
        <v>42946.87</v>
      </c>
      <c r="I485" s="13">
        <v>1.3698999999999999</v>
      </c>
      <c r="J485">
        <v>13</v>
      </c>
      <c r="K485" s="131">
        <v>45688</v>
      </c>
      <c r="M485">
        <v>570</v>
      </c>
      <c r="N485" t="s">
        <v>6326</v>
      </c>
    </row>
    <row r="486" spans="1:14">
      <c r="A486" t="s">
        <v>1746</v>
      </c>
      <c r="B486" t="s">
        <v>1747</v>
      </c>
      <c r="C486" t="s">
        <v>1744</v>
      </c>
      <c r="D486" s="96">
        <v>31.35</v>
      </c>
      <c r="E486" s="13">
        <v>42965.8</v>
      </c>
      <c r="F486" s="486">
        <v>1.3705000000000001</v>
      </c>
      <c r="G486"/>
      <c r="H486" s="13">
        <v>42965.8</v>
      </c>
      <c r="I486" s="13">
        <v>1.3705000000000001</v>
      </c>
      <c r="J486">
        <v>13</v>
      </c>
      <c r="K486" s="131">
        <v>45688</v>
      </c>
      <c r="M486">
        <v>570</v>
      </c>
      <c r="N486" t="s">
        <v>6327</v>
      </c>
    </row>
    <row r="487" spans="1:14">
      <c r="A487" t="s">
        <v>1746</v>
      </c>
      <c r="B487" t="s">
        <v>1748</v>
      </c>
      <c r="C487" t="s">
        <v>1744</v>
      </c>
      <c r="D487" s="96">
        <v>31.35</v>
      </c>
      <c r="E487" s="13">
        <v>44752.800000000003</v>
      </c>
      <c r="F487" s="486">
        <v>1.4275</v>
      </c>
      <c r="G487"/>
      <c r="H487" s="13">
        <v>44752.800000000003</v>
      </c>
      <c r="I487" s="13">
        <v>1.4275</v>
      </c>
      <c r="J487">
        <v>13</v>
      </c>
      <c r="K487" s="131">
        <v>45688</v>
      </c>
      <c r="M487">
        <v>570</v>
      </c>
      <c r="N487" t="s">
        <v>6328</v>
      </c>
    </row>
    <row r="488" spans="1:14">
      <c r="A488" t="s">
        <v>1746</v>
      </c>
      <c r="B488" t="s">
        <v>1748</v>
      </c>
      <c r="C488" t="s">
        <v>1744</v>
      </c>
      <c r="D488" s="96">
        <v>31.35</v>
      </c>
      <c r="E488" s="13">
        <v>44908.95</v>
      </c>
      <c r="F488" s="486">
        <v>1.4325000000000001</v>
      </c>
      <c r="G488"/>
      <c r="H488" s="13">
        <v>44908.95</v>
      </c>
      <c r="I488" s="13">
        <v>1.4325000000000001</v>
      </c>
      <c r="J488">
        <v>13</v>
      </c>
      <c r="K488" s="131">
        <v>45688</v>
      </c>
      <c r="M488">
        <v>570</v>
      </c>
      <c r="N488" t="s">
        <v>6329</v>
      </c>
    </row>
    <row r="489" spans="1:14">
      <c r="A489" t="s">
        <v>1746</v>
      </c>
      <c r="B489" t="s">
        <v>1747</v>
      </c>
      <c r="C489" t="s">
        <v>1744</v>
      </c>
      <c r="D489" s="96">
        <v>31.35</v>
      </c>
      <c r="E489" s="13">
        <v>46599.41</v>
      </c>
      <c r="F489" s="486">
        <v>1.4863999999999999</v>
      </c>
      <c r="G489"/>
      <c r="H489" s="13">
        <v>46599.41</v>
      </c>
      <c r="I489" s="13">
        <v>1.4863999999999999</v>
      </c>
      <c r="J489">
        <v>13</v>
      </c>
      <c r="K489" s="131">
        <v>45688</v>
      </c>
      <c r="M489">
        <v>570</v>
      </c>
      <c r="N489" t="s">
        <v>6330</v>
      </c>
    </row>
    <row r="490" spans="1:14">
      <c r="A490" t="s">
        <v>1746</v>
      </c>
      <c r="B490" t="s">
        <v>1747</v>
      </c>
      <c r="C490" t="s">
        <v>1744</v>
      </c>
      <c r="D490" s="96">
        <v>31.35</v>
      </c>
      <c r="E490" s="13">
        <v>46755.57</v>
      </c>
      <c r="F490" s="486">
        <v>1.4914000000000001</v>
      </c>
      <c r="G490"/>
      <c r="H490" s="13">
        <v>46755.57</v>
      </c>
      <c r="I490" s="13">
        <v>1.4914000000000001</v>
      </c>
      <c r="J490">
        <v>13</v>
      </c>
      <c r="K490" s="131">
        <v>45688</v>
      </c>
      <c r="M490">
        <v>570</v>
      </c>
      <c r="N490" t="s">
        <v>6331</v>
      </c>
    </row>
    <row r="491" spans="1:14">
      <c r="A491" t="s">
        <v>1746</v>
      </c>
      <c r="B491" t="s">
        <v>6309</v>
      </c>
      <c r="C491" t="s">
        <v>1744</v>
      </c>
      <c r="D491" s="96">
        <v>31.35</v>
      </c>
      <c r="E491" s="13">
        <v>59080.06</v>
      </c>
      <c r="F491" s="486">
        <v>1.8845000000000001</v>
      </c>
      <c r="G491"/>
      <c r="H491" s="13">
        <v>59080.06</v>
      </c>
      <c r="I491" s="13">
        <v>1.8845000000000001</v>
      </c>
      <c r="J491">
        <v>13</v>
      </c>
      <c r="K491" s="131">
        <v>45688</v>
      </c>
      <c r="M491">
        <v>570</v>
      </c>
      <c r="N491" t="s">
        <v>6332</v>
      </c>
    </row>
    <row r="492" spans="1:14">
      <c r="A492" t="s">
        <v>1746</v>
      </c>
      <c r="B492" t="s">
        <v>6309</v>
      </c>
      <c r="C492" t="s">
        <v>1744</v>
      </c>
      <c r="D492" s="96">
        <v>31.35</v>
      </c>
      <c r="E492" s="13">
        <v>59236.22</v>
      </c>
      <c r="F492" s="486">
        <v>1.8895</v>
      </c>
      <c r="G492"/>
      <c r="H492" s="13">
        <v>59236.22</v>
      </c>
      <c r="I492" s="13">
        <v>1.8895</v>
      </c>
      <c r="J492">
        <v>13</v>
      </c>
      <c r="K492" s="131">
        <v>45688</v>
      </c>
      <c r="M492">
        <v>570</v>
      </c>
      <c r="N492" t="s">
        <v>6333</v>
      </c>
    </row>
    <row r="493" spans="1:14">
      <c r="A493" t="s">
        <v>1746</v>
      </c>
      <c r="B493" t="s">
        <v>1748</v>
      </c>
      <c r="C493" t="s">
        <v>1744</v>
      </c>
      <c r="D493" s="96">
        <v>31.92</v>
      </c>
      <c r="E493" s="13">
        <v>43315.4</v>
      </c>
      <c r="F493" s="486">
        <v>1.357</v>
      </c>
      <c r="G493"/>
      <c r="H493" s="13">
        <v>43315.4</v>
      </c>
      <c r="I493" s="13">
        <v>1.357</v>
      </c>
      <c r="J493">
        <v>13</v>
      </c>
      <c r="K493" s="131">
        <v>45688</v>
      </c>
      <c r="M493">
        <v>570</v>
      </c>
      <c r="N493" t="s">
        <v>6334</v>
      </c>
    </row>
    <row r="494" spans="1:14">
      <c r="A494" t="s">
        <v>1746</v>
      </c>
      <c r="B494" t="s">
        <v>1747</v>
      </c>
      <c r="C494" t="s">
        <v>1744</v>
      </c>
      <c r="D494" s="96">
        <v>31.92</v>
      </c>
      <c r="E494" s="13">
        <v>43334.33</v>
      </c>
      <c r="F494" s="486">
        <v>1.3575999999999999</v>
      </c>
      <c r="G494"/>
      <c r="H494" s="13">
        <v>43334.33</v>
      </c>
      <c r="I494" s="13">
        <v>1.3575999999999999</v>
      </c>
      <c r="J494">
        <v>13</v>
      </c>
      <c r="K494" s="131">
        <v>45688</v>
      </c>
      <c r="M494">
        <v>570</v>
      </c>
      <c r="N494" t="s">
        <v>6335</v>
      </c>
    </row>
    <row r="495" spans="1:14">
      <c r="A495" t="s">
        <v>1746</v>
      </c>
      <c r="B495" t="s">
        <v>1748</v>
      </c>
      <c r="C495" t="s">
        <v>1744</v>
      </c>
      <c r="D495" s="96">
        <v>31.92</v>
      </c>
      <c r="E495" s="13">
        <v>43474.400000000001</v>
      </c>
      <c r="F495" s="486">
        <v>1.3620000000000001</v>
      </c>
      <c r="G495"/>
      <c r="H495" s="13">
        <v>43474.400000000001</v>
      </c>
      <c r="I495" s="13">
        <v>1.3620000000000001</v>
      </c>
      <c r="J495">
        <v>13</v>
      </c>
      <c r="K495" s="131">
        <v>45688</v>
      </c>
      <c r="M495">
        <v>570</v>
      </c>
      <c r="N495" t="s">
        <v>6336</v>
      </c>
    </row>
    <row r="496" spans="1:14">
      <c r="A496" t="s">
        <v>1746</v>
      </c>
      <c r="B496" t="s">
        <v>1747</v>
      </c>
      <c r="C496" t="s">
        <v>1744</v>
      </c>
      <c r="D496" s="96">
        <v>31.92</v>
      </c>
      <c r="E496" s="13">
        <v>43493.33</v>
      </c>
      <c r="F496" s="486">
        <v>1.3626</v>
      </c>
      <c r="G496"/>
      <c r="H496" s="13">
        <v>43493.33</v>
      </c>
      <c r="I496" s="13">
        <v>1.3626</v>
      </c>
      <c r="J496">
        <v>13</v>
      </c>
      <c r="K496" s="131">
        <v>45688</v>
      </c>
      <c r="M496">
        <v>570</v>
      </c>
      <c r="N496" t="s">
        <v>6337</v>
      </c>
    </row>
    <row r="497" spans="1:14">
      <c r="A497" t="s">
        <v>1746</v>
      </c>
      <c r="B497" t="s">
        <v>1748</v>
      </c>
      <c r="C497" t="s">
        <v>1744</v>
      </c>
      <c r="D497" s="96">
        <v>31.92</v>
      </c>
      <c r="E497" s="13">
        <v>45277.48</v>
      </c>
      <c r="F497" s="486">
        <v>1.4185000000000001</v>
      </c>
      <c r="G497"/>
      <c r="H497" s="13">
        <v>45277.48</v>
      </c>
      <c r="I497" s="13">
        <v>1.4185000000000001</v>
      </c>
      <c r="J497">
        <v>13</v>
      </c>
      <c r="K497" s="131">
        <v>45688</v>
      </c>
      <c r="M497">
        <v>570</v>
      </c>
      <c r="N497" t="s">
        <v>6338</v>
      </c>
    </row>
    <row r="498" spans="1:14">
      <c r="A498" t="s">
        <v>1746</v>
      </c>
      <c r="B498" t="s">
        <v>1748</v>
      </c>
      <c r="C498" t="s">
        <v>1744</v>
      </c>
      <c r="D498" s="96">
        <v>31.92</v>
      </c>
      <c r="E498" s="13">
        <v>45436.47</v>
      </c>
      <c r="F498" s="486">
        <v>1.4234</v>
      </c>
      <c r="G498"/>
      <c r="H498" s="13">
        <v>45436.47</v>
      </c>
      <c r="I498" s="13">
        <v>1.4234</v>
      </c>
      <c r="J498">
        <v>13</v>
      </c>
      <c r="K498" s="131">
        <v>45688</v>
      </c>
      <c r="M498">
        <v>570</v>
      </c>
      <c r="N498" t="s">
        <v>6339</v>
      </c>
    </row>
    <row r="499" spans="1:14">
      <c r="A499" t="s">
        <v>1746</v>
      </c>
      <c r="B499" t="s">
        <v>1747</v>
      </c>
      <c r="C499" t="s">
        <v>1744</v>
      </c>
      <c r="D499" s="96">
        <v>31.92</v>
      </c>
      <c r="E499" s="13">
        <v>47124.1</v>
      </c>
      <c r="F499" s="486">
        <v>1.4762999999999999</v>
      </c>
      <c r="G499"/>
      <c r="H499" s="13">
        <v>47124.1</v>
      </c>
      <c r="I499" s="13">
        <v>1.4762999999999999</v>
      </c>
      <c r="J499">
        <v>13</v>
      </c>
      <c r="K499" s="131">
        <v>45688</v>
      </c>
      <c r="M499">
        <v>570</v>
      </c>
      <c r="N499" t="s">
        <v>6340</v>
      </c>
    </row>
    <row r="500" spans="1:14">
      <c r="A500" t="s">
        <v>1746</v>
      </c>
      <c r="B500" t="s">
        <v>1747</v>
      </c>
      <c r="C500" t="s">
        <v>1744</v>
      </c>
      <c r="D500" s="96">
        <v>31.92</v>
      </c>
      <c r="E500" s="13">
        <v>47283.09</v>
      </c>
      <c r="F500" s="486">
        <v>1.4813000000000001</v>
      </c>
      <c r="G500"/>
      <c r="H500" s="13">
        <v>47283.09</v>
      </c>
      <c r="I500" s="13">
        <v>1.4813000000000001</v>
      </c>
      <c r="J500">
        <v>13</v>
      </c>
      <c r="K500" s="131">
        <v>45688</v>
      </c>
      <c r="M500">
        <v>570</v>
      </c>
      <c r="N500" t="s">
        <v>6341</v>
      </c>
    </row>
    <row r="501" spans="1:14">
      <c r="A501" t="s">
        <v>1746</v>
      </c>
      <c r="B501" t="s">
        <v>6309</v>
      </c>
      <c r="C501" t="s">
        <v>1744</v>
      </c>
      <c r="D501" s="96">
        <v>31.92</v>
      </c>
      <c r="E501" s="13">
        <v>59604.75</v>
      </c>
      <c r="F501" s="486">
        <v>1.8673</v>
      </c>
      <c r="G501"/>
      <c r="H501" s="13">
        <v>59604.75</v>
      </c>
      <c r="I501" s="13">
        <v>1.8673</v>
      </c>
      <c r="J501">
        <v>13</v>
      </c>
      <c r="K501" s="131">
        <v>45688</v>
      </c>
      <c r="M501">
        <v>570</v>
      </c>
      <c r="N501" t="s">
        <v>6342</v>
      </c>
    </row>
    <row r="502" spans="1:14">
      <c r="A502" t="s">
        <v>1746</v>
      </c>
      <c r="B502" t="s">
        <v>6309</v>
      </c>
      <c r="C502" t="s">
        <v>1744</v>
      </c>
      <c r="D502" s="96">
        <v>31.92</v>
      </c>
      <c r="E502" s="13">
        <v>59763.74</v>
      </c>
      <c r="F502" s="486">
        <v>1.8723000000000001</v>
      </c>
      <c r="G502"/>
      <c r="H502" s="13">
        <v>59763.74</v>
      </c>
      <c r="I502" s="13">
        <v>1.8723000000000001</v>
      </c>
      <c r="J502">
        <v>13</v>
      </c>
      <c r="K502" s="131">
        <v>45688</v>
      </c>
      <c r="M502">
        <v>570</v>
      </c>
      <c r="N502" t="s">
        <v>6343</v>
      </c>
    </row>
    <row r="503" spans="1:14">
      <c r="A503" t="s">
        <v>1746</v>
      </c>
      <c r="B503" t="s">
        <v>6222</v>
      </c>
      <c r="C503" t="s">
        <v>1744</v>
      </c>
      <c r="D503" s="96">
        <v>31.95</v>
      </c>
      <c r="E503" s="13">
        <v>58781.09</v>
      </c>
      <c r="F503" s="486">
        <v>1.8398000000000001</v>
      </c>
      <c r="G503"/>
      <c r="H503" s="13">
        <v>58781.09</v>
      </c>
      <c r="I503" s="13">
        <v>1.8398000000000001</v>
      </c>
      <c r="J503">
        <v>13</v>
      </c>
      <c r="K503" s="131">
        <v>45688</v>
      </c>
      <c r="M503">
        <v>710</v>
      </c>
      <c r="N503" t="s">
        <v>6344</v>
      </c>
    </row>
    <row r="504" spans="1:14">
      <c r="A504" t="s">
        <v>1746</v>
      </c>
      <c r="B504" t="s">
        <v>1748</v>
      </c>
      <c r="C504" t="s">
        <v>1744</v>
      </c>
      <c r="D504" s="96">
        <v>32.49</v>
      </c>
      <c r="E504" s="13">
        <v>44154.67</v>
      </c>
      <c r="F504" s="486">
        <v>1.359</v>
      </c>
      <c r="G504"/>
      <c r="H504" s="13">
        <v>44154.67</v>
      </c>
      <c r="I504" s="13">
        <v>1.359</v>
      </c>
      <c r="J504">
        <v>13</v>
      </c>
      <c r="K504" s="131">
        <v>45688</v>
      </c>
      <c r="M504">
        <v>570</v>
      </c>
      <c r="N504" t="s">
        <v>6345</v>
      </c>
    </row>
    <row r="505" spans="1:14">
      <c r="A505" t="s">
        <v>1746</v>
      </c>
      <c r="B505" t="s">
        <v>1747</v>
      </c>
      <c r="C505" t="s">
        <v>1744</v>
      </c>
      <c r="D505" s="96">
        <v>32.49</v>
      </c>
      <c r="E505" s="13">
        <v>44173.599999999999</v>
      </c>
      <c r="F505" s="486">
        <v>1.3595999999999999</v>
      </c>
      <c r="G505"/>
      <c r="H505" s="13">
        <v>44173.599999999999</v>
      </c>
      <c r="I505" s="13">
        <v>1.3595999999999999</v>
      </c>
      <c r="J505">
        <v>13</v>
      </c>
      <c r="K505" s="131">
        <v>45688</v>
      </c>
      <c r="M505">
        <v>570</v>
      </c>
      <c r="N505" t="s">
        <v>6346</v>
      </c>
    </row>
    <row r="506" spans="1:14">
      <c r="A506" t="s">
        <v>1746</v>
      </c>
      <c r="B506" t="s">
        <v>1748</v>
      </c>
      <c r="C506" t="s">
        <v>1744</v>
      </c>
      <c r="D506" s="96">
        <v>32.49</v>
      </c>
      <c r="E506" s="13">
        <v>44316.5</v>
      </c>
      <c r="F506" s="486">
        <v>1.3640000000000001</v>
      </c>
      <c r="G506"/>
      <c r="H506" s="13">
        <v>44316.5</v>
      </c>
      <c r="I506" s="13">
        <v>1.3640000000000001</v>
      </c>
      <c r="J506">
        <v>13</v>
      </c>
      <c r="K506" s="131">
        <v>45688</v>
      </c>
      <c r="M506">
        <v>570</v>
      </c>
      <c r="N506" t="s">
        <v>6347</v>
      </c>
    </row>
    <row r="507" spans="1:14">
      <c r="A507" t="s">
        <v>1746</v>
      </c>
      <c r="B507" t="s">
        <v>1747</v>
      </c>
      <c r="C507" t="s">
        <v>1744</v>
      </c>
      <c r="D507" s="96">
        <v>32.49</v>
      </c>
      <c r="E507" s="13">
        <v>44335.43</v>
      </c>
      <c r="F507" s="486">
        <v>1.3646</v>
      </c>
      <c r="G507"/>
      <c r="H507" s="13">
        <v>44335.43</v>
      </c>
      <c r="I507" s="13">
        <v>1.3646</v>
      </c>
      <c r="J507">
        <v>13</v>
      </c>
      <c r="K507" s="131">
        <v>45688</v>
      </c>
      <c r="M507">
        <v>570</v>
      </c>
      <c r="N507" t="s">
        <v>6348</v>
      </c>
    </row>
    <row r="508" spans="1:14">
      <c r="A508" t="s">
        <v>1746</v>
      </c>
      <c r="B508" t="s">
        <v>1748</v>
      </c>
      <c r="C508" t="s">
        <v>1744</v>
      </c>
      <c r="D508" s="96">
        <v>32.49</v>
      </c>
      <c r="E508" s="13">
        <v>46116.75</v>
      </c>
      <c r="F508" s="486">
        <v>1.4194</v>
      </c>
      <c r="G508"/>
      <c r="H508" s="13">
        <v>46116.75</v>
      </c>
      <c r="I508" s="13">
        <v>1.4194</v>
      </c>
      <c r="J508">
        <v>13</v>
      </c>
      <c r="K508" s="131">
        <v>45688</v>
      </c>
      <c r="M508">
        <v>570</v>
      </c>
      <c r="N508" t="s">
        <v>6349</v>
      </c>
    </row>
    <row r="509" spans="1:14">
      <c r="A509" t="s">
        <v>1746</v>
      </c>
      <c r="B509" t="s">
        <v>1748</v>
      </c>
      <c r="C509" t="s">
        <v>1744</v>
      </c>
      <c r="D509" s="96">
        <v>32.49</v>
      </c>
      <c r="E509" s="13">
        <v>46278.58</v>
      </c>
      <c r="F509" s="486">
        <v>1.4244000000000001</v>
      </c>
      <c r="G509"/>
      <c r="H509" s="13">
        <v>46278.58</v>
      </c>
      <c r="I509" s="13">
        <v>1.4244000000000001</v>
      </c>
      <c r="J509">
        <v>13</v>
      </c>
      <c r="K509" s="131">
        <v>45688</v>
      </c>
      <c r="M509">
        <v>570</v>
      </c>
      <c r="N509" t="s">
        <v>6350</v>
      </c>
    </row>
    <row r="510" spans="1:14">
      <c r="A510" t="s">
        <v>1746</v>
      </c>
      <c r="B510" t="s">
        <v>1747</v>
      </c>
      <c r="C510" t="s">
        <v>1744</v>
      </c>
      <c r="D510" s="96">
        <v>32.49</v>
      </c>
      <c r="E510" s="13">
        <v>47963.360000000001</v>
      </c>
      <c r="F510" s="486">
        <v>1.4762</v>
      </c>
      <c r="G510"/>
      <c r="H510" s="13">
        <v>47963.360000000001</v>
      </c>
      <c r="I510" s="13">
        <v>1.4762</v>
      </c>
      <c r="J510">
        <v>13</v>
      </c>
      <c r="K510" s="131">
        <v>45688</v>
      </c>
      <c r="M510">
        <v>570</v>
      </c>
      <c r="N510" t="s">
        <v>6351</v>
      </c>
    </row>
    <row r="511" spans="1:14">
      <c r="A511" t="s">
        <v>1746</v>
      </c>
      <c r="B511" t="s">
        <v>1747</v>
      </c>
      <c r="C511" t="s">
        <v>1744</v>
      </c>
      <c r="D511" s="96">
        <v>32.49</v>
      </c>
      <c r="E511" s="13">
        <v>48125.2</v>
      </c>
      <c r="F511" s="486">
        <v>1.4812000000000001</v>
      </c>
      <c r="G511"/>
      <c r="H511" s="13">
        <v>48125.2</v>
      </c>
      <c r="I511" s="13">
        <v>1.4812000000000001</v>
      </c>
      <c r="J511">
        <v>13</v>
      </c>
      <c r="K511" s="131">
        <v>45688</v>
      </c>
      <c r="M511">
        <v>570</v>
      </c>
      <c r="N511" t="s">
        <v>6352</v>
      </c>
    </row>
    <row r="512" spans="1:14">
      <c r="A512" t="s">
        <v>1746</v>
      </c>
      <c r="B512" t="s">
        <v>6353</v>
      </c>
      <c r="C512" t="s">
        <v>1744</v>
      </c>
      <c r="D512" s="96">
        <v>32.49</v>
      </c>
      <c r="E512" s="13">
        <v>62250.6</v>
      </c>
      <c r="F512" s="486">
        <v>1.9159999999999999</v>
      </c>
      <c r="G512"/>
      <c r="H512" s="13">
        <v>62250.6</v>
      </c>
      <c r="I512" s="13">
        <v>1.9159999999999999</v>
      </c>
      <c r="J512">
        <v>13</v>
      </c>
      <c r="K512" s="131">
        <v>45688</v>
      </c>
      <c r="M512">
        <v>570</v>
      </c>
      <c r="N512" t="s">
        <v>6354</v>
      </c>
    </row>
    <row r="513" spans="1:14">
      <c r="A513" t="s">
        <v>1746</v>
      </c>
      <c r="B513" t="s">
        <v>6353</v>
      </c>
      <c r="C513" t="s">
        <v>1744</v>
      </c>
      <c r="D513" s="96">
        <v>32.49</v>
      </c>
      <c r="E513" s="13">
        <v>62412.43</v>
      </c>
      <c r="F513" s="486">
        <v>1.921</v>
      </c>
      <c r="G513"/>
      <c r="H513" s="13">
        <v>62412.43</v>
      </c>
      <c r="I513" s="13">
        <v>1.921</v>
      </c>
      <c r="J513">
        <v>13</v>
      </c>
      <c r="K513" s="131">
        <v>45688</v>
      </c>
      <c r="M513">
        <v>570</v>
      </c>
      <c r="N513" t="s">
        <v>6355</v>
      </c>
    </row>
    <row r="514" spans="1:14">
      <c r="A514" t="s">
        <v>1746</v>
      </c>
      <c r="B514" t="s">
        <v>6222</v>
      </c>
      <c r="C514" t="s">
        <v>1744</v>
      </c>
      <c r="D514" s="96">
        <v>32.659999999999997</v>
      </c>
      <c r="E514" s="13">
        <v>59509.25</v>
      </c>
      <c r="F514" s="486">
        <v>1.8221000000000001</v>
      </c>
      <c r="G514"/>
      <c r="H514" s="13">
        <v>59509.25</v>
      </c>
      <c r="I514" s="13">
        <v>1.8221000000000001</v>
      </c>
      <c r="J514">
        <v>13</v>
      </c>
      <c r="K514" s="131">
        <v>45688</v>
      </c>
      <c r="M514">
        <v>710</v>
      </c>
      <c r="N514" t="s">
        <v>6356</v>
      </c>
    </row>
    <row r="515" spans="1:14">
      <c r="A515" t="s">
        <v>1746</v>
      </c>
      <c r="B515" t="s">
        <v>1748</v>
      </c>
      <c r="C515" t="s">
        <v>1744</v>
      </c>
      <c r="D515" s="96">
        <v>33.06</v>
      </c>
      <c r="E515" s="13">
        <v>44679.35</v>
      </c>
      <c r="F515" s="486">
        <v>1.3514999999999999</v>
      </c>
      <c r="G515"/>
      <c r="H515" s="13">
        <v>44679.35</v>
      </c>
      <c r="I515" s="13">
        <v>1.3514999999999999</v>
      </c>
      <c r="J515">
        <v>13</v>
      </c>
      <c r="K515" s="131">
        <v>45688</v>
      </c>
      <c r="M515">
        <v>570</v>
      </c>
      <c r="N515" t="s">
        <v>6357</v>
      </c>
    </row>
    <row r="516" spans="1:14">
      <c r="A516" t="s">
        <v>1746</v>
      </c>
      <c r="B516" t="s">
        <v>1747</v>
      </c>
      <c r="C516" t="s">
        <v>1744</v>
      </c>
      <c r="D516" s="96">
        <v>33.06</v>
      </c>
      <c r="E516" s="13">
        <v>44698.28</v>
      </c>
      <c r="F516" s="486">
        <v>1.3520000000000001</v>
      </c>
      <c r="G516"/>
      <c r="H516" s="13">
        <v>44698.28</v>
      </c>
      <c r="I516" s="13">
        <v>1.3520000000000001</v>
      </c>
      <c r="J516">
        <v>13</v>
      </c>
      <c r="K516" s="131">
        <v>45688</v>
      </c>
      <c r="M516">
        <v>570</v>
      </c>
      <c r="N516" t="s">
        <v>6358</v>
      </c>
    </row>
    <row r="517" spans="1:14">
      <c r="A517" t="s">
        <v>1746</v>
      </c>
      <c r="B517" t="s">
        <v>1748</v>
      </c>
      <c r="C517" t="s">
        <v>1744</v>
      </c>
      <c r="D517" s="96">
        <v>33.06</v>
      </c>
      <c r="E517" s="13">
        <v>44844.03</v>
      </c>
      <c r="F517" s="486">
        <v>1.3564000000000001</v>
      </c>
      <c r="G517"/>
      <c r="H517" s="13">
        <v>44844.03</v>
      </c>
      <c r="I517" s="13">
        <v>1.3564000000000001</v>
      </c>
      <c r="J517">
        <v>13</v>
      </c>
      <c r="K517" s="131">
        <v>45688</v>
      </c>
      <c r="M517">
        <v>570</v>
      </c>
      <c r="N517" t="s">
        <v>6359</v>
      </c>
    </row>
    <row r="518" spans="1:14">
      <c r="A518" t="s">
        <v>1746</v>
      </c>
      <c r="B518" t="s">
        <v>1747</v>
      </c>
      <c r="C518" t="s">
        <v>1744</v>
      </c>
      <c r="D518" s="96">
        <v>33.06</v>
      </c>
      <c r="E518" s="13">
        <v>44862.96</v>
      </c>
      <c r="F518" s="486">
        <v>1.357</v>
      </c>
      <c r="G518"/>
      <c r="H518" s="13">
        <v>44862.96</v>
      </c>
      <c r="I518" s="13">
        <v>1.357</v>
      </c>
      <c r="J518">
        <v>13</v>
      </c>
      <c r="K518" s="131">
        <v>45688</v>
      </c>
      <c r="M518">
        <v>570</v>
      </c>
      <c r="N518" t="s">
        <v>6360</v>
      </c>
    </row>
    <row r="519" spans="1:14">
      <c r="A519" t="s">
        <v>1746</v>
      </c>
      <c r="B519" t="s">
        <v>1748</v>
      </c>
      <c r="C519" t="s">
        <v>1744</v>
      </c>
      <c r="D519" s="96">
        <v>33.06</v>
      </c>
      <c r="E519" s="13">
        <v>46641.43</v>
      </c>
      <c r="F519" s="486">
        <v>1.4108000000000001</v>
      </c>
      <c r="G519"/>
      <c r="H519" s="13">
        <v>46641.43</v>
      </c>
      <c r="I519" s="13">
        <v>1.4108000000000001</v>
      </c>
      <c r="J519">
        <v>13</v>
      </c>
      <c r="K519" s="131">
        <v>45688</v>
      </c>
      <c r="M519">
        <v>570</v>
      </c>
      <c r="N519" t="s">
        <v>6361</v>
      </c>
    </row>
    <row r="520" spans="1:14">
      <c r="A520" t="s">
        <v>1746</v>
      </c>
      <c r="B520" t="s">
        <v>1748</v>
      </c>
      <c r="C520" t="s">
        <v>1744</v>
      </c>
      <c r="D520" s="96">
        <v>33.06</v>
      </c>
      <c r="E520" s="13">
        <v>46806.1</v>
      </c>
      <c r="F520" s="486">
        <v>1.4157999999999999</v>
      </c>
      <c r="G520"/>
      <c r="H520" s="13">
        <v>46806.1</v>
      </c>
      <c r="I520" s="13">
        <v>1.4157999999999999</v>
      </c>
      <c r="J520">
        <v>13</v>
      </c>
      <c r="K520" s="131">
        <v>45688</v>
      </c>
      <c r="M520">
        <v>570</v>
      </c>
      <c r="N520" t="s">
        <v>6362</v>
      </c>
    </row>
    <row r="521" spans="1:14">
      <c r="A521" t="s">
        <v>1746</v>
      </c>
      <c r="B521" t="s">
        <v>1747</v>
      </c>
      <c r="C521" t="s">
        <v>1744</v>
      </c>
      <c r="D521" s="96">
        <v>33.06</v>
      </c>
      <c r="E521" s="13">
        <v>48488.05</v>
      </c>
      <c r="F521" s="486">
        <v>1.4666999999999999</v>
      </c>
      <c r="G521"/>
      <c r="H521" s="13">
        <v>48488.05</v>
      </c>
      <c r="I521" s="13">
        <v>1.4666999999999999</v>
      </c>
      <c r="J521">
        <v>13</v>
      </c>
      <c r="K521" s="131">
        <v>45688</v>
      </c>
      <c r="M521">
        <v>570</v>
      </c>
      <c r="N521" t="s">
        <v>6363</v>
      </c>
    </row>
    <row r="522" spans="1:14">
      <c r="A522" t="s">
        <v>1746</v>
      </c>
      <c r="B522" t="s">
        <v>1747</v>
      </c>
      <c r="C522" t="s">
        <v>1744</v>
      </c>
      <c r="D522" s="96">
        <v>33.06</v>
      </c>
      <c r="E522" s="13">
        <v>48652.72</v>
      </c>
      <c r="F522" s="486">
        <v>1.4716</v>
      </c>
      <c r="G522"/>
      <c r="H522" s="13">
        <v>48652.72</v>
      </c>
      <c r="I522" s="13">
        <v>1.4716</v>
      </c>
      <c r="J522">
        <v>13</v>
      </c>
      <c r="K522" s="131">
        <v>45688</v>
      </c>
      <c r="M522">
        <v>570</v>
      </c>
      <c r="N522" t="s">
        <v>6364</v>
      </c>
    </row>
    <row r="523" spans="1:14">
      <c r="A523" t="s">
        <v>1746</v>
      </c>
      <c r="B523" t="s">
        <v>6353</v>
      </c>
      <c r="C523" t="s">
        <v>1744</v>
      </c>
      <c r="D523" s="96">
        <v>33.06</v>
      </c>
      <c r="E523" s="13">
        <v>62775.28</v>
      </c>
      <c r="F523" s="486">
        <v>1.8988</v>
      </c>
      <c r="G523"/>
      <c r="H523" s="13">
        <v>62775.28</v>
      </c>
      <c r="I523" s="13">
        <v>1.8988</v>
      </c>
      <c r="J523">
        <v>13</v>
      </c>
      <c r="K523" s="131">
        <v>45688</v>
      </c>
      <c r="M523">
        <v>570</v>
      </c>
      <c r="N523" t="s">
        <v>6365</v>
      </c>
    </row>
    <row r="524" spans="1:14">
      <c r="A524" t="s">
        <v>1746</v>
      </c>
      <c r="B524" t="s">
        <v>6353</v>
      </c>
      <c r="C524" t="s">
        <v>1744</v>
      </c>
      <c r="D524" s="96">
        <v>33.06</v>
      </c>
      <c r="E524" s="13">
        <v>62939.95</v>
      </c>
      <c r="F524" s="486">
        <v>1.9037999999999999</v>
      </c>
      <c r="G524"/>
      <c r="H524" s="13">
        <v>62939.95</v>
      </c>
      <c r="I524" s="13">
        <v>1.9037999999999999</v>
      </c>
      <c r="J524">
        <v>13</v>
      </c>
      <c r="K524" s="131">
        <v>45688</v>
      </c>
      <c r="M524">
        <v>570</v>
      </c>
      <c r="N524" t="s">
        <v>6366</v>
      </c>
    </row>
    <row r="525" spans="1:14">
      <c r="A525" t="s">
        <v>1746</v>
      </c>
      <c r="B525" t="s">
        <v>6222</v>
      </c>
      <c r="C525" t="s">
        <v>1744</v>
      </c>
      <c r="D525" s="96">
        <v>33.369999999999997</v>
      </c>
      <c r="E525" s="13">
        <v>60237.41</v>
      </c>
      <c r="F525" s="486">
        <v>1.8050999999999999</v>
      </c>
      <c r="G525"/>
      <c r="H525" s="13">
        <v>60237.41</v>
      </c>
      <c r="I525" s="13">
        <v>1.8050999999999999</v>
      </c>
      <c r="J525">
        <v>13</v>
      </c>
      <c r="K525" s="131">
        <v>45688</v>
      </c>
      <c r="M525">
        <v>710</v>
      </c>
      <c r="N525" t="s">
        <v>6367</v>
      </c>
    </row>
    <row r="526" spans="1:14">
      <c r="A526" t="s">
        <v>1746</v>
      </c>
      <c r="B526" t="s">
        <v>1748</v>
      </c>
      <c r="C526" t="s">
        <v>1744</v>
      </c>
      <c r="D526" s="96">
        <v>33.630000000000003</v>
      </c>
      <c r="E526" s="13">
        <v>45204.04</v>
      </c>
      <c r="F526" s="486">
        <v>1.3442000000000001</v>
      </c>
      <c r="G526"/>
      <c r="H526" s="13">
        <v>45204.04</v>
      </c>
      <c r="I526" s="13">
        <v>1.3442000000000001</v>
      </c>
      <c r="J526">
        <v>13</v>
      </c>
      <c r="K526" s="131">
        <v>45688</v>
      </c>
      <c r="M526">
        <v>570</v>
      </c>
      <c r="N526" t="s">
        <v>6368</v>
      </c>
    </row>
    <row r="527" spans="1:14">
      <c r="A527" t="s">
        <v>1746</v>
      </c>
      <c r="B527" t="s">
        <v>1747</v>
      </c>
      <c r="C527" t="s">
        <v>1744</v>
      </c>
      <c r="D527" s="96">
        <v>33.630000000000003</v>
      </c>
      <c r="E527" s="13">
        <v>45222.97</v>
      </c>
      <c r="F527" s="486">
        <v>1.3447</v>
      </c>
      <c r="G527"/>
      <c r="H527" s="13">
        <v>45222.97</v>
      </c>
      <c r="I527" s="13">
        <v>1.3447</v>
      </c>
      <c r="J527">
        <v>13</v>
      </c>
      <c r="K527" s="131">
        <v>45688</v>
      </c>
      <c r="M527">
        <v>570</v>
      </c>
      <c r="N527" t="s">
        <v>6369</v>
      </c>
    </row>
    <row r="528" spans="1:14">
      <c r="A528" t="s">
        <v>1746</v>
      </c>
      <c r="B528" t="s">
        <v>1748</v>
      </c>
      <c r="C528" t="s">
        <v>1744</v>
      </c>
      <c r="D528" s="96">
        <v>33.630000000000003</v>
      </c>
      <c r="E528" s="13">
        <v>45371.55</v>
      </c>
      <c r="F528" s="486">
        <v>1.3491</v>
      </c>
      <c r="G528"/>
      <c r="H528" s="13">
        <v>45371.55</v>
      </c>
      <c r="I528" s="13">
        <v>1.3491</v>
      </c>
      <c r="J528">
        <v>13</v>
      </c>
      <c r="K528" s="131">
        <v>45688</v>
      </c>
      <c r="M528">
        <v>570</v>
      </c>
      <c r="N528" t="s">
        <v>6370</v>
      </c>
    </row>
    <row r="529" spans="1:14">
      <c r="A529" t="s">
        <v>1746</v>
      </c>
      <c r="B529" t="s">
        <v>1747</v>
      </c>
      <c r="C529" t="s">
        <v>1744</v>
      </c>
      <c r="D529" s="96">
        <v>33.630000000000003</v>
      </c>
      <c r="E529" s="13">
        <v>45390.48</v>
      </c>
      <c r="F529" s="486">
        <v>1.3496999999999999</v>
      </c>
      <c r="G529"/>
      <c r="H529" s="13">
        <v>45390.48</v>
      </c>
      <c r="I529" s="13">
        <v>1.3496999999999999</v>
      </c>
      <c r="J529">
        <v>13</v>
      </c>
      <c r="K529" s="131">
        <v>45688</v>
      </c>
      <c r="M529">
        <v>570</v>
      </c>
      <c r="N529" t="s">
        <v>6371</v>
      </c>
    </row>
    <row r="530" spans="1:14">
      <c r="A530" t="s">
        <v>1746</v>
      </c>
      <c r="B530" t="s">
        <v>1748</v>
      </c>
      <c r="C530" t="s">
        <v>1744</v>
      </c>
      <c r="D530" s="96">
        <v>33.630000000000003</v>
      </c>
      <c r="E530" s="13">
        <v>47166.12</v>
      </c>
      <c r="F530" s="486">
        <v>1.4025000000000001</v>
      </c>
      <c r="G530"/>
      <c r="H530" s="13">
        <v>47166.12</v>
      </c>
      <c r="I530" s="13">
        <v>1.4025000000000001</v>
      </c>
      <c r="J530">
        <v>13</v>
      </c>
      <c r="K530" s="131">
        <v>45688</v>
      </c>
      <c r="M530">
        <v>570</v>
      </c>
      <c r="N530" t="s">
        <v>6372</v>
      </c>
    </row>
    <row r="531" spans="1:14">
      <c r="A531" t="s">
        <v>1746</v>
      </c>
      <c r="B531" t="s">
        <v>1748</v>
      </c>
      <c r="C531" t="s">
        <v>1744</v>
      </c>
      <c r="D531" s="96">
        <v>33.630000000000003</v>
      </c>
      <c r="E531" s="13">
        <v>47333.63</v>
      </c>
      <c r="F531" s="486">
        <v>1.4075</v>
      </c>
      <c r="G531"/>
      <c r="H531" s="13">
        <v>47333.63</v>
      </c>
      <c r="I531" s="13">
        <v>1.4075</v>
      </c>
      <c r="J531">
        <v>13</v>
      </c>
      <c r="K531" s="131">
        <v>45688</v>
      </c>
      <c r="M531">
        <v>570</v>
      </c>
      <c r="N531" t="s">
        <v>6373</v>
      </c>
    </row>
    <row r="532" spans="1:14">
      <c r="A532" t="s">
        <v>1746</v>
      </c>
      <c r="B532" t="s">
        <v>1747</v>
      </c>
      <c r="C532" t="s">
        <v>1744</v>
      </c>
      <c r="D532" s="96">
        <v>33.630000000000003</v>
      </c>
      <c r="E532" s="13">
        <v>49012.73</v>
      </c>
      <c r="F532" s="486">
        <v>1.4574</v>
      </c>
      <c r="G532"/>
      <c r="H532" s="13">
        <v>49012.73</v>
      </c>
      <c r="I532" s="13">
        <v>1.4574</v>
      </c>
      <c r="J532">
        <v>13</v>
      </c>
      <c r="K532" s="131">
        <v>45688</v>
      </c>
      <c r="M532">
        <v>570</v>
      </c>
      <c r="N532" t="s">
        <v>6374</v>
      </c>
    </row>
    <row r="533" spans="1:14">
      <c r="A533" t="s">
        <v>1746</v>
      </c>
      <c r="B533" t="s">
        <v>1747</v>
      </c>
      <c r="C533" t="s">
        <v>1744</v>
      </c>
      <c r="D533" s="96">
        <v>33.630000000000003</v>
      </c>
      <c r="E533" s="13">
        <v>49180.24</v>
      </c>
      <c r="F533" s="486">
        <v>1.4623999999999999</v>
      </c>
      <c r="G533"/>
      <c r="H533" s="13">
        <v>49180.24</v>
      </c>
      <c r="I533" s="13">
        <v>1.4623999999999999</v>
      </c>
      <c r="J533">
        <v>13</v>
      </c>
      <c r="K533" s="131">
        <v>45688</v>
      </c>
      <c r="M533">
        <v>570</v>
      </c>
      <c r="N533" t="s">
        <v>6375</v>
      </c>
    </row>
    <row r="534" spans="1:14">
      <c r="A534" t="s">
        <v>1746</v>
      </c>
      <c r="B534" t="s">
        <v>6353</v>
      </c>
      <c r="C534" t="s">
        <v>1744</v>
      </c>
      <c r="D534" s="96">
        <v>33.630000000000003</v>
      </c>
      <c r="E534" s="13">
        <v>63299.96</v>
      </c>
      <c r="F534" s="486">
        <v>1.8822000000000001</v>
      </c>
      <c r="G534"/>
      <c r="H534" s="13">
        <v>63299.96</v>
      </c>
      <c r="I534" s="13">
        <v>1.8822000000000001</v>
      </c>
      <c r="J534">
        <v>13</v>
      </c>
      <c r="K534" s="131">
        <v>45688</v>
      </c>
      <c r="M534">
        <v>570</v>
      </c>
      <c r="N534" t="s">
        <v>6376</v>
      </c>
    </row>
    <row r="535" spans="1:14">
      <c r="A535" t="s">
        <v>1746</v>
      </c>
      <c r="B535" t="s">
        <v>6353</v>
      </c>
      <c r="C535" t="s">
        <v>1744</v>
      </c>
      <c r="D535" s="96">
        <v>33.630000000000003</v>
      </c>
      <c r="E535" s="13">
        <v>63467.48</v>
      </c>
      <c r="F535" s="486">
        <v>1.8872</v>
      </c>
      <c r="G535"/>
      <c r="H535" s="13">
        <v>63467.48</v>
      </c>
      <c r="I535" s="13">
        <v>1.8872</v>
      </c>
      <c r="J535">
        <v>13</v>
      </c>
      <c r="K535" s="131">
        <v>45688</v>
      </c>
      <c r="M535">
        <v>570</v>
      </c>
      <c r="N535" t="s">
        <v>6377</v>
      </c>
    </row>
    <row r="536" spans="1:14">
      <c r="A536" t="s">
        <v>1746</v>
      </c>
      <c r="B536" t="s">
        <v>6222</v>
      </c>
      <c r="C536" t="s">
        <v>1744</v>
      </c>
      <c r="D536" s="96">
        <v>34.08</v>
      </c>
      <c r="E536" s="13">
        <v>60965.57</v>
      </c>
      <c r="F536" s="486">
        <v>1.7888999999999999</v>
      </c>
      <c r="G536"/>
      <c r="H536" s="13">
        <v>60965.57</v>
      </c>
      <c r="I536" s="13">
        <v>1.7888999999999999</v>
      </c>
      <c r="J536">
        <v>13</v>
      </c>
      <c r="K536" s="131">
        <v>45688</v>
      </c>
      <c r="M536">
        <v>710</v>
      </c>
      <c r="N536" t="s">
        <v>6378</v>
      </c>
    </row>
    <row r="537" spans="1:14">
      <c r="A537" t="s">
        <v>1746</v>
      </c>
      <c r="B537" t="s">
        <v>1748</v>
      </c>
      <c r="C537" t="s">
        <v>1744</v>
      </c>
      <c r="D537" s="96">
        <v>34.200000000000003</v>
      </c>
      <c r="E537" s="13">
        <v>45728.72</v>
      </c>
      <c r="F537" s="486">
        <v>1.3371</v>
      </c>
      <c r="G537"/>
      <c r="H537" s="13">
        <v>45728.72</v>
      </c>
      <c r="I537" s="13">
        <v>1.3371</v>
      </c>
      <c r="J537">
        <v>13</v>
      </c>
      <c r="K537" s="131">
        <v>45688</v>
      </c>
      <c r="M537">
        <v>570</v>
      </c>
      <c r="N537" t="s">
        <v>6379</v>
      </c>
    </row>
    <row r="538" spans="1:14">
      <c r="A538" t="s">
        <v>1746</v>
      </c>
      <c r="B538" t="s">
        <v>1747</v>
      </c>
      <c r="C538" t="s">
        <v>1744</v>
      </c>
      <c r="D538" s="96">
        <v>34.200000000000003</v>
      </c>
      <c r="E538" s="13">
        <v>45747.65</v>
      </c>
      <c r="F538" s="486">
        <v>1.3376999999999999</v>
      </c>
      <c r="G538"/>
      <c r="H538" s="13">
        <v>45747.65</v>
      </c>
      <c r="I538" s="13">
        <v>1.3376999999999999</v>
      </c>
      <c r="J538">
        <v>13</v>
      </c>
      <c r="K538" s="131">
        <v>45688</v>
      </c>
      <c r="M538">
        <v>570</v>
      </c>
      <c r="N538" t="s">
        <v>6380</v>
      </c>
    </row>
    <row r="539" spans="1:14">
      <c r="A539" t="s">
        <v>1746</v>
      </c>
      <c r="B539" t="s">
        <v>1748</v>
      </c>
      <c r="C539" t="s">
        <v>1744</v>
      </c>
      <c r="D539" s="96">
        <v>34.200000000000003</v>
      </c>
      <c r="E539" s="13">
        <v>45899.08</v>
      </c>
      <c r="F539" s="486">
        <v>1.3421000000000001</v>
      </c>
      <c r="G539"/>
      <c r="H539" s="13">
        <v>45899.08</v>
      </c>
      <c r="I539" s="13">
        <v>1.3421000000000001</v>
      </c>
      <c r="J539">
        <v>13</v>
      </c>
      <c r="K539" s="131">
        <v>45688</v>
      </c>
      <c r="M539">
        <v>570</v>
      </c>
      <c r="N539" t="s">
        <v>6381</v>
      </c>
    </row>
    <row r="540" spans="1:14">
      <c r="A540" t="s">
        <v>1746</v>
      </c>
      <c r="B540" t="s">
        <v>1747</v>
      </c>
      <c r="C540" t="s">
        <v>1744</v>
      </c>
      <c r="D540" s="96">
        <v>34.200000000000003</v>
      </c>
      <c r="E540" s="13">
        <v>45918</v>
      </c>
      <c r="F540" s="486">
        <v>1.3426</v>
      </c>
      <c r="G540"/>
      <c r="H540" s="13">
        <v>45918</v>
      </c>
      <c r="I540" s="13">
        <v>1.3426</v>
      </c>
      <c r="J540">
        <v>13</v>
      </c>
      <c r="K540" s="131">
        <v>45688</v>
      </c>
      <c r="M540">
        <v>570</v>
      </c>
      <c r="N540" t="s">
        <v>6382</v>
      </c>
    </row>
    <row r="541" spans="1:14">
      <c r="A541" t="s">
        <v>1746</v>
      </c>
      <c r="B541" t="s">
        <v>1748</v>
      </c>
      <c r="C541" t="s">
        <v>1744</v>
      </c>
      <c r="D541" s="96">
        <v>34.200000000000003</v>
      </c>
      <c r="E541" s="13">
        <v>47690.8</v>
      </c>
      <c r="F541" s="486">
        <v>1.3945000000000001</v>
      </c>
      <c r="G541"/>
      <c r="H541" s="13">
        <v>47690.8</v>
      </c>
      <c r="I541" s="13">
        <v>1.3945000000000001</v>
      </c>
      <c r="J541">
        <v>13</v>
      </c>
      <c r="K541" s="131">
        <v>45688</v>
      </c>
      <c r="M541">
        <v>570</v>
      </c>
      <c r="N541" t="s">
        <v>6383</v>
      </c>
    </row>
    <row r="542" spans="1:14">
      <c r="A542" t="s">
        <v>1746</v>
      </c>
      <c r="B542" t="s">
        <v>1748</v>
      </c>
      <c r="C542" t="s">
        <v>1744</v>
      </c>
      <c r="D542" s="96">
        <v>34.200000000000003</v>
      </c>
      <c r="E542" s="13">
        <v>47861.15</v>
      </c>
      <c r="F542" s="486">
        <v>1.3994</v>
      </c>
      <c r="G542"/>
      <c r="H542" s="13">
        <v>47861.15</v>
      </c>
      <c r="I542" s="13">
        <v>1.3994</v>
      </c>
      <c r="J542">
        <v>13</v>
      </c>
      <c r="K542" s="131">
        <v>45688</v>
      </c>
      <c r="M542">
        <v>570</v>
      </c>
      <c r="N542" t="s">
        <v>6384</v>
      </c>
    </row>
    <row r="543" spans="1:14">
      <c r="A543" t="s">
        <v>1746</v>
      </c>
      <c r="B543" t="s">
        <v>1747</v>
      </c>
      <c r="C543" t="s">
        <v>1744</v>
      </c>
      <c r="D543" s="96">
        <v>34.200000000000003</v>
      </c>
      <c r="E543" s="13">
        <v>49537.42</v>
      </c>
      <c r="F543" s="486">
        <v>1.4484999999999999</v>
      </c>
      <c r="G543"/>
      <c r="H543" s="13">
        <v>49537.42</v>
      </c>
      <c r="I543" s="13">
        <v>1.4484999999999999</v>
      </c>
      <c r="J543">
        <v>13</v>
      </c>
      <c r="K543" s="131">
        <v>45688</v>
      </c>
      <c r="M543">
        <v>570</v>
      </c>
      <c r="N543" t="s">
        <v>6385</v>
      </c>
    </row>
    <row r="544" spans="1:14">
      <c r="A544" t="s">
        <v>1746</v>
      </c>
      <c r="B544" t="s">
        <v>1747</v>
      </c>
      <c r="C544" t="s">
        <v>1744</v>
      </c>
      <c r="D544" s="96">
        <v>34.200000000000003</v>
      </c>
      <c r="E544" s="13">
        <v>49707.77</v>
      </c>
      <c r="F544" s="486">
        <v>1.4534</v>
      </c>
      <c r="G544"/>
      <c r="H544" s="13">
        <v>49707.77</v>
      </c>
      <c r="I544" s="13">
        <v>1.4534</v>
      </c>
      <c r="J544">
        <v>13</v>
      </c>
      <c r="K544" s="131">
        <v>45688</v>
      </c>
      <c r="M544">
        <v>570</v>
      </c>
      <c r="N544" t="s">
        <v>6386</v>
      </c>
    </row>
    <row r="545" spans="1:14">
      <c r="A545" t="s">
        <v>1746</v>
      </c>
      <c r="B545" t="s">
        <v>6353</v>
      </c>
      <c r="C545" t="s">
        <v>1744</v>
      </c>
      <c r="D545" s="96">
        <v>34.200000000000003</v>
      </c>
      <c r="E545" s="13">
        <v>63824.65</v>
      </c>
      <c r="F545" s="486">
        <v>1.8662000000000001</v>
      </c>
      <c r="G545"/>
      <c r="H545" s="13">
        <v>63824.65</v>
      </c>
      <c r="I545" s="13">
        <v>1.8662000000000001</v>
      </c>
      <c r="J545">
        <v>13</v>
      </c>
      <c r="K545" s="131">
        <v>45688</v>
      </c>
      <c r="M545">
        <v>570</v>
      </c>
      <c r="N545" t="s">
        <v>6387</v>
      </c>
    </row>
    <row r="546" spans="1:14">
      <c r="A546" t="s">
        <v>1746</v>
      </c>
      <c r="B546" t="s">
        <v>6353</v>
      </c>
      <c r="C546" t="s">
        <v>1744</v>
      </c>
      <c r="D546" s="96">
        <v>34.200000000000003</v>
      </c>
      <c r="E546" s="13">
        <v>63995</v>
      </c>
      <c r="F546" s="486">
        <v>1.8712</v>
      </c>
      <c r="G546"/>
      <c r="H546" s="13">
        <v>63995</v>
      </c>
      <c r="I546" s="13">
        <v>1.8712</v>
      </c>
      <c r="J546">
        <v>13</v>
      </c>
      <c r="K546" s="131">
        <v>45688</v>
      </c>
      <c r="M546">
        <v>570</v>
      </c>
      <c r="N546" t="s">
        <v>6388</v>
      </c>
    </row>
    <row r="547" spans="1:14">
      <c r="A547" t="s">
        <v>1746</v>
      </c>
      <c r="B547" t="s">
        <v>1747</v>
      </c>
      <c r="C547" t="s">
        <v>1744</v>
      </c>
      <c r="D547" s="96">
        <v>34.770000000000003</v>
      </c>
      <c r="E547" s="13">
        <v>46586.92</v>
      </c>
      <c r="F547" s="486">
        <v>1.3399000000000001</v>
      </c>
      <c r="G547"/>
      <c r="H547" s="13">
        <v>46586.92</v>
      </c>
      <c r="I547" s="13">
        <v>1.3399000000000001</v>
      </c>
      <c r="J547">
        <v>13</v>
      </c>
      <c r="K547" s="131">
        <v>45688</v>
      </c>
      <c r="M547">
        <v>570</v>
      </c>
      <c r="N547" t="s">
        <v>6389</v>
      </c>
    </row>
    <row r="548" spans="1:14">
      <c r="A548" t="s">
        <v>1746</v>
      </c>
      <c r="B548" t="s">
        <v>1747</v>
      </c>
      <c r="C548" t="s">
        <v>1744</v>
      </c>
      <c r="D548" s="96">
        <v>34.770000000000003</v>
      </c>
      <c r="E548" s="13">
        <v>46760.11</v>
      </c>
      <c r="F548" s="486">
        <v>1.3448</v>
      </c>
      <c r="G548"/>
      <c r="H548" s="13">
        <v>46760.11</v>
      </c>
      <c r="I548" s="13">
        <v>1.3448</v>
      </c>
      <c r="J548">
        <v>13</v>
      </c>
      <c r="K548" s="131">
        <v>45688</v>
      </c>
      <c r="M548">
        <v>570</v>
      </c>
      <c r="N548" t="s">
        <v>6390</v>
      </c>
    </row>
    <row r="549" spans="1:14">
      <c r="A549" t="s">
        <v>1746</v>
      </c>
      <c r="B549" t="s">
        <v>1747</v>
      </c>
      <c r="C549" t="s">
        <v>1744</v>
      </c>
      <c r="D549" s="96">
        <v>34.770000000000003</v>
      </c>
      <c r="E549" s="13">
        <v>50376.68</v>
      </c>
      <c r="F549" s="486">
        <v>1.4489000000000001</v>
      </c>
      <c r="G549"/>
      <c r="H549" s="13">
        <v>50376.68</v>
      </c>
      <c r="I549" s="13">
        <v>1.4489000000000001</v>
      </c>
      <c r="J549">
        <v>13</v>
      </c>
      <c r="K549" s="131">
        <v>45688</v>
      </c>
      <c r="M549">
        <v>570</v>
      </c>
      <c r="N549" t="s">
        <v>6391</v>
      </c>
    </row>
    <row r="550" spans="1:14">
      <c r="A550" t="s">
        <v>1746</v>
      </c>
      <c r="B550" t="s">
        <v>1747</v>
      </c>
      <c r="C550" t="s">
        <v>1744</v>
      </c>
      <c r="D550" s="96">
        <v>34.770000000000003</v>
      </c>
      <c r="E550" s="13">
        <v>50549.87</v>
      </c>
      <c r="F550" s="486">
        <v>1.4538</v>
      </c>
      <c r="G550"/>
      <c r="H550" s="13">
        <v>50549.87</v>
      </c>
      <c r="I550" s="13">
        <v>1.4538</v>
      </c>
      <c r="J550">
        <v>13</v>
      </c>
      <c r="K550" s="131">
        <v>45688</v>
      </c>
      <c r="M550">
        <v>570</v>
      </c>
      <c r="N550" t="s">
        <v>6392</v>
      </c>
    </row>
    <row r="551" spans="1:14">
      <c r="A551" t="s">
        <v>1746</v>
      </c>
      <c r="B551" t="s">
        <v>6353</v>
      </c>
      <c r="C551" t="s">
        <v>1744</v>
      </c>
      <c r="D551" s="96">
        <v>34.770000000000003</v>
      </c>
      <c r="E551" s="13">
        <v>66436.710000000006</v>
      </c>
      <c r="F551" s="486">
        <v>1.9107000000000001</v>
      </c>
      <c r="G551"/>
      <c r="H551" s="13">
        <v>66436.710000000006</v>
      </c>
      <c r="I551" s="13">
        <v>1.9107000000000001</v>
      </c>
      <c r="J551">
        <v>13</v>
      </c>
      <c r="K551" s="131">
        <v>45688</v>
      </c>
      <c r="M551">
        <v>570</v>
      </c>
      <c r="N551" t="s">
        <v>6393</v>
      </c>
    </row>
    <row r="552" spans="1:14">
      <c r="A552" t="s">
        <v>1746</v>
      </c>
      <c r="B552" t="s">
        <v>6353</v>
      </c>
      <c r="C552" t="s">
        <v>1744</v>
      </c>
      <c r="D552" s="96">
        <v>34.770000000000003</v>
      </c>
      <c r="E552" s="13">
        <v>66609.899999999994</v>
      </c>
      <c r="F552" s="486">
        <v>1.9157</v>
      </c>
      <c r="G552"/>
      <c r="H552" s="13">
        <v>66609.899999999994</v>
      </c>
      <c r="I552" s="13">
        <v>1.9157</v>
      </c>
      <c r="J552">
        <v>13</v>
      </c>
      <c r="K552" s="131">
        <v>45688</v>
      </c>
      <c r="M552">
        <v>570</v>
      </c>
      <c r="N552" t="s">
        <v>6394</v>
      </c>
    </row>
    <row r="553" spans="1:14">
      <c r="A553" t="s">
        <v>1746</v>
      </c>
      <c r="B553" t="s">
        <v>6222</v>
      </c>
      <c r="C553" t="s">
        <v>1744</v>
      </c>
      <c r="D553" s="96">
        <v>34.79</v>
      </c>
      <c r="E553" s="13">
        <v>63781.11</v>
      </c>
      <c r="F553" s="486">
        <v>1.8332999999999999</v>
      </c>
      <c r="G553"/>
      <c r="H553" s="13">
        <v>63781.11</v>
      </c>
      <c r="I553" s="13">
        <v>1.8332999999999999</v>
      </c>
      <c r="J553">
        <v>13</v>
      </c>
      <c r="K553" s="131">
        <v>45688</v>
      </c>
      <c r="M553">
        <v>710</v>
      </c>
      <c r="N553" t="s">
        <v>6395</v>
      </c>
    </row>
    <row r="554" spans="1:14">
      <c r="A554" t="s">
        <v>1746</v>
      </c>
      <c r="B554" t="s">
        <v>1747</v>
      </c>
      <c r="C554" t="s">
        <v>1744</v>
      </c>
      <c r="D554" s="96">
        <v>35.340000000000003</v>
      </c>
      <c r="E554" s="13">
        <v>47111.6</v>
      </c>
      <c r="F554" s="486">
        <v>1.3331</v>
      </c>
      <c r="G554"/>
      <c r="H554" s="13">
        <v>47111.6</v>
      </c>
      <c r="I554" s="13">
        <v>1.3331</v>
      </c>
      <c r="J554">
        <v>13</v>
      </c>
      <c r="K554" s="131">
        <v>45688</v>
      </c>
      <c r="M554">
        <v>570</v>
      </c>
      <c r="N554" t="s">
        <v>6396</v>
      </c>
    </row>
    <row r="555" spans="1:14">
      <c r="A555" t="s">
        <v>1746</v>
      </c>
      <c r="B555" t="s">
        <v>1747</v>
      </c>
      <c r="C555" t="s">
        <v>1744</v>
      </c>
      <c r="D555" s="96">
        <v>35.340000000000003</v>
      </c>
      <c r="E555" s="13">
        <v>47287.63</v>
      </c>
      <c r="F555" s="486">
        <v>1.3381000000000001</v>
      </c>
      <c r="G555"/>
      <c r="H555" s="13">
        <v>47287.63</v>
      </c>
      <c r="I555" s="13">
        <v>1.3381000000000001</v>
      </c>
      <c r="J555">
        <v>13</v>
      </c>
      <c r="K555" s="131">
        <v>45688</v>
      </c>
      <c r="M555">
        <v>570</v>
      </c>
      <c r="N555" t="s">
        <v>6397</v>
      </c>
    </row>
    <row r="556" spans="1:14">
      <c r="A556" t="s">
        <v>1746</v>
      </c>
      <c r="B556" t="s">
        <v>1748</v>
      </c>
      <c r="C556" t="s">
        <v>1744</v>
      </c>
      <c r="D556" s="96">
        <v>35.340000000000003</v>
      </c>
      <c r="E556" s="13">
        <v>47389.84</v>
      </c>
      <c r="F556" s="486">
        <v>1.341</v>
      </c>
      <c r="G556"/>
      <c r="H556" s="13">
        <v>47389.84</v>
      </c>
      <c r="I556" s="13">
        <v>1.341</v>
      </c>
      <c r="J556">
        <v>13</v>
      </c>
      <c r="K556" s="131">
        <v>45688</v>
      </c>
      <c r="M556">
        <v>570</v>
      </c>
      <c r="N556" t="s">
        <v>6398</v>
      </c>
    </row>
    <row r="557" spans="1:14">
      <c r="A557" t="s">
        <v>1746</v>
      </c>
      <c r="B557" t="s">
        <v>1748</v>
      </c>
      <c r="C557" t="s">
        <v>1744</v>
      </c>
      <c r="D557" s="96">
        <v>35.340000000000003</v>
      </c>
      <c r="E557" s="13">
        <v>47565.87</v>
      </c>
      <c r="F557" s="486">
        <v>1.3459000000000001</v>
      </c>
      <c r="G557"/>
      <c r="H557" s="13">
        <v>47565.87</v>
      </c>
      <c r="I557" s="13">
        <v>1.3459000000000001</v>
      </c>
      <c r="J557">
        <v>13</v>
      </c>
      <c r="K557" s="131">
        <v>45688</v>
      </c>
      <c r="M557">
        <v>570</v>
      </c>
      <c r="N557" t="s">
        <v>6399</v>
      </c>
    </row>
    <row r="558" spans="1:14">
      <c r="A558" t="s">
        <v>1746</v>
      </c>
      <c r="B558" t="s">
        <v>1748</v>
      </c>
      <c r="C558" t="s">
        <v>1744</v>
      </c>
      <c r="D558" s="96">
        <v>35.340000000000003</v>
      </c>
      <c r="E558" s="13">
        <v>50247.22</v>
      </c>
      <c r="F558" s="486">
        <v>1.4218</v>
      </c>
      <c r="G558"/>
      <c r="H558" s="13">
        <v>50247.22</v>
      </c>
      <c r="I558" s="13">
        <v>1.4218</v>
      </c>
      <c r="J558">
        <v>13</v>
      </c>
      <c r="K558" s="131">
        <v>45688</v>
      </c>
      <c r="M558">
        <v>570</v>
      </c>
      <c r="N558" t="s">
        <v>6400</v>
      </c>
    </row>
    <row r="559" spans="1:14">
      <c r="A559" t="s">
        <v>1746</v>
      </c>
      <c r="B559" t="s">
        <v>1748</v>
      </c>
      <c r="C559" t="s">
        <v>1744</v>
      </c>
      <c r="D559" s="96">
        <v>35.340000000000003</v>
      </c>
      <c r="E559" s="13">
        <v>50423.25</v>
      </c>
      <c r="F559" s="486">
        <v>1.4268000000000001</v>
      </c>
      <c r="G559"/>
      <c r="H559" s="13">
        <v>50423.25</v>
      </c>
      <c r="I559" s="13">
        <v>1.4268000000000001</v>
      </c>
      <c r="J559">
        <v>13</v>
      </c>
      <c r="K559" s="131">
        <v>45688</v>
      </c>
      <c r="M559">
        <v>570</v>
      </c>
      <c r="N559" t="s">
        <v>6401</v>
      </c>
    </row>
    <row r="560" spans="1:14">
      <c r="A560" t="s">
        <v>1746</v>
      </c>
      <c r="B560" t="s">
        <v>6353</v>
      </c>
      <c r="C560" t="s">
        <v>1744</v>
      </c>
      <c r="D560" s="96">
        <v>35.340000000000003</v>
      </c>
      <c r="E560" s="13">
        <v>66961.399999999994</v>
      </c>
      <c r="F560" s="486">
        <v>1.8948</v>
      </c>
      <c r="G560"/>
      <c r="H560" s="13">
        <v>66961.399999999994</v>
      </c>
      <c r="I560" s="13">
        <v>1.8948</v>
      </c>
      <c r="J560">
        <v>13</v>
      </c>
      <c r="K560" s="131">
        <v>45688</v>
      </c>
      <c r="M560">
        <v>570</v>
      </c>
      <c r="N560" t="s">
        <v>6402</v>
      </c>
    </row>
    <row r="561" spans="1:14">
      <c r="A561" t="s">
        <v>1746</v>
      </c>
      <c r="B561" t="s">
        <v>6353</v>
      </c>
      <c r="C561" t="s">
        <v>1744</v>
      </c>
      <c r="D561" s="96">
        <v>35.340000000000003</v>
      </c>
      <c r="E561" s="13">
        <v>67137.429999999993</v>
      </c>
      <c r="F561" s="486">
        <v>1.8997999999999999</v>
      </c>
      <c r="G561"/>
      <c r="H561" s="13">
        <v>67137.429999999993</v>
      </c>
      <c r="I561" s="13">
        <v>1.8997999999999999</v>
      </c>
      <c r="J561">
        <v>13</v>
      </c>
      <c r="K561" s="131">
        <v>45688</v>
      </c>
      <c r="M561">
        <v>570</v>
      </c>
      <c r="N561" t="s">
        <v>6403</v>
      </c>
    </row>
    <row r="562" spans="1:14">
      <c r="A562" t="s">
        <v>1746</v>
      </c>
      <c r="B562" t="s">
        <v>6222</v>
      </c>
      <c r="C562" t="s">
        <v>1744</v>
      </c>
      <c r="D562" s="96">
        <v>35.5</v>
      </c>
      <c r="E562" s="13">
        <v>64509.27</v>
      </c>
      <c r="F562" s="486">
        <v>1.8171999999999999</v>
      </c>
      <c r="G562"/>
      <c r="H562" s="13">
        <v>64509.27</v>
      </c>
      <c r="I562" s="13">
        <v>1.8171999999999999</v>
      </c>
      <c r="J562">
        <v>13</v>
      </c>
      <c r="K562" s="131">
        <v>45688</v>
      </c>
      <c r="M562">
        <v>710</v>
      </c>
      <c r="N562" t="s">
        <v>6404</v>
      </c>
    </row>
    <row r="563" spans="1:14">
      <c r="A563" t="s">
        <v>1746</v>
      </c>
      <c r="B563" t="s">
        <v>1748</v>
      </c>
      <c r="C563" t="s">
        <v>1744</v>
      </c>
      <c r="D563" s="96">
        <v>35.909999999999997</v>
      </c>
      <c r="E563" s="13">
        <v>47914.53</v>
      </c>
      <c r="F563" s="486">
        <v>1.3343</v>
      </c>
      <c r="G563"/>
      <c r="H563" s="13">
        <v>47914.53</v>
      </c>
      <c r="I563" s="13">
        <v>1.3343</v>
      </c>
      <c r="J563">
        <v>13</v>
      </c>
      <c r="K563" s="131">
        <v>45688</v>
      </c>
      <c r="M563">
        <v>570</v>
      </c>
      <c r="N563" t="s">
        <v>6405</v>
      </c>
    </row>
    <row r="564" spans="1:14">
      <c r="A564" t="s">
        <v>1746</v>
      </c>
      <c r="B564" t="s">
        <v>1748</v>
      </c>
      <c r="C564" t="s">
        <v>1744</v>
      </c>
      <c r="D564" s="96">
        <v>35.909999999999997</v>
      </c>
      <c r="E564" s="13">
        <v>48093.4</v>
      </c>
      <c r="F564" s="486">
        <v>1.3392999999999999</v>
      </c>
      <c r="G564"/>
      <c r="H564" s="13">
        <v>48093.4</v>
      </c>
      <c r="I564" s="13">
        <v>1.3392999999999999</v>
      </c>
      <c r="J564">
        <v>13</v>
      </c>
      <c r="K564" s="131">
        <v>45688</v>
      </c>
      <c r="M564">
        <v>570</v>
      </c>
      <c r="N564" t="s">
        <v>6406</v>
      </c>
    </row>
    <row r="565" spans="1:14">
      <c r="A565" t="s">
        <v>1746</v>
      </c>
      <c r="B565" t="s">
        <v>1748</v>
      </c>
      <c r="C565" t="s">
        <v>1744</v>
      </c>
      <c r="D565" s="96">
        <v>35.909999999999997</v>
      </c>
      <c r="E565" s="13">
        <v>50771.9</v>
      </c>
      <c r="F565" s="486">
        <v>1.4138999999999999</v>
      </c>
      <c r="G565"/>
      <c r="H565" s="13">
        <v>50771.9</v>
      </c>
      <c r="I565" s="13">
        <v>1.4138999999999999</v>
      </c>
      <c r="J565">
        <v>13</v>
      </c>
      <c r="K565" s="131">
        <v>45688</v>
      </c>
      <c r="M565">
        <v>570</v>
      </c>
      <c r="N565" t="s">
        <v>6407</v>
      </c>
    </row>
    <row r="566" spans="1:14">
      <c r="A566" t="s">
        <v>1746</v>
      </c>
      <c r="B566" t="s">
        <v>1748</v>
      </c>
      <c r="C566" t="s">
        <v>1744</v>
      </c>
      <c r="D566" s="96">
        <v>35.909999999999997</v>
      </c>
      <c r="E566" s="13">
        <v>50950.77</v>
      </c>
      <c r="F566" s="486">
        <v>1.4188000000000001</v>
      </c>
      <c r="G566"/>
      <c r="H566" s="13">
        <v>50950.77</v>
      </c>
      <c r="I566" s="13">
        <v>1.4188000000000001</v>
      </c>
      <c r="J566">
        <v>13</v>
      </c>
      <c r="K566" s="131">
        <v>45688</v>
      </c>
      <c r="M566">
        <v>570</v>
      </c>
      <c r="N566" t="s">
        <v>6408</v>
      </c>
    </row>
    <row r="567" spans="1:14">
      <c r="A567" t="s">
        <v>1746</v>
      </c>
      <c r="B567" t="s">
        <v>6353</v>
      </c>
      <c r="C567" t="s">
        <v>1744</v>
      </c>
      <c r="D567" s="96">
        <v>35.909999999999997</v>
      </c>
      <c r="E567" s="13">
        <v>67486.080000000002</v>
      </c>
      <c r="F567" s="486">
        <v>1.8793</v>
      </c>
      <c r="G567"/>
      <c r="H567" s="13">
        <v>67486.080000000002</v>
      </c>
      <c r="I567" s="13">
        <v>1.8793</v>
      </c>
      <c r="J567">
        <v>13</v>
      </c>
      <c r="K567" s="131">
        <v>45688</v>
      </c>
      <c r="M567">
        <v>570</v>
      </c>
      <c r="N567" t="s">
        <v>6409</v>
      </c>
    </row>
    <row r="568" spans="1:14">
      <c r="A568" t="s">
        <v>1746</v>
      </c>
      <c r="B568" t="s">
        <v>6353</v>
      </c>
      <c r="C568" t="s">
        <v>1744</v>
      </c>
      <c r="D568" s="96">
        <v>35.909999999999997</v>
      </c>
      <c r="E568" s="13">
        <v>67664.95</v>
      </c>
      <c r="F568" s="486">
        <v>1.8843000000000001</v>
      </c>
      <c r="G568"/>
      <c r="H568" s="13">
        <v>67664.95</v>
      </c>
      <c r="I568" s="13">
        <v>1.8843000000000001</v>
      </c>
      <c r="J568">
        <v>13</v>
      </c>
      <c r="K568" s="131">
        <v>45688</v>
      </c>
      <c r="M568">
        <v>570</v>
      </c>
      <c r="N568" t="s">
        <v>6410</v>
      </c>
    </row>
    <row r="569" spans="1:14">
      <c r="A569" t="s">
        <v>1746</v>
      </c>
      <c r="B569" t="s">
        <v>6222</v>
      </c>
      <c r="C569" t="s">
        <v>1744</v>
      </c>
      <c r="D569" s="96">
        <v>36.21</v>
      </c>
      <c r="E569" s="13">
        <v>65237.43</v>
      </c>
      <c r="F569" s="486">
        <v>1.8016000000000001</v>
      </c>
      <c r="G569"/>
      <c r="H569" s="13">
        <v>65237.43</v>
      </c>
      <c r="I569" s="13">
        <v>1.8016000000000001</v>
      </c>
      <c r="J569">
        <v>13</v>
      </c>
      <c r="K569" s="131">
        <v>45688</v>
      </c>
      <c r="M569">
        <v>710</v>
      </c>
      <c r="N569" t="s">
        <v>6411</v>
      </c>
    </row>
    <row r="570" spans="1:14">
      <c r="A570" t="s">
        <v>1746</v>
      </c>
      <c r="B570" t="s">
        <v>1748</v>
      </c>
      <c r="C570" t="s">
        <v>1744</v>
      </c>
      <c r="D570" s="96">
        <v>36.479999999999997</v>
      </c>
      <c r="E570" s="13">
        <v>48439.21</v>
      </c>
      <c r="F570" s="486">
        <v>1.3278000000000001</v>
      </c>
      <c r="G570"/>
      <c r="H570" s="13">
        <v>48439.21</v>
      </c>
      <c r="I570" s="13">
        <v>1.3278000000000001</v>
      </c>
      <c r="J570">
        <v>13</v>
      </c>
      <c r="K570" s="131">
        <v>45688</v>
      </c>
      <c r="M570">
        <v>570</v>
      </c>
      <c r="N570" t="s">
        <v>6412</v>
      </c>
    </row>
    <row r="571" spans="1:14">
      <c r="A571" t="s">
        <v>1746</v>
      </c>
      <c r="B571" t="s">
        <v>1748</v>
      </c>
      <c r="C571" t="s">
        <v>1744</v>
      </c>
      <c r="D571" s="96">
        <v>36.479999999999997</v>
      </c>
      <c r="E571" s="13">
        <v>48620.92</v>
      </c>
      <c r="F571" s="486">
        <v>1.3328</v>
      </c>
      <c r="G571"/>
      <c r="H571" s="13">
        <v>48620.92</v>
      </c>
      <c r="I571" s="13">
        <v>1.3328</v>
      </c>
      <c r="J571">
        <v>13</v>
      </c>
      <c r="K571" s="131">
        <v>45688</v>
      </c>
      <c r="M571">
        <v>570</v>
      </c>
      <c r="N571" t="s">
        <v>6413</v>
      </c>
    </row>
    <row r="572" spans="1:14">
      <c r="A572" t="s">
        <v>1746</v>
      </c>
      <c r="B572" t="s">
        <v>1747</v>
      </c>
      <c r="C572" t="s">
        <v>1744</v>
      </c>
      <c r="D572" s="96">
        <v>36.479999999999997</v>
      </c>
      <c r="E572" s="13">
        <v>49709.47</v>
      </c>
      <c r="F572" s="486">
        <v>1.3626</v>
      </c>
      <c r="G572"/>
      <c r="H572" s="13">
        <v>49709.47</v>
      </c>
      <c r="I572" s="13">
        <v>1.3626</v>
      </c>
      <c r="J572">
        <v>13</v>
      </c>
      <c r="K572" s="131">
        <v>45688</v>
      </c>
      <c r="M572">
        <v>570</v>
      </c>
      <c r="N572" t="s">
        <v>6414</v>
      </c>
    </row>
    <row r="573" spans="1:14">
      <c r="A573" t="s">
        <v>1746</v>
      </c>
      <c r="B573" t="s">
        <v>1747</v>
      </c>
      <c r="C573" t="s">
        <v>1744</v>
      </c>
      <c r="D573" s="96">
        <v>36.479999999999997</v>
      </c>
      <c r="E573" s="13">
        <v>49891.18</v>
      </c>
      <c r="F573" s="486">
        <v>1.3675999999999999</v>
      </c>
      <c r="G573"/>
      <c r="H573" s="13">
        <v>49891.18</v>
      </c>
      <c r="I573" s="13">
        <v>1.3675999999999999</v>
      </c>
      <c r="J573">
        <v>13</v>
      </c>
      <c r="K573" s="131">
        <v>45688</v>
      </c>
      <c r="M573">
        <v>570</v>
      </c>
      <c r="N573" t="s">
        <v>6415</v>
      </c>
    </row>
    <row r="574" spans="1:14">
      <c r="A574" t="s">
        <v>1746</v>
      </c>
      <c r="B574" t="s">
        <v>1748</v>
      </c>
      <c r="C574" t="s">
        <v>1744</v>
      </c>
      <c r="D574" s="96">
        <v>36.479999999999997</v>
      </c>
      <c r="E574" s="13">
        <v>51296.58</v>
      </c>
      <c r="F574" s="486">
        <v>1.4061999999999999</v>
      </c>
      <c r="G574"/>
      <c r="H574" s="13">
        <v>51296.58</v>
      </c>
      <c r="I574" s="13">
        <v>1.4061999999999999</v>
      </c>
      <c r="J574">
        <v>13</v>
      </c>
      <c r="K574" s="131">
        <v>45688</v>
      </c>
      <c r="M574">
        <v>570</v>
      </c>
      <c r="N574" t="s">
        <v>6416</v>
      </c>
    </row>
    <row r="575" spans="1:14">
      <c r="A575" t="s">
        <v>1746</v>
      </c>
      <c r="B575" t="s">
        <v>1748</v>
      </c>
      <c r="C575" t="s">
        <v>1744</v>
      </c>
      <c r="D575" s="96">
        <v>36.479999999999997</v>
      </c>
      <c r="E575" s="13">
        <v>51478.29</v>
      </c>
      <c r="F575" s="486">
        <v>1.4111</v>
      </c>
      <c r="G575"/>
      <c r="H575" s="13">
        <v>51478.29</v>
      </c>
      <c r="I575" s="13">
        <v>1.4111</v>
      </c>
      <c r="J575">
        <v>13</v>
      </c>
      <c r="K575" s="131">
        <v>45688</v>
      </c>
      <c r="M575">
        <v>570</v>
      </c>
      <c r="N575" t="s">
        <v>6417</v>
      </c>
    </row>
    <row r="576" spans="1:14">
      <c r="A576" t="s">
        <v>1746</v>
      </c>
      <c r="B576" t="s">
        <v>6353</v>
      </c>
      <c r="C576" t="s">
        <v>1744</v>
      </c>
      <c r="D576" s="96">
        <v>36.479999999999997</v>
      </c>
      <c r="E576" s="13">
        <v>68010.759999999995</v>
      </c>
      <c r="F576" s="486">
        <v>1.8643000000000001</v>
      </c>
      <c r="G576"/>
      <c r="H576" s="13">
        <v>68010.759999999995</v>
      </c>
      <c r="I576" s="13">
        <v>1.8643000000000001</v>
      </c>
      <c r="J576">
        <v>13</v>
      </c>
      <c r="K576" s="131">
        <v>45688</v>
      </c>
      <c r="M576">
        <v>570</v>
      </c>
      <c r="N576" t="s">
        <v>6418</v>
      </c>
    </row>
    <row r="577" spans="1:14">
      <c r="A577" t="s">
        <v>1746</v>
      </c>
      <c r="B577" t="s">
        <v>6353</v>
      </c>
      <c r="C577" t="s">
        <v>1744</v>
      </c>
      <c r="D577" s="96">
        <v>36.479999999999997</v>
      </c>
      <c r="E577" s="13">
        <v>68192.47</v>
      </c>
      <c r="F577" s="486">
        <v>1.8693</v>
      </c>
      <c r="G577"/>
      <c r="H577" s="13">
        <v>68192.47</v>
      </c>
      <c r="I577" s="13">
        <v>1.8693</v>
      </c>
      <c r="J577">
        <v>13</v>
      </c>
      <c r="K577" s="131">
        <v>45688</v>
      </c>
      <c r="M577">
        <v>570</v>
      </c>
      <c r="N577" t="s">
        <v>6419</v>
      </c>
    </row>
    <row r="578" spans="1:14">
      <c r="A578" t="s">
        <v>1746</v>
      </c>
      <c r="B578" t="s">
        <v>6222</v>
      </c>
      <c r="C578" t="s">
        <v>1744</v>
      </c>
      <c r="D578" s="96">
        <v>36.92</v>
      </c>
      <c r="E578" s="13">
        <v>65965.59</v>
      </c>
      <c r="F578" s="486">
        <v>1.7867</v>
      </c>
      <c r="G578"/>
      <c r="H578" s="13">
        <v>65965.59</v>
      </c>
      <c r="I578" s="13">
        <v>1.7867</v>
      </c>
      <c r="J578">
        <v>13</v>
      </c>
      <c r="K578" s="131">
        <v>45688</v>
      </c>
      <c r="M578">
        <v>710</v>
      </c>
      <c r="N578" t="s">
        <v>6420</v>
      </c>
    </row>
    <row r="579" spans="1:14">
      <c r="A579" t="s">
        <v>1746</v>
      </c>
      <c r="B579" t="s">
        <v>1748</v>
      </c>
      <c r="C579" t="s">
        <v>1744</v>
      </c>
      <c r="D579" s="96">
        <v>37.049999999999997</v>
      </c>
      <c r="E579" s="13">
        <v>49278.48</v>
      </c>
      <c r="F579" s="486">
        <v>1.3301000000000001</v>
      </c>
      <c r="G579"/>
      <c r="H579" s="13">
        <v>49278.48</v>
      </c>
      <c r="I579" s="13">
        <v>1.3301000000000001</v>
      </c>
      <c r="J579">
        <v>13</v>
      </c>
      <c r="K579" s="131">
        <v>45688</v>
      </c>
      <c r="M579">
        <v>570</v>
      </c>
      <c r="N579" t="s">
        <v>6421</v>
      </c>
    </row>
    <row r="580" spans="1:14">
      <c r="A580" t="s">
        <v>1746</v>
      </c>
      <c r="B580" t="s">
        <v>1748</v>
      </c>
      <c r="C580" t="s">
        <v>1744</v>
      </c>
      <c r="D580" s="96">
        <v>37.049999999999997</v>
      </c>
      <c r="E580" s="13">
        <v>49463.03</v>
      </c>
      <c r="F580" s="486">
        <v>1.335</v>
      </c>
      <c r="G580"/>
      <c r="H580" s="13">
        <v>49463.03</v>
      </c>
      <c r="I580" s="13">
        <v>1.335</v>
      </c>
      <c r="J580">
        <v>13</v>
      </c>
      <c r="K580" s="131">
        <v>45688</v>
      </c>
      <c r="M580">
        <v>570</v>
      </c>
      <c r="N580" t="s">
        <v>6422</v>
      </c>
    </row>
    <row r="581" spans="1:14">
      <c r="A581" t="s">
        <v>1746</v>
      </c>
      <c r="B581" t="s">
        <v>1747</v>
      </c>
      <c r="C581" t="s">
        <v>1744</v>
      </c>
      <c r="D581" s="96">
        <v>37.049999999999997</v>
      </c>
      <c r="E581" s="13">
        <v>50548.74</v>
      </c>
      <c r="F581" s="486">
        <v>1.3643000000000001</v>
      </c>
      <c r="G581"/>
      <c r="H581" s="13">
        <v>50548.74</v>
      </c>
      <c r="I581" s="13">
        <v>1.3643000000000001</v>
      </c>
      <c r="J581">
        <v>13</v>
      </c>
      <c r="K581" s="131">
        <v>45688</v>
      </c>
      <c r="M581">
        <v>570</v>
      </c>
      <c r="N581" t="s">
        <v>6423</v>
      </c>
    </row>
    <row r="582" spans="1:14">
      <c r="A582" t="s">
        <v>1746</v>
      </c>
      <c r="B582" t="s">
        <v>1747</v>
      </c>
      <c r="C582" t="s">
        <v>1744</v>
      </c>
      <c r="D582" s="96">
        <v>37.049999999999997</v>
      </c>
      <c r="E582" s="13">
        <v>50733.29</v>
      </c>
      <c r="F582" s="486">
        <v>1.3693</v>
      </c>
      <c r="G582"/>
      <c r="H582" s="13">
        <v>50733.29</v>
      </c>
      <c r="I582" s="13">
        <v>1.3693</v>
      </c>
      <c r="J582">
        <v>13</v>
      </c>
      <c r="K582" s="131">
        <v>45688</v>
      </c>
      <c r="M582">
        <v>570</v>
      </c>
      <c r="N582" t="s">
        <v>6424</v>
      </c>
    </row>
    <row r="583" spans="1:14">
      <c r="A583" t="s">
        <v>1746</v>
      </c>
      <c r="B583" t="s">
        <v>1748</v>
      </c>
      <c r="C583" t="s">
        <v>1744</v>
      </c>
      <c r="D583" s="96">
        <v>37.049999999999997</v>
      </c>
      <c r="E583" s="13">
        <v>52135.85</v>
      </c>
      <c r="F583" s="486">
        <v>1.4072</v>
      </c>
      <c r="G583"/>
      <c r="H583" s="13">
        <v>52135.85</v>
      </c>
      <c r="I583" s="13">
        <v>1.4072</v>
      </c>
      <c r="J583">
        <v>13</v>
      </c>
      <c r="K583" s="131">
        <v>45688</v>
      </c>
      <c r="M583">
        <v>570</v>
      </c>
      <c r="N583" t="s">
        <v>6425</v>
      </c>
    </row>
    <row r="584" spans="1:14">
      <c r="A584" t="s">
        <v>1746</v>
      </c>
      <c r="B584" t="s">
        <v>1748</v>
      </c>
      <c r="C584" t="s">
        <v>1744</v>
      </c>
      <c r="D584" s="96">
        <v>37.049999999999997</v>
      </c>
      <c r="E584" s="13">
        <v>52320.4</v>
      </c>
      <c r="F584" s="486">
        <v>1.4121999999999999</v>
      </c>
      <c r="G584"/>
      <c r="H584" s="13">
        <v>52320.4</v>
      </c>
      <c r="I584" s="13">
        <v>1.4121999999999999</v>
      </c>
      <c r="J584">
        <v>13</v>
      </c>
      <c r="K584" s="131">
        <v>45688</v>
      </c>
      <c r="M584">
        <v>570</v>
      </c>
      <c r="N584" t="s">
        <v>6426</v>
      </c>
    </row>
    <row r="585" spans="1:14">
      <c r="A585" t="s">
        <v>1746</v>
      </c>
      <c r="B585" t="s">
        <v>6427</v>
      </c>
      <c r="C585" t="s">
        <v>1744</v>
      </c>
      <c r="D585" s="96">
        <v>37.049999999999997</v>
      </c>
      <c r="E585" s="13">
        <v>70656.62</v>
      </c>
      <c r="F585" s="486">
        <v>1.9071</v>
      </c>
      <c r="G585"/>
      <c r="H585" s="13">
        <v>70656.62</v>
      </c>
      <c r="I585" s="13">
        <v>1.9071</v>
      </c>
      <c r="J585">
        <v>13</v>
      </c>
      <c r="K585" s="131">
        <v>45688</v>
      </c>
      <c r="M585">
        <v>570</v>
      </c>
      <c r="N585" t="s">
        <v>6428</v>
      </c>
    </row>
    <row r="586" spans="1:14">
      <c r="A586" t="s">
        <v>1746</v>
      </c>
      <c r="B586" t="s">
        <v>6427</v>
      </c>
      <c r="C586" t="s">
        <v>1744</v>
      </c>
      <c r="D586" s="96">
        <v>37.049999999999997</v>
      </c>
      <c r="E586" s="13">
        <v>70841.16</v>
      </c>
      <c r="F586" s="486">
        <v>1.9119999999999999</v>
      </c>
      <c r="G586"/>
      <c r="H586" s="13">
        <v>70841.16</v>
      </c>
      <c r="I586" s="13">
        <v>1.9119999999999999</v>
      </c>
      <c r="J586">
        <v>13</v>
      </c>
      <c r="K586" s="131">
        <v>45688</v>
      </c>
      <c r="M586">
        <v>570</v>
      </c>
      <c r="N586" t="s">
        <v>6429</v>
      </c>
    </row>
    <row r="587" spans="1:14">
      <c r="A587" t="s">
        <v>1746</v>
      </c>
      <c r="B587" t="s">
        <v>1748</v>
      </c>
      <c r="C587" t="s">
        <v>1744</v>
      </c>
      <c r="D587" s="96">
        <v>37.619999999999997</v>
      </c>
      <c r="E587" s="13">
        <v>49803.16</v>
      </c>
      <c r="F587" s="486">
        <v>1.3238000000000001</v>
      </c>
      <c r="G587"/>
      <c r="H587" s="13">
        <v>49803.16</v>
      </c>
      <c r="I587" s="13">
        <v>1.3238000000000001</v>
      </c>
      <c r="J587">
        <v>13</v>
      </c>
      <c r="K587" s="131">
        <v>45688</v>
      </c>
      <c r="M587">
        <v>570</v>
      </c>
      <c r="N587" t="s">
        <v>6430</v>
      </c>
    </row>
    <row r="588" spans="1:14">
      <c r="A588" t="s">
        <v>1746</v>
      </c>
      <c r="B588" t="s">
        <v>1748</v>
      </c>
      <c r="C588" t="s">
        <v>1744</v>
      </c>
      <c r="D588" s="96">
        <v>37.619999999999997</v>
      </c>
      <c r="E588" s="13">
        <v>49990.55</v>
      </c>
      <c r="F588" s="486">
        <v>1.3288</v>
      </c>
      <c r="G588"/>
      <c r="H588" s="13">
        <v>49990.55</v>
      </c>
      <c r="I588" s="13">
        <v>1.3288</v>
      </c>
      <c r="J588">
        <v>13</v>
      </c>
      <c r="K588" s="131">
        <v>45688</v>
      </c>
      <c r="M588">
        <v>570</v>
      </c>
      <c r="N588" t="s">
        <v>6431</v>
      </c>
    </row>
    <row r="589" spans="1:14">
      <c r="A589" t="s">
        <v>1746</v>
      </c>
      <c r="B589" t="s">
        <v>1747</v>
      </c>
      <c r="C589" t="s">
        <v>1744</v>
      </c>
      <c r="D589" s="96">
        <v>37.619999999999997</v>
      </c>
      <c r="E589" s="13">
        <v>51073.42</v>
      </c>
      <c r="F589" s="486">
        <v>1.3575999999999999</v>
      </c>
      <c r="G589"/>
      <c r="H589" s="13">
        <v>51073.42</v>
      </c>
      <c r="I589" s="13">
        <v>1.3575999999999999</v>
      </c>
      <c r="J589">
        <v>13</v>
      </c>
      <c r="K589" s="131">
        <v>45688</v>
      </c>
      <c r="M589">
        <v>570</v>
      </c>
      <c r="N589" t="s">
        <v>6432</v>
      </c>
    </row>
    <row r="590" spans="1:14">
      <c r="A590" t="s">
        <v>1746</v>
      </c>
      <c r="B590" t="s">
        <v>1747</v>
      </c>
      <c r="C590" t="s">
        <v>1744</v>
      </c>
      <c r="D590" s="96">
        <v>37.619999999999997</v>
      </c>
      <c r="E590" s="13">
        <v>51260.81</v>
      </c>
      <c r="F590" s="486">
        <v>1.3626</v>
      </c>
      <c r="G590"/>
      <c r="H590" s="13">
        <v>51260.81</v>
      </c>
      <c r="I590" s="13">
        <v>1.3626</v>
      </c>
      <c r="J590">
        <v>13</v>
      </c>
      <c r="K590" s="131">
        <v>45688</v>
      </c>
      <c r="M590">
        <v>570</v>
      </c>
      <c r="N590" t="s">
        <v>6433</v>
      </c>
    </row>
    <row r="591" spans="1:14">
      <c r="A591" t="s">
        <v>1746</v>
      </c>
      <c r="B591" t="s">
        <v>1748</v>
      </c>
      <c r="C591" t="s">
        <v>1744</v>
      </c>
      <c r="D591" s="96">
        <v>37.619999999999997</v>
      </c>
      <c r="E591" s="13">
        <v>52660.54</v>
      </c>
      <c r="F591" s="486">
        <v>1.3997999999999999</v>
      </c>
      <c r="G591"/>
      <c r="H591" s="13">
        <v>52660.54</v>
      </c>
      <c r="I591" s="13">
        <v>1.3997999999999999</v>
      </c>
      <c r="J591">
        <v>13</v>
      </c>
      <c r="K591" s="131">
        <v>45688</v>
      </c>
      <c r="M591">
        <v>570</v>
      </c>
      <c r="N591" t="s">
        <v>6434</v>
      </c>
    </row>
    <row r="592" spans="1:14">
      <c r="A592" t="s">
        <v>1746</v>
      </c>
      <c r="B592" t="s">
        <v>1748</v>
      </c>
      <c r="C592" t="s">
        <v>1744</v>
      </c>
      <c r="D592" s="96">
        <v>37.619999999999997</v>
      </c>
      <c r="E592" s="13">
        <v>52847.92</v>
      </c>
      <c r="F592" s="486">
        <v>1.4048</v>
      </c>
      <c r="G592"/>
      <c r="H592" s="13">
        <v>52847.92</v>
      </c>
      <c r="I592" s="13">
        <v>1.4048</v>
      </c>
      <c r="J592">
        <v>13</v>
      </c>
      <c r="K592" s="131">
        <v>45688</v>
      </c>
      <c r="M592">
        <v>570</v>
      </c>
      <c r="N592" t="s">
        <v>6435</v>
      </c>
    </row>
    <row r="593" spans="1:14">
      <c r="A593" t="s">
        <v>1746</v>
      </c>
      <c r="B593" t="s">
        <v>6427</v>
      </c>
      <c r="C593" t="s">
        <v>1744</v>
      </c>
      <c r="D593" s="96">
        <v>37.619999999999997</v>
      </c>
      <c r="E593" s="13">
        <v>71181.3</v>
      </c>
      <c r="F593" s="486">
        <v>1.8920999999999999</v>
      </c>
      <c r="G593"/>
      <c r="H593" s="13">
        <v>71181.3</v>
      </c>
      <c r="I593" s="13">
        <v>1.8920999999999999</v>
      </c>
      <c r="J593">
        <v>13</v>
      </c>
      <c r="K593" s="131">
        <v>45688</v>
      </c>
      <c r="M593">
        <v>570</v>
      </c>
      <c r="N593" t="s">
        <v>6436</v>
      </c>
    </row>
    <row r="594" spans="1:14">
      <c r="A594" t="s">
        <v>1746</v>
      </c>
      <c r="B594" t="s">
        <v>6427</v>
      </c>
      <c r="C594" t="s">
        <v>1744</v>
      </c>
      <c r="D594" s="96">
        <v>37.619999999999997</v>
      </c>
      <c r="E594" s="13">
        <v>71368.69</v>
      </c>
      <c r="F594" s="486">
        <v>1.8971</v>
      </c>
      <c r="G594"/>
      <c r="H594" s="13">
        <v>71368.69</v>
      </c>
      <c r="I594" s="13">
        <v>1.8971</v>
      </c>
      <c r="J594">
        <v>13</v>
      </c>
      <c r="K594" s="131">
        <v>45688</v>
      </c>
      <c r="M594">
        <v>570</v>
      </c>
      <c r="N594" t="s">
        <v>6437</v>
      </c>
    </row>
    <row r="595" spans="1:14">
      <c r="A595" t="s">
        <v>1746</v>
      </c>
      <c r="B595" t="s">
        <v>6309</v>
      </c>
      <c r="C595" t="s">
        <v>1744</v>
      </c>
      <c r="D595" s="96">
        <v>37.630000000000003</v>
      </c>
      <c r="E595" s="13">
        <v>68814.92</v>
      </c>
      <c r="F595" s="486">
        <v>1.8287</v>
      </c>
      <c r="G595"/>
      <c r="H595" s="13">
        <v>68814.92</v>
      </c>
      <c r="I595" s="13">
        <v>1.8287</v>
      </c>
      <c r="J595">
        <v>13</v>
      </c>
      <c r="K595" s="131">
        <v>45688</v>
      </c>
      <c r="M595">
        <v>710</v>
      </c>
      <c r="N595" t="s">
        <v>6438</v>
      </c>
    </row>
    <row r="596" spans="1:14">
      <c r="A596" t="s">
        <v>1746</v>
      </c>
      <c r="B596" t="s">
        <v>1748</v>
      </c>
      <c r="C596" t="s">
        <v>1744</v>
      </c>
      <c r="D596" s="96">
        <v>38.19</v>
      </c>
      <c r="E596" s="13">
        <v>50327.85</v>
      </c>
      <c r="F596" s="486">
        <v>1.3178000000000001</v>
      </c>
      <c r="G596"/>
      <c r="H596" s="13">
        <v>50327.85</v>
      </c>
      <c r="I596" s="13">
        <v>1.3178000000000001</v>
      </c>
      <c r="J596">
        <v>13</v>
      </c>
      <c r="K596" s="131">
        <v>45688</v>
      </c>
      <c r="M596">
        <v>570</v>
      </c>
      <c r="N596" t="s">
        <v>6439</v>
      </c>
    </row>
    <row r="597" spans="1:14">
      <c r="A597" t="s">
        <v>1746</v>
      </c>
      <c r="B597" t="s">
        <v>1748</v>
      </c>
      <c r="C597" t="s">
        <v>1744</v>
      </c>
      <c r="D597" s="96">
        <v>38.19</v>
      </c>
      <c r="E597" s="13">
        <v>50518.07</v>
      </c>
      <c r="F597" s="486">
        <v>1.3228</v>
      </c>
      <c r="G597"/>
      <c r="H597" s="13">
        <v>50518.07</v>
      </c>
      <c r="I597" s="13">
        <v>1.3228</v>
      </c>
      <c r="J597">
        <v>13</v>
      </c>
      <c r="K597" s="131">
        <v>45688</v>
      </c>
      <c r="M597">
        <v>570</v>
      </c>
      <c r="N597" t="s">
        <v>6440</v>
      </c>
    </row>
    <row r="598" spans="1:14">
      <c r="A598" t="s">
        <v>1746</v>
      </c>
      <c r="B598" t="s">
        <v>1747</v>
      </c>
      <c r="C598" t="s">
        <v>1744</v>
      </c>
      <c r="D598" s="96">
        <v>38.19</v>
      </c>
      <c r="E598" s="13">
        <v>51598.11</v>
      </c>
      <c r="F598" s="486">
        <v>1.3511</v>
      </c>
      <c r="G598"/>
      <c r="H598" s="13">
        <v>51598.11</v>
      </c>
      <c r="I598" s="13">
        <v>1.3511</v>
      </c>
      <c r="J598">
        <v>13</v>
      </c>
      <c r="K598" s="131">
        <v>45688</v>
      </c>
      <c r="M598">
        <v>570</v>
      </c>
      <c r="N598" t="s">
        <v>6441</v>
      </c>
    </row>
    <row r="599" spans="1:14">
      <c r="A599" t="s">
        <v>1746</v>
      </c>
      <c r="B599" t="s">
        <v>1747</v>
      </c>
      <c r="C599" t="s">
        <v>1744</v>
      </c>
      <c r="D599" s="96">
        <v>38.19</v>
      </c>
      <c r="E599" s="13">
        <v>51788.33</v>
      </c>
      <c r="F599" s="486">
        <v>1.3561000000000001</v>
      </c>
      <c r="G599"/>
      <c r="H599" s="13">
        <v>51788.33</v>
      </c>
      <c r="I599" s="13">
        <v>1.3561000000000001</v>
      </c>
      <c r="J599">
        <v>13</v>
      </c>
      <c r="K599" s="131">
        <v>45688</v>
      </c>
      <c r="M599">
        <v>570</v>
      </c>
      <c r="N599" t="s">
        <v>6442</v>
      </c>
    </row>
    <row r="600" spans="1:14">
      <c r="A600" t="s">
        <v>1746</v>
      </c>
      <c r="B600" t="s">
        <v>1748</v>
      </c>
      <c r="C600" t="s">
        <v>1744</v>
      </c>
      <c r="D600" s="96">
        <v>38.19</v>
      </c>
      <c r="E600" s="13">
        <v>53185.22</v>
      </c>
      <c r="F600" s="486">
        <v>1.3926000000000001</v>
      </c>
      <c r="G600"/>
      <c r="H600" s="13">
        <v>53185.22</v>
      </c>
      <c r="I600" s="13">
        <v>1.3926000000000001</v>
      </c>
      <c r="J600">
        <v>13</v>
      </c>
      <c r="K600" s="131">
        <v>45688</v>
      </c>
      <c r="M600">
        <v>570</v>
      </c>
      <c r="N600" t="s">
        <v>6443</v>
      </c>
    </row>
    <row r="601" spans="1:14">
      <c r="A601" t="s">
        <v>1746</v>
      </c>
      <c r="B601" t="s">
        <v>1748</v>
      </c>
      <c r="C601" t="s">
        <v>1744</v>
      </c>
      <c r="D601" s="96">
        <v>38.19</v>
      </c>
      <c r="E601" s="13">
        <v>53375.45</v>
      </c>
      <c r="F601" s="486">
        <v>1.3976</v>
      </c>
      <c r="G601"/>
      <c r="H601" s="13">
        <v>53375.45</v>
      </c>
      <c r="I601" s="13">
        <v>1.3976</v>
      </c>
      <c r="J601">
        <v>13</v>
      </c>
      <c r="K601" s="131">
        <v>45688</v>
      </c>
      <c r="M601">
        <v>570</v>
      </c>
      <c r="N601" t="s">
        <v>6444</v>
      </c>
    </row>
    <row r="602" spans="1:14">
      <c r="A602" t="s">
        <v>1746</v>
      </c>
      <c r="B602" t="s">
        <v>6427</v>
      </c>
      <c r="C602" t="s">
        <v>1744</v>
      </c>
      <c r="D602" s="96">
        <v>38.19</v>
      </c>
      <c r="E602" s="13">
        <v>71705.98</v>
      </c>
      <c r="F602" s="486">
        <v>1.8775999999999999</v>
      </c>
      <c r="G602"/>
      <c r="H602" s="13">
        <v>71705.98</v>
      </c>
      <c r="I602" s="13">
        <v>1.8775999999999999</v>
      </c>
      <c r="J602">
        <v>13</v>
      </c>
      <c r="K602" s="131">
        <v>45688</v>
      </c>
      <c r="M602">
        <v>570</v>
      </c>
      <c r="N602" t="s">
        <v>6445</v>
      </c>
    </row>
    <row r="603" spans="1:14">
      <c r="A603" t="s">
        <v>1746</v>
      </c>
      <c r="B603" t="s">
        <v>6427</v>
      </c>
      <c r="C603" t="s">
        <v>1744</v>
      </c>
      <c r="D603" s="96">
        <v>38.19</v>
      </c>
      <c r="E603" s="13">
        <v>71896.210000000006</v>
      </c>
      <c r="F603" s="486">
        <v>1.8826000000000001</v>
      </c>
      <c r="G603"/>
      <c r="H603" s="13">
        <v>71896.210000000006</v>
      </c>
      <c r="I603" s="13">
        <v>1.8826000000000001</v>
      </c>
      <c r="J603">
        <v>13</v>
      </c>
      <c r="K603" s="131">
        <v>45688</v>
      </c>
      <c r="M603">
        <v>570</v>
      </c>
      <c r="N603" t="s">
        <v>6446</v>
      </c>
    </row>
    <row r="604" spans="1:14">
      <c r="A604" t="s">
        <v>1746</v>
      </c>
      <c r="B604" t="s">
        <v>6309</v>
      </c>
      <c r="C604" t="s">
        <v>1744</v>
      </c>
      <c r="D604" s="96">
        <v>38.340000000000003</v>
      </c>
      <c r="E604" s="13">
        <v>69543.08</v>
      </c>
      <c r="F604" s="486">
        <v>1.8139000000000001</v>
      </c>
      <c r="G604"/>
      <c r="H604" s="13">
        <v>69543.08</v>
      </c>
      <c r="I604" s="13">
        <v>1.8139000000000001</v>
      </c>
      <c r="J604">
        <v>13</v>
      </c>
      <c r="K604" s="131">
        <v>45688</v>
      </c>
      <c r="M604">
        <v>710</v>
      </c>
      <c r="N604" t="s">
        <v>6447</v>
      </c>
    </row>
    <row r="605" spans="1:14">
      <c r="A605" t="s">
        <v>1746</v>
      </c>
      <c r="B605" t="s">
        <v>1748</v>
      </c>
      <c r="C605" t="s">
        <v>1744</v>
      </c>
      <c r="D605" s="96">
        <v>38.76</v>
      </c>
      <c r="E605" s="13">
        <v>50852.53</v>
      </c>
      <c r="F605" s="486">
        <v>1.3120000000000001</v>
      </c>
      <c r="G605"/>
      <c r="H605" s="13">
        <v>50852.53</v>
      </c>
      <c r="I605" s="13">
        <v>1.3120000000000001</v>
      </c>
      <c r="J605">
        <v>13</v>
      </c>
      <c r="K605" s="131">
        <v>45688</v>
      </c>
      <c r="M605">
        <v>570</v>
      </c>
      <c r="N605" t="s">
        <v>6448</v>
      </c>
    </row>
    <row r="606" spans="1:14">
      <c r="A606" t="s">
        <v>1746</v>
      </c>
      <c r="B606" t="s">
        <v>1748</v>
      </c>
      <c r="C606" t="s">
        <v>1744</v>
      </c>
      <c r="D606" s="96">
        <v>38.76</v>
      </c>
      <c r="E606" s="13">
        <v>51045.599999999999</v>
      </c>
      <c r="F606" s="486">
        <v>1.3169999999999999</v>
      </c>
      <c r="G606"/>
      <c r="H606" s="13">
        <v>51045.599999999999</v>
      </c>
      <c r="I606" s="13">
        <v>1.3169999999999999</v>
      </c>
      <c r="J606">
        <v>13</v>
      </c>
      <c r="K606" s="131">
        <v>45688</v>
      </c>
      <c r="M606">
        <v>570</v>
      </c>
      <c r="N606" t="s">
        <v>6449</v>
      </c>
    </row>
    <row r="607" spans="1:14">
      <c r="A607" t="s">
        <v>1746</v>
      </c>
      <c r="B607" t="s">
        <v>1747</v>
      </c>
      <c r="C607" t="s">
        <v>1744</v>
      </c>
      <c r="D607" s="96">
        <v>38.76</v>
      </c>
      <c r="E607" s="13">
        <v>52122.79</v>
      </c>
      <c r="F607" s="486">
        <v>1.3448</v>
      </c>
      <c r="G607"/>
      <c r="H607" s="13">
        <v>52122.79</v>
      </c>
      <c r="I607" s="13">
        <v>1.3448</v>
      </c>
      <c r="J607">
        <v>13</v>
      </c>
      <c r="K607" s="131">
        <v>45688</v>
      </c>
      <c r="M607">
        <v>570</v>
      </c>
      <c r="N607" t="s">
        <v>6450</v>
      </c>
    </row>
    <row r="608" spans="1:14">
      <c r="A608" t="s">
        <v>1746</v>
      </c>
      <c r="B608" t="s">
        <v>1747</v>
      </c>
      <c r="C608" t="s">
        <v>1744</v>
      </c>
      <c r="D608" s="96">
        <v>38.76</v>
      </c>
      <c r="E608" s="13">
        <v>52315.86</v>
      </c>
      <c r="F608" s="486">
        <v>1.3496999999999999</v>
      </c>
      <c r="G608"/>
      <c r="H608" s="13">
        <v>52315.86</v>
      </c>
      <c r="I608" s="13">
        <v>1.3496999999999999</v>
      </c>
      <c r="J608">
        <v>13</v>
      </c>
      <c r="K608" s="131">
        <v>45688</v>
      </c>
      <c r="M608">
        <v>570</v>
      </c>
      <c r="N608" t="s">
        <v>6451</v>
      </c>
    </row>
    <row r="609" spans="1:14">
      <c r="A609" t="s">
        <v>1746</v>
      </c>
      <c r="B609" t="s">
        <v>1748</v>
      </c>
      <c r="C609" t="s">
        <v>1744</v>
      </c>
      <c r="D609" s="96">
        <v>38.76</v>
      </c>
      <c r="E609" s="13">
        <v>53709.9</v>
      </c>
      <c r="F609" s="486">
        <v>1.3856999999999999</v>
      </c>
      <c r="G609"/>
      <c r="H609" s="13">
        <v>53709.9</v>
      </c>
      <c r="I609" s="13">
        <v>1.3856999999999999</v>
      </c>
      <c r="J609">
        <v>13</v>
      </c>
      <c r="K609" s="131">
        <v>45688</v>
      </c>
      <c r="M609">
        <v>570</v>
      </c>
      <c r="N609" t="s">
        <v>6452</v>
      </c>
    </row>
    <row r="610" spans="1:14">
      <c r="A610" t="s">
        <v>1746</v>
      </c>
      <c r="B610" t="s">
        <v>1748</v>
      </c>
      <c r="C610" t="s">
        <v>1744</v>
      </c>
      <c r="D610" s="96">
        <v>38.76</v>
      </c>
      <c r="E610" s="13">
        <v>53902.97</v>
      </c>
      <c r="F610" s="486">
        <v>1.3907</v>
      </c>
      <c r="G610"/>
      <c r="H610" s="13">
        <v>53902.97</v>
      </c>
      <c r="I610" s="13">
        <v>1.3907</v>
      </c>
      <c r="J610">
        <v>13</v>
      </c>
      <c r="K610" s="131">
        <v>45688</v>
      </c>
      <c r="M610">
        <v>570</v>
      </c>
      <c r="N610" t="s">
        <v>6453</v>
      </c>
    </row>
    <row r="611" spans="1:14">
      <c r="A611" t="s">
        <v>1746</v>
      </c>
      <c r="B611" t="s">
        <v>6427</v>
      </c>
      <c r="C611" t="s">
        <v>1744</v>
      </c>
      <c r="D611" s="96">
        <v>38.76</v>
      </c>
      <c r="E611" s="13">
        <v>72230.67</v>
      </c>
      <c r="F611" s="486">
        <v>1.8634999999999999</v>
      </c>
      <c r="G611"/>
      <c r="H611" s="13">
        <v>72230.67</v>
      </c>
      <c r="I611" s="13">
        <v>1.8634999999999999</v>
      </c>
      <c r="J611">
        <v>13</v>
      </c>
      <c r="K611" s="131">
        <v>45688</v>
      </c>
      <c r="M611">
        <v>570</v>
      </c>
      <c r="N611" t="s">
        <v>6454</v>
      </c>
    </row>
    <row r="612" spans="1:14">
      <c r="A612" t="s">
        <v>1746</v>
      </c>
      <c r="B612" t="s">
        <v>6427</v>
      </c>
      <c r="C612" t="s">
        <v>1744</v>
      </c>
      <c r="D612" s="96">
        <v>38.76</v>
      </c>
      <c r="E612" s="13">
        <v>72423.73</v>
      </c>
      <c r="F612" s="486">
        <v>1.8685</v>
      </c>
      <c r="G612"/>
      <c r="H612" s="13">
        <v>72423.73</v>
      </c>
      <c r="I612" s="13">
        <v>1.8685</v>
      </c>
      <c r="J612">
        <v>13</v>
      </c>
      <c r="K612" s="131">
        <v>45688</v>
      </c>
      <c r="M612">
        <v>570</v>
      </c>
      <c r="N612" t="s">
        <v>6455</v>
      </c>
    </row>
    <row r="613" spans="1:14">
      <c r="A613" t="s">
        <v>1746</v>
      </c>
      <c r="B613" t="s">
        <v>6309</v>
      </c>
      <c r="C613" t="s">
        <v>1744</v>
      </c>
      <c r="D613" s="96">
        <v>39.049999999999997</v>
      </c>
      <c r="E613" s="13">
        <v>70271.240000000005</v>
      </c>
      <c r="F613" s="486">
        <v>1.7995000000000001</v>
      </c>
      <c r="H613" s="13">
        <v>70271.240000000005</v>
      </c>
      <c r="I613" s="13">
        <v>1.7995000000000001</v>
      </c>
      <c r="J613">
        <v>13</v>
      </c>
      <c r="K613" s="131">
        <v>45688</v>
      </c>
      <c r="M613">
        <v>710</v>
      </c>
      <c r="N613" t="s">
        <v>6456</v>
      </c>
    </row>
    <row r="614" spans="1:14">
      <c r="A614" t="s">
        <v>1746</v>
      </c>
      <c r="B614" t="s">
        <v>1748</v>
      </c>
      <c r="C614" t="s">
        <v>1744</v>
      </c>
      <c r="D614" s="96">
        <v>39.33</v>
      </c>
      <c r="E614" s="13">
        <v>51691.8</v>
      </c>
      <c r="F614" s="486">
        <v>1.3143</v>
      </c>
      <c r="G614"/>
      <c r="H614" s="13">
        <v>51691.8</v>
      </c>
      <c r="I614" s="13">
        <v>1.3143</v>
      </c>
      <c r="J614">
        <v>13</v>
      </c>
      <c r="K614" s="131">
        <v>45688</v>
      </c>
      <c r="M614">
        <v>570</v>
      </c>
      <c r="N614" t="s">
        <v>6457</v>
      </c>
    </row>
    <row r="615" spans="1:14">
      <c r="A615" t="s">
        <v>1746</v>
      </c>
      <c r="B615" t="s">
        <v>1748</v>
      </c>
      <c r="C615" t="s">
        <v>1744</v>
      </c>
      <c r="D615" s="96">
        <v>39.33</v>
      </c>
      <c r="E615" s="13">
        <v>51887.7</v>
      </c>
      <c r="F615" s="486">
        <v>1.3192999999999999</v>
      </c>
      <c r="G615"/>
      <c r="H615" s="13">
        <v>51887.7</v>
      </c>
      <c r="I615" s="13">
        <v>1.3192999999999999</v>
      </c>
      <c r="J615">
        <v>13</v>
      </c>
      <c r="K615" s="131">
        <v>45688</v>
      </c>
      <c r="M615">
        <v>570</v>
      </c>
      <c r="N615" t="s">
        <v>6458</v>
      </c>
    </row>
    <row r="616" spans="1:14">
      <c r="A616" t="s">
        <v>1746</v>
      </c>
      <c r="B616" t="s">
        <v>1747</v>
      </c>
      <c r="C616" t="s">
        <v>1744</v>
      </c>
      <c r="D616" s="96">
        <v>39.33</v>
      </c>
      <c r="E616" s="13">
        <v>52962.06</v>
      </c>
      <c r="F616" s="486">
        <v>1.3466</v>
      </c>
      <c r="G616"/>
      <c r="H616" s="13">
        <v>52962.06</v>
      </c>
      <c r="I616" s="13">
        <v>1.3466</v>
      </c>
      <c r="J616">
        <v>13</v>
      </c>
      <c r="K616" s="131">
        <v>45688</v>
      </c>
      <c r="M616">
        <v>570</v>
      </c>
      <c r="N616" t="s">
        <v>6459</v>
      </c>
    </row>
    <row r="617" spans="1:14">
      <c r="A617" t="s">
        <v>1746</v>
      </c>
      <c r="B617" t="s">
        <v>1747</v>
      </c>
      <c r="C617" t="s">
        <v>1744</v>
      </c>
      <c r="D617" s="96">
        <v>39.33</v>
      </c>
      <c r="E617" s="13">
        <v>53157.96</v>
      </c>
      <c r="F617" s="486">
        <v>1.3515999999999999</v>
      </c>
      <c r="G617"/>
      <c r="H617" s="13">
        <v>53157.96</v>
      </c>
      <c r="I617" s="13">
        <v>1.3515999999999999</v>
      </c>
      <c r="J617">
        <v>13</v>
      </c>
      <c r="K617" s="131">
        <v>45688</v>
      </c>
      <c r="M617">
        <v>570</v>
      </c>
      <c r="N617" t="s">
        <v>6460</v>
      </c>
    </row>
    <row r="618" spans="1:14">
      <c r="A618" t="s">
        <v>1746</v>
      </c>
      <c r="B618" t="s">
        <v>1748</v>
      </c>
      <c r="C618" t="s">
        <v>1744</v>
      </c>
      <c r="D618" s="96">
        <v>39.33</v>
      </c>
      <c r="E618" s="13">
        <v>54549.17</v>
      </c>
      <c r="F618" s="486">
        <v>1.387</v>
      </c>
      <c r="G618"/>
      <c r="H618" s="13">
        <v>54549.17</v>
      </c>
      <c r="I618" s="13">
        <v>1.387</v>
      </c>
      <c r="J618">
        <v>13</v>
      </c>
      <c r="K618" s="131">
        <v>45688</v>
      </c>
      <c r="M618">
        <v>570</v>
      </c>
      <c r="N618" t="s">
        <v>6461</v>
      </c>
    </row>
    <row r="619" spans="1:14">
      <c r="A619" t="s">
        <v>1746</v>
      </c>
      <c r="B619" t="s">
        <v>1748</v>
      </c>
      <c r="C619" t="s">
        <v>1744</v>
      </c>
      <c r="D619" s="96">
        <v>39.33</v>
      </c>
      <c r="E619" s="13">
        <v>54745.08</v>
      </c>
      <c r="F619" s="486">
        <v>1.3918999999999999</v>
      </c>
      <c r="G619"/>
      <c r="H619" s="13">
        <v>54745.08</v>
      </c>
      <c r="I619" s="13">
        <v>1.3918999999999999</v>
      </c>
      <c r="J619">
        <v>13</v>
      </c>
      <c r="K619" s="131">
        <v>45688</v>
      </c>
      <c r="M619">
        <v>570</v>
      </c>
      <c r="N619" t="s">
        <v>6462</v>
      </c>
    </row>
    <row r="620" spans="1:14">
      <c r="A620" t="s">
        <v>1746</v>
      </c>
      <c r="B620" t="s">
        <v>6463</v>
      </c>
      <c r="C620" t="s">
        <v>1744</v>
      </c>
      <c r="D620" s="96">
        <v>39.33</v>
      </c>
      <c r="E620" s="13">
        <v>74876.52</v>
      </c>
      <c r="F620" s="486">
        <v>1.9037999999999999</v>
      </c>
      <c r="G620"/>
      <c r="H620" s="13">
        <v>74876.52</v>
      </c>
      <c r="I620" s="13">
        <v>1.9037999999999999</v>
      </c>
      <c r="J620">
        <v>13</v>
      </c>
      <c r="K620" s="131">
        <v>45688</v>
      </c>
      <c r="M620">
        <v>570</v>
      </c>
      <c r="N620" t="s">
        <v>6464</v>
      </c>
    </row>
    <row r="621" spans="1:14">
      <c r="A621" t="s">
        <v>1746</v>
      </c>
      <c r="B621" t="s">
        <v>6463</v>
      </c>
      <c r="C621" t="s">
        <v>1744</v>
      </c>
      <c r="D621" s="96">
        <v>39.33</v>
      </c>
      <c r="E621" s="13">
        <v>75072.42</v>
      </c>
      <c r="F621" s="486">
        <v>1.9088000000000001</v>
      </c>
      <c r="G621"/>
      <c r="H621" s="13">
        <v>75072.42</v>
      </c>
      <c r="I621" s="13">
        <v>1.9088000000000001</v>
      </c>
      <c r="J621">
        <v>13</v>
      </c>
      <c r="K621" s="131">
        <v>45688</v>
      </c>
      <c r="M621">
        <v>570</v>
      </c>
      <c r="N621" t="s">
        <v>6465</v>
      </c>
    </row>
    <row r="622" spans="1:14">
      <c r="A622" t="s">
        <v>1746</v>
      </c>
      <c r="B622" t="s">
        <v>6309</v>
      </c>
      <c r="C622" t="s">
        <v>1744</v>
      </c>
      <c r="D622" s="96">
        <v>39.76</v>
      </c>
      <c r="E622" s="13">
        <v>70999.399999999994</v>
      </c>
      <c r="F622" s="486">
        <v>1.7857000000000001</v>
      </c>
      <c r="G622"/>
      <c r="H622" s="13">
        <v>70999.399999999994</v>
      </c>
      <c r="I622" s="13">
        <v>1.7857000000000001</v>
      </c>
      <c r="J622">
        <v>13</v>
      </c>
      <c r="K622" s="131">
        <v>45688</v>
      </c>
      <c r="M622">
        <v>710</v>
      </c>
      <c r="N622" t="s">
        <v>6466</v>
      </c>
    </row>
    <row r="623" spans="1:14">
      <c r="A623" t="s">
        <v>1746</v>
      </c>
      <c r="B623" t="s">
        <v>1748</v>
      </c>
      <c r="C623" t="s">
        <v>1744</v>
      </c>
      <c r="D623" s="96">
        <v>39.9</v>
      </c>
      <c r="E623" s="13">
        <v>52216.480000000003</v>
      </c>
      <c r="F623" s="486">
        <v>1.3087</v>
      </c>
      <c r="G623"/>
      <c r="H623" s="13">
        <v>52216.480000000003</v>
      </c>
      <c r="I623" s="13">
        <v>1.3087</v>
      </c>
      <c r="J623">
        <v>13</v>
      </c>
      <c r="K623" s="131">
        <v>45688</v>
      </c>
      <c r="M623">
        <v>570</v>
      </c>
      <c r="N623" t="s">
        <v>6467</v>
      </c>
    </row>
    <row r="624" spans="1:14">
      <c r="A624" t="s">
        <v>1746</v>
      </c>
      <c r="B624" t="s">
        <v>1748</v>
      </c>
      <c r="C624" t="s">
        <v>1744</v>
      </c>
      <c r="D624" s="96">
        <v>39.9</v>
      </c>
      <c r="E624" s="13">
        <v>52415.23</v>
      </c>
      <c r="F624" s="486">
        <v>1.3137000000000001</v>
      </c>
      <c r="G624"/>
      <c r="H624" s="13">
        <v>52415.23</v>
      </c>
      <c r="I624" s="13">
        <v>1.3137000000000001</v>
      </c>
      <c r="J624">
        <v>13</v>
      </c>
      <c r="K624" s="131">
        <v>45688</v>
      </c>
      <c r="M624">
        <v>570</v>
      </c>
      <c r="N624" t="s">
        <v>6468</v>
      </c>
    </row>
    <row r="625" spans="1:14">
      <c r="A625" t="s">
        <v>1746</v>
      </c>
      <c r="B625" t="s">
        <v>1747</v>
      </c>
      <c r="C625" t="s">
        <v>1744</v>
      </c>
      <c r="D625" s="96">
        <v>39.9</v>
      </c>
      <c r="E625" s="13">
        <v>53486.74</v>
      </c>
      <c r="F625" s="486">
        <v>1.3405</v>
      </c>
      <c r="G625"/>
      <c r="H625" s="13">
        <v>53486.74</v>
      </c>
      <c r="I625" s="13">
        <v>1.3405</v>
      </c>
      <c r="J625">
        <v>13</v>
      </c>
      <c r="K625" s="131">
        <v>45688</v>
      </c>
      <c r="M625">
        <v>570</v>
      </c>
      <c r="N625" t="s">
        <v>6469</v>
      </c>
    </row>
    <row r="626" spans="1:14">
      <c r="A626" t="s">
        <v>1746</v>
      </c>
      <c r="B626" t="s">
        <v>1747</v>
      </c>
      <c r="C626" t="s">
        <v>1744</v>
      </c>
      <c r="D626" s="96">
        <v>39.9</v>
      </c>
      <c r="E626" s="13">
        <v>53685.49</v>
      </c>
      <c r="F626" s="486">
        <v>1.3454999999999999</v>
      </c>
      <c r="G626"/>
      <c r="H626" s="13">
        <v>53685.49</v>
      </c>
      <c r="I626" s="13">
        <v>1.3454999999999999</v>
      </c>
      <c r="J626">
        <v>13</v>
      </c>
      <c r="K626" s="131">
        <v>45688</v>
      </c>
      <c r="M626">
        <v>570</v>
      </c>
      <c r="N626" t="s">
        <v>6470</v>
      </c>
    </row>
    <row r="627" spans="1:14">
      <c r="A627" t="s">
        <v>1746</v>
      </c>
      <c r="B627" t="s">
        <v>1748</v>
      </c>
      <c r="C627" t="s">
        <v>1744</v>
      </c>
      <c r="D627" s="96">
        <v>39.9</v>
      </c>
      <c r="E627" s="13">
        <v>55073.86</v>
      </c>
      <c r="F627" s="486">
        <v>1.3803000000000001</v>
      </c>
      <c r="G627"/>
      <c r="H627" s="13">
        <v>55073.86</v>
      </c>
      <c r="I627" s="13">
        <v>1.3803000000000001</v>
      </c>
      <c r="J627">
        <v>13</v>
      </c>
      <c r="K627" s="131">
        <v>45688</v>
      </c>
      <c r="M627">
        <v>570</v>
      </c>
      <c r="N627" t="s">
        <v>6471</v>
      </c>
    </row>
    <row r="628" spans="1:14">
      <c r="A628" t="s">
        <v>1746</v>
      </c>
      <c r="B628" t="s">
        <v>1748</v>
      </c>
      <c r="C628" t="s">
        <v>1744</v>
      </c>
      <c r="D628" s="96">
        <v>39.9</v>
      </c>
      <c r="E628" s="13">
        <v>55272.6</v>
      </c>
      <c r="F628" s="486">
        <v>1.3853</v>
      </c>
      <c r="G628"/>
      <c r="H628" s="13">
        <v>55272.6</v>
      </c>
      <c r="I628" s="13">
        <v>1.3853</v>
      </c>
      <c r="J628">
        <v>13</v>
      </c>
      <c r="K628" s="131">
        <v>45688</v>
      </c>
      <c r="M628">
        <v>570</v>
      </c>
      <c r="N628" t="s">
        <v>6472</v>
      </c>
    </row>
    <row r="629" spans="1:14">
      <c r="A629" t="s">
        <v>1746</v>
      </c>
      <c r="B629" t="s">
        <v>6463</v>
      </c>
      <c r="C629" t="s">
        <v>1744</v>
      </c>
      <c r="D629" s="96">
        <v>39.9</v>
      </c>
      <c r="E629" s="13">
        <v>75401.2</v>
      </c>
      <c r="F629" s="486">
        <v>1.8897999999999999</v>
      </c>
      <c r="G629"/>
      <c r="H629" s="13">
        <v>75401.2</v>
      </c>
      <c r="I629" s="13">
        <v>1.8897999999999999</v>
      </c>
      <c r="J629">
        <v>13</v>
      </c>
      <c r="K629" s="131">
        <v>45688</v>
      </c>
      <c r="M629">
        <v>570</v>
      </c>
      <c r="N629" t="s">
        <v>6473</v>
      </c>
    </row>
    <row r="630" spans="1:14">
      <c r="A630" t="s">
        <v>1746</v>
      </c>
      <c r="B630" t="s">
        <v>6463</v>
      </c>
      <c r="C630" t="s">
        <v>1744</v>
      </c>
      <c r="D630" s="96">
        <v>39.9</v>
      </c>
      <c r="E630" s="13">
        <v>75599.95</v>
      </c>
      <c r="F630" s="486">
        <v>1.8947000000000001</v>
      </c>
      <c r="G630"/>
      <c r="H630" s="13">
        <v>75599.95</v>
      </c>
      <c r="I630" s="13">
        <v>1.8947000000000001</v>
      </c>
      <c r="J630">
        <v>13</v>
      </c>
      <c r="K630" s="131">
        <v>45688</v>
      </c>
      <c r="M630">
        <v>570</v>
      </c>
      <c r="N630" t="s">
        <v>6474</v>
      </c>
    </row>
    <row r="631" spans="1:14">
      <c r="A631" t="s">
        <v>1746</v>
      </c>
      <c r="B631" t="s">
        <v>1748</v>
      </c>
      <c r="C631" t="s">
        <v>1744</v>
      </c>
      <c r="D631" s="96">
        <v>40.47</v>
      </c>
      <c r="E631" s="13">
        <v>52741.17</v>
      </c>
      <c r="F631" s="486">
        <v>1.3031999999999999</v>
      </c>
      <c r="G631"/>
      <c r="H631" s="13">
        <v>52741.17</v>
      </c>
      <c r="I631" s="13">
        <v>1.3031999999999999</v>
      </c>
      <c r="J631">
        <v>13</v>
      </c>
      <c r="K631" s="131">
        <v>45688</v>
      </c>
      <c r="M631">
        <v>570</v>
      </c>
      <c r="N631" t="s">
        <v>6475</v>
      </c>
    </row>
    <row r="632" spans="1:14">
      <c r="A632" t="s">
        <v>1746</v>
      </c>
      <c r="B632" t="s">
        <v>1748</v>
      </c>
      <c r="C632" t="s">
        <v>1744</v>
      </c>
      <c r="D632" s="96">
        <v>40.47</v>
      </c>
      <c r="E632" s="13">
        <v>52942.75</v>
      </c>
      <c r="F632" s="486">
        <v>1.3082</v>
      </c>
      <c r="G632"/>
      <c r="H632" s="13">
        <v>52942.75</v>
      </c>
      <c r="I632" s="13">
        <v>1.3082</v>
      </c>
      <c r="J632">
        <v>13</v>
      </c>
      <c r="K632" s="131">
        <v>45688</v>
      </c>
      <c r="M632">
        <v>570</v>
      </c>
      <c r="N632" t="s">
        <v>6476</v>
      </c>
    </row>
    <row r="633" spans="1:14">
      <c r="A633" t="s">
        <v>1746</v>
      </c>
      <c r="B633" t="s">
        <v>1747</v>
      </c>
      <c r="C633" t="s">
        <v>1744</v>
      </c>
      <c r="D633" s="96">
        <v>40.47</v>
      </c>
      <c r="E633" s="13">
        <v>54011.43</v>
      </c>
      <c r="F633" s="486">
        <v>1.3346</v>
      </c>
      <c r="G633"/>
      <c r="H633" s="13">
        <v>54011.43</v>
      </c>
      <c r="I633" s="13">
        <v>1.3346</v>
      </c>
      <c r="J633">
        <v>13</v>
      </c>
      <c r="K633" s="131">
        <v>45688</v>
      </c>
      <c r="M633">
        <v>570</v>
      </c>
      <c r="N633" t="s">
        <v>6477</v>
      </c>
    </row>
    <row r="634" spans="1:14">
      <c r="A634" t="s">
        <v>1746</v>
      </c>
      <c r="B634" t="s">
        <v>1747</v>
      </c>
      <c r="C634" t="s">
        <v>1744</v>
      </c>
      <c r="D634" s="96">
        <v>40.47</v>
      </c>
      <c r="E634" s="13">
        <v>54213.01</v>
      </c>
      <c r="F634" s="486">
        <v>1.3395999999999999</v>
      </c>
      <c r="G634"/>
      <c r="H634" s="13">
        <v>54213.01</v>
      </c>
      <c r="I634" s="13">
        <v>1.3395999999999999</v>
      </c>
      <c r="J634">
        <v>13</v>
      </c>
      <c r="K634" s="131">
        <v>45688</v>
      </c>
      <c r="M634">
        <v>570</v>
      </c>
      <c r="N634" t="s">
        <v>6478</v>
      </c>
    </row>
    <row r="635" spans="1:14">
      <c r="A635" t="s">
        <v>1746</v>
      </c>
      <c r="B635" t="s">
        <v>1748</v>
      </c>
      <c r="C635" t="s">
        <v>1744</v>
      </c>
      <c r="D635" s="96">
        <v>40.47</v>
      </c>
      <c r="E635" s="13">
        <v>55598.54</v>
      </c>
      <c r="F635" s="486">
        <v>1.3737999999999999</v>
      </c>
      <c r="G635"/>
      <c r="H635" s="13">
        <v>55598.54</v>
      </c>
      <c r="I635" s="13">
        <v>1.3737999999999999</v>
      </c>
      <c r="J635">
        <v>13</v>
      </c>
      <c r="K635" s="131">
        <v>45688</v>
      </c>
      <c r="M635">
        <v>570</v>
      </c>
      <c r="N635" t="s">
        <v>6479</v>
      </c>
    </row>
    <row r="636" spans="1:14">
      <c r="A636" t="s">
        <v>1746</v>
      </c>
      <c r="B636" t="s">
        <v>1748</v>
      </c>
      <c r="C636" t="s">
        <v>1744</v>
      </c>
      <c r="D636" s="96">
        <v>40.47</v>
      </c>
      <c r="E636" s="13">
        <v>55800.12</v>
      </c>
      <c r="F636" s="486">
        <v>1.3788</v>
      </c>
      <c r="G636"/>
      <c r="H636" s="13">
        <v>55800.12</v>
      </c>
      <c r="I636" s="13">
        <v>1.3788</v>
      </c>
      <c r="J636">
        <v>13</v>
      </c>
      <c r="K636" s="131">
        <v>45688</v>
      </c>
      <c r="M636">
        <v>570</v>
      </c>
      <c r="N636" t="s">
        <v>6480</v>
      </c>
    </row>
    <row r="637" spans="1:14">
      <c r="A637" t="s">
        <v>1746</v>
      </c>
      <c r="B637" t="s">
        <v>6353</v>
      </c>
      <c r="C637" t="s">
        <v>1744</v>
      </c>
      <c r="D637" s="96">
        <v>40.47</v>
      </c>
      <c r="E637" s="13">
        <v>73848.73</v>
      </c>
      <c r="F637" s="486">
        <v>1.8248</v>
      </c>
      <c r="G637"/>
      <c r="H637" s="13">
        <v>73848.73</v>
      </c>
      <c r="I637" s="13">
        <v>1.8248</v>
      </c>
      <c r="J637">
        <v>13</v>
      </c>
      <c r="K637" s="131">
        <v>45688</v>
      </c>
      <c r="M637">
        <v>710</v>
      </c>
      <c r="N637" t="s">
        <v>6481</v>
      </c>
    </row>
    <row r="638" spans="1:14">
      <c r="A638" t="s">
        <v>1746</v>
      </c>
      <c r="B638" t="s">
        <v>6463</v>
      </c>
      <c r="C638" t="s">
        <v>1744</v>
      </c>
      <c r="D638" s="96">
        <v>40.47</v>
      </c>
      <c r="E638" s="13">
        <v>75925.89</v>
      </c>
      <c r="F638" s="486">
        <v>1.8761000000000001</v>
      </c>
      <c r="G638"/>
      <c r="H638" s="13">
        <v>75925.89</v>
      </c>
      <c r="I638" s="13">
        <v>1.8761000000000001</v>
      </c>
      <c r="J638">
        <v>13</v>
      </c>
      <c r="K638" s="131">
        <v>45688</v>
      </c>
      <c r="M638">
        <v>570</v>
      </c>
      <c r="N638" t="s">
        <v>6482</v>
      </c>
    </row>
    <row r="639" spans="1:14">
      <c r="A639" t="s">
        <v>1746</v>
      </c>
      <c r="B639" t="s">
        <v>6463</v>
      </c>
      <c r="C639" t="s">
        <v>1744</v>
      </c>
      <c r="D639" s="96">
        <v>40.47</v>
      </c>
      <c r="E639" s="13">
        <v>76127.47</v>
      </c>
      <c r="F639" s="486">
        <v>1.8811</v>
      </c>
      <c r="G639"/>
      <c r="H639" s="13">
        <v>76127.47</v>
      </c>
      <c r="I639" s="13">
        <v>1.8811</v>
      </c>
      <c r="J639">
        <v>13</v>
      </c>
      <c r="K639" s="131">
        <v>45688</v>
      </c>
      <c r="M639">
        <v>570</v>
      </c>
      <c r="N639" t="s">
        <v>6483</v>
      </c>
    </row>
    <row r="640" spans="1:14">
      <c r="A640" t="s">
        <v>1746</v>
      </c>
      <c r="B640" t="s">
        <v>1748</v>
      </c>
      <c r="C640" t="s">
        <v>1744</v>
      </c>
      <c r="D640" s="96">
        <v>41.04</v>
      </c>
      <c r="E640" s="13">
        <v>53265.85</v>
      </c>
      <c r="F640" s="486">
        <v>1.2979000000000001</v>
      </c>
      <c r="G640"/>
      <c r="H640" s="13">
        <v>53265.85</v>
      </c>
      <c r="I640" s="13">
        <v>1.2979000000000001</v>
      </c>
      <c r="J640">
        <v>13</v>
      </c>
      <c r="K640" s="131">
        <v>45688</v>
      </c>
      <c r="M640">
        <v>570</v>
      </c>
      <c r="N640" t="s">
        <v>6484</v>
      </c>
    </row>
    <row r="641" spans="1:14">
      <c r="A641" t="s">
        <v>1746</v>
      </c>
      <c r="B641" t="s">
        <v>1748</v>
      </c>
      <c r="C641" t="s">
        <v>1744</v>
      </c>
      <c r="D641" s="96">
        <v>41.04</v>
      </c>
      <c r="E641" s="13">
        <v>53470.28</v>
      </c>
      <c r="F641" s="486">
        <v>1.3028999999999999</v>
      </c>
      <c r="G641"/>
      <c r="H641" s="13">
        <v>53470.28</v>
      </c>
      <c r="I641" s="13">
        <v>1.3028999999999999</v>
      </c>
      <c r="J641">
        <v>13</v>
      </c>
      <c r="K641" s="131">
        <v>45688</v>
      </c>
      <c r="M641">
        <v>570</v>
      </c>
      <c r="N641" t="s">
        <v>6485</v>
      </c>
    </row>
    <row r="642" spans="1:14">
      <c r="A642" t="s">
        <v>1746</v>
      </c>
      <c r="B642" t="s">
        <v>1747</v>
      </c>
      <c r="C642" t="s">
        <v>1744</v>
      </c>
      <c r="D642" s="96">
        <v>41.04</v>
      </c>
      <c r="E642" s="13">
        <v>54536.11</v>
      </c>
      <c r="F642" s="486">
        <v>1.3289</v>
      </c>
      <c r="G642"/>
      <c r="H642" s="13">
        <v>54536.11</v>
      </c>
      <c r="I642" s="13">
        <v>1.3289</v>
      </c>
      <c r="J642">
        <v>13</v>
      </c>
      <c r="K642" s="131">
        <v>45688</v>
      </c>
      <c r="M642">
        <v>570</v>
      </c>
      <c r="N642" t="s">
        <v>6486</v>
      </c>
    </row>
    <row r="643" spans="1:14">
      <c r="A643" t="s">
        <v>1746</v>
      </c>
      <c r="B643" t="s">
        <v>1747</v>
      </c>
      <c r="C643" t="s">
        <v>1744</v>
      </c>
      <c r="D643" s="96">
        <v>41.04</v>
      </c>
      <c r="E643" s="13">
        <v>54740.53</v>
      </c>
      <c r="F643" s="486">
        <v>1.3338000000000001</v>
      </c>
      <c r="G643"/>
      <c r="H643" s="13">
        <v>54740.53</v>
      </c>
      <c r="I643" s="13">
        <v>1.3338000000000001</v>
      </c>
      <c r="J643">
        <v>13</v>
      </c>
      <c r="K643" s="131">
        <v>45688</v>
      </c>
      <c r="M643">
        <v>570</v>
      </c>
      <c r="N643" t="s">
        <v>6487</v>
      </c>
    </row>
    <row r="644" spans="1:14">
      <c r="A644" t="s">
        <v>1746</v>
      </c>
      <c r="B644" t="s">
        <v>1748</v>
      </c>
      <c r="C644" t="s">
        <v>1744</v>
      </c>
      <c r="D644" s="96">
        <v>41.04</v>
      </c>
      <c r="E644" s="13">
        <v>56123.22</v>
      </c>
      <c r="F644" s="486">
        <v>1.3674999999999999</v>
      </c>
      <c r="G644"/>
      <c r="H644" s="13">
        <v>56123.22</v>
      </c>
      <c r="I644" s="13">
        <v>1.3674999999999999</v>
      </c>
      <c r="J644">
        <v>13</v>
      </c>
      <c r="K644" s="131">
        <v>45688</v>
      </c>
      <c r="M644">
        <v>570</v>
      </c>
      <c r="N644" t="s">
        <v>6488</v>
      </c>
    </row>
    <row r="645" spans="1:14">
      <c r="A645" t="s">
        <v>1746</v>
      </c>
      <c r="B645" t="s">
        <v>1748</v>
      </c>
      <c r="C645" t="s">
        <v>1744</v>
      </c>
      <c r="D645" s="96">
        <v>41.04</v>
      </c>
      <c r="E645" s="13">
        <v>56327.65</v>
      </c>
      <c r="F645" s="486">
        <v>1.3725000000000001</v>
      </c>
      <c r="G645"/>
      <c r="H645" s="13">
        <v>56327.65</v>
      </c>
      <c r="I645" s="13">
        <v>1.3725000000000001</v>
      </c>
      <c r="J645">
        <v>13</v>
      </c>
      <c r="K645" s="131">
        <v>45688</v>
      </c>
      <c r="M645">
        <v>570</v>
      </c>
      <c r="N645" t="s">
        <v>6489</v>
      </c>
    </row>
    <row r="646" spans="1:14">
      <c r="A646" t="s">
        <v>1746</v>
      </c>
      <c r="B646" t="s">
        <v>6463</v>
      </c>
      <c r="C646" t="s">
        <v>1744</v>
      </c>
      <c r="D646" s="96">
        <v>41.04</v>
      </c>
      <c r="E646" s="13">
        <v>76450.570000000007</v>
      </c>
      <c r="F646" s="486">
        <v>1.8628</v>
      </c>
      <c r="G646"/>
      <c r="H646" s="13">
        <v>76450.570000000007</v>
      </c>
      <c r="I646" s="13">
        <v>1.8628</v>
      </c>
      <c r="J646">
        <v>13</v>
      </c>
      <c r="K646" s="131">
        <v>45688</v>
      </c>
      <c r="M646">
        <v>570</v>
      </c>
      <c r="N646" t="s">
        <v>6490</v>
      </c>
    </row>
    <row r="647" spans="1:14">
      <c r="A647" t="s">
        <v>1746</v>
      </c>
      <c r="B647" t="s">
        <v>6463</v>
      </c>
      <c r="C647" t="s">
        <v>1744</v>
      </c>
      <c r="D647" s="96">
        <v>41.04</v>
      </c>
      <c r="E647" s="13">
        <v>76654.990000000005</v>
      </c>
      <c r="F647" s="486">
        <v>1.8677999999999999</v>
      </c>
      <c r="G647"/>
      <c r="H647" s="13">
        <v>76654.990000000005</v>
      </c>
      <c r="I647" s="13">
        <v>1.8677999999999999</v>
      </c>
      <c r="J647">
        <v>13</v>
      </c>
      <c r="K647" s="131">
        <v>45688</v>
      </c>
      <c r="M647">
        <v>570</v>
      </c>
      <c r="N647" t="s">
        <v>6491</v>
      </c>
    </row>
    <row r="648" spans="1:14">
      <c r="A648" t="s">
        <v>1746</v>
      </c>
      <c r="B648" t="s">
        <v>6353</v>
      </c>
      <c r="C648" t="s">
        <v>1744</v>
      </c>
      <c r="D648" s="96">
        <v>41.18</v>
      </c>
      <c r="E648" s="13">
        <v>74576.89</v>
      </c>
      <c r="F648" s="486">
        <v>1.8109999999999999</v>
      </c>
      <c r="G648"/>
      <c r="H648" s="13">
        <v>74576.89</v>
      </c>
      <c r="I648" s="13">
        <v>1.8109999999999999</v>
      </c>
      <c r="J648">
        <v>13</v>
      </c>
      <c r="K648" s="131">
        <v>45688</v>
      </c>
      <c r="M648">
        <v>710</v>
      </c>
      <c r="N648" t="s">
        <v>6492</v>
      </c>
    </row>
    <row r="649" spans="1:14">
      <c r="A649" t="s">
        <v>1746</v>
      </c>
      <c r="B649" t="s">
        <v>1748</v>
      </c>
      <c r="C649" t="s">
        <v>1744</v>
      </c>
      <c r="D649" s="96">
        <v>41.61</v>
      </c>
      <c r="E649" s="13">
        <v>54105.120000000003</v>
      </c>
      <c r="F649" s="486">
        <v>1.3003</v>
      </c>
      <c r="G649"/>
      <c r="H649" s="13">
        <v>54105.120000000003</v>
      </c>
      <c r="I649" s="13">
        <v>1.3003</v>
      </c>
      <c r="J649">
        <v>13</v>
      </c>
      <c r="K649" s="131">
        <v>45688</v>
      </c>
      <c r="M649">
        <v>570</v>
      </c>
      <c r="N649" t="s">
        <v>6493</v>
      </c>
    </row>
    <row r="650" spans="1:14">
      <c r="A650" t="s">
        <v>1746</v>
      </c>
      <c r="B650" t="s">
        <v>1748</v>
      </c>
      <c r="C650" t="s">
        <v>1744</v>
      </c>
      <c r="D650" s="96">
        <v>41.61</v>
      </c>
      <c r="E650" s="13">
        <v>54312.38</v>
      </c>
      <c r="F650" s="486">
        <v>1.3052999999999999</v>
      </c>
      <c r="G650"/>
      <c r="H650" s="13">
        <v>54312.38</v>
      </c>
      <c r="I650" s="13">
        <v>1.3052999999999999</v>
      </c>
      <c r="J650">
        <v>13</v>
      </c>
      <c r="K650" s="131">
        <v>45688</v>
      </c>
      <c r="M650">
        <v>570</v>
      </c>
      <c r="N650" t="s">
        <v>6494</v>
      </c>
    </row>
    <row r="651" spans="1:14">
      <c r="A651" t="s">
        <v>1746</v>
      </c>
      <c r="B651" t="s">
        <v>1747</v>
      </c>
      <c r="C651" t="s">
        <v>1744</v>
      </c>
      <c r="D651" s="96">
        <v>41.61</v>
      </c>
      <c r="E651" s="13">
        <v>55375.38</v>
      </c>
      <c r="F651" s="486">
        <v>1.3308</v>
      </c>
      <c r="G651"/>
      <c r="H651" s="13">
        <v>55375.38</v>
      </c>
      <c r="I651" s="13">
        <v>1.3308</v>
      </c>
      <c r="J651">
        <v>13</v>
      </c>
      <c r="K651" s="131">
        <v>45688</v>
      </c>
      <c r="M651">
        <v>570</v>
      </c>
      <c r="N651" t="s">
        <v>6495</v>
      </c>
    </row>
    <row r="652" spans="1:14">
      <c r="A652" t="s">
        <v>1746</v>
      </c>
      <c r="B652" t="s">
        <v>1747</v>
      </c>
      <c r="C652" t="s">
        <v>1744</v>
      </c>
      <c r="D652" s="96">
        <v>41.61</v>
      </c>
      <c r="E652" s="13">
        <v>55582.64</v>
      </c>
      <c r="F652" s="486">
        <v>1.3358000000000001</v>
      </c>
      <c r="G652"/>
      <c r="H652" s="13">
        <v>55582.64</v>
      </c>
      <c r="I652" s="13">
        <v>1.3358000000000001</v>
      </c>
      <c r="J652">
        <v>13</v>
      </c>
      <c r="K652" s="131">
        <v>45688</v>
      </c>
      <c r="M652">
        <v>570</v>
      </c>
      <c r="N652" t="s">
        <v>6496</v>
      </c>
    </row>
    <row r="653" spans="1:14">
      <c r="A653" t="s">
        <v>1746</v>
      </c>
      <c r="B653" t="s">
        <v>1748</v>
      </c>
      <c r="C653" t="s">
        <v>1744</v>
      </c>
      <c r="D653" s="96">
        <v>41.61</v>
      </c>
      <c r="E653" s="13">
        <v>56962.49</v>
      </c>
      <c r="F653" s="486">
        <v>1.369</v>
      </c>
      <c r="G653"/>
      <c r="H653" s="13">
        <v>56962.49</v>
      </c>
      <c r="I653" s="13">
        <v>1.369</v>
      </c>
      <c r="J653">
        <v>13</v>
      </c>
      <c r="K653" s="131">
        <v>45688</v>
      </c>
      <c r="M653">
        <v>570</v>
      </c>
      <c r="N653" t="s">
        <v>6497</v>
      </c>
    </row>
    <row r="654" spans="1:14">
      <c r="A654" t="s">
        <v>1746</v>
      </c>
      <c r="B654" t="s">
        <v>1748</v>
      </c>
      <c r="C654" t="s">
        <v>1744</v>
      </c>
      <c r="D654" s="96">
        <v>41.61</v>
      </c>
      <c r="E654" s="13">
        <v>57169.75</v>
      </c>
      <c r="F654" s="486">
        <v>1.3738999999999999</v>
      </c>
      <c r="G654"/>
      <c r="H654" s="13">
        <v>57169.75</v>
      </c>
      <c r="I654" s="13">
        <v>1.3738999999999999</v>
      </c>
      <c r="J654">
        <v>13</v>
      </c>
      <c r="K654" s="131">
        <v>45688</v>
      </c>
      <c r="M654">
        <v>570</v>
      </c>
      <c r="N654" t="s">
        <v>6498</v>
      </c>
    </row>
    <row r="655" spans="1:14">
      <c r="A655" t="s">
        <v>1746</v>
      </c>
      <c r="B655" t="s">
        <v>6463</v>
      </c>
      <c r="C655" t="s">
        <v>1744</v>
      </c>
      <c r="D655" s="96">
        <v>41.61</v>
      </c>
      <c r="E655" s="13">
        <v>79062.63</v>
      </c>
      <c r="F655" s="486">
        <v>1.9000999999999999</v>
      </c>
      <c r="G655"/>
      <c r="H655" s="13">
        <v>79062.63</v>
      </c>
      <c r="I655" s="13">
        <v>1.9000999999999999</v>
      </c>
      <c r="J655">
        <v>13</v>
      </c>
      <c r="K655" s="131">
        <v>45688</v>
      </c>
      <c r="M655">
        <v>570</v>
      </c>
      <c r="N655" t="s">
        <v>6499</v>
      </c>
    </row>
    <row r="656" spans="1:14">
      <c r="A656" t="s">
        <v>1746</v>
      </c>
      <c r="B656" t="s">
        <v>6463</v>
      </c>
      <c r="C656" t="s">
        <v>1744</v>
      </c>
      <c r="D656" s="96">
        <v>41.61</v>
      </c>
      <c r="E656" s="13">
        <v>79269.899999999994</v>
      </c>
      <c r="F656" s="486">
        <v>1.9051</v>
      </c>
      <c r="G656"/>
      <c r="H656" s="13">
        <v>79269.899999999994</v>
      </c>
      <c r="I656" s="13">
        <v>1.9051</v>
      </c>
      <c r="J656">
        <v>13</v>
      </c>
      <c r="K656" s="131">
        <v>45688</v>
      </c>
      <c r="M656">
        <v>570</v>
      </c>
      <c r="N656" t="s">
        <v>6500</v>
      </c>
    </row>
    <row r="657" spans="1:14">
      <c r="A657" t="s">
        <v>1746</v>
      </c>
      <c r="B657" t="s">
        <v>6353</v>
      </c>
      <c r="C657" t="s">
        <v>1744</v>
      </c>
      <c r="D657" s="96">
        <v>41.89</v>
      </c>
      <c r="E657" s="13">
        <v>75305.05</v>
      </c>
      <c r="F657" s="486">
        <v>1.7977000000000001</v>
      </c>
      <c r="G657"/>
      <c r="H657" s="13">
        <v>75305.05</v>
      </c>
      <c r="I657" s="13">
        <v>1.7977000000000001</v>
      </c>
      <c r="J657">
        <v>13</v>
      </c>
      <c r="K657" s="131">
        <v>45688</v>
      </c>
      <c r="M657">
        <v>710</v>
      </c>
      <c r="N657" t="s">
        <v>6501</v>
      </c>
    </row>
    <row r="658" spans="1:14">
      <c r="A658" t="s">
        <v>1746</v>
      </c>
      <c r="B658" t="s">
        <v>1747</v>
      </c>
      <c r="C658" t="s">
        <v>1744</v>
      </c>
      <c r="D658" s="96">
        <v>42.18</v>
      </c>
      <c r="E658" s="13">
        <v>55900.06</v>
      </c>
      <c r="F658" s="486">
        <v>1.3252999999999999</v>
      </c>
      <c r="G658"/>
      <c r="H658" s="13">
        <v>55900.06</v>
      </c>
      <c r="I658" s="13">
        <v>1.3252999999999999</v>
      </c>
      <c r="J658">
        <v>13</v>
      </c>
      <c r="K658" s="131">
        <v>45688</v>
      </c>
      <c r="M658">
        <v>570</v>
      </c>
      <c r="N658" t="s">
        <v>6502</v>
      </c>
    </row>
    <row r="659" spans="1:14">
      <c r="A659" t="s">
        <v>1746</v>
      </c>
      <c r="B659" t="s">
        <v>1747</v>
      </c>
      <c r="C659" t="s">
        <v>1744</v>
      </c>
      <c r="D659" s="96">
        <v>42.18</v>
      </c>
      <c r="E659" s="13">
        <v>56110.16</v>
      </c>
      <c r="F659" s="486">
        <v>1.3303</v>
      </c>
      <c r="G659"/>
      <c r="H659" s="13">
        <v>56110.16</v>
      </c>
      <c r="I659" s="13">
        <v>1.3303</v>
      </c>
      <c r="J659">
        <v>13</v>
      </c>
      <c r="K659" s="131">
        <v>45688</v>
      </c>
      <c r="M659">
        <v>570</v>
      </c>
      <c r="N659" t="s">
        <v>6503</v>
      </c>
    </row>
    <row r="660" spans="1:14">
      <c r="A660" t="s">
        <v>1746</v>
      </c>
      <c r="B660" t="s">
        <v>1748</v>
      </c>
      <c r="C660" t="s">
        <v>1744</v>
      </c>
      <c r="D660" s="96">
        <v>42.18</v>
      </c>
      <c r="E660" s="13">
        <v>58125.05</v>
      </c>
      <c r="F660" s="486">
        <v>1.3779999999999999</v>
      </c>
      <c r="G660"/>
      <c r="H660" s="13">
        <v>58125.05</v>
      </c>
      <c r="I660" s="13">
        <v>1.3779999999999999</v>
      </c>
      <c r="J660">
        <v>13</v>
      </c>
      <c r="K660" s="131">
        <v>45688</v>
      </c>
      <c r="M660">
        <v>570</v>
      </c>
      <c r="N660" t="s">
        <v>6504</v>
      </c>
    </row>
    <row r="661" spans="1:14">
      <c r="A661" t="s">
        <v>1746</v>
      </c>
      <c r="B661" t="s">
        <v>1748</v>
      </c>
      <c r="C661" t="s">
        <v>1744</v>
      </c>
      <c r="D661" s="96">
        <v>42.18</v>
      </c>
      <c r="E661" s="13">
        <v>58335.15</v>
      </c>
      <c r="F661" s="486">
        <v>1.383</v>
      </c>
      <c r="G661"/>
      <c r="H661" s="13">
        <v>58335.15</v>
      </c>
      <c r="I661" s="13">
        <v>1.383</v>
      </c>
      <c r="J661">
        <v>13</v>
      </c>
      <c r="K661" s="131">
        <v>45688</v>
      </c>
      <c r="M661">
        <v>570</v>
      </c>
      <c r="N661" t="s">
        <v>6505</v>
      </c>
    </row>
    <row r="662" spans="1:14">
      <c r="A662" t="s">
        <v>1746</v>
      </c>
      <c r="B662" t="s">
        <v>1748</v>
      </c>
      <c r="C662" t="s">
        <v>1744</v>
      </c>
      <c r="D662" s="96">
        <v>42.18</v>
      </c>
      <c r="E662" s="13">
        <v>62734.02</v>
      </c>
      <c r="F662" s="486">
        <v>1.4873000000000001</v>
      </c>
      <c r="G662"/>
      <c r="H662" s="13">
        <v>62734.02</v>
      </c>
      <c r="I662" s="13">
        <v>1.4873000000000001</v>
      </c>
      <c r="J662">
        <v>13</v>
      </c>
      <c r="K662" s="131">
        <v>45688</v>
      </c>
      <c r="M662">
        <v>570</v>
      </c>
      <c r="N662" t="s">
        <v>6506</v>
      </c>
    </row>
    <row r="663" spans="1:14">
      <c r="A663" t="s">
        <v>1746</v>
      </c>
      <c r="B663" t="s">
        <v>1748</v>
      </c>
      <c r="C663" t="s">
        <v>1744</v>
      </c>
      <c r="D663" s="96">
        <v>42.18</v>
      </c>
      <c r="E663" s="13">
        <v>62944.12</v>
      </c>
      <c r="F663" s="486">
        <v>1.4923</v>
      </c>
      <c r="G663"/>
      <c r="H663" s="13">
        <v>62944.12</v>
      </c>
      <c r="I663" s="13">
        <v>1.4923</v>
      </c>
      <c r="J663">
        <v>13</v>
      </c>
      <c r="K663" s="131">
        <v>45688</v>
      </c>
      <c r="M663">
        <v>570</v>
      </c>
      <c r="N663" t="s">
        <v>6507</v>
      </c>
    </row>
    <row r="664" spans="1:14">
      <c r="A664" t="s">
        <v>1746</v>
      </c>
      <c r="B664" t="s">
        <v>6463</v>
      </c>
      <c r="C664" t="s">
        <v>1744</v>
      </c>
      <c r="D664" s="96">
        <v>42.18</v>
      </c>
      <c r="E664" s="13">
        <v>79587.320000000007</v>
      </c>
      <c r="F664" s="486">
        <v>1.8868</v>
      </c>
      <c r="G664"/>
      <c r="H664" s="13">
        <v>79587.320000000007</v>
      </c>
      <c r="I664" s="13">
        <v>1.8868</v>
      </c>
      <c r="J664">
        <v>13</v>
      </c>
      <c r="K664" s="131">
        <v>45688</v>
      </c>
      <c r="M664">
        <v>570</v>
      </c>
      <c r="N664" t="s">
        <v>6508</v>
      </c>
    </row>
    <row r="665" spans="1:14">
      <c r="A665" t="s">
        <v>1746</v>
      </c>
      <c r="B665" t="s">
        <v>6463</v>
      </c>
      <c r="C665" t="s">
        <v>1744</v>
      </c>
      <c r="D665" s="96">
        <v>42.18</v>
      </c>
      <c r="E665" s="13">
        <v>79797.42</v>
      </c>
      <c r="F665" s="486">
        <v>1.8917999999999999</v>
      </c>
      <c r="G665"/>
      <c r="H665" s="13">
        <v>79797.42</v>
      </c>
      <c r="I665" s="13">
        <v>1.8917999999999999</v>
      </c>
      <c r="J665">
        <v>13</v>
      </c>
      <c r="K665" s="131">
        <v>45688</v>
      </c>
      <c r="M665">
        <v>570</v>
      </c>
      <c r="N665" t="s">
        <v>6509</v>
      </c>
    </row>
    <row r="666" spans="1:14">
      <c r="A666" t="s">
        <v>1746</v>
      </c>
      <c r="B666" t="s">
        <v>6353</v>
      </c>
      <c r="C666" t="s">
        <v>1744</v>
      </c>
      <c r="D666" s="96">
        <v>42.6</v>
      </c>
      <c r="E666" s="13">
        <v>76033.210000000006</v>
      </c>
      <c r="F666" s="486">
        <v>1.7847999999999999</v>
      </c>
      <c r="G666"/>
      <c r="H666" s="13">
        <v>76033.210000000006</v>
      </c>
      <c r="I666" s="13">
        <v>1.7847999999999999</v>
      </c>
      <c r="J666">
        <v>13</v>
      </c>
      <c r="K666" s="131">
        <v>45688</v>
      </c>
      <c r="M666">
        <v>710</v>
      </c>
      <c r="N666" t="s">
        <v>6510</v>
      </c>
    </row>
    <row r="667" spans="1:14">
      <c r="A667" t="s">
        <v>1746</v>
      </c>
      <c r="B667" t="s">
        <v>1747</v>
      </c>
      <c r="C667" t="s">
        <v>1744</v>
      </c>
      <c r="D667" s="96">
        <v>42.75</v>
      </c>
      <c r="E667" s="13">
        <v>56424.75</v>
      </c>
      <c r="F667" s="486">
        <v>1.3199000000000001</v>
      </c>
      <c r="G667"/>
      <c r="H667" s="13">
        <v>56424.75</v>
      </c>
      <c r="I667" s="13">
        <v>1.3199000000000001</v>
      </c>
      <c r="J667">
        <v>13</v>
      </c>
      <c r="K667" s="131">
        <v>45688</v>
      </c>
      <c r="M667">
        <v>570</v>
      </c>
      <c r="N667" t="s">
        <v>6511</v>
      </c>
    </row>
    <row r="668" spans="1:14">
      <c r="A668" t="s">
        <v>1746</v>
      </c>
      <c r="B668" t="s">
        <v>1747</v>
      </c>
      <c r="C668" t="s">
        <v>1744</v>
      </c>
      <c r="D668" s="96">
        <v>42.75</v>
      </c>
      <c r="E668" s="13">
        <v>56637.69</v>
      </c>
      <c r="F668" s="486">
        <v>1.3249</v>
      </c>
      <c r="G668"/>
      <c r="H668" s="13">
        <v>56637.69</v>
      </c>
      <c r="I668" s="13">
        <v>1.3249</v>
      </c>
      <c r="J668">
        <v>13</v>
      </c>
      <c r="K668" s="131">
        <v>45688</v>
      </c>
      <c r="M668">
        <v>570</v>
      </c>
      <c r="N668" t="s">
        <v>6512</v>
      </c>
    </row>
    <row r="669" spans="1:14">
      <c r="A669" t="s">
        <v>1746</v>
      </c>
      <c r="B669" t="s">
        <v>1748</v>
      </c>
      <c r="C669" t="s">
        <v>1744</v>
      </c>
      <c r="D669" s="96">
        <v>42.75</v>
      </c>
      <c r="E669" s="13">
        <v>58649.73</v>
      </c>
      <c r="F669" s="486">
        <v>1.3718999999999999</v>
      </c>
      <c r="G669"/>
      <c r="H669" s="13">
        <v>58649.73</v>
      </c>
      <c r="I669" s="13">
        <v>1.3718999999999999</v>
      </c>
      <c r="J669">
        <v>13</v>
      </c>
      <c r="K669" s="131">
        <v>45688</v>
      </c>
      <c r="M669">
        <v>570</v>
      </c>
      <c r="N669" t="s">
        <v>6513</v>
      </c>
    </row>
    <row r="670" spans="1:14">
      <c r="A670" t="s">
        <v>1746</v>
      </c>
      <c r="B670" t="s">
        <v>1748</v>
      </c>
      <c r="C670" t="s">
        <v>1744</v>
      </c>
      <c r="D670" s="96">
        <v>42.75</v>
      </c>
      <c r="E670" s="13">
        <v>58862.67</v>
      </c>
      <c r="F670" s="486">
        <v>1.3769</v>
      </c>
      <c r="G670"/>
      <c r="H670" s="13">
        <v>58862.67</v>
      </c>
      <c r="I670" s="13">
        <v>1.3769</v>
      </c>
      <c r="J670">
        <v>13</v>
      </c>
      <c r="K670" s="131">
        <v>45688</v>
      </c>
      <c r="M670">
        <v>570</v>
      </c>
      <c r="N670" t="s">
        <v>6514</v>
      </c>
    </row>
    <row r="671" spans="1:14">
      <c r="A671" t="s">
        <v>1746</v>
      </c>
      <c r="B671" t="s">
        <v>1748</v>
      </c>
      <c r="C671" t="s">
        <v>1744</v>
      </c>
      <c r="D671" s="96">
        <v>42.75</v>
      </c>
      <c r="E671" s="13">
        <v>63258.7</v>
      </c>
      <c r="F671" s="486">
        <v>1.4797</v>
      </c>
      <c r="G671"/>
      <c r="H671" s="13">
        <v>63258.7</v>
      </c>
      <c r="I671" s="13">
        <v>1.4797</v>
      </c>
      <c r="J671">
        <v>13</v>
      </c>
      <c r="K671" s="131">
        <v>45688</v>
      </c>
      <c r="M671">
        <v>570</v>
      </c>
      <c r="N671" t="s">
        <v>6515</v>
      </c>
    </row>
    <row r="672" spans="1:14">
      <c r="A672" t="s">
        <v>1746</v>
      </c>
      <c r="B672" t="s">
        <v>1748</v>
      </c>
      <c r="C672" t="s">
        <v>1744</v>
      </c>
      <c r="D672" s="96">
        <v>42.75</v>
      </c>
      <c r="E672" s="13">
        <v>63471.64</v>
      </c>
      <c r="F672" s="486">
        <v>1.4846999999999999</v>
      </c>
      <c r="G672"/>
      <c r="H672" s="13">
        <v>63471.64</v>
      </c>
      <c r="I672" s="13">
        <v>1.4846999999999999</v>
      </c>
      <c r="J672">
        <v>13</v>
      </c>
      <c r="K672" s="131">
        <v>45688</v>
      </c>
      <c r="M672">
        <v>570</v>
      </c>
      <c r="N672" t="s">
        <v>6516</v>
      </c>
    </row>
    <row r="673" spans="1:14">
      <c r="A673" t="s">
        <v>1746</v>
      </c>
      <c r="B673" t="s">
        <v>6463</v>
      </c>
      <c r="C673" t="s">
        <v>1744</v>
      </c>
      <c r="D673" s="96">
        <v>42.75</v>
      </c>
      <c r="E673" s="13">
        <v>80112</v>
      </c>
      <c r="F673" s="486">
        <v>1.8740000000000001</v>
      </c>
      <c r="G673"/>
      <c r="H673" s="13">
        <v>80112</v>
      </c>
      <c r="I673" s="13">
        <v>1.8740000000000001</v>
      </c>
      <c r="J673">
        <v>13</v>
      </c>
      <c r="K673" s="131">
        <v>45688</v>
      </c>
      <c r="M673">
        <v>570</v>
      </c>
      <c r="N673" t="s">
        <v>6517</v>
      </c>
    </row>
    <row r="674" spans="1:14">
      <c r="A674" t="s">
        <v>1746</v>
      </c>
      <c r="B674" t="s">
        <v>6463</v>
      </c>
      <c r="C674" t="s">
        <v>1744</v>
      </c>
      <c r="D674" s="96">
        <v>42.75</v>
      </c>
      <c r="E674" s="13">
        <v>80324.94</v>
      </c>
      <c r="F674" s="486">
        <v>1.8789</v>
      </c>
      <c r="G674"/>
      <c r="H674" s="13">
        <v>80324.94</v>
      </c>
      <c r="I674" s="13">
        <v>1.8789</v>
      </c>
      <c r="J674">
        <v>13</v>
      </c>
      <c r="K674" s="131">
        <v>45688</v>
      </c>
      <c r="M674">
        <v>570</v>
      </c>
      <c r="N674" t="s">
        <v>6518</v>
      </c>
    </row>
    <row r="675" spans="1:14">
      <c r="A675" t="s">
        <v>1746</v>
      </c>
      <c r="B675" t="s">
        <v>6353</v>
      </c>
      <c r="C675" t="s">
        <v>1744</v>
      </c>
      <c r="D675" s="96">
        <v>43.31</v>
      </c>
      <c r="E675" s="13">
        <v>78848.75</v>
      </c>
      <c r="F675" s="486">
        <v>1.8206</v>
      </c>
      <c r="G675"/>
      <c r="H675" s="13">
        <v>78848.75</v>
      </c>
      <c r="I675" s="13">
        <v>1.8206</v>
      </c>
      <c r="J675">
        <v>13</v>
      </c>
      <c r="K675" s="131">
        <v>45688</v>
      </c>
      <c r="M675">
        <v>710</v>
      </c>
      <c r="N675" t="s">
        <v>6519</v>
      </c>
    </row>
    <row r="676" spans="1:14">
      <c r="A676" t="s">
        <v>1746</v>
      </c>
      <c r="B676" t="s">
        <v>1747</v>
      </c>
      <c r="C676" t="s">
        <v>1744</v>
      </c>
      <c r="D676" s="96">
        <v>43.32</v>
      </c>
      <c r="E676" s="13">
        <v>57410.33</v>
      </c>
      <c r="F676" s="486">
        <v>1.3252999999999999</v>
      </c>
      <c r="G676"/>
      <c r="H676" s="13">
        <v>57410.33</v>
      </c>
      <c r="I676" s="13">
        <v>1.3252999999999999</v>
      </c>
      <c r="J676">
        <v>13</v>
      </c>
      <c r="K676" s="131">
        <v>45688</v>
      </c>
      <c r="M676">
        <v>570</v>
      </c>
      <c r="N676" t="s">
        <v>6520</v>
      </c>
    </row>
    <row r="677" spans="1:14">
      <c r="A677" t="s">
        <v>1746</v>
      </c>
      <c r="B677" t="s">
        <v>1747</v>
      </c>
      <c r="C677" t="s">
        <v>1744</v>
      </c>
      <c r="D677" s="96">
        <v>43.32</v>
      </c>
      <c r="E677" s="13">
        <v>57626.11</v>
      </c>
      <c r="F677" s="486">
        <v>1.3302</v>
      </c>
      <c r="G677"/>
      <c r="H677" s="13">
        <v>57626.11</v>
      </c>
      <c r="I677" s="13">
        <v>1.3302</v>
      </c>
      <c r="J677">
        <v>13</v>
      </c>
      <c r="K677" s="131">
        <v>45688</v>
      </c>
      <c r="M677">
        <v>570</v>
      </c>
      <c r="N677" t="s">
        <v>6521</v>
      </c>
    </row>
    <row r="678" spans="1:14">
      <c r="A678" t="s">
        <v>1746</v>
      </c>
      <c r="B678" t="s">
        <v>1748</v>
      </c>
      <c r="C678" t="s">
        <v>1744</v>
      </c>
      <c r="D678" s="96">
        <v>43.32</v>
      </c>
      <c r="E678" s="13">
        <v>59174.42</v>
      </c>
      <c r="F678" s="486">
        <v>1.3660000000000001</v>
      </c>
      <c r="G678"/>
      <c r="H678" s="13">
        <v>59174.42</v>
      </c>
      <c r="I678" s="13">
        <v>1.3660000000000001</v>
      </c>
      <c r="J678">
        <v>13</v>
      </c>
      <c r="K678" s="131">
        <v>45688</v>
      </c>
      <c r="M678">
        <v>570</v>
      </c>
      <c r="N678" t="s">
        <v>6522</v>
      </c>
    </row>
    <row r="679" spans="1:14">
      <c r="A679" t="s">
        <v>1746</v>
      </c>
      <c r="B679" t="s">
        <v>1748</v>
      </c>
      <c r="C679" t="s">
        <v>1744</v>
      </c>
      <c r="D679" s="96">
        <v>43.32</v>
      </c>
      <c r="E679" s="13">
        <v>59390.2</v>
      </c>
      <c r="F679" s="486">
        <v>1.371</v>
      </c>
      <c r="G679"/>
      <c r="H679" s="13">
        <v>59390.2</v>
      </c>
      <c r="I679" s="13">
        <v>1.371</v>
      </c>
      <c r="J679">
        <v>13</v>
      </c>
      <c r="K679" s="131">
        <v>45688</v>
      </c>
      <c r="M679">
        <v>570</v>
      </c>
      <c r="N679" t="s">
        <v>6523</v>
      </c>
    </row>
    <row r="680" spans="1:14">
      <c r="A680" t="s">
        <v>1746</v>
      </c>
      <c r="B680" t="s">
        <v>1748</v>
      </c>
      <c r="C680" t="s">
        <v>1744</v>
      </c>
      <c r="D680" s="96">
        <v>43.32</v>
      </c>
      <c r="E680" s="13">
        <v>63783.39</v>
      </c>
      <c r="F680" s="486">
        <v>1.4723999999999999</v>
      </c>
      <c r="G680"/>
      <c r="H680" s="13">
        <v>63783.39</v>
      </c>
      <c r="I680" s="13">
        <v>1.4723999999999999</v>
      </c>
      <c r="J680">
        <v>13</v>
      </c>
      <c r="K680" s="131">
        <v>45688</v>
      </c>
      <c r="M680">
        <v>570</v>
      </c>
      <c r="N680" t="s">
        <v>6524</v>
      </c>
    </row>
    <row r="681" spans="1:14">
      <c r="A681" t="s">
        <v>1746</v>
      </c>
      <c r="B681" t="s">
        <v>1748</v>
      </c>
      <c r="C681" t="s">
        <v>1744</v>
      </c>
      <c r="D681" s="96">
        <v>43.32</v>
      </c>
      <c r="E681" s="13">
        <v>63999.16</v>
      </c>
      <c r="F681" s="486">
        <v>1.4774</v>
      </c>
      <c r="G681"/>
      <c r="H681" s="13">
        <v>63999.16</v>
      </c>
      <c r="I681" s="13">
        <v>1.4774</v>
      </c>
      <c r="J681">
        <v>13</v>
      </c>
      <c r="K681" s="131">
        <v>45688</v>
      </c>
      <c r="M681">
        <v>570</v>
      </c>
      <c r="N681" t="s">
        <v>6525</v>
      </c>
    </row>
    <row r="682" spans="1:14">
      <c r="A682" t="s">
        <v>1746</v>
      </c>
      <c r="B682" t="s">
        <v>6463</v>
      </c>
      <c r="C682" t="s">
        <v>1744</v>
      </c>
      <c r="D682" s="96">
        <v>43.32</v>
      </c>
      <c r="E682" s="13">
        <v>80636.69</v>
      </c>
      <c r="F682" s="486">
        <v>1.8613999999999999</v>
      </c>
      <c r="G682"/>
      <c r="H682" s="13">
        <v>80636.69</v>
      </c>
      <c r="I682" s="13">
        <v>1.8613999999999999</v>
      </c>
      <c r="J682">
        <v>13</v>
      </c>
      <c r="K682" s="131">
        <v>45688</v>
      </c>
      <c r="M682">
        <v>570</v>
      </c>
      <c r="N682" t="s">
        <v>6526</v>
      </c>
    </row>
    <row r="683" spans="1:14">
      <c r="A683" t="s">
        <v>1746</v>
      </c>
      <c r="B683" t="s">
        <v>6463</v>
      </c>
      <c r="C683" t="s">
        <v>1744</v>
      </c>
      <c r="D683" s="96">
        <v>43.32</v>
      </c>
      <c r="E683" s="13">
        <v>80852.47</v>
      </c>
      <c r="F683" s="486">
        <v>1.8664000000000001</v>
      </c>
      <c r="G683"/>
      <c r="H683" s="13">
        <v>80852.47</v>
      </c>
      <c r="I683" s="13">
        <v>1.8664000000000001</v>
      </c>
      <c r="J683">
        <v>13</v>
      </c>
      <c r="K683" s="131">
        <v>45688</v>
      </c>
      <c r="M683">
        <v>570</v>
      </c>
      <c r="N683" t="s">
        <v>6527</v>
      </c>
    </row>
    <row r="684" spans="1:14">
      <c r="A684" t="s">
        <v>1746</v>
      </c>
      <c r="B684" t="s">
        <v>1747</v>
      </c>
      <c r="C684" t="s">
        <v>1744</v>
      </c>
      <c r="D684" s="96">
        <v>43.89</v>
      </c>
      <c r="E684" s="13">
        <v>58249.599999999999</v>
      </c>
      <c r="F684" s="486">
        <v>1.3271999999999999</v>
      </c>
      <c r="G684"/>
      <c r="H684" s="13">
        <v>58249.599999999999</v>
      </c>
      <c r="I684" s="13">
        <v>1.3271999999999999</v>
      </c>
      <c r="J684">
        <v>13</v>
      </c>
      <c r="K684" s="131">
        <v>45688</v>
      </c>
      <c r="M684">
        <v>570</v>
      </c>
      <c r="N684" t="s">
        <v>6528</v>
      </c>
    </row>
    <row r="685" spans="1:14">
      <c r="A685" t="s">
        <v>1746</v>
      </c>
      <c r="B685" t="s">
        <v>1747</v>
      </c>
      <c r="C685" t="s">
        <v>1744</v>
      </c>
      <c r="D685" s="96">
        <v>43.89</v>
      </c>
      <c r="E685" s="13">
        <v>58468.21</v>
      </c>
      <c r="F685" s="486">
        <v>1.3322000000000001</v>
      </c>
      <c r="G685"/>
      <c r="H685" s="13">
        <v>58468.21</v>
      </c>
      <c r="I685" s="13">
        <v>1.3322000000000001</v>
      </c>
      <c r="J685">
        <v>13</v>
      </c>
      <c r="K685" s="131">
        <v>45688</v>
      </c>
      <c r="M685">
        <v>570</v>
      </c>
      <c r="N685" t="s">
        <v>6529</v>
      </c>
    </row>
    <row r="686" spans="1:14">
      <c r="A686" t="s">
        <v>1746</v>
      </c>
      <c r="B686" t="s">
        <v>1748</v>
      </c>
      <c r="C686" t="s">
        <v>1744</v>
      </c>
      <c r="D686" s="96">
        <v>43.89</v>
      </c>
      <c r="E686" s="13">
        <v>60013.68</v>
      </c>
      <c r="F686" s="486">
        <v>1.3673999999999999</v>
      </c>
      <c r="G686"/>
      <c r="H686" s="13">
        <v>60013.68</v>
      </c>
      <c r="I686" s="13">
        <v>1.3673999999999999</v>
      </c>
      <c r="J686">
        <v>13</v>
      </c>
      <c r="K686" s="131">
        <v>45688</v>
      </c>
      <c r="M686">
        <v>570</v>
      </c>
      <c r="N686" t="s">
        <v>6530</v>
      </c>
    </row>
    <row r="687" spans="1:14">
      <c r="A687" t="s">
        <v>1746</v>
      </c>
      <c r="B687" t="s">
        <v>1748</v>
      </c>
      <c r="C687" t="s">
        <v>1744</v>
      </c>
      <c r="D687" s="96">
        <v>43.89</v>
      </c>
      <c r="E687" s="13">
        <v>60232.3</v>
      </c>
      <c r="F687" s="486">
        <v>1.3723000000000001</v>
      </c>
      <c r="G687"/>
      <c r="H687" s="13">
        <v>60232.3</v>
      </c>
      <c r="I687" s="13">
        <v>1.3723000000000001</v>
      </c>
      <c r="J687">
        <v>13</v>
      </c>
      <c r="K687" s="131">
        <v>45688</v>
      </c>
      <c r="M687">
        <v>570</v>
      </c>
      <c r="N687" t="s">
        <v>6531</v>
      </c>
    </row>
    <row r="688" spans="1:14">
      <c r="A688" t="s">
        <v>1746</v>
      </c>
      <c r="B688" t="s">
        <v>1748</v>
      </c>
      <c r="C688" t="s">
        <v>1744</v>
      </c>
      <c r="D688" s="96">
        <v>43.89</v>
      </c>
      <c r="E688" s="13">
        <v>64622.65</v>
      </c>
      <c r="F688" s="486">
        <v>1.4723999999999999</v>
      </c>
      <c r="G688"/>
      <c r="H688" s="13">
        <v>64622.65</v>
      </c>
      <c r="I688" s="13">
        <v>1.4723999999999999</v>
      </c>
      <c r="J688">
        <v>13</v>
      </c>
      <c r="K688" s="131">
        <v>45688</v>
      </c>
      <c r="M688">
        <v>570</v>
      </c>
      <c r="N688" t="s">
        <v>6532</v>
      </c>
    </row>
    <row r="689" spans="1:14">
      <c r="A689" t="s">
        <v>1746</v>
      </c>
      <c r="B689" t="s">
        <v>1748</v>
      </c>
      <c r="C689" t="s">
        <v>1744</v>
      </c>
      <c r="D689" s="96">
        <v>43.89</v>
      </c>
      <c r="E689" s="13">
        <v>64841.27</v>
      </c>
      <c r="F689" s="486">
        <v>1.4774</v>
      </c>
      <c r="G689"/>
      <c r="H689" s="13">
        <v>64841.27</v>
      </c>
      <c r="I689" s="13">
        <v>1.4774</v>
      </c>
      <c r="J689">
        <v>13</v>
      </c>
      <c r="K689" s="131">
        <v>45688</v>
      </c>
      <c r="M689">
        <v>570</v>
      </c>
      <c r="N689" t="s">
        <v>6533</v>
      </c>
    </row>
    <row r="690" spans="1:14">
      <c r="A690" t="s">
        <v>1746</v>
      </c>
      <c r="B690" t="s">
        <v>6534</v>
      </c>
      <c r="C690" t="s">
        <v>1744</v>
      </c>
      <c r="D690" s="96">
        <v>43.89</v>
      </c>
      <c r="E690" s="13">
        <v>83282.539999999994</v>
      </c>
      <c r="F690" s="486">
        <v>1.8975</v>
      </c>
      <c r="G690"/>
      <c r="H690" s="13">
        <v>83282.539999999994</v>
      </c>
      <c r="I690" s="13">
        <v>1.8975</v>
      </c>
      <c r="J690">
        <v>13</v>
      </c>
      <c r="K690" s="131">
        <v>45688</v>
      </c>
      <c r="M690">
        <v>570</v>
      </c>
      <c r="N690" t="s">
        <v>6535</v>
      </c>
    </row>
    <row r="691" spans="1:14">
      <c r="A691" t="s">
        <v>1746</v>
      </c>
      <c r="B691" t="s">
        <v>6534</v>
      </c>
      <c r="C691" t="s">
        <v>1744</v>
      </c>
      <c r="D691" s="96">
        <v>43.89</v>
      </c>
      <c r="E691" s="13">
        <v>83501.16</v>
      </c>
      <c r="F691" s="486">
        <v>1.9025000000000001</v>
      </c>
      <c r="G691"/>
      <c r="H691" s="13">
        <v>83501.16</v>
      </c>
      <c r="I691" s="13">
        <v>1.9025000000000001</v>
      </c>
      <c r="J691">
        <v>13</v>
      </c>
      <c r="K691" s="131">
        <v>45688</v>
      </c>
      <c r="M691">
        <v>570</v>
      </c>
      <c r="N691" t="s">
        <v>6536</v>
      </c>
    </row>
    <row r="692" spans="1:14">
      <c r="A692" t="s">
        <v>1746</v>
      </c>
      <c r="B692" t="s">
        <v>6353</v>
      </c>
      <c r="C692" t="s">
        <v>1744</v>
      </c>
      <c r="D692" s="96">
        <v>44.02</v>
      </c>
      <c r="E692" s="13">
        <v>79576.91</v>
      </c>
      <c r="F692" s="486">
        <v>1.8077000000000001</v>
      </c>
      <c r="G692"/>
      <c r="H692" s="13">
        <v>79576.91</v>
      </c>
      <c r="I692" s="13">
        <v>1.8077000000000001</v>
      </c>
      <c r="J692">
        <v>13</v>
      </c>
      <c r="K692" s="131">
        <v>45688</v>
      </c>
      <c r="M692">
        <v>710</v>
      </c>
      <c r="N692" t="s">
        <v>6537</v>
      </c>
    </row>
    <row r="693" spans="1:14">
      <c r="A693" t="s">
        <v>1746</v>
      </c>
      <c r="B693" t="s">
        <v>1747</v>
      </c>
      <c r="C693" t="s">
        <v>1744</v>
      </c>
      <c r="D693" s="96">
        <v>44.46</v>
      </c>
      <c r="E693" s="13">
        <v>58774.28</v>
      </c>
      <c r="F693" s="486">
        <v>1.3220000000000001</v>
      </c>
      <c r="G693"/>
      <c r="H693" s="13">
        <v>58774.28</v>
      </c>
      <c r="I693" s="13">
        <v>1.3220000000000001</v>
      </c>
      <c r="J693">
        <v>13</v>
      </c>
      <c r="K693" s="131">
        <v>45688</v>
      </c>
      <c r="M693">
        <v>570</v>
      </c>
      <c r="N693" t="s">
        <v>6538</v>
      </c>
    </row>
    <row r="694" spans="1:14">
      <c r="A694" t="s">
        <v>1746</v>
      </c>
      <c r="B694" t="s">
        <v>1747</v>
      </c>
      <c r="C694" t="s">
        <v>1744</v>
      </c>
      <c r="D694" s="96">
        <v>44.46</v>
      </c>
      <c r="E694" s="13">
        <v>58995.74</v>
      </c>
      <c r="F694" s="486">
        <v>1.3269</v>
      </c>
      <c r="G694"/>
      <c r="H694" s="13">
        <v>58995.74</v>
      </c>
      <c r="I694" s="13">
        <v>1.3269</v>
      </c>
      <c r="J694">
        <v>13</v>
      </c>
      <c r="K694" s="131">
        <v>45688</v>
      </c>
      <c r="M694">
        <v>570</v>
      </c>
      <c r="N694" t="s">
        <v>6539</v>
      </c>
    </row>
    <row r="695" spans="1:14">
      <c r="A695" t="s">
        <v>1746</v>
      </c>
      <c r="B695" t="s">
        <v>1748</v>
      </c>
      <c r="C695" t="s">
        <v>1744</v>
      </c>
      <c r="D695" s="96">
        <v>44.46</v>
      </c>
      <c r="E695" s="13">
        <v>60538.37</v>
      </c>
      <c r="F695" s="486">
        <v>1.3615999999999999</v>
      </c>
      <c r="G695"/>
      <c r="H695" s="13">
        <v>60538.37</v>
      </c>
      <c r="I695" s="13">
        <v>1.3615999999999999</v>
      </c>
      <c r="J695">
        <v>13</v>
      </c>
      <c r="K695" s="131">
        <v>45688</v>
      </c>
      <c r="M695">
        <v>570</v>
      </c>
      <c r="N695" t="s">
        <v>6540</v>
      </c>
    </row>
    <row r="696" spans="1:14">
      <c r="A696" t="s">
        <v>1746</v>
      </c>
      <c r="B696" t="s">
        <v>1748</v>
      </c>
      <c r="C696" t="s">
        <v>1744</v>
      </c>
      <c r="D696" s="96">
        <v>44.46</v>
      </c>
      <c r="E696" s="13">
        <v>60759.83</v>
      </c>
      <c r="F696" s="486">
        <v>1.3666</v>
      </c>
      <c r="G696"/>
      <c r="H696" s="13">
        <v>60759.83</v>
      </c>
      <c r="I696" s="13">
        <v>1.3666</v>
      </c>
      <c r="J696">
        <v>13</v>
      </c>
      <c r="K696" s="131">
        <v>45688</v>
      </c>
      <c r="M696">
        <v>570</v>
      </c>
      <c r="N696" t="s">
        <v>6541</v>
      </c>
    </row>
    <row r="697" spans="1:14">
      <c r="A697" t="s">
        <v>1746</v>
      </c>
      <c r="B697" t="s">
        <v>1748</v>
      </c>
      <c r="C697" t="s">
        <v>1744</v>
      </c>
      <c r="D697" s="96">
        <v>44.46</v>
      </c>
      <c r="E697" s="13">
        <v>65147.34</v>
      </c>
      <c r="F697" s="486">
        <v>1.4653</v>
      </c>
      <c r="G697"/>
      <c r="H697" s="13">
        <v>65147.34</v>
      </c>
      <c r="I697" s="13">
        <v>1.4653</v>
      </c>
      <c r="J697">
        <v>13</v>
      </c>
      <c r="K697" s="131">
        <v>45688</v>
      </c>
      <c r="M697">
        <v>570</v>
      </c>
      <c r="N697" t="s">
        <v>6542</v>
      </c>
    </row>
    <row r="698" spans="1:14">
      <c r="A698" t="s">
        <v>1746</v>
      </c>
      <c r="B698" t="s">
        <v>1748</v>
      </c>
      <c r="C698" t="s">
        <v>1744</v>
      </c>
      <c r="D698" s="96">
        <v>44.46</v>
      </c>
      <c r="E698" s="13">
        <v>65368.79</v>
      </c>
      <c r="F698" s="486">
        <v>1.4702999999999999</v>
      </c>
      <c r="G698"/>
      <c r="H698" s="13">
        <v>65368.79</v>
      </c>
      <c r="I698" s="13">
        <v>1.4702999999999999</v>
      </c>
      <c r="J698">
        <v>13</v>
      </c>
      <c r="K698" s="131">
        <v>45688</v>
      </c>
      <c r="M698">
        <v>570</v>
      </c>
      <c r="N698" t="s">
        <v>6543</v>
      </c>
    </row>
    <row r="699" spans="1:14">
      <c r="A699" t="s">
        <v>1746</v>
      </c>
      <c r="B699" t="s">
        <v>6534</v>
      </c>
      <c r="C699" t="s">
        <v>1744</v>
      </c>
      <c r="D699" s="96">
        <v>44.46</v>
      </c>
      <c r="E699" s="13">
        <v>83807.22</v>
      </c>
      <c r="F699" s="486">
        <v>1.885</v>
      </c>
      <c r="G699"/>
      <c r="H699" s="13">
        <v>83807.22</v>
      </c>
      <c r="I699" s="13">
        <v>1.885</v>
      </c>
      <c r="J699">
        <v>13</v>
      </c>
      <c r="K699" s="131">
        <v>45688</v>
      </c>
      <c r="M699">
        <v>570</v>
      </c>
      <c r="N699" t="s">
        <v>6544</v>
      </c>
    </row>
    <row r="700" spans="1:14">
      <c r="A700" t="s">
        <v>1746</v>
      </c>
      <c r="B700" t="s">
        <v>6534</v>
      </c>
      <c r="C700" t="s">
        <v>1744</v>
      </c>
      <c r="D700" s="96">
        <v>44.46</v>
      </c>
      <c r="E700" s="13">
        <v>84028.68</v>
      </c>
      <c r="F700" s="486">
        <v>1.89</v>
      </c>
      <c r="G700"/>
      <c r="H700" s="13">
        <v>84028.68</v>
      </c>
      <c r="I700" s="13">
        <v>1.89</v>
      </c>
      <c r="J700">
        <v>13</v>
      </c>
      <c r="K700" s="131">
        <v>45688</v>
      </c>
      <c r="M700">
        <v>570</v>
      </c>
      <c r="N700" t="s">
        <v>6545</v>
      </c>
    </row>
    <row r="701" spans="1:14">
      <c r="A701" t="s">
        <v>1746</v>
      </c>
      <c r="B701" t="s">
        <v>6353</v>
      </c>
      <c r="C701" t="s">
        <v>1744</v>
      </c>
      <c r="D701" s="96">
        <v>44.73</v>
      </c>
      <c r="E701" s="13">
        <v>80305.070000000007</v>
      </c>
      <c r="F701" s="486">
        <v>1.7952999999999999</v>
      </c>
      <c r="G701"/>
      <c r="H701" s="13">
        <v>80305.070000000007</v>
      </c>
      <c r="I701" s="13">
        <v>1.7952999999999999</v>
      </c>
      <c r="J701">
        <v>13</v>
      </c>
      <c r="K701" s="131">
        <v>45688</v>
      </c>
      <c r="M701">
        <v>710</v>
      </c>
      <c r="N701" t="s">
        <v>6546</v>
      </c>
    </row>
    <row r="702" spans="1:14">
      <c r="A702" t="s">
        <v>1746</v>
      </c>
      <c r="B702" t="s">
        <v>1747</v>
      </c>
      <c r="C702" t="s">
        <v>1744</v>
      </c>
      <c r="D702" s="96">
        <v>45.03</v>
      </c>
      <c r="E702" s="13">
        <v>59298.96</v>
      </c>
      <c r="F702" s="486">
        <v>1.3169</v>
      </c>
      <c r="G702"/>
      <c r="H702" s="13">
        <v>59298.96</v>
      </c>
      <c r="I702" s="13">
        <v>1.3169</v>
      </c>
      <c r="J702">
        <v>13</v>
      </c>
      <c r="K702" s="131">
        <v>45688</v>
      </c>
      <c r="M702">
        <v>570</v>
      </c>
      <c r="N702" t="s">
        <v>6547</v>
      </c>
    </row>
    <row r="703" spans="1:14">
      <c r="A703" t="s">
        <v>1746</v>
      </c>
      <c r="B703" t="s">
        <v>1747</v>
      </c>
      <c r="C703" t="s">
        <v>1744</v>
      </c>
      <c r="D703" s="96">
        <v>45.03</v>
      </c>
      <c r="E703" s="13">
        <v>59523.26</v>
      </c>
      <c r="F703" s="486">
        <v>1.3219000000000001</v>
      </c>
      <c r="G703"/>
      <c r="H703" s="13">
        <v>59523.26</v>
      </c>
      <c r="I703" s="13">
        <v>1.3219000000000001</v>
      </c>
      <c r="J703">
        <v>13</v>
      </c>
      <c r="K703" s="131">
        <v>45688</v>
      </c>
      <c r="M703">
        <v>570</v>
      </c>
      <c r="N703" t="s">
        <v>6548</v>
      </c>
    </row>
    <row r="704" spans="1:14">
      <c r="A704" t="s">
        <v>1746</v>
      </c>
      <c r="B704" t="s">
        <v>1748</v>
      </c>
      <c r="C704" t="s">
        <v>1744</v>
      </c>
      <c r="D704" s="96">
        <v>45.03</v>
      </c>
      <c r="E704" s="13">
        <v>61063.05</v>
      </c>
      <c r="F704" s="486">
        <v>1.3561000000000001</v>
      </c>
      <c r="G704"/>
      <c r="H704" s="13">
        <v>61063.05</v>
      </c>
      <c r="I704" s="13">
        <v>1.3561000000000001</v>
      </c>
      <c r="J704">
        <v>13</v>
      </c>
      <c r="K704" s="131">
        <v>45688</v>
      </c>
      <c r="M704">
        <v>570</v>
      </c>
      <c r="N704" t="s">
        <v>6549</v>
      </c>
    </row>
    <row r="705" spans="1:14">
      <c r="A705" t="s">
        <v>1746</v>
      </c>
      <c r="B705" t="s">
        <v>1748</v>
      </c>
      <c r="C705" t="s">
        <v>1744</v>
      </c>
      <c r="D705" s="96">
        <v>45.03</v>
      </c>
      <c r="E705" s="13">
        <v>61287.35</v>
      </c>
      <c r="F705" s="486">
        <v>1.361</v>
      </c>
      <c r="G705"/>
      <c r="H705" s="13">
        <v>61287.35</v>
      </c>
      <c r="I705" s="13">
        <v>1.361</v>
      </c>
      <c r="J705">
        <v>13</v>
      </c>
      <c r="K705" s="131">
        <v>45688</v>
      </c>
      <c r="M705">
        <v>570</v>
      </c>
      <c r="N705" t="s">
        <v>6550</v>
      </c>
    </row>
    <row r="706" spans="1:14">
      <c r="A706" t="s">
        <v>1746</v>
      </c>
      <c r="B706" t="s">
        <v>1748</v>
      </c>
      <c r="C706" t="s">
        <v>1744</v>
      </c>
      <c r="D706" s="96">
        <v>45.03</v>
      </c>
      <c r="E706" s="13">
        <v>65672.02</v>
      </c>
      <c r="F706" s="486">
        <v>1.4583999999999999</v>
      </c>
      <c r="G706"/>
      <c r="H706" s="13">
        <v>65672.02</v>
      </c>
      <c r="I706" s="13">
        <v>1.4583999999999999</v>
      </c>
      <c r="J706">
        <v>13</v>
      </c>
      <c r="K706" s="131">
        <v>45688</v>
      </c>
      <c r="M706">
        <v>570</v>
      </c>
      <c r="N706" t="s">
        <v>6551</v>
      </c>
    </row>
    <row r="707" spans="1:14">
      <c r="A707" t="s">
        <v>1746</v>
      </c>
      <c r="B707" t="s">
        <v>1748</v>
      </c>
      <c r="C707" t="s">
        <v>1744</v>
      </c>
      <c r="D707" s="96">
        <v>45.03</v>
      </c>
      <c r="E707" s="13">
        <v>65896.320000000007</v>
      </c>
      <c r="F707" s="486">
        <v>1.4634</v>
      </c>
      <c r="G707"/>
      <c r="H707" s="13">
        <v>65896.320000000007</v>
      </c>
      <c r="I707" s="13">
        <v>1.4634</v>
      </c>
      <c r="J707">
        <v>13</v>
      </c>
      <c r="K707" s="131">
        <v>45688</v>
      </c>
      <c r="M707">
        <v>570</v>
      </c>
      <c r="N707" t="s">
        <v>6552</v>
      </c>
    </row>
    <row r="708" spans="1:14">
      <c r="A708" t="s">
        <v>1746</v>
      </c>
      <c r="B708" t="s">
        <v>6534</v>
      </c>
      <c r="C708" t="s">
        <v>1744</v>
      </c>
      <c r="D708" s="96">
        <v>45.03</v>
      </c>
      <c r="E708" s="13">
        <v>84331.91</v>
      </c>
      <c r="F708" s="486">
        <v>1.8728</v>
      </c>
      <c r="G708"/>
      <c r="H708" s="13">
        <v>84331.91</v>
      </c>
      <c r="I708" s="13">
        <v>1.8728</v>
      </c>
      <c r="J708">
        <v>13</v>
      </c>
      <c r="K708" s="131">
        <v>45688</v>
      </c>
      <c r="M708">
        <v>570</v>
      </c>
      <c r="N708" t="s">
        <v>6553</v>
      </c>
    </row>
    <row r="709" spans="1:14">
      <c r="A709" t="s">
        <v>1746</v>
      </c>
      <c r="B709" t="s">
        <v>6534</v>
      </c>
      <c r="C709" t="s">
        <v>1744</v>
      </c>
      <c r="D709" s="96">
        <v>45.03</v>
      </c>
      <c r="E709" s="13">
        <v>84556.2</v>
      </c>
      <c r="F709" s="486">
        <v>1.8777999999999999</v>
      </c>
      <c r="G709"/>
      <c r="H709" s="13">
        <v>84556.2</v>
      </c>
      <c r="I709" s="13">
        <v>1.8777999999999999</v>
      </c>
      <c r="J709">
        <v>13</v>
      </c>
      <c r="K709" s="131">
        <v>45688</v>
      </c>
      <c r="M709">
        <v>570</v>
      </c>
      <c r="N709" t="s">
        <v>6554</v>
      </c>
    </row>
    <row r="710" spans="1:14">
      <c r="A710" t="s">
        <v>1746</v>
      </c>
      <c r="B710" t="s">
        <v>6353</v>
      </c>
      <c r="C710" t="s">
        <v>1744</v>
      </c>
      <c r="D710" s="96">
        <v>45.44</v>
      </c>
      <c r="E710" s="13">
        <v>81033.23</v>
      </c>
      <c r="F710" s="486">
        <v>1.7833000000000001</v>
      </c>
      <c r="G710"/>
      <c r="H710" s="13">
        <v>81033.23</v>
      </c>
      <c r="I710" s="13">
        <v>1.7833000000000001</v>
      </c>
      <c r="J710">
        <v>13</v>
      </c>
      <c r="K710" s="131">
        <v>45688</v>
      </c>
      <c r="M710">
        <v>710</v>
      </c>
      <c r="N710" t="s">
        <v>6555</v>
      </c>
    </row>
    <row r="711" spans="1:14">
      <c r="A711" t="s">
        <v>1746</v>
      </c>
      <c r="B711" t="s">
        <v>1747</v>
      </c>
      <c r="C711" t="s">
        <v>1744</v>
      </c>
      <c r="D711" s="96">
        <v>45.6</v>
      </c>
      <c r="E711" s="13">
        <v>59823.65</v>
      </c>
      <c r="F711" s="486">
        <v>1.3119000000000001</v>
      </c>
      <c r="G711"/>
      <c r="H711" s="13">
        <v>59823.65</v>
      </c>
      <c r="I711" s="13">
        <v>1.3119000000000001</v>
      </c>
      <c r="J711">
        <v>13</v>
      </c>
      <c r="K711" s="131">
        <v>45688</v>
      </c>
      <c r="M711">
        <v>570</v>
      </c>
      <c r="N711" t="s">
        <v>6556</v>
      </c>
    </row>
    <row r="712" spans="1:14">
      <c r="A712" t="s">
        <v>1746</v>
      </c>
      <c r="B712" t="s">
        <v>1747</v>
      </c>
      <c r="C712" t="s">
        <v>1744</v>
      </c>
      <c r="D712" s="96">
        <v>45.6</v>
      </c>
      <c r="E712" s="13">
        <v>60050.78</v>
      </c>
      <c r="F712" s="486">
        <v>1.3169</v>
      </c>
      <c r="G712"/>
      <c r="H712" s="13">
        <v>60050.78</v>
      </c>
      <c r="I712" s="13">
        <v>1.3169</v>
      </c>
      <c r="J712">
        <v>13</v>
      </c>
      <c r="K712" s="131">
        <v>45688</v>
      </c>
      <c r="M712">
        <v>570</v>
      </c>
      <c r="N712" t="s">
        <v>6557</v>
      </c>
    </row>
    <row r="713" spans="1:14">
      <c r="A713" t="s">
        <v>1746</v>
      </c>
      <c r="B713" t="s">
        <v>1748</v>
      </c>
      <c r="C713" t="s">
        <v>1744</v>
      </c>
      <c r="D713" s="96">
        <v>45.6</v>
      </c>
      <c r="E713" s="13">
        <v>61587.74</v>
      </c>
      <c r="F713" s="486">
        <v>1.3506</v>
      </c>
      <c r="G713"/>
      <c r="H713" s="13">
        <v>61587.74</v>
      </c>
      <c r="I713" s="13">
        <v>1.3506</v>
      </c>
      <c r="J713">
        <v>13</v>
      </c>
      <c r="K713" s="131">
        <v>45688</v>
      </c>
      <c r="M713">
        <v>570</v>
      </c>
      <c r="N713" t="s">
        <v>6558</v>
      </c>
    </row>
    <row r="714" spans="1:14">
      <c r="A714" t="s">
        <v>1746</v>
      </c>
      <c r="B714" t="s">
        <v>1748</v>
      </c>
      <c r="C714" t="s">
        <v>1744</v>
      </c>
      <c r="D714" s="96">
        <v>45.6</v>
      </c>
      <c r="E714" s="13">
        <v>61814.87</v>
      </c>
      <c r="F714" s="486">
        <v>1.3555999999999999</v>
      </c>
      <c r="G714"/>
      <c r="H714" s="13">
        <v>61814.87</v>
      </c>
      <c r="I714" s="13">
        <v>1.3555999999999999</v>
      </c>
      <c r="J714">
        <v>13</v>
      </c>
      <c r="K714" s="131">
        <v>45688</v>
      </c>
      <c r="M714">
        <v>570</v>
      </c>
      <c r="N714" t="s">
        <v>6559</v>
      </c>
    </row>
    <row r="715" spans="1:14">
      <c r="A715" t="s">
        <v>1746</v>
      </c>
      <c r="B715" t="s">
        <v>1748</v>
      </c>
      <c r="C715" t="s">
        <v>1744</v>
      </c>
      <c r="D715" s="96">
        <v>45.6</v>
      </c>
      <c r="E715" s="13">
        <v>66196.710000000006</v>
      </c>
      <c r="F715" s="486">
        <v>1.4517</v>
      </c>
      <c r="G715"/>
      <c r="H715" s="13">
        <v>66196.710000000006</v>
      </c>
      <c r="I715" s="13">
        <v>1.4517</v>
      </c>
      <c r="J715">
        <v>13</v>
      </c>
      <c r="K715" s="131">
        <v>45688</v>
      </c>
      <c r="M715">
        <v>570</v>
      </c>
      <c r="N715" t="s">
        <v>6560</v>
      </c>
    </row>
    <row r="716" spans="1:14">
      <c r="A716" t="s">
        <v>1746</v>
      </c>
      <c r="B716" t="s">
        <v>1748</v>
      </c>
      <c r="C716" t="s">
        <v>1744</v>
      </c>
      <c r="D716" s="96">
        <v>45.6</v>
      </c>
      <c r="E716" s="13">
        <v>66423.839999999997</v>
      </c>
      <c r="F716" s="486">
        <v>1.4567000000000001</v>
      </c>
      <c r="G716"/>
      <c r="H716" s="13">
        <v>66423.839999999997</v>
      </c>
      <c r="I716" s="13">
        <v>1.4567000000000001</v>
      </c>
      <c r="J716">
        <v>13</v>
      </c>
      <c r="K716" s="131">
        <v>45688</v>
      </c>
      <c r="M716">
        <v>570</v>
      </c>
      <c r="N716" t="s">
        <v>6561</v>
      </c>
    </row>
    <row r="717" spans="1:14">
      <c r="A717" t="s">
        <v>1746</v>
      </c>
      <c r="B717" t="s">
        <v>6534</v>
      </c>
      <c r="C717" t="s">
        <v>1744</v>
      </c>
      <c r="D717" s="96">
        <v>45.6</v>
      </c>
      <c r="E717" s="13">
        <v>84856.59</v>
      </c>
      <c r="F717" s="486">
        <v>1.8609</v>
      </c>
      <c r="G717"/>
      <c r="H717" s="13">
        <v>84856.59</v>
      </c>
      <c r="I717" s="13">
        <v>1.8609</v>
      </c>
      <c r="J717">
        <v>13</v>
      </c>
      <c r="K717" s="131">
        <v>45688</v>
      </c>
      <c r="M717">
        <v>570</v>
      </c>
      <c r="N717" t="s">
        <v>6562</v>
      </c>
    </row>
    <row r="718" spans="1:14">
      <c r="A718" t="s">
        <v>1746</v>
      </c>
      <c r="B718" t="s">
        <v>6534</v>
      </c>
      <c r="C718" t="s">
        <v>1744</v>
      </c>
      <c r="D718" s="96">
        <v>45.6</v>
      </c>
      <c r="E718" s="13">
        <v>85083.73</v>
      </c>
      <c r="F718" s="486">
        <v>1.8658999999999999</v>
      </c>
      <c r="G718"/>
      <c r="H718" s="13">
        <v>85083.73</v>
      </c>
      <c r="I718" s="13">
        <v>1.8658999999999999</v>
      </c>
      <c r="J718">
        <v>13</v>
      </c>
      <c r="K718" s="131">
        <v>45688</v>
      </c>
      <c r="M718">
        <v>570</v>
      </c>
      <c r="N718" t="s">
        <v>6563</v>
      </c>
    </row>
    <row r="719" spans="1:14">
      <c r="A719" t="s">
        <v>1746</v>
      </c>
      <c r="B719" t="s">
        <v>6427</v>
      </c>
      <c r="C719" t="s">
        <v>1744</v>
      </c>
      <c r="D719" s="96">
        <v>46.15</v>
      </c>
      <c r="E719" s="13">
        <v>83882.559999999998</v>
      </c>
      <c r="F719" s="486">
        <v>1.8176000000000001</v>
      </c>
      <c r="G719"/>
      <c r="H719" s="13">
        <v>83882.559999999998</v>
      </c>
      <c r="I719" s="13">
        <v>1.8176000000000001</v>
      </c>
      <c r="J719">
        <v>13</v>
      </c>
      <c r="K719" s="131">
        <v>45688</v>
      </c>
      <c r="M719">
        <v>710</v>
      </c>
      <c r="N719" t="s">
        <v>6564</v>
      </c>
    </row>
    <row r="720" spans="1:14">
      <c r="A720" t="s">
        <v>1746</v>
      </c>
      <c r="B720" t="s">
        <v>1747</v>
      </c>
      <c r="C720" t="s">
        <v>1744</v>
      </c>
      <c r="D720" s="96">
        <v>46.17</v>
      </c>
      <c r="E720" s="13">
        <v>60662.92</v>
      </c>
      <c r="F720" s="486">
        <v>1.3139000000000001</v>
      </c>
      <c r="G720"/>
      <c r="H720" s="13">
        <v>60662.92</v>
      </c>
      <c r="I720" s="13">
        <v>1.3139000000000001</v>
      </c>
      <c r="J720">
        <v>13</v>
      </c>
      <c r="K720" s="131">
        <v>45688</v>
      </c>
      <c r="M720">
        <v>570</v>
      </c>
      <c r="N720" t="s">
        <v>6565</v>
      </c>
    </row>
    <row r="721" spans="1:14">
      <c r="A721" t="s">
        <v>1746</v>
      </c>
      <c r="B721" t="s">
        <v>1747</v>
      </c>
      <c r="C721" t="s">
        <v>1744</v>
      </c>
      <c r="D721" s="96">
        <v>46.17</v>
      </c>
      <c r="E721" s="13">
        <v>60892.89</v>
      </c>
      <c r="F721" s="486">
        <v>1.3189</v>
      </c>
      <c r="G721"/>
      <c r="H721" s="13">
        <v>60892.89</v>
      </c>
      <c r="I721" s="13">
        <v>1.3189</v>
      </c>
      <c r="J721">
        <v>13</v>
      </c>
      <c r="K721" s="131">
        <v>45688</v>
      </c>
      <c r="M721">
        <v>570</v>
      </c>
      <c r="N721" t="s">
        <v>6566</v>
      </c>
    </row>
    <row r="722" spans="1:14">
      <c r="A722" t="s">
        <v>1746</v>
      </c>
      <c r="B722" t="s">
        <v>1748</v>
      </c>
      <c r="C722" t="s">
        <v>1744</v>
      </c>
      <c r="D722" s="96">
        <v>46.17</v>
      </c>
      <c r="E722" s="13">
        <v>62427</v>
      </c>
      <c r="F722" s="486">
        <v>1.3521000000000001</v>
      </c>
      <c r="G722"/>
      <c r="H722" s="13">
        <v>62427</v>
      </c>
      <c r="I722" s="13">
        <v>1.3521000000000001</v>
      </c>
      <c r="J722">
        <v>13</v>
      </c>
      <c r="K722" s="131">
        <v>45688</v>
      </c>
      <c r="M722">
        <v>570</v>
      </c>
      <c r="N722" t="s">
        <v>6567</v>
      </c>
    </row>
    <row r="723" spans="1:14">
      <c r="A723" t="s">
        <v>1746</v>
      </c>
      <c r="B723" t="s">
        <v>1748</v>
      </c>
      <c r="C723" t="s">
        <v>1744</v>
      </c>
      <c r="D723" s="96">
        <v>46.17</v>
      </c>
      <c r="E723" s="13">
        <v>62656.98</v>
      </c>
      <c r="F723" s="486">
        <v>1.3571</v>
      </c>
      <c r="G723"/>
      <c r="H723" s="13">
        <v>62656.98</v>
      </c>
      <c r="I723" s="13">
        <v>1.3571</v>
      </c>
      <c r="J723">
        <v>13</v>
      </c>
      <c r="K723" s="131">
        <v>45688</v>
      </c>
      <c r="M723">
        <v>570</v>
      </c>
      <c r="N723" t="s">
        <v>6568</v>
      </c>
    </row>
    <row r="724" spans="1:14">
      <c r="A724" t="s">
        <v>1746</v>
      </c>
      <c r="B724" t="s">
        <v>1748</v>
      </c>
      <c r="C724" t="s">
        <v>1744</v>
      </c>
      <c r="D724" s="96">
        <v>46.17</v>
      </c>
      <c r="E724" s="13">
        <v>67035.97</v>
      </c>
      <c r="F724" s="486">
        <v>1.4519</v>
      </c>
      <c r="G724"/>
      <c r="H724" s="13">
        <v>67035.97</v>
      </c>
      <c r="I724" s="13">
        <v>1.4519</v>
      </c>
      <c r="J724">
        <v>13</v>
      </c>
      <c r="K724" s="131">
        <v>45688</v>
      </c>
      <c r="M724">
        <v>570</v>
      </c>
      <c r="N724" t="s">
        <v>6569</v>
      </c>
    </row>
    <row r="725" spans="1:14">
      <c r="A725" t="s">
        <v>1746</v>
      </c>
      <c r="B725" t="s">
        <v>1748</v>
      </c>
      <c r="C725" t="s">
        <v>1744</v>
      </c>
      <c r="D725" s="96">
        <v>46.17</v>
      </c>
      <c r="E725" s="13">
        <v>67265.95</v>
      </c>
      <c r="F725" s="486">
        <v>1.4569000000000001</v>
      </c>
      <c r="G725"/>
      <c r="H725" s="13">
        <v>67265.95</v>
      </c>
      <c r="I725" s="13">
        <v>1.4569000000000001</v>
      </c>
      <c r="J725">
        <v>13</v>
      </c>
      <c r="K725" s="131">
        <v>45688</v>
      </c>
      <c r="M725">
        <v>570</v>
      </c>
      <c r="N725" t="s">
        <v>6570</v>
      </c>
    </row>
    <row r="726" spans="1:14">
      <c r="A726" t="s">
        <v>1746</v>
      </c>
      <c r="B726" t="s">
        <v>6571</v>
      </c>
      <c r="C726" t="s">
        <v>1744</v>
      </c>
      <c r="D726" s="96">
        <v>46.17</v>
      </c>
      <c r="E726" s="13">
        <v>87502.44</v>
      </c>
      <c r="F726" s="486">
        <v>1.8952</v>
      </c>
      <c r="G726"/>
      <c r="H726" s="13">
        <v>87502.44</v>
      </c>
      <c r="I726" s="13">
        <v>1.8952</v>
      </c>
      <c r="J726">
        <v>13</v>
      </c>
      <c r="K726" s="131">
        <v>45688</v>
      </c>
      <c r="M726">
        <v>570</v>
      </c>
      <c r="N726" t="s">
        <v>6572</v>
      </c>
    </row>
    <row r="727" spans="1:14">
      <c r="A727" t="s">
        <v>1746</v>
      </c>
      <c r="B727" t="s">
        <v>6571</v>
      </c>
      <c r="C727" t="s">
        <v>1744</v>
      </c>
      <c r="D727" s="96">
        <v>46.17</v>
      </c>
      <c r="E727" s="13">
        <v>87732.42</v>
      </c>
      <c r="F727" s="486">
        <v>1.9001999999999999</v>
      </c>
      <c r="G727"/>
      <c r="H727" s="13">
        <v>87732.42</v>
      </c>
      <c r="I727" s="13">
        <v>1.9001999999999999</v>
      </c>
      <c r="J727">
        <v>13</v>
      </c>
      <c r="K727" s="131">
        <v>45688</v>
      </c>
      <c r="M727">
        <v>570</v>
      </c>
      <c r="N727" t="s">
        <v>6573</v>
      </c>
    </row>
    <row r="728" spans="1:14">
      <c r="A728" t="s">
        <v>1746</v>
      </c>
      <c r="B728" t="s">
        <v>1747</v>
      </c>
      <c r="C728" t="s">
        <v>1744</v>
      </c>
      <c r="D728" s="96">
        <v>46.74</v>
      </c>
      <c r="E728" s="13">
        <v>61187.6</v>
      </c>
      <c r="F728" s="486">
        <v>1.3090999999999999</v>
      </c>
      <c r="G728"/>
      <c r="H728" s="13">
        <v>61187.6</v>
      </c>
      <c r="I728" s="13">
        <v>1.3090999999999999</v>
      </c>
      <c r="J728">
        <v>13</v>
      </c>
      <c r="K728" s="131">
        <v>45688</v>
      </c>
      <c r="M728">
        <v>570</v>
      </c>
      <c r="N728" t="s">
        <v>6574</v>
      </c>
    </row>
    <row r="729" spans="1:14">
      <c r="A729" t="s">
        <v>1746</v>
      </c>
      <c r="B729" t="s">
        <v>1747</v>
      </c>
      <c r="C729" t="s">
        <v>1744</v>
      </c>
      <c r="D729" s="96">
        <v>46.74</v>
      </c>
      <c r="E729" s="13">
        <v>61420.41</v>
      </c>
      <c r="F729" s="486">
        <v>1.3141</v>
      </c>
      <c r="G729"/>
      <c r="H729" s="13">
        <v>61420.41</v>
      </c>
      <c r="I729" s="13">
        <v>1.3141</v>
      </c>
      <c r="J729">
        <v>13</v>
      </c>
      <c r="K729" s="131">
        <v>45688</v>
      </c>
      <c r="M729">
        <v>570</v>
      </c>
      <c r="N729" t="s">
        <v>6575</v>
      </c>
    </row>
    <row r="730" spans="1:14">
      <c r="A730" t="s">
        <v>1746</v>
      </c>
      <c r="B730" t="s">
        <v>1748</v>
      </c>
      <c r="C730" t="s">
        <v>1744</v>
      </c>
      <c r="D730" s="96">
        <v>46.74</v>
      </c>
      <c r="E730" s="13">
        <v>62951.69</v>
      </c>
      <c r="F730" s="486">
        <v>1.3468</v>
      </c>
      <c r="G730"/>
      <c r="H730" s="13">
        <v>62951.69</v>
      </c>
      <c r="I730" s="13">
        <v>1.3468</v>
      </c>
      <c r="J730">
        <v>13</v>
      </c>
      <c r="K730" s="131">
        <v>45688</v>
      </c>
      <c r="M730">
        <v>570</v>
      </c>
      <c r="N730" t="s">
        <v>6576</v>
      </c>
    </row>
    <row r="731" spans="1:14">
      <c r="A731" t="s">
        <v>1746</v>
      </c>
      <c r="B731" t="s">
        <v>1748</v>
      </c>
      <c r="C731" t="s">
        <v>1744</v>
      </c>
      <c r="D731" s="96">
        <v>46.74</v>
      </c>
      <c r="E731" s="13">
        <v>63184.5</v>
      </c>
      <c r="F731" s="486">
        <v>1.3517999999999999</v>
      </c>
      <c r="G731"/>
      <c r="H731" s="13">
        <v>63184.5</v>
      </c>
      <c r="I731" s="13">
        <v>1.3517999999999999</v>
      </c>
      <c r="J731">
        <v>13</v>
      </c>
      <c r="K731" s="131">
        <v>45688</v>
      </c>
      <c r="M731">
        <v>570</v>
      </c>
      <c r="N731" t="s">
        <v>6577</v>
      </c>
    </row>
    <row r="732" spans="1:14">
      <c r="A732" t="s">
        <v>1746</v>
      </c>
      <c r="B732" t="s">
        <v>1748</v>
      </c>
      <c r="C732" t="s">
        <v>1744</v>
      </c>
      <c r="D732" s="96">
        <v>46.74</v>
      </c>
      <c r="E732" s="13">
        <v>67560.66</v>
      </c>
      <c r="F732" s="486">
        <v>1.4455</v>
      </c>
      <c r="G732"/>
      <c r="H732" s="13">
        <v>67560.66</v>
      </c>
      <c r="I732" s="13">
        <v>1.4455</v>
      </c>
      <c r="J732">
        <v>13</v>
      </c>
      <c r="K732" s="131">
        <v>45688</v>
      </c>
      <c r="M732">
        <v>570</v>
      </c>
      <c r="N732" t="s">
        <v>6578</v>
      </c>
    </row>
    <row r="733" spans="1:14">
      <c r="A733" t="s">
        <v>1746</v>
      </c>
      <c r="B733" t="s">
        <v>1748</v>
      </c>
      <c r="C733" t="s">
        <v>1744</v>
      </c>
      <c r="D733" s="96">
        <v>46.74</v>
      </c>
      <c r="E733" s="13">
        <v>67793.47</v>
      </c>
      <c r="F733" s="486">
        <v>1.4503999999999999</v>
      </c>
      <c r="G733"/>
      <c r="H733" s="13">
        <v>67793.47</v>
      </c>
      <c r="I733" s="13">
        <v>1.4503999999999999</v>
      </c>
      <c r="J733">
        <v>13</v>
      </c>
      <c r="K733" s="131">
        <v>45688</v>
      </c>
      <c r="M733">
        <v>570</v>
      </c>
      <c r="N733" t="s">
        <v>6579</v>
      </c>
    </row>
    <row r="734" spans="1:14">
      <c r="A734" t="s">
        <v>1746</v>
      </c>
      <c r="B734" t="s">
        <v>6571</v>
      </c>
      <c r="C734" t="s">
        <v>1744</v>
      </c>
      <c r="D734" s="96">
        <v>46.74</v>
      </c>
      <c r="E734" s="13">
        <v>88027.12</v>
      </c>
      <c r="F734" s="486">
        <v>1.8833</v>
      </c>
      <c r="G734"/>
      <c r="H734" s="13">
        <v>88027.12</v>
      </c>
      <c r="I734" s="13">
        <v>1.8833</v>
      </c>
      <c r="J734">
        <v>13</v>
      </c>
      <c r="K734" s="131">
        <v>45688</v>
      </c>
      <c r="M734">
        <v>570</v>
      </c>
      <c r="N734" t="s">
        <v>6580</v>
      </c>
    </row>
    <row r="735" spans="1:14">
      <c r="A735" t="s">
        <v>1746</v>
      </c>
      <c r="B735" t="s">
        <v>6571</v>
      </c>
      <c r="C735" t="s">
        <v>1744</v>
      </c>
      <c r="D735" s="96">
        <v>46.74</v>
      </c>
      <c r="E735" s="13">
        <v>88259.94</v>
      </c>
      <c r="F735" s="486">
        <v>1.8883000000000001</v>
      </c>
      <c r="G735"/>
      <c r="H735" s="13">
        <v>88259.94</v>
      </c>
      <c r="I735" s="13">
        <v>1.8883000000000001</v>
      </c>
      <c r="J735">
        <v>13</v>
      </c>
      <c r="K735" s="131">
        <v>45688</v>
      </c>
      <c r="M735">
        <v>570</v>
      </c>
      <c r="N735" t="s">
        <v>6581</v>
      </c>
    </row>
    <row r="736" spans="1:14">
      <c r="A736" t="s">
        <v>1746</v>
      </c>
      <c r="B736" t="s">
        <v>6427</v>
      </c>
      <c r="C736" t="s">
        <v>1744</v>
      </c>
      <c r="D736" s="96">
        <v>46.86</v>
      </c>
      <c r="E736" s="13">
        <v>84610.72</v>
      </c>
      <c r="F736" s="486">
        <v>1.8056000000000001</v>
      </c>
      <c r="G736"/>
      <c r="H736" s="13">
        <v>84610.72</v>
      </c>
      <c r="I736" s="13">
        <v>1.8056000000000001</v>
      </c>
      <c r="J736">
        <v>13</v>
      </c>
      <c r="K736" s="131">
        <v>45688</v>
      </c>
      <c r="M736">
        <v>710</v>
      </c>
      <c r="N736" t="s">
        <v>6582</v>
      </c>
    </row>
    <row r="737" spans="1:14">
      <c r="A737" t="s">
        <v>1746</v>
      </c>
      <c r="B737" t="s">
        <v>1747</v>
      </c>
      <c r="C737" t="s">
        <v>1744</v>
      </c>
      <c r="D737" s="96">
        <v>47.31</v>
      </c>
      <c r="E737" s="13">
        <v>61712.28</v>
      </c>
      <c r="F737" s="486">
        <v>1.3044</v>
      </c>
      <c r="G737"/>
      <c r="H737" s="13">
        <v>61712.28</v>
      </c>
      <c r="I737" s="13">
        <v>1.3044</v>
      </c>
      <c r="J737">
        <v>13</v>
      </c>
      <c r="K737" s="131">
        <v>45688</v>
      </c>
      <c r="M737">
        <v>570</v>
      </c>
      <c r="N737" t="s">
        <v>6583</v>
      </c>
    </row>
    <row r="738" spans="1:14">
      <c r="A738" t="s">
        <v>1746</v>
      </c>
      <c r="B738" t="s">
        <v>1747</v>
      </c>
      <c r="C738" t="s">
        <v>1744</v>
      </c>
      <c r="D738" s="96">
        <v>47.31</v>
      </c>
      <c r="E738" s="13">
        <v>61947.94</v>
      </c>
      <c r="F738" s="486">
        <v>1.3093999999999999</v>
      </c>
      <c r="G738"/>
      <c r="H738" s="13">
        <v>61947.94</v>
      </c>
      <c r="I738" s="13">
        <v>1.3093999999999999</v>
      </c>
      <c r="J738">
        <v>13</v>
      </c>
      <c r="K738" s="131">
        <v>45688</v>
      </c>
      <c r="M738">
        <v>570</v>
      </c>
      <c r="N738" t="s">
        <v>6584</v>
      </c>
    </row>
    <row r="739" spans="1:14">
      <c r="A739" t="s">
        <v>1746</v>
      </c>
      <c r="B739" t="s">
        <v>1748</v>
      </c>
      <c r="C739" t="s">
        <v>1744</v>
      </c>
      <c r="D739" s="96">
        <v>47.31</v>
      </c>
      <c r="E739" s="13">
        <v>63476.37</v>
      </c>
      <c r="F739" s="486">
        <v>1.3416999999999999</v>
      </c>
      <c r="G739"/>
      <c r="H739" s="13">
        <v>63476.37</v>
      </c>
      <c r="I739" s="13">
        <v>1.3416999999999999</v>
      </c>
      <c r="J739">
        <v>13</v>
      </c>
      <c r="K739" s="131">
        <v>45688</v>
      </c>
      <c r="M739">
        <v>570</v>
      </c>
      <c r="N739" t="s">
        <v>6585</v>
      </c>
    </row>
    <row r="740" spans="1:14">
      <c r="A740" t="s">
        <v>1746</v>
      </c>
      <c r="B740" t="s">
        <v>1748</v>
      </c>
      <c r="C740" t="s">
        <v>1744</v>
      </c>
      <c r="D740" s="96">
        <v>47.31</v>
      </c>
      <c r="E740" s="13">
        <v>63712.03</v>
      </c>
      <c r="F740" s="486">
        <v>1.3467</v>
      </c>
      <c r="G740"/>
      <c r="H740" s="13">
        <v>63712.03</v>
      </c>
      <c r="I740" s="13">
        <v>1.3467</v>
      </c>
      <c r="J740">
        <v>13</v>
      </c>
      <c r="K740" s="131">
        <v>45688</v>
      </c>
      <c r="M740">
        <v>570</v>
      </c>
      <c r="N740" t="s">
        <v>6586</v>
      </c>
    </row>
    <row r="741" spans="1:14">
      <c r="A741" t="s">
        <v>1746</v>
      </c>
      <c r="B741" t="s">
        <v>1748</v>
      </c>
      <c r="C741" t="s">
        <v>1744</v>
      </c>
      <c r="D741" s="96">
        <v>47.31</v>
      </c>
      <c r="E741" s="13">
        <v>68085.34</v>
      </c>
      <c r="F741" s="486">
        <v>1.4391</v>
      </c>
      <c r="G741"/>
      <c r="H741" s="13">
        <v>68085.34</v>
      </c>
      <c r="I741" s="13">
        <v>1.4391</v>
      </c>
      <c r="J741">
        <v>13</v>
      </c>
      <c r="K741" s="131">
        <v>45688</v>
      </c>
      <c r="M741">
        <v>570</v>
      </c>
      <c r="N741" t="s">
        <v>6587</v>
      </c>
    </row>
    <row r="742" spans="1:14">
      <c r="A742" t="s">
        <v>1746</v>
      </c>
      <c r="B742" t="s">
        <v>1748</v>
      </c>
      <c r="C742" t="s">
        <v>1744</v>
      </c>
      <c r="D742" s="96">
        <v>47.31</v>
      </c>
      <c r="E742" s="13">
        <v>68320.990000000005</v>
      </c>
      <c r="F742" s="486">
        <v>1.4440999999999999</v>
      </c>
      <c r="G742"/>
      <c r="H742" s="13">
        <v>68320.990000000005</v>
      </c>
      <c r="I742" s="13">
        <v>1.4440999999999999</v>
      </c>
      <c r="J742">
        <v>13</v>
      </c>
      <c r="K742" s="131">
        <v>45688</v>
      </c>
      <c r="M742">
        <v>570</v>
      </c>
      <c r="N742" t="s">
        <v>6588</v>
      </c>
    </row>
    <row r="743" spans="1:14">
      <c r="A743" t="s">
        <v>1746</v>
      </c>
      <c r="B743" t="s">
        <v>6571</v>
      </c>
      <c r="C743" t="s">
        <v>1744</v>
      </c>
      <c r="D743" s="96">
        <v>47.31</v>
      </c>
      <c r="E743" s="13">
        <v>88551.81</v>
      </c>
      <c r="F743" s="486">
        <v>1.8716999999999999</v>
      </c>
      <c r="G743"/>
      <c r="H743" s="13">
        <v>88551.81</v>
      </c>
      <c r="I743" s="13">
        <v>1.8716999999999999</v>
      </c>
      <c r="J743">
        <v>13</v>
      </c>
      <c r="K743" s="131">
        <v>45688</v>
      </c>
      <c r="M743">
        <v>570</v>
      </c>
      <c r="N743" t="s">
        <v>6589</v>
      </c>
    </row>
    <row r="744" spans="1:14">
      <c r="A744" t="s">
        <v>1746</v>
      </c>
      <c r="B744" t="s">
        <v>6571</v>
      </c>
      <c r="C744" t="s">
        <v>1744</v>
      </c>
      <c r="D744" s="96">
        <v>47.31</v>
      </c>
      <c r="E744" s="13">
        <v>88787.46</v>
      </c>
      <c r="F744" s="486">
        <v>1.8767</v>
      </c>
      <c r="G744"/>
      <c r="H744" s="13">
        <v>88787.46</v>
      </c>
      <c r="I744" s="13">
        <v>1.8767</v>
      </c>
      <c r="J744">
        <v>13</v>
      </c>
      <c r="K744" s="131">
        <v>45688</v>
      </c>
      <c r="M744">
        <v>570</v>
      </c>
      <c r="N744" t="s">
        <v>6590</v>
      </c>
    </row>
    <row r="745" spans="1:14">
      <c r="A745" t="s">
        <v>1746</v>
      </c>
      <c r="B745" t="s">
        <v>6427</v>
      </c>
      <c r="C745" t="s">
        <v>1744</v>
      </c>
      <c r="D745" s="96">
        <v>47.57</v>
      </c>
      <c r="E745" s="13">
        <v>85338.880000000005</v>
      </c>
      <c r="F745" s="486">
        <v>1.794</v>
      </c>
      <c r="G745"/>
      <c r="H745" s="13">
        <v>85338.880000000005</v>
      </c>
      <c r="I745" s="13">
        <v>1.794</v>
      </c>
      <c r="J745">
        <v>13</v>
      </c>
      <c r="K745" s="131">
        <v>45688</v>
      </c>
      <c r="M745">
        <v>710</v>
      </c>
      <c r="N745" t="s">
        <v>6591</v>
      </c>
    </row>
    <row r="746" spans="1:14">
      <c r="A746" t="s">
        <v>1746</v>
      </c>
      <c r="B746" t="s">
        <v>1747</v>
      </c>
      <c r="C746" t="s">
        <v>1744</v>
      </c>
      <c r="D746" s="96">
        <v>47.88</v>
      </c>
      <c r="E746" s="13">
        <v>62236.97</v>
      </c>
      <c r="F746" s="486">
        <v>1.2999000000000001</v>
      </c>
      <c r="G746"/>
      <c r="H746" s="13">
        <v>62236.97</v>
      </c>
      <c r="I746" s="13">
        <v>1.2999000000000001</v>
      </c>
      <c r="J746">
        <v>13</v>
      </c>
      <c r="K746" s="131">
        <v>45688</v>
      </c>
      <c r="M746">
        <v>570</v>
      </c>
      <c r="N746" t="s">
        <v>6592</v>
      </c>
    </row>
    <row r="747" spans="1:14">
      <c r="A747" t="s">
        <v>1746</v>
      </c>
      <c r="B747" t="s">
        <v>1747</v>
      </c>
      <c r="C747" t="s">
        <v>1744</v>
      </c>
      <c r="D747" s="96">
        <v>47.88</v>
      </c>
      <c r="E747" s="13">
        <v>62475.46</v>
      </c>
      <c r="F747" s="486">
        <v>1.3048</v>
      </c>
      <c r="G747"/>
      <c r="H747" s="13">
        <v>62475.46</v>
      </c>
      <c r="I747" s="13">
        <v>1.3048</v>
      </c>
      <c r="J747">
        <v>13</v>
      </c>
      <c r="K747" s="131">
        <v>45688</v>
      </c>
      <c r="M747">
        <v>570</v>
      </c>
      <c r="N747" t="s">
        <v>6593</v>
      </c>
    </row>
    <row r="748" spans="1:14">
      <c r="A748" t="s">
        <v>1746</v>
      </c>
      <c r="B748" t="s">
        <v>1748</v>
      </c>
      <c r="C748" t="s">
        <v>1744</v>
      </c>
      <c r="D748" s="96">
        <v>47.88</v>
      </c>
      <c r="E748" s="13">
        <v>64001.06</v>
      </c>
      <c r="F748" s="486">
        <v>1.3367</v>
      </c>
      <c r="G748"/>
      <c r="H748" s="13">
        <v>64001.06</v>
      </c>
      <c r="I748" s="13">
        <v>1.3367</v>
      </c>
      <c r="J748">
        <v>13</v>
      </c>
      <c r="K748" s="131">
        <v>45688</v>
      </c>
      <c r="M748">
        <v>570</v>
      </c>
      <c r="N748" t="s">
        <v>6594</v>
      </c>
    </row>
    <row r="749" spans="1:14">
      <c r="A749" t="s">
        <v>1746</v>
      </c>
      <c r="B749" t="s">
        <v>1748</v>
      </c>
      <c r="C749" t="s">
        <v>1744</v>
      </c>
      <c r="D749" s="96">
        <v>47.88</v>
      </c>
      <c r="E749" s="13">
        <v>64239.55</v>
      </c>
      <c r="F749" s="486">
        <v>1.3416999999999999</v>
      </c>
      <c r="G749"/>
      <c r="H749" s="13">
        <v>64239.55</v>
      </c>
      <c r="I749" s="13">
        <v>1.3416999999999999</v>
      </c>
      <c r="J749">
        <v>13</v>
      </c>
      <c r="K749" s="131">
        <v>45688</v>
      </c>
      <c r="M749">
        <v>570</v>
      </c>
      <c r="N749" t="s">
        <v>6595</v>
      </c>
    </row>
    <row r="750" spans="1:14">
      <c r="A750" t="s">
        <v>1746</v>
      </c>
      <c r="B750" t="s">
        <v>1748</v>
      </c>
      <c r="C750" t="s">
        <v>1744</v>
      </c>
      <c r="D750" s="96">
        <v>47.88</v>
      </c>
      <c r="E750" s="13">
        <v>68610.03</v>
      </c>
      <c r="F750" s="486">
        <v>1.4330000000000001</v>
      </c>
      <c r="G750"/>
      <c r="H750" s="13">
        <v>68610.03</v>
      </c>
      <c r="I750" s="13">
        <v>1.4330000000000001</v>
      </c>
      <c r="J750">
        <v>13</v>
      </c>
      <c r="K750" s="131">
        <v>45688</v>
      </c>
      <c r="M750">
        <v>570</v>
      </c>
      <c r="N750" t="s">
        <v>6596</v>
      </c>
    </row>
    <row r="751" spans="1:14">
      <c r="A751" t="s">
        <v>1746</v>
      </c>
      <c r="B751" t="s">
        <v>1748</v>
      </c>
      <c r="C751" t="s">
        <v>1744</v>
      </c>
      <c r="D751" s="96">
        <v>47.88</v>
      </c>
      <c r="E751" s="13">
        <v>68848.52</v>
      </c>
      <c r="F751" s="486">
        <v>1.4379</v>
      </c>
      <c r="G751"/>
      <c r="H751" s="13">
        <v>68848.52</v>
      </c>
      <c r="I751" s="13">
        <v>1.4379</v>
      </c>
      <c r="J751">
        <v>13</v>
      </c>
      <c r="K751" s="131">
        <v>45688</v>
      </c>
      <c r="M751">
        <v>570</v>
      </c>
      <c r="N751" t="s">
        <v>6597</v>
      </c>
    </row>
    <row r="752" spans="1:14">
      <c r="A752" t="s">
        <v>1746</v>
      </c>
      <c r="B752" t="s">
        <v>6571</v>
      </c>
      <c r="C752" t="s">
        <v>1744</v>
      </c>
      <c r="D752" s="96">
        <v>47.88</v>
      </c>
      <c r="E752" s="13">
        <v>89076.49</v>
      </c>
      <c r="F752" s="486">
        <v>1.8604000000000001</v>
      </c>
      <c r="G752"/>
      <c r="H752" s="13">
        <v>89076.49</v>
      </c>
      <c r="I752" s="13">
        <v>1.8604000000000001</v>
      </c>
      <c r="J752">
        <v>13</v>
      </c>
      <c r="K752" s="131">
        <v>45688</v>
      </c>
      <c r="M752">
        <v>570</v>
      </c>
      <c r="N752" t="s">
        <v>6598</v>
      </c>
    </row>
    <row r="753" spans="1:14">
      <c r="A753" t="s">
        <v>1746</v>
      </c>
      <c r="B753" t="s">
        <v>6571</v>
      </c>
      <c r="C753" t="s">
        <v>1744</v>
      </c>
      <c r="D753" s="96">
        <v>47.88</v>
      </c>
      <c r="E753" s="13">
        <v>89314.99</v>
      </c>
      <c r="F753" s="486">
        <v>1.8653999999999999</v>
      </c>
      <c r="G753"/>
      <c r="H753" s="13">
        <v>89314.99</v>
      </c>
      <c r="I753" s="13">
        <v>1.8653999999999999</v>
      </c>
      <c r="J753">
        <v>13</v>
      </c>
      <c r="K753" s="131">
        <v>45688</v>
      </c>
      <c r="M753">
        <v>570</v>
      </c>
      <c r="N753" t="s">
        <v>6599</v>
      </c>
    </row>
    <row r="754" spans="1:14">
      <c r="A754" t="s">
        <v>1746</v>
      </c>
      <c r="B754" t="s">
        <v>6427</v>
      </c>
      <c r="C754" t="s">
        <v>1744</v>
      </c>
      <c r="D754" s="96">
        <v>48.28</v>
      </c>
      <c r="E754" s="13">
        <v>86067.04</v>
      </c>
      <c r="F754" s="486">
        <v>1.7827</v>
      </c>
      <c r="G754"/>
      <c r="H754" s="13">
        <v>86067.04</v>
      </c>
      <c r="I754" s="13">
        <v>1.7827</v>
      </c>
      <c r="J754">
        <v>13</v>
      </c>
      <c r="K754" s="131">
        <v>45688</v>
      </c>
      <c r="M754">
        <v>710</v>
      </c>
      <c r="N754" t="s">
        <v>6600</v>
      </c>
    </row>
    <row r="755" spans="1:14">
      <c r="A755" t="s">
        <v>1746</v>
      </c>
      <c r="B755" t="s">
        <v>1747</v>
      </c>
      <c r="C755" t="s">
        <v>1744</v>
      </c>
      <c r="D755" s="96">
        <v>48.45</v>
      </c>
      <c r="E755" s="13">
        <v>63076.24</v>
      </c>
      <c r="F755" s="486">
        <v>1.3019000000000001</v>
      </c>
      <c r="G755"/>
      <c r="H755" s="13">
        <v>63076.24</v>
      </c>
      <c r="I755" s="13">
        <v>1.3019000000000001</v>
      </c>
      <c r="J755">
        <v>13</v>
      </c>
      <c r="K755" s="131">
        <v>45688</v>
      </c>
      <c r="M755">
        <v>570</v>
      </c>
      <c r="N755" t="s">
        <v>6601</v>
      </c>
    </row>
    <row r="756" spans="1:14">
      <c r="A756" t="s">
        <v>1746</v>
      </c>
      <c r="B756" t="s">
        <v>1747</v>
      </c>
      <c r="C756" t="s">
        <v>1744</v>
      </c>
      <c r="D756" s="96">
        <v>48.45</v>
      </c>
      <c r="E756" s="13">
        <v>63317.57</v>
      </c>
      <c r="F756" s="486">
        <v>1.3069</v>
      </c>
      <c r="G756"/>
      <c r="H756" s="13">
        <v>63317.57</v>
      </c>
      <c r="I756" s="13">
        <v>1.3069</v>
      </c>
      <c r="J756">
        <v>13</v>
      </c>
      <c r="K756" s="131">
        <v>45688</v>
      </c>
      <c r="M756">
        <v>570</v>
      </c>
      <c r="N756" t="s">
        <v>6602</v>
      </c>
    </row>
    <row r="757" spans="1:14">
      <c r="A757" t="s">
        <v>1746</v>
      </c>
      <c r="B757" t="s">
        <v>1748</v>
      </c>
      <c r="C757" t="s">
        <v>1744</v>
      </c>
      <c r="D757" s="96">
        <v>48.45</v>
      </c>
      <c r="E757" s="13">
        <v>64840.32</v>
      </c>
      <c r="F757" s="486">
        <v>1.3383</v>
      </c>
      <c r="G757"/>
      <c r="H757" s="13">
        <v>64840.32</v>
      </c>
      <c r="I757" s="13">
        <v>1.3383</v>
      </c>
      <c r="J757">
        <v>13</v>
      </c>
      <c r="K757" s="131">
        <v>45688</v>
      </c>
      <c r="M757">
        <v>570</v>
      </c>
      <c r="N757" t="s">
        <v>6603</v>
      </c>
    </row>
    <row r="758" spans="1:14">
      <c r="A758" t="s">
        <v>1746</v>
      </c>
      <c r="B758" t="s">
        <v>1748</v>
      </c>
      <c r="C758" t="s">
        <v>1744</v>
      </c>
      <c r="D758" s="96">
        <v>48.45</v>
      </c>
      <c r="E758" s="13">
        <v>65081.66</v>
      </c>
      <c r="F758" s="486">
        <v>1.3432999999999999</v>
      </c>
      <c r="G758"/>
      <c r="H758" s="13">
        <v>65081.66</v>
      </c>
      <c r="I758" s="13">
        <v>1.3432999999999999</v>
      </c>
      <c r="J758">
        <v>13</v>
      </c>
      <c r="K758" s="131">
        <v>45688</v>
      </c>
      <c r="M758">
        <v>570</v>
      </c>
      <c r="N758" t="s">
        <v>6604</v>
      </c>
    </row>
    <row r="759" spans="1:14">
      <c r="A759" t="s">
        <v>1746</v>
      </c>
      <c r="B759" t="s">
        <v>1748</v>
      </c>
      <c r="C759" t="s">
        <v>1744</v>
      </c>
      <c r="D759" s="96">
        <v>48.45</v>
      </c>
      <c r="E759" s="13">
        <v>69449.289999999994</v>
      </c>
      <c r="F759" s="486">
        <v>1.4334</v>
      </c>
      <c r="G759"/>
      <c r="H759" s="13">
        <v>69449.289999999994</v>
      </c>
      <c r="I759" s="13">
        <v>1.4334</v>
      </c>
      <c r="J759">
        <v>13</v>
      </c>
      <c r="K759" s="131">
        <v>45688</v>
      </c>
      <c r="M759">
        <v>570</v>
      </c>
      <c r="N759" t="s">
        <v>6605</v>
      </c>
    </row>
    <row r="760" spans="1:14">
      <c r="A760" t="s">
        <v>1746</v>
      </c>
      <c r="B760" t="s">
        <v>1748</v>
      </c>
      <c r="C760" t="s">
        <v>1744</v>
      </c>
      <c r="D760" s="96">
        <v>48.45</v>
      </c>
      <c r="E760" s="13">
        <v>69690.62</v>
      </c>
      <c r="F760" s="486">
        <v>1.4383999999999999</v>
      </c>
      <c r="G760"/>
      <c r="H760" s="13">
        <v>69690.62</v>
      </c>
      <c r="I760" s="13">
        <v>1.4383999999999999</v>
      </c>
      <c r="J760">
        <v>13</v>
      </c>
      <c r="K760" s="131">
        <v>45688</v>
      </c>
      <c r="M760">
        <v>570</v>
      </c>
      <c r="N760" t="s">
        <v>6606</v>
      </c>
    </row>
    <row r="761" spans="1:14">
      <c r="A761" t="s">
        <v>1746</v>
      </c>
      <c r="B761" t="s">
        <v>6571</v>
      </c>
      <c r="C761" t="s">
        <v>1744</v>
      </c>
      <c r="D761" s="96">
        <v>48.45</v>
      </c>
      <c r="E761" s="13">
        <v>91688.56</v>
      </c>
      <c r="F761" s="486">
        <v>1.8924000000000001</v>
      </c>
      <c r="G761"/>
      <c r="H761" s="13">
        <v>91688.56</v>
      </c>
      <c r="I761" s="13">
        <v>1.8924000000000001</v>
      </c>
      <c r="J761">
        <v>13</v>
      </c>
      <c r="K761" s="131">
        <v>45688</v>
      </c>
      <c r="M761">
        <v>570</v>
      </c>
      <c r="N761" t="s">
        <v>6607</v>
      </c>
    </row>
    <row r="762" spans="1:14">
      <c r="A762" t="s">
        <v>1746</v>
      </c>
      <c r="B762" t="s">
        <v>6571</v>
      </c>
      <c r="C762" t="s">
        <v>1744</v>
      </c>
      <c r="D762" s="96">
        <v>48.45</v>
      </c>
      <c r="E762" s="13">
        <v>91929.89</v>
      </c>
      <c r="F762" s="486">
        <v>1.8974</v>
      </c>
      <c r="G762"/>
      <c r="H762" s="13">
        <v>91929.89</v>
      </c>
      <c r="I762" s="13">
        <v>1.8974</v>
      </c>
      <c r="J762">
        <v>13</v>
      </c>
      <c r="K762" s="131">
        <v>45688</v>
      </c>
      <c r="M762">
        <v>570</v>
      </c>
      <c r="N762" t="s">
        <v>6608</v>
      </c>
    </row>
    <row r="763" spans="1:14">
      <c r="A763" t="s">
        <v>1746</v>
      </c>
      <c r="B763" t="s">
        <v>6463</v>
      </c>
      <c r="C763" t="s">
        <v>1744</v>
      </c>
      <c r="D763" s="96">
        <v>48.99</v>
      </c>
      <c r="E763" s="13">
        <v>88916.36</v>
      </c>
      <c r="F763" s="486">
        <v>1.8149999999999999</v>
      </c>
      <c r="G763"/>
      <c r="H763" s="13">
        <v>88916.36</v>
      </c>
      <c r="I763" s="13">
        <v>1.8149999999999999</v>
      </c>
      <c r="J763">
        <v>13</v>
      </c>
      <c r="K763" s="131">
        <v>45688</v>
      </c>
      <c r="M763">
        <v>710</v>
      </c>
      <c r="N763" t="s">
        <v>6609</v>
      </c>
    </row>
    <row r="764" spans="1:14">
      <c r="A764" t="s">
        <v>1746</v>
      </c>
      <c r="B764" t="s">
        <v>1747</v>
      </c>
      <c r="C764" t="s">
        <v>1744</v>
      </c>
      <c r="D764" s="96">
        <v>49.02</v>
      </c>
      <c r="E764" s="13">
        <v>63600.92</v>
      </c>
      <c r="F764" s="486">
        <v>1.2974000000000001</v>
      </c>
      <c r="G764"/>
      <c r="H764" s="13">
        <v>63600.92</v>
      </c>
      <c r="I764" s="13">
        <v>1.2974000000000001</v>
      </c>
      <c r="J764">
        <v>13</v>
      </c>
      <c r="K764" s="131">
        <v>45688</v>
      </c>
      <c r="M764">
        <v>570</v>
      </c>
      <c r="N764" t="s">
        <v>6610</v>
      </c>
    </row>
    <row r="765" spans="1:14">
      <c r="A765" t="s">
        <v>1746</v>
      </c>
      <c r="B765" t="s">
        <v>1747</v>
      </c>
      <c r="C765" t="s">
        <v>1744</v>
      </c>
      <c r="D765" s="96">
        <v>49.02</v>
      </c>
      <c r="E765" s="13">
        <v>63845.09</v>
      </c>
      <c r="F765" s="486">
        <v>1.3024</v>
      </c>
      <c r="G765"/>
      <c r="H765" s="13">
        <v>63845.09</v>
      </c>
      <c r="I765" s="13">
        <v>1.3024</v>
      </c>
      <c r="J765">
        <v>13</v>
      </c>
      <c r="K765" s="131">
        <v>45688</v>
      </c>
      <c r="M765">
        <v>570</v>
      </c>
      <c r="N765" t="s">
        <v>6611</v>
      </c>
    </row>
    <row r="766" spans="1:14">
      <c r="A766" t="s">
        <v>1746</v>
      </c>
      <c r="B766" t="s">
        <v>1748</v>
      </c>
      <c r="C766" t="s">
        <v>1744</v>
      </c>
      <c r="D766" s="96">
        <v>49.02</v>
      </c>
      <c r="E766" s="13">
        <v>65365.01</v>
      </c>
      <c r="F766" s="486">
        <v>1.3333999999999999</v>
      </c>
      <c r="G766"/>
      <c r="H766" s="13">
        <v>65365.01</v>
      </c>
      <c r="I766" s="13">
        <v>1.3333999999999999</v>
      </c>
      <c r="J766">
        <v>13</v>
      </c>
      <c r="K766" s="131">
        <v>45688</v>
      </c>
      <c r="M766">
        <v>570</v>
      </c>
      <c r="N766" t="s">
        <v>6612</v>
      </c>
    </row>
    <row r="767" spans="1:14">
      <c r="A767" t="s">
        <v>1746</v>
      </c>
      <c r="B767" t="s">
        <v>1748</v>
      </c>
      <c r="C767" t="s">
        <v>1744</v>
      </c>
      <c r="D767" s="96">
        <v>49.02</v>
      </c>
      <c r="E767" s="13">
        <v>65609.179999999993</v>
      </c>
      <c r="F767" s="486">
        <v>1.3384</v>
      </c>
      <c r="G767"/>
      <c r="H767" s="13">
        <v>65609.179999999993</v>
      </c>
      <c r="I767" s="13">
        <v>1.3384</v>
      </c>
      <c r="J767">
        <v>13</v>
      </c>
      <c r="K767" s="131">
        <v>45688</v>
      </c>
      <c r="M767">
        <v>570</v>
      </c>
      <c r="N767" t="s">
        <v>6613</v>
      </c>
    </row>
    <row r="768" spans="1:14">
      <c r="A768" t="s">
        <v>1746</v>
      </c>
      <c r="B768" t="s">
        <v>1748</v>
      </c>
      <c r="C768" t="s">
        <v>1744</v>
      </c>
      <c r="D768" s="96">
        <v>49.02</v>
      </c>
      <c r="E768" s="13">
        <v>69973.98</v>
      </c>
      <c r="F768" s="486">
        <v>1.4275</v>
      </c>
      <c r="G768"/>
      <c r="H768" s="13">
        <v>69973.98</v>
      </c>
      <c r="I768" s="13">
        <v>1.4275</v>
      </c>
      <c r="J768">
        <v>13</v>
      </c>
      <c r="K768" s="131">
        <v>45688</v>
      </c>
      <c r="M768">
        <v>570</v>
      </c>
      <c r="N768" t="s">
        <v>6614</v>
      </c>
    </row>
    <row r="769" spans="1:14">
      <c r="A769" t="s">
        <v>1746</v>
      </c>
      <c r="B769" t="s">
        <v>1748</v>
      </c>
      <c r="C769" t="s">
        <v>1744</v>
      </c>
      <c r="D769" s="96">
        <v>49.02</v>
      </c>
      <c r="E769" s="13">
        <v>70218.149999999994</v>
      </c>
      <c r="F769" s="486">
        <v>1.4323999999999999</v>
      </c>
      <c r="G769"/>
      <c r="H769" s="13">
        <v>70218.149999999994</v>
      </c>
      <c r="I769" s="13">
        <v>1.4323999999999999</v>
      </c>
      <c r="J769">
        <v>13</v>
      </c>
      <c r="K769" s="131">
        <v>45688</v>
      </c>
      <c r="M769">
        <v>570</v>
      </c>
      <c r="N769" t="s">
        <v>6615</v>
      </c>
    </row>
    <row r="770" spans="1:14">
      <c r="A770" t="s">
        <v>1746</v>
      </c>
      <c r="B770" t="s">
        <v>6571</v>
      </c>
      <c r="C770" t="s">
        <v>1744</v>
      </c>
      <c r="D770" s="96">
        <v>49.02</v>
      </c>
      <c r="E770" s="13">
        <v>92213.24</v>
      </c>
      <c r="F770" s="486">
        <v>1.8811</v>
      </c>
      <c r="G770"/>
      <c r="H770" s="13">
        <v>92213.24</v>
      </c>
      <c r="I770" s="13">
        <v>1.8811</v>
      </c>
      <c r="J770">
        <v>13</v>
      </c>
      <c r="K770" s="131">
        <v>45688</v>
      </c>
      <c r="M770">
        <v>570</v>
      </c>
      <c r="N770" t="s">
        <v>6616</v>
      </c>
    </row>
    <row r="771" spans="1:14">
      <c r="A771" t="s">
        <v>1746</v>
      </c>
      <c r="B771" t="s">
        <v>6571</v>
      </c>
      <c r="C771" t="s">
        <v>1744</v>
      </c>
      <c r="D771" s="96">
        <v>49.02</v>
      </c>
      <c r="E771" s="13">
        <v>92457.41</v>
      </c>
      <c r="F771" s="486">
        <v>1.8861000000000001</v>
      </c>
      <c r="G771"/>
      <c r="H771" s="13">
        <v>92457.41</v>
      </c>
      <c r="I771" s="13">
        <v>1.8861000000000001</v>
      </c>
      <c r="J771">
        <v>13</v>
      </c>
      <c r="K771" s="131">
        <v>45688</v>
      </c>
      <c r="M771">
        <v>570</v>
      </c>
      <c r="N771" t="s">
        <v>6617</v>
      </c>
    </row>
    <row r="772" spans="1:14">
      <c r="A772" t="s">
        <v>1746</v>
      </c>
      <c r="B772" t="s">
        <v>1747</v>
      </c>
      <c r="C772" t="s">
        <v>1744</v>
      </c>
      <c r="D772" s="96">
        <v>49.59</v>
      </c>
      <c r="E772" s="13">
        <v>64125.599999999999</v>
      </c>
      <c r="F772" s="486">
        <v>1.2930999999999999</v>
      </c>
      <c r="G772"/>
      <c r="H772" s="13">
        <v>64125.599999999999</v>
      </c>
      <c r="I772" s="13">
        <v>1.2930999999999999</v>
      </c>
      <c r="J772">
        <v>13</v>
      </c>
      <c r="K772" s="131">
        <v>45688</v>
      </c>
      <c r="M772">
        <v>570</v>
      </c>
      <c r="N772" t="s">
        <v>6618</v>
      </c>
    </row>
    <row r="773" spans="1:14">
      <c r="A773" t="s">
        <v>1746</v>
      </c>
      <c r="B773" t="s">
        <v>1747</v>
      </c>
      <c r="C773" t="s">
        <v>1744</v>
      </c>
      <c r="D773" s="96">
        <v>49.59</v>
      </c>
      <c r="E773" s="13">
        <v>64372.61</v>
      </c>
      <c r="F773" s="486">
        <v>1.2981</v>
      </c>
      <c r="G773"/>
      <c r="H773" s="13">
        <v>64372.61</v>
      </c>
      <c r="I773" s="13">
        <v>1.2981</v>
      </c>
      <c r="J773">
        <v>13</v>
      </c>
      <c r="K773" s="131">
        <v>45688</v>
      </c>
      <c r="M773">
        <v>570</v>
      </c>
      <c r="N773" t="s">
        <v>6619</v>
      </c>
    </row>
    <row r="774" spans="1:14">
      <c r="A774" t="s">
        <v>1746</v>
      </c>
      <c r="B774" t="s">
        <v>1748</v>
      </c>
      <c r="C774" t="s">
        <v>1744</v>
      </c>
      <c r="D774" s="96">
        <v>49.59</v>
      </c>
      <c r="E774" s="13">
        <v>65889.69</v>
      </c>
      <c r="F774" s="486">
        <v>1.3287</v>
      </c>
      <c r="G774"/>
      <c r="H774" s="13">
        <v>65889.69</v>
      </c>
      <c r="I774" s="13">
        <v>1.3287</v>
      </c>
      <c r="J774">
        <v>13</v>
      </c>
      <c r="K774" s="131">
        <v>45688</v>
      </c>
      <c r="M774">
        <v>570</v>
      </c>
      <c r="N774" t="s">
        <v>6620</v>
      </c>
    </row>
    <row r="775" spans="1:14">
      <c r="A775" t="s">
        <v>1746</v>
      </c>
      <c r="B775" t="s">
        <v>1748</v>
      </c>
      <c r="C775" t="s">
        <v>1744</v>
      </c>
      <c r="D775" s="96">
        <v>49.59</v>
      </c>
      <c r="E775" s="13">
        <v>66136.7</v>
      </c>
      <c r="F775" s="486">
        <v>1.3337000000000001</v>
      </c>
      <c r="G775"/>
      <c r="H775" s="13">
        <v>66136.7</v>
      </c>
      <c r="I775" s="13">
        <v>1.3337000000000001</v>
      </c>
      <c r="J775">
        <v>13</v>
      </c>
      <c r="K775" s="131">
        <v>45688</v>
      </c>
      <c r="M775">
        <v>570</v>
      </c>
      <c r="N775" t="s">
        <v>6621</v>
      </c>
    </row>
    <row r="776" spans="1:14">
      <c r="A776" t="s">
        <v>1746</v>
      </c>
      <c r="B776" t="s">
        <v>1748</v>
      </c>
      <c r="C776" t="s">
        <v>1744</v>
      </c>
      <c r="D776" s="96">
        <v>49.59</v>
      </c>
      <c r="E776" s="13">
        <v>70498.66</v>
      </c>
      <c r="F776" s="486">
        <v>1.4216</v>
      </c>
      <c r="G776"/>
      <c r="H776" s="13">
        <v>70498.66</v>
      </c>
      <c r="I776" s="13">
        <v>1.4216</v>
      </c>
      <c r="J776">
        <v>13</v>
      </c>
      <c r="K776" s="131">
        <v>45688</v>
      </c>
      <c r="M776">
        <v>570</v>
      </c>
      <c r="N776" t="s">
        <v>6622</v>
      </c>
    </row>
    <row r="777" spans="1:14">
      <c r="A777" t="s">
        <v>1746</v>
      </c>
      <c r="B777" t="s">
        <v>1748</v>
      </c>
      <c r="C777" t="s">
        <v>1744</v>
      </c>
      <c r="D777" s="96">
        <v>49.59</v>
      </c>
      <c r="E777" s="13">
        <v>70745.67</v>
      </c>
      <c r="F777" s="486">
        <v>1.4266000000000001</v>
      </c>
      <c r="G777"/>
      <c r="H777" s="13">
        <v>70745.67</v>
      </c>
      <c r="I777" s="13">
        <v>1.4266000000000001</v>
      </c>
      <c r="J777">
        <v>13</v>
      </c>
      <c r="K777" s="131">
        <v>45688</v>
      </c>
      <c r="M777">
        <v>570</v>
      </c>
      <c r="N777" t="s">
        <v>6623</v>
      </c>
    </row>
    <row r="778" spans="1:14">
      <c r="A778" t="s">
        <v>1746</v>
      </c>
      <c r="B778" t="s">
        <v>6571</v>
      </c>
      <c r="C778" t="s">
        <v>1744</v>
      </c>
      <c r="D778" s="96">
        <v>49.59</v>
      </c>
      <c r="E778" s="13">
        <v>92737.93</v>
      </c>
      <c r="F778" s="486">
        <v>1.8701000000000001</v>
      </c>
      <c r="G778"/>
      <c r="H778" s="13">
        <v>92737.93</v>
      </c>
      <c r="I778" s="13">
        <v>1.8701000000000001</v>
      </c>
      <c r="J778">
        <v>13</v>
      </c>
      <c r="K778" s="131">
        <v>45688</v>
      </c>
      <c r="M778">
        <v>570</v>
      </c>
      <c r="N778" t="s">
        <v>6624</v>
      </c>
    </row>
    <row r="779" spans="1:14">
      <c r="A779" t="s">
        <v>1746</v>
      </c>
      <c r="B779" t="s">
        <v>6571</v>
      </c>
      <c r="C779" t="s">
        <v>1744</v>
      </c>
      <c r="D779" s="96">
        <v>49.59</v>
      </c>
      <c r="E779" s="13">
        <v>92984.94</v>
      </c>
      <c r="F779" s="486">
        <v>1.8751</v>
      </c>
      <c r="G779"/>
      <c r="H779" s="13">
        <v>92984.94</v>
      </c>
      <c r="I779" s="13">
        <v>1.8751</v>
      </c>
      <c r="J779">
        <v>13</v>
      </c>
      <c r="K779" s="131">
        <v>45688</v>
      </c>
      <c r="M779">
        <v>570</v>
      </c>
      <c r="N779" t="s">
        <v>6625</v>
      </c>
    </row>
    <row r="780" spans="1:14">
      <c r="A780" t="s">
        <v>1746</v>
      </c>
      <c r="B780" t="s">
        <v>6463</v>
      </c>
      <c r="C780" t="s">
        <v>1744</v>
      </c>
      <c r="D780" s="96">
        <v>49.7</v>
      </c>
      <c r="E780" s="13">
        <v>89644.52</v>
      </c>
      <c r="F780" s="486">
        <v>1.8037000000000001</v>
      </c>
      <c r="G780"/>
      <c r="H780" s="13">
        <v>89644.52</v>
      </c>
      <c r="I780" s="13">
        <v>1.8037000000000001</v>
      </c>
      <c r="J780">
        <v>13</v>
      </c>
      <c r="K780" s="131">
        <v>45688</v>
      </c>
      <c r="M780">
        <v>710</v>
      </c>
      <c r="N780" t="s">
        <v>6626</v>
      </c>
    </row>
    <row r="781" spans="1:14">
      <c r="A781" t="s">
        <v>1746</v>
      </c>
      <c r="B781" t="s">
        <v>1747</v>
      </c>
      <c r="C781" t="s">
        <v>1744</v>
      </c>
      <c r="D781" s="96">
        <v>50.16</v>
      </c>
      <c r="E781" s="13">
        <v>64650.29</v>
      </c>
      <c r="F781" s="486">
        <v>1.2888999999999999</v>
      </c>
      <c r="G781"/>
      <c r="H781" s="13">
        <v>64650.29</v>
      </c>
      <c r="I781" s="13">
        <v>1.2888999999999999</v>
      </c>
      <c r="J781">
        <v>13</v>
      </c>
      <c r="K781" s="131">
        <v>45688</v>
      </c>
      <c r="M781">
        <v>570</v>
      </c>
      <c r="N781" t="s">
        <v>6627</v>
      </c>
    </row>
    <row r="782" spans="1:14">
      <c r="A782" t="s">
        <v>1746</v>
      </c>
      <c r="B782" t="s">
        <v>1747</v>
      </c>
      <c r="C782" t="s">
        <v>1744</v>
      </c>
      <c r="D782" s="96">
        <v>50.16</v>
      </c>
      <c r="E782" s="13">
        <v>64900.14</v>
      </c>
      <c r="F782" s="486">
        <v>1.2939000000000001</v>
      </c>
      <c r="G782"/>
      <c r="H782" s="13">
        <v>64900.14</v>
      </c>
      <c r="I782" s="13">
        <v>1.2939000000000001</v>
      </c>
      <c r="J782">
        <v>13</v>
      </c>
      <c r="K782" s="131">
        <v>45688</v>
      </c>
      <c r="M782">
        <v>570</v>
      </c>
      <c r="N782" t="s">
        <v>6628</v>
      </c>
    </row>
    <row r="783" spans="1:14">
      <c r="A783" t="s">
        <v>1746</v>
      </c>
      <c r="B783" t="s">
        <v>1748</v>
      </c>
      <c r="C783" t="s">
        <v>1744</v>
      </c>
      <c r="D783" s="96">
        <v>50.16</v>
      </c>
      <c r="E783" s="13">
        <v>66414.38</v>
      </c>
      <c r="F783" s="486">
        <v>1.3241000000000001</v>
      </c>
      <c r="G783"/>
      <c r="H783" s="13">
        <v>66414.38</v>
      </c>
      <c r="I783" s="13">
        <v>1.3241000000000001</v>
      </c>
      <c r="J783">
        <v>13</v>
      </c>
      <c r="K783" s="131">
        <v>45688</v>
      </c>
      <c r="M783">
        <v>570</v>
      </c>
      <c r="N783" t="s">
        <v>6629</v>
      </c>
    </row>
    <row r="784" spans="1:14">
      <c r="A784" t="s">
        <v>1746</v>
      </c>
      <c r="B784" t="s">
        <v>1748</v>
      </c>
      <c r="C784" t="s">
        <v>1744</v>
      </c>
      <c r="D784" s="96">
        <v>50.16</v>
      </c>
      <c r="E784" s="13">
        <v>66664.23</v>
      </c>
      <c r="F784" s="486">
        <v>1.329</v>
      </c>
      <c r="G784"/>
      <c r="H784" s="13">
        <v>66664.23</v>
      </c>
      <c r="I784" s="13">
        <v>1.329</v>
      </c>
      <c r="J784">
        <v>13</v>
      </c>
      <c r="K784" s="131">
        <v>45688</v>
      </c>
      <c r="M784">
        <v>570</v>
      </c>
      <c r="N784" t="s">
        <v>6630</v>
      </c>
    </row>
    <row r="785" spans="1:14">
      <c r="A785" t="s">
        <v>1746</v>
      </c>
      <c r="B785" t="s">
        <v>1748</v>
      </c>
      <c r="C785" t="s">
        <v>1744</v>
      </c>
      <c r="D785" s="96">
        <v>50.16</v>
      </c>
      <c r="E785" s="13">
        <v>71023.350000000006</v>
      </c>
      <c r="F785" s="486">
        <v>1.4158999999999999</v>
      </c>
      <c r="G785"/>
      <c r="H785" s="13">
        <v>71023.350000000006</v>
      </c>
      <c r="I785" s="13">
        <v>1.4158999999999999</v>
      </c>
      <c r="J785">
        <v>13</v>
      </c>
      <c r="K785" s="131">
        <v>45688</v>
      </c>
      <c r="M785">
        <v>570</v>
      </c>
      <c r="N785" t="s">
        <v>6631</v>
      </c>
    </row>
    <row r="786" spans="1:14">
      <c r="A786" t="s">
        <v>1746</v>
      </c>
      <c r="B786" t="s">
        <v>1748</v>
      </c>
      <c r="C786" t="s">
        <v>1744</v>
      </c>
      <c r="D786" s="96">
        <v>50.16</v>
      </c>
      <c r="E786" s="13">
        <v>71273.19</v>
      </c>
      <c r="F786" s="486">
        <v>1.4209000000000001</v>
      </c>
      <c r="G786"/>
      <c r="H786" s="13">
        <v>71273.19</v>
      </c>
      <c r="I786" s="13">
        <v>1.4209000000000001</v>
      </c>
      <c r="J786">
        <v>13</v>
      </c>
      <c r="K786" s="131">
        <v>45688</v>
      </c>
      <c r="M786">
        <v>570</v>
      </c>
      <c r="N786" t="s">
        <v>6632</v>
      </c>
    </row>
    <row r="787" spans="1:14">
      <c r="A787" t="s">
        <v>1746</v>
      </c>
      <c r="B787" t="s">
        <v>6571</v>
      </c>
      <c r="C787" t="s">
        <v>1744</v>
      </c>
      <c r="D787" s="96">
        <v>50.16</v>
      </c>
      <c r="E787" s="13">
        <v>93262.61</v>
      </c>
      <c r="F787" s="486">
        <v>1.8593</v>
      </c>
      <c r="G787"/>
      <c r="H787" s="13">
        <v>93262.61</v>
      </c>
      <c r="I787" s="13">
        <v>1.8593</v>
      </c>
      <c r="J787">
        <v>13</v>
      </c>
      <c r="K787" s="131">
        <v>45688</v>
      </c>
      <c r="M787">
        <v>570</v>
      </c>
      <c r="N787" t="s">
        <v>6633</v>
      </c>
    </row>
    <row r="788" spans="1:14">
      <c r="A788" t="s">
        <v>1746</v>
      </c>
      <c r="B788" t="s">
        <v>6571</v>
      </c>
      <c r="C788" t="s">
        <v>1744</v>
      </c>
      <c r="D788" s="96">
        <v>50.16</v>
      </c>
      <c r="E788" s="13">
        <v>93512.46</v>
      </c>
      <c r="F788" s="486">
        <v>1.8643000000000001</v>
      </c>
      <c r="G788"/>
      <c r="H788" s="13">
        <v>93512.46</v>
      </c>
      <c r="I788" s="13">
        <v>1.8643000000000001</v>
      </c>
      <c r="J788">
        <v>13</v>
      </c>
      <c r="K788" s="131">
        <v>45688</v>
      </c>
      <c r="M788">
        <v>570</v>
      </c>
      <c r="N788" t="s">
        <v>6634</v>
      </c>
    </row>
    <row r="789" spans="1:14">
      <c r="A789" t="s">
        <v>1746</v>
      </c>
      <c r="B789" t="s">
        <v>6463</v>
      </c>
      <c r="C789" t="s">
        <v>1744</v>
      </c>
      <c r="D789" s="96">
        <v>50.41</v>
      </c>
      <c r="E789" s="13">
        <v>90372.68</v>
      </c>
      <c r="F789" s="486">
        <v>1.7927999999999999</v>
      </c>
      <c r="G789"/>
      <c r="H789" s="13">
        <v>90372.68</v>
      </c>
      <c r="I789" s="13">
        <v>1.7927999999999999</v>
      </c>
      <c r="J789">
        <v>13</v>
      </c>
      <c r="K789" s="131">
        <v>45688</v>
      </c>
      <c r="M789">
        <v>710</v>
      </c>
      <c r="N789" t="s">
        <v>6635</v>
      </c>
    </row>
    <row r="790" spans="1:14">
      <c r="A790" t="s">
        <v>1746</v>
      </c>
      <c r="B790" t="s">
        <v>1747</v>
      </c>
      <c r="C790" t="s">
        <v>1744</v>
      </c>
      <c r="D790" s="96">
        <v>50.73</v>
      </c>
      <c r="E790" s="13">
        <v>65489.56</v>
      </c>
      <c r="F790" s="486">
        <v>1.2908999999999999</v>
      </c>
      <c r="G790"/>
      <c r="H790" s="13">
        <v>65489.56</v>
      </c>
      <c r="I790" s="13">
        <v>1.2908999999999999</v>
      </c>
      <c r="J790">
        <v>13</v>
      </c>
      <c r="K790" s="131">
        <v>45688</v>
      </c>
      <c r="M790">
        <v>570</v>
      </c>
      <c r="N790" t="s">
        <v>6636</v>
      </c>
    </row>
    <row r="791" spans="1:14">
      <c r="A791" t="s">
        <v>1746</v>
      </c>
      <c r="B791" t="s">
        <v>1747</v>
      </c>
      <c r="C791" t="s">
        <v>1744</v>
      </c>
      <c r="D791" s="96">
        <v>50.73</v>
      </c>
      <c r="E791" s="13">
        <v>65742.240000000005</v>
      </c>
      <c r="F791" s="486">
        <v>1.2959000000000001</v>
      </c>
      <c r="G791"/>
      <c r="H791" s="13">
        <v>65742.240000000005</v>
      </c>
      <c r="I791" s="13">
        <v>1.2959000000000001</v>
      </c>
      <c r="J791">
        <v>13</v>
      </c>
      <c r="K791" s="131">
        <v>45688</v>
      </c>
      <c r="M791">
        <v>570</v>
      </c>
      <c r="N791" t="s">
        <v>6637</v>
      </c>
    </row>
    <row r="792" spans="1:14">
      <c r="A792" t="s">
        <v>1746</v>
      </c>
      <c r="B792" t="s">
        <v>1748</v>
      </c>
      <c r="C792" t="s">
        <v>1744</v>
      </c>
      <c r="D792" s="96">
        <v>50.73</v>
      </c>
      <c r="E792" s="13">
        <v>67253.64</v>
      </c>
      <c r="F792" s="486">
        <v>1.3257000000000001</v>
      </c>
      <c r="G792"/>
      <c r="H792" s="13">
        <v>67253.64</v>
      </c>
      <c r="I792" s="13">
        <v>1.3257000000000001</v>
      </c>
      <c r="J792">
        <v>13</v>
      </c>
      <c r="K792" s="131">
        <v>45688</v>
      </c>
      <c r="M792">
        <v>570</v>
      </c>
      <c r="N792" t="s">
        <v>6638</v>
      </c>
    </row>
    <row r="793" spans="1:14">
      <c r="A793" t="s">
        <v>1746</v>
      </c>
      <c r="B793" t="s">
        <v>1748</v>
      </c>
      <c r="C793" t="s">
        <v>1744</v>
      </c>
      <c r="D793" s="96">
        <v>50.73</v>
      </c>
      <c r="E793" s="13">
        <v>67506.33</v>
      </c>
      <c r="F793" s="486">
        <v>1.3307</v>
      </c>
      <c r="G793"/>
      <c r="H793" s="13">
        <v>67506.33</v>
      </c>
      <c r="I793" s="13">
        <v>1.3307</v>
      </c>
      <c r="J793">
        <v>13</v>
      </c>
      <c r="K793" s="131">
        <v>45688</v>
      </c>
      <c r="M793">
        <v>570</v>
      </c>
      <c r="N793" t="s">
        <v>6639</v>
      </c>
    </row>
    <row r="794" spans="1:14">
      <c r="A794" t="s">
        <v>1746</v>
      </c>
      <c r="B794" t="s">
        <v>1748</v>
      </c>
      <c r="C794" t="s">
        <v>1744</v>
      </c>
      <c r="D794" s="96">
        <v>50.73</v>
      </c>
      <c r="E794" s="13">
        <v>71862.61</v>
      </c>
      <c r="F794" s="486">
        <v>1.4166000000000001</v>
      </c>
      <c r="H794" s="13">
        <v>71862.61</v>
      </c>
      <c r="I794" s="13">
        <v>1.4166000000000001</v>
      </c>
      <c r="J794">
        <v>13</v>
      </c>
      <c r="K794" s="131">
        <v>45688</v>
      </c>
      <c r="M794">
        <v>570</v>
      </c>
      <c r="N794" t="s">
        <v>6640</v>
      </c>
    </row>
    <row r="795" spans="1:14">
      <c r="A795" t="s">
        <v>1746</v>
      </c>
      <c r="B795" t="s">
        <v>1748</v>
      </c>
      <c r="C795" t="s">
        <v>1744</v>
      </c>
      <c r="D795" s="96">
        <v>50.73</v>
      </c>
      <c r="E795" s="13">
        <v>72115.3</v>
      </c>
      <c r="F795" s="486">
        <v>1.4216</v>
      </c>
      <c r="G795"/>
      <c r="H795" s="13">
        <v>72115.3</v>
      </c>
      <c r="I795" s="13">
        <v>1.4216</v>
      </c>
      <c r="J795">
        <v>13</v>
      </c>
      <c r="K795" s="131">
        <v>45688</v>
      </c>
      <c r="M795">
        <v>570</v>
      </c>
      <c r="N795" t="s">
        <v>6641</v>
      </c>
    </row>
    <row r="796" spans="1:14">
      <c r="A796" t="s">
        <v>1746</v>
      </c>
      <c r="B796" t="s">
        <v>6642</v>
      </c>
      <c r="C796" t="s">
        <v>1744</v>
      </c>
      <c r="D796" s="96">
        <v>50.73</v>
      </c>
      <c r="E796" s="13">
        <v>95908.46</v>
      </c>
      <c r="F796" s="486">
        <v>1.8906000000000001</v>
      </c>
      <c r="G796"/>
      <c r="H796" s="13">
        <v>95908.46</v>
      </c>
      <c r="I796" s="13">
        <v>1.8906000000000001</v>
      </c>
      <c r="J796">
        <v>13</v>
      </c>
      <c r="K796" s="131">
        <v>45688</v>
      </c>
      <c r="M796">
        <v>570</v>
      </c>
      <c r="N796" t="s">
        <v>6643</v>
      </c>
    </row>
    <row r="797" spans="1:14">
      <c r="A797" t="s">
        <v>1746</v>
      </c>
      <c r="B797" t="s">
        <v>6642</v>
      </c>
      <c r="C797" t="s">
        <v>1744</v>
      </c>
      <c r="D797" s="96">
        <v>50.73</v>
      </c>
      <c r="E797" s="13">
        <v>96161.15</v>
      </c>
      <c r="F797" s="486">
        <v>1.8955</v>
      </c>
      <c r="G797"/>
      <c r="H797" s="13">
        <v>96161.15</v>
      </c>
      <c r="I797" s="13">
        <v>1.8955</v>
      </c>
      <c r="J797">
        <v>13</v>
      </c>
      <c r="K797" s="131">
        <v>45688</v>
      </c>
      <c r="M797">
        <v>570</v>
      </c>
      <c r="N797" t="s">
        <v>6644</v>
      </c>
    </row>
    <row r="798" spans="1:14">
      <c r="A798" t="s">
        <v>1746</v>
      </c>
      <c r="B798" t="s">
        <v>6463</v>
      </c>
      <c r="C798" t="s">
        <v>1744</v>
      </c>
      <c r="D798" s="96">
        <v>51.12</v>
      </c>
      <c r="E798" s="13">
        <v>91100.84</v>
      </c>
      <c r="F798" s="486">
        <v>1.7821</v>
      </c>
      <c r="G798"/>
      <c r="H798" s="13">
        <v>91100.84</v>
      </c>
      <c r="I798" s="13">
        <v>1.7821</v>
      </c>
      <c r="J798">
        <v>13</v>
      </c>
      <c r="K798" s="131">
        <v>45688</v>
      </c>
      <c r="M798">
        <v>710</v>
      </c>
      <c r="N798" t="s">
        <v>6645</v>
      </c>
    </row>
    <row r="799" spans="1:14">
      <c r="A799" t="s">
        <v>1746</v>
      </c>
      <c r="B799" t="s">
        <v>1747</v>
      </c>
      <c r="C799" t="s">
        <v>1744</v>
      </c>
      <c r="D799" s="96">
        <v>51.3</v>
      </c>
      <c r="E799" s="13">
        <v>66014.240000000005</v>
      </c>
      <c r="F799" s="486">
        <v>1.2867999999999999</v>
      </c>
      <c r="G799"/>
      <c r="H799" s="13">
        <v>66014.240000000005</v>
      </c>
      <c r="I799" s="13">
        <v>1.2867999999999999</v>
      </c>
      <c r="J799">
        <v>13</v>
      </c>
      <c r="K799" s="131">
        <v>45688</v>
      </c>
      <c r="M799">
        <v>570</v>
      </c>
      <c r="N799" t="s">
        <v>6646</v>
      </c>
    </row>
    <row r="800" spans="1:14">
      <c r="A800" t="s">
        <v>1746</v>
      </c>
      <c r="B800" t="s">
        <v>1747</v>
      </c>
      <c r="C800" t="s">
        <v>1744</v>
      </c>
      <c r="D800" s="96">
        <v>51.3</v>
      </c>
      <c r="E800" s="13">
        <v>66269.77</v>
      </c>
      <c r="F800" s="486">
        <v>1.2918000000000001</v>
      </c>
      <c r="G800"/>
      <c r="H800" s="13">
        <v>66269.77</v>
      </c>
      <c r="I800" s="13">
        <v>1.2918000000000001</v>
      </c>
      <c r="J800">
        <v>13</v>
      </c>
      <c r="K800" s="131">
        <v>45688</v>
      </c>
      <c r="M800">
        <v>570</v>
      </c>
      <c r="N800" t="s">
        <v>6647</v>
      </c>
    </row>
    <row r="801" spans="1:14">
      <c r="A801" t="s">
        <v>1746</v>
      </c>
      <c r="B801" t="s">
        <v>1748</v>
      </c>
      <c r="C801" t="s">
        <v>1744</v>
      </c>
      <c r="D801" s="96">
        <v>51.3</v>
      </c>
      <c r="E801" s="13">
        <v>67778.33</v>
      </c>
      <c r="F801" s="486">
        <v>1.3211999999999999</v>
      </c>
      <c r="G801"/>
      <c r="H801" s="13">
        <v>67778.33</v>
      </c>
      <c r="I801" s="13">
        <v>1.3211999999999999</v>
      </c>
      <c r="J801">
        <v>13</v>
      </c>
      <c r="K801" s="131">
        <v>45688</v>
      </c>
      <c r="M801">
        <v>570</v>
      </c>
      <c r="N801" t="s">
        <v>6648</v>
      </c>
    </row>
    <row r="802" spans="1:14">
      <c r="A802" t="s">
        <v>1746</v>
      </c>
      <c r="B802" t="s">
        <v>1748</v>
      </c>
      <c r="C802" t="s">
        <v>1744</v>
      </c>
      <c r="D802" s="96">
        <v>51.3</v>
      </c>
      <c r="E802" s="13">
        <v>68033.86</v>
      </c>
      <c r="F802" s="486">
        <v>1.3262</v>
      </c>
      <c r="G802"/>
      <c r="H802" s="13">
        <v>68033.86</v>
      </c>
      <c r="I802" s="13">
        <v>1.3262</v>
      </c>
      <c r="J802">
        <v>13</v>
      </c>
      <c r="K802" s="131">
        <v>45688</v>
      </c>
      <c r="M802">
        <v>570</v>
      </c>
      <c r="N802" t="s">
        <v>6649</v>
      </c>
    </row>
    <row r="803" spans="1:14">
      <c r="A803" t="s">
        <v>1746</v>
      </c>
      <c r="B803" t="s">
        <v>1748</v>
      </c>
      <c r="C803" t="s">
        <v>1744</v>
      </c>
      <c r="D803" s="96">
        <v>51.3</v>
      </c>
      <c r="E803" s="13">
        <v>72387.3</v>
      </c>
      <c r="F803" s="486">
        <v>1.4111</v>
      </c>
      <c r="G803"/>
      <c r="H803" s="13">
        <v>72387.3</v>
      </c>
      <c r="I803" s="13">
        <v>1.4111</v>
      </c>
      <c r="J803">
        <v>13</v>
      </c>
      <c r="K803" s="131">
        <v>45688</v>
      </c>
      <c r="M803">
        <v>570</v>
      </c>
      <c r="N803" t="s">
        <v>6650</v>
      </c>
    </row>
    <row r="804" spans="1:14">
      <c r="A804" t="s">
        <v>1746</v>
      </c>
      <c r="B804" t="s">
        <v>1748</v>
      </c>
      <c r="C804" t="s">
        <v>1744</v>
      </c>
      <c r="D804" s="96">
        <v>51.3</v>
      </c>
      <c r="E804" s="13">
        <v>72642.820000000007</v>
      </c>
      <c r="F804" s="486">
        <v>1.4159999999999999</v>
      </c>
      <c r="G804"/>
      <c r="H804" s="13">
        <v>72642.820000000007</v>
      </c>
      <c r="I804" s="13">
        <v>1.4159999999999999</v>
      </c>
      <c r="J804">
        <v>13</v>
      </c>
      <c r="K804" s="131">
        <v>45688</v>
      </c>
      <c r="M804">
        <v>570</v>
      </c>
      <c r="N804" t="s">
        <v>6651</v>
      </c>
    </row>
    <row r="805" spans="1:14">
      <c r="A805" t="s">
        <v>1746</v>
      </c>
      <c r="B805" t="s">
        <v>6642</v>
      </c>
      <c r="C805" t="s">
        <v>1744</v>
      </c>
      <c r="D805" s="96">
        <v>51.3</v>
      </c>
      <c r="E805" s="13">
        <v>96433.14</v>
      </c>
      <c r="F805" s="486">
        <v>1.8797999999999999</v>
      </c>
      <c r="G805"/>
      <c r="H805" s="13">
        <v>96433.14</v>
      </c>
      <c r="I805" s="13">
        <v>1.8797999999999999</v>
      </c>
      <c r="J805">
        <v>13</v>
      </c>
      <c r="K805" s="131">
        <v>45688</v>
      </c>
      <c r="M805">
        <v>570</v>
      </c>
      <c r="N805" t="s">
        <v>6652</v>
      </c>
    </row>
    <row r="806" spans="1:14">
      <c r="A806" t="s">
        <v>1746</v>
      </c>
      <c r="B806" t="s">
        <v>6642</v>
      </c>
      <c r="C806" t="s">
        <v>1744</v>
      </c>
      <c r="D806" s="96">
        <v>51.3</v>
      </c>
      <c r="E806" s="13">
        <v>96688.67</v>
      </c>
      <c r="F806" s="486">
        <v>1.8848</v>
      </c>
      <c r="G806"/>
      <c r="H806" s="13">
        <v>96688.67</v>
      </c>
      <c r="I806" s="13">
        <v>1.8848</v>
      </c>
      <c r="J806">
        <v>13</v>
      </c>
      <c r="K806" s="131">
        <v>45688</v>
      </c>
      <c r="M806">
        <v>570</v>
      </c>
      <c r="N806" t="s">
        <v>6653</v>
      </c>
    </row>
    <row r="807" spans="1:14">
      <c r="A807" t="s">
        <v>1746</v>
      </c>
      <c r="B807" t="s">
        <v>6463</v>
      </c>
      <c r="C807" t="s">
        <v>1744</v>
      </c>
      <c r="D807" s="96">
        <v>51.83</v>
      </c>
      <c r="E807" s="13">
        <v>93916.38</v>
      </c>
      <c r="F807" s="486">
        <v>1.8120000000000001</v>
      </c>
      <c r="G807"/>
      <c r="H807" s="13">
        <v>93916.38</v>
      </c>
      <c r="I807" s="13">
        <v>1.8120000000000001</v>
      </c>
      <c r="J807">
        <v>13</v>
      </c>
      <c r="K807" s="131">
        <v>45688</v>
      </c>
      <c r="M807">
        <v>710</v>
      </c>
      <c r="N807" t="s">
        <v>6654</v>
      </c>
    </row>
    <row r="808" spans="1:14">
      <c r="A808" t="s">
        <v>1746</v>
      </c>
      <c r="B808" t="s">
        <v>1747</v>
      </c>
      <c r="C808" t="s">
        <v>1744</v>
      </c>
      <c r="D808" s="96">
        <v>51.87</v>
      </c>
      <c r="E808" s="13">
        <v>66863.539999999994</v>
      </c>
      <c r="F808" s="486">
        <v>1.2890999999999999</v>
      </c>
      <c r="G808"/>
      <c r="H808" s="13">
        <v>66863.539999999994</v>
      </c>
      <c r="I808" s="13">
        <v>1.2890999999999999</v>
      </c>
      <c r="J808">
        <v>13</v>
      </c>
      <c r="K808" s="131">
        <v>45688</v>
      </c>
      <c r="M808">
        <v>570</v>
      </c>
      <c r="N808" t="s">
        <v>6655</v>
      </c>
    </row>
    <row r="809" spans="1:14">
      <c r="A809" t="s">
        <v>1746</v>
      </c>
      <c r="B809" t="s">
        <v>1747</v>
      </c>
      <c r="C809" t="s">
        <v>1744</v>
      </c>
      <c r="D809" s="96">
        <v>51.87</v>
      </c>
      <c r="E809" s="13">
        <v>67121.91</v>
      </c>
      <c r="F809" s="486">
        <v>1.294</v>
      </c>
      <c r="G809"/>
      <c r="H809" s="13">
        <v>67121.91</v>
      </c>
      <c r="I809" s="13">
        <v>1.294</v>
      </c>
      <c r="J809">
        <v>13</v>
      </c>
      <c r="K809" s="131">
        <v>45688</v>
      </c>
      <c r="M809">
        <v>570</v>
      </c>
      <c r="N809" t="s">
        <v>6656</v>
      </c>
    </row>
    <row r="810" spans="1:14">
      <c r="A810" t="s">
        <v>1746</v>
      </c>
      <c r="B810" t="s">
        <v>1748</v>
      </c>
      <c r="C810" t="s">
        <v>1744</v>
      </c>
      <c r="D810" s="96">
        <v>51.87</v>
      </c>
      <c r="E810" s="13">
        <v>68303.009999999995</v>
      </c>
      <c r="F810" s="486">
        <v>1.3168</v>
      </c>
      <c r="G810"/>
      <c r="H810" s="13">
        <v>68303.009999999995</v>
      </c>
      <c r="I810" s="13">
        <v>1.3168</v>
      </c>
      <c r="J810">
        <v>13</v>
      </c>
      <c r="K810" s="131">
        <v>45688</v>
      </c>
      <c r="M810">
        <v>570</v>
      </c>
      <c r="N810" t="s">
        <v>6657</v>
      </c>
    </row>
    <row r="811" spans="1:14">
      <c r="A811" t="s">
        <v>1746</v>
      </c>
      <c r="B811" t="s">
        <v>1748</v>
      </c>
      <c r="C811" t="s">
        <v>1744</v>
      </c>
      <c r="D811" s="96">
        <v>51.87</v>
      </c>
      <c r="E811" s="13">
        <v>68561.38</v>
      </c>
      <c r="F811" s="486">
        <v>1.3218000000000001</v>
      </c>
      <c r="G811"/>
      <c r="H811" s="13">
        <v>68561.38</v>
      </c>
      <c r="I811" s="13">
        <v>1.3218000000000001</v>
      </c>
      <c r="J811">
        <v>13</v>
      </c>
      <c r="K811" s="131">
        <v>45688</v>
      </c>
      <c r="M811">
        <v>570</v>
      </c>
      <c r="N811" t="s">
        <v>6658</v>
      </c>
    </row>
    <row r="812" spans="1:14">
      <c r="A812" t="s">
        <v>1746</v>
      </c>
      <c r="B812" t="s">
        <v>1748</v>
      </c>
      <c r="C812" t="s">
        <v>1744</v>
      </c>
      <c r="D812" s="96">
        <v>51.87</v>
      </c>
      <c r="E812" s="13">
        <v>75939.509999999995</v>
      </c>
      <c r="F812" s="486">
        <v>1.464</v>
      </c>
      <c r="G812"/>
      <c r="H812" s="13">
        <v>75939.509999999995</v>
      </c>
      <c r="I812" s="13">
        <v>1.464</v>
      </c>
      <c r="J812">
        <v>13</v>
      </c>
      <c r="K812" s="131">
        <v>45688</v>
      </c>
      <c r="M812">
        <v>570</v>
      </c>
      <c r="N812" t="s">
        <v>6659</v>
      </c>
    </row>
    <row r="813" spans="1:14">
      <c r="A813" t="s">
        <v>1746</v>
      </c>
      <c r="B813" t="s">
        <v>1748</v>
      </c>
      <c r="C813" t="s">
        <v>1744</v>
      </c>
      <c r="D813" s="96">
        <v>51.87</v>
      </c>
      <c r="E813" s="13">
        <v>76197.88</v>
      </c>
      <c r="F813" s="486">
        <v>1.4690000000000001</v>
      </c>
      <c r="G813"/>
      <c r="H813" s="13">
        <v>76197.88</v>
      </c>
      <c r="I813" s="13">
        <v>1.4690000000000001</v>
      </c>
      <c r="J813">
        <v>13</v>
      </c>
      <c r="K813" s="131">
        <v>45688</v>
      </c>
      <c r="M813">
        <v>570</v>
      </c>
      <c r="N813" t="s">
        <v>6660</v>
      </c>
    </row>
    <row r="814" spans="1:14">
      <c r="A814" t="s">
        <v>1746</v>
      </c>
      <c r="B814" t="s">
        <v>6642</v>
      </c>
      <c r="C814" t="s">
        <v>1744</v>
      </c>
      <c r="D814" s="96">
        <v>51.87</v>
      </c>
      <c r="E814" s="13">
        <v>96957.83</v>
      </c>
      <c r="F814" s="486">
        <v>1.8692</v>
      </c>
      <c r="G814"/>
      <c r="H814" s="13">
        <v>96957.83</v>
      </c>
      <c r="I814" s="13">
        <v>1.8692</v>
      </c>
      <c r="J814">
        <v>13</v>
      </c>
      <c r="K814" s="131">
        <v>45688</v>
      </c>
      <c r="M814">
        <v>570</v>
      </c>
      <c r="N814" t="s">
        <v>6661</v>
      </c>
    </row>
    <row r="815" spans="1:14">
      <c r="A815" t="s">
        <v>1746</v>
      </c>
      <c r="B815" t="s">
        <v>6642</v>
      </c>
      <c r="C815" t="s">
        <v>1744</v>
      </c>
      <c r="D815" s="96">
        <v>51.87</v>
      </c>
      <c r="E815" s="13">
        <v>97216.2</v>
      </c>
      <c r="F815" s="486">
        <v>1.8742000000000001</v>
      </c>
      <c r="G815"/>
      <c r="H815" s="13">
        <v>97216.2</v>
      </c>
      <c r="I815" s="13">
        <v>1.8742000000000001</v>
      </c>
      <c r="J815">
        <v>13</v>
      </c>
      <c r="K815" s="131">
        <v>45688</v>
      </c>
      <c r="M815">
        <v>570</v>
      </c>
      <c r="N815" t="s">
        <v>6662</v>
      </c>
    </row>
    <row r="816" spans="1:14">
      <c r="A816" t="s">
        <v>1746</v>
      </c>
      <c r="B816" t="s">
        <v>1748</v>
      </c>
      <c r="C816" t="s">
        <v>1744</v>
      </c>
      <c r="D816" s="96">
        <v>52.44</v>
      </c>
      <c r="E816" s="13">
        <v>67027.64</v>
      </c>
      <c r="F816" s="486">
        <v>1.2782</v>
      </c>
      <c r="G816"/>
      <c r="H816" s="13">
        <v>67027.64</v>
      </c>
      <c r="I816" s="13">
        <v>1.2782</v>
      </c>
      <c r="J816">
        <v>13</v>
      </c>
      <c r="K816" s="131">
        <v>45688</v>
      </c>
      <c r="M816">
        <v>570</v>
      </c>
      <c r="N816" t="s">
        <v>6663</v>
      </c>
    </row>
    <row r="817" spans="1:14">
      <c r="A817" t="s">
        <v>1746</v>
      </c>
      <c r="B817" t="s">
        <v>1748</v>
      </c>
      <c r="C817" t="s">
        <v>1744</v>
      </c>
      <c r="D817" s="96">
        <v>52.44</v>
      </c>
      <c r="E817" s="13">
        <v>67288.850000000006</v>
      </c>
      <c r="F817" s="486">
        <v>1.2831999999999999</v>
      </c>
      <c r="G817"/>
      <c r="H817" s="13">
        <v>67288.850000000006</v>
      </c>
      <c r="I817" s="13">
        <v>1.2831999999999999</v>
      </c>
      <c r="J817">
        <v>13</v>
      </c>
      <c r="K817" s="131">
        <v>45688</v>
      </c>
      <c r="M817">
        <v>570</v>
      </c>
      <c r="N817" t="s">
        <v>6664</v>
      </c>
    </row>
    <row r="818" spans="1:14">
      <c r="A818" t="s">
        <v>1746</v>
      </c>
      <c r="B818" t="s">
        <v>1747</v>
      </c>
      <c r="C818" t="s">
        <v>1744</v>
      </c>
      <c r="D818" s="96">
        <v>52.44</v>
      </c>
      <c r="E818" s="13">
        <v>67388.22</v>
      </c>
      <c r="F818" s="486">
        <v>1.2850999999999999</v>
      </c>
      <c r="G818"/>
      <c r="H818" s="13">
        <v>67388.22</v>
      </c>
      <c r="I818" s="13">
        <v>1.2850999999999999</v>
      </c>
      <c r="J818">
        <v>13</v>
      </c>
      <c r="K818" s="131">
        <v>45688</v>
      </c>
      <c r="M818">
        <v>570</v>
      </c>
      <c r="N818" t="s">
        <v>6665</v>
      </c>
    </row>
    <row r="819" spans="1:14">
      <c r="A819" t="s">
        <v>1746</v>
      </c>
      <c r="B819" t="s">
        <v>1747</v>
      </c>
      <c r="C819" t="s">
        <v>1744</v>
      </c>
      <c r="D819" s="96">
        <v>52.44</v>
      </c>
      <c r="E819" s="13">
        <v>67649.429999999993</v>
      </c>
      <c r="F819" s="486">
        <v>1.29</v>
      </c>
      <c r="G819"/>
      <c r="H819" s="13">
        <v>67649.429999999993</v>
      </c>
      <c r="I819" s="13">
        <v>1.29</v>
      </c>
      <c r="J819">
        <v>13</v>
      </c>
      <c r="K819" s="131">
        <v>45688</v>
      </c>
      <c r="M819">
        <v>570</v>
      </c>
      <c r="N819" t="s">
        <v>6666</v>
      </c>
    </row>
    <row r="820" spans="1:14">
      <c r="A820" t="s">
        <v>1746</v>
      </c>
      <c r="B820" t="s">
        <v>1748</v>
      </c>
      <c r="C820" t="s">
        <v>1744</v>
      </c>
      <c r="D820" s="96">
        <v>52.44</v>
      </c>
      <c r="E820" s="13">
        <v>76464.2</v>
      </c>
      <c r="F820" s="486">
        <v>1.4581</v>
      </c>
      <c r="H820" s="13">
        <v>76464.2</v>
      </c>
      <c r="I820" s="13">
        <v>1.4581</v>
      </c>
      <c r="J820">
        <v>13</v>
      </c>
      <c r="K820" s="131">
        <v>45688</v>
      </c>
      <c r="M820">
        <v>570</v>
      </c>
      <c r="N820" t="s">
        <v>6667</v>
      </c>
    </row>
    <row r="821" spans="1:14">
      <c r="A821" t="s">
        <v>1746</v>
      </c>
      <c r="B821" t="s">
        <v>1748</v>
      </c>
      <c r="C821" t="s">
        <v>1744</v>
      </c>
      <c r="D821" s="96">
        <v>52.44</v>
      </c>
      <c r="E821" s="13">
        <v>76725.41</v>
      </c>
      <c r="F821" s="486">
        <v>1.4631000000000001</v>
      </c>
      <c r="G821"/>
      <c r="H821" s="13">
        <v>76725.41</v>
      </c>
      <c r="I821" s="13">
        <v>1.4631000000000001</v>
      </c>
      <c r="J821">
        <v>13</v>
      </c>
      <c r="K821" s="131">
        <v>45688</v>
      </c>
      <c r="M821">
        <v>570</v>
      </c>
      <c r="N821" t="s">
        <v>6668</v>
      </c>
    </row>
    <row r="822" spans="1:14">
      <c r="A822" t="s">
        <v>1746</v>
      </c>
      <c r="B822" t="s">
        <v>6642</v>
      </c>
      <c r="C822" t="s">
        <v>1744</v>
      </c>
      <c r="D822" s="96">
        <v>52.44</v>
      </c>
      <c r="E822" s="13">
        <v>97482.51</v>
      </c>
      <c r="F822" s="486">
        <v>1.8589</v>
      </c>
      <c r="G822"/>
      <c r="H822" s="13">
        <v>97482.51</v>
      </c>
      <c r="I822" s="13">
        <v>1.8589</v>
      </c>
      <c r="J822">
        <v>13</v>
      </c>
      <c r="K822" s="131">
        <v>45688</v>
      </c>
      <c r="M822">
        <v>570</v>
      </c>
      <c r="N822" t="s">
        <v>6669</v>
      </c>
    </row>
    <row r="823" spans="1:14">
      <c r="A823" t="s">
        <v>1746</v>
      </c>
      <c r="B823" t="s">
        <v>6642</v>
      </c>
      <c r="C823" t="s">
        <v>1744</v>
      </c>
      <c r="D823" s="96">
        <v>52.44</v>
      </c>
      <c r="E823" s="13">
        <v>97743.72</v>
      </c>
      <c r="F823" s="486">
        <v>1.8638999999999999</v>
      </c>
      <c r="G823"/>
      <c r="H823" s="13">
        <v>97743.72</v>
      </c>
      <c r="I823" s="13">
        <v>1.8638999999999999</v>
      </c>
      <c r="J823">
        <v>13</v>
      </c>
      <c r="K823" s="131">
        <v>45688</v>
      </c>
      <c r="M823">
        <v>570</v>
      </c>
      <c r="N823" t="s">
        <v>6670</v>
      </c>
    </row>
    <row r="824" spans="1:14">
      <c r="A824" t="s">
        <v>1746</v>
      </c>
      <c r="B824" t="s">
        <v>6463</v>
      </c>
      <c r="C824" t="s">
        <v>1744</v>
      </c>
      <c r="D824" s="96">
        <v>52.54</v>
      </c>
      <c r="E824" s="13">
        <v>94644.54</v>
      </c>
      <c r="F824" s="486">
        <v>1.8013999999999999</v>
      </c>
      <c r="G824"/>
      <c r="H824" s="13">
        <v>94644.54</v>
      </c>
      <c r="I824" s="13">
        <v>1.8013999999999999</v>
      </c>
      <c r="J824">
        <v>13</v>
      </c>
      <c r="K824" s="131">
        <v>45688</v>
      </c>
      <c r="M824">
        <v>710</v>
      </c>
      <c r="N824" t="s">
        <v>6671</v>
      </c>
    </row>
    <row r="825" spans="1:14">
      <c r="A825" t="s">
        <v>1746</v>
      </c>
      <c r="B825" t="s">
        <v>1748</v>
      </c>
      <c r="C825" t="s">
        <v>1744</v>
      </c>
      <c r="D825" s="96">
        <v>53.01</v>
      </c>
      <c r="E825" s="13">
        <v>67866.91</v>
      </c>
      <c r="F825" s="486">
        <v>1.2803</v>
      </c>
      <c r="G825"/>
      <c r="H825" s="13">
        <v>67866.91</v>
      </c>
      <c r="I825" s="13">
        <v>1.2803</v>
      </c>
      <c r="J825">
        <v>13</v>
      </c>
      <c r="K825" s="131">
        <v>45688</v>
      </c>
      <c r="M825">
        <v>570</v>
      </c>
      <c r="N825" t="s">
        <v>6672</v>
      </c>
    </row>
    <row r="826" spans="1:14">
      <c r="A826" t="s">
        <v>1746</v>
      </c>
      <c r="B826" t="s">
        <v>1748</v>
      </c>
      <c r="C826" t="s">
        <v>1744</v>
      </c>
      <c r="D826" s="96">
        <v>53.01</v>
      </c>
      <c r="E826" s="13">
        <v>68130.960000000006</v>
      </c>
      <c r="F826" s="486">
        <v>1.2851999999999999</v>
      </c>
      <c r="G826"/>
      <c r="H826" s="13">
        <v>68130.960000000006</v>
      </c>
      <c r="I826" s="13">
        <v>1.2851999999999999</v>
      </c>
      <c r="J826">
        <v>13</v>
      </c>
      <c r="K826" s="131">
        <v>45688</v>
      </c>
      <c r="M826">
        <v>570</v>
      </c>
      <c r="N826" t="s">
        <v>6673</v>
      </c>
    </row>
    <row r="827" spans="1:14">
      <c r="A827" t="s">
        <v>1746</v>
      </c>
      <c r="B827" t="s">
        <v>1747</v>
      </c>
      <c r="C827" t="s">
        <v>1744</v>
      </c>
      <c r="D827" s="96">
        <v>53.01</v>
      </c>
      <c r="E827" s="13">
        <v>68227.490000000005</v>
      </c>
      <c r="F827" s="486">
        <v>1.2870999999999999</v>
      </c>
      <c r="G827"/>
      <c r="H827" s="13">
        <v>68227.490000000005</v>
      </c>
      <c r="I827" s="13">
        <v>1.2870999999999999</v>
      </c>
      <c r="J827">
        <v>13</v>
      </c>
      <c r="K827" s="131">
        <v>45688</v>
      </c>
      <c r="M827">
        <v>570</v>
      </c>
      <c r="N827" t="s">
        <v>6674</v>
      </c>
    </row>
    <row r="828" spans="1:14">
      <c r="A828" t="s">
        <v>1746</v>
      </c>
      <c r="B828" t="s">
        <v>1747</v>
      </c>
      <c r="C828" t="s">
        <v>1744</v>
      </c>
      <c r="D828" s="96">
        <v>53.01</v>
      </c>
      <c r="E828" s="13">
        <v>68491.539999999994</v>
      </c>
      <c r="F828" s="486">
        <v>1.292</v>
      </c>
      <c r="G828"/>
      <c r="H828" s="13">
        <v>68491.539999999994</v>
      </c>
      <c r="I828" s="13">
        <v>1.292</v>
      </c>
      <c r="J828">
        <v>13</v>
      </c>
      <c r="K828" s="131">
        <v>45688</v>
      </c>
      <c r="M828">
        <v>570</v>
      </c>
      <c r="N828" t="s">
        <v>6675</v>
      </c>
    </row>
    <row r="829" spans="1:14">
      <c r="A829" t="s">
        <v>1746</v>
      </c>
      <c r="B829" t="s">
        <v>1748</v>
      </c>
      <c r="C829" t="s">
        <v>1744</v>
      </c>
      <c r="D829" s="96">
        <v>53.01</v>
      </c>
      <c r="E829" s="13">
        <v>77303.47</v>
      </c>
      <c r="F829" s="486">
        <v>1.4582999999999999</v>
      </c>
      <c r="G829"/>
      <c r="H829" s="13">
        <v>77303.47</v>
      </c>
      <c r="I829" s="13">
        <v>1.4582999999999999</v>
      </c>
      <c r="J829">
        <v>13</v>
      </c>
      <c r="K829" s="131">
        <v>45688</v>
      </c>
      <c r="M829">
        <v>570</v>
      </c>
      <c r="N829" t="s">
        <v>6676</v>
      </c>
    </row>
    <row r="830" spans="1:14">
      <c r="A830" t="s">
        <v>1746</v>
      </c>
      <c r="B830" t="s">
        <v>1748</v>
      </c>
      <c r="C830" t="s">
        <v>1744</v>
      </c>
      <c r="D830" s="96">
        <v>53.01</v>
      </c>
      <c r="E830" s="13">
        <v>77567.509999999995</v>
      </c>
      <c r="F830" s="486">
        <v>1.4633</v>
      </c>
      <c r="G830"/>
      <c r="H830" s="13">
        <v>77567.509999999995</v>
      </c>
      <c r="I830" s="13">
        <v>1.4633</v>
      </c>
      <c r="J830">
        <v>13</v>
      </c>
      <c r="K830" s="131">
        <v>45688</v>
      </c>
      <c r="M830">
        <v>570</v>
      </c>
      <c r="N830" t="s">
        <v>6677</v>
      </c>
    </row>
    <row r="831" spans="1:14">
      <c r="A831" t="s">
        <v>1746</v>
      </c>
      <c r="B831" t="s">
        <v>6678</v>
      </c>
      <c r="C831" t="s">
        <v>1744</v>
      </c>
      <c r="D831" s="96">
        <v>53.01</v>
      </c>
      <c r="E831" s="13">
        <v>100128.36</v>
      </c>
      <c r="F831" s="486">
        <v>1.8889</v>
      </c>
      <c r="G831"/>
      <c r="H831" s="13">
        <v>100128.36</v>
      </c>
      <c r="I831" s="13">
        <v>1.8889</v>
      </c>
      <c r="J831">
        <v>13</v>
      </c>
      <c r="K831" s="131">
        <v>45688</v>
      </c>
      <c r="M831">
        <v>570</v>
      </c>
      <c r="N831" t="s">
        <v>6679</v>
      </c>
    </row>
    <row r="832" spans="1:14">
      <c r="A832" t="s">
        <v>1746</v>
      </c>
      <c r="B832" t="s">
        <v>6678</v>
      </c>
      <c r="C832" t="s">
        <v>1744</v>
      </c>
      <c r="D832" s="96">
        <v>53.01</v>
      </c>
      <c r="E832" s="13">
        <v>100392.41</v>
      </c>
      <c r="F832" s="486">
        <v>1.8937999999999999</v>
      </c>
      <c r="G832"/>
      <c r="H832" s="13">
        <v>100392.41</v>
      </c>
      <c r="I832" s="13">
        <v>1.8937999999999999</v>
      </c>
      <c r="J832">
        <v>13</v>
      </c>
      <c r="K832" s="131">
        <v>45688</v>
      </c>
      <c r="M832">
        <v>570</v>
      </c>
      <c r="N832" t="s">
        <v>6680</v>
      </c>
    </row>
    <row r="833" spans="1:14">
      <c r="A833" t="s">
        <v>1746</v>
      </c>
      <c r="B833" t="s">
        <v>6463</v>
      </c>
      <c r="C833" t="s">
        <v>1744</v>
      </c>
      <c r="D833" s="96">
        <v>53.25</v>
      </c>
      <c r="E833" s="13">
        <v>95372.7</v>
      </c>
      <c r="F833" s="486">
        <v>1.7909999999999999</v>
      </c>
      <c r="G833"/>
      <c r="H833" s="13">
        <v>95372.7</v>
      </c>
      <c r="I833" s="13">
        <v>1.7909999999999999</v>
      </c>
      <c r="J833">
        <v>13</v>
      </c>
      <c r="K833" s="131">
        <v>45688</v>
      </c>
      <c r="M833">
        <v>710</v>
      </c>
      <c r="N833" t="s">
        <v>6681</v>
      </c>
    </row>
    <row r="834" spans="1:14">
      <c r="A834" t="s">
        <v>1746</v>
      </c>
      <c r="B834" t="s">
        <v>1748</v>
      </c>
      <c r="C834" t="s">
        <v>1744</v>
      </c>
      <c r="D834" s="96">
        <v>53.58</v>
      </c>
      <c r="E834" s="13">
        <v>68391.600000000006</v>
      </c>
      <c r="F834" s="486">
        <v>1.2764</v>
      </c>
      <c r="G834"/>
      <c r="H834" s="13">
        <v>68391.600000000006</v>
      </c>
      <c r="I834" s="13">
        <v>1.2764</v>
      </c>
      <c r="J834">
        <v>13</v>
      </c>
      <c r="K834" s="131">
        <v>45688</v>
      </c>
      <c r="M834">
        <v>570</v>
      </c>
      <c r="N834" t="s">
        <v>6682</v>
      </c>
    </row>
    <row r="835" spans="1:14">
      <c r="A835" t="s">
        <v>1746</v>
      </c>
      <c r="B835" t="s">
        <v>1748</v>
      </c>
      <c r="C835" t="s">
        <v>1744</v>
      </c>
      <c r="D835" s="96">
        <v>53.58</v>
      </c>
      <c r="E835" s="13">
        <v>68658.48</v>
      </c>
      <c r="F835" s="486">
        <v>1.2814000000000001</v>
      </c>
      <c r="G835"/>
      <c r="H835" s="13">
        <v>68658.48</v>
      </c>
      <c r="I835" s="13">
        <v>1.2814000000000001</v>
      </c>
      <c r="J835">
        <v>13</v>
      </c>
      <c r="K835" s="131">
        <v>45688</v>
      </c>
      <c r="M835">
        <v>570</v>
      </c>
      <c r="N835" t="s">
        <v>6683</v>
      </c>
    </row>
    <row r="836" spans="1:14">
      <c r="A836" t="s">
        <v>1746</v>
      </c>
      <c r="B836" t="s">
        <v>1747</v>
      </c>
      <c r="C836" t="s">
        <v>1744</v>
      </c>
      <c r="D836" s="96">
        <v>53.58</v>
      </c>
      <c r="E836" s="13">
        <v>68752.17</v>
      </c>
      <c r="F836" s="486">
        <v>1.2831999999999999</v>
      </c>
      <c r="G836"/>
      <c r="H836" s="13">
        <v>68752.17</v>
      </c>
      <c r="I836" s="13">
        <v>1.2831999999999999</v>
      </c>
      <c r="J836">
        <v>13</v>
      </c>
      <c r="K836" s="131">
        <v>45688</v>
      </c>
      <c r="M836">
        <v>570</v>
      </c>
      <c r="N836" t="s">
        <v>6684</v>
      </c>
    </row>
    <row r="837" spans="1:14">
      <c r="A837" t="s">
        <v>1746</v>
      </c>
      <c r="B837" t="s">
        <v>1747</v>
      </c>
      <c r="C837" t="s">
        <v>1744</v>
      </c>
      <c r="D837" s="96">
        <v>53.58</v>
      </c>
      <c r="E837" s="13">
        <v>69019.06</v>
      </c>
      <c r="F837" s="486">
        <v>1.2881</v>
      </c>
      <c r="G837"/>
      <c r="H837" s="13">
        <v>69019.06</v>
      </c>
      <c r="I837" s="13">
        <v>1.2881</v>
      </c>
      <c r="J837">
        <v>13</v>
      </c>
      <c r="K837" s="131">
        <v>45688</v>
      </c>
      <c r="M837">
        <v>570</v>
      </c>
      <c r="N837" t="s">
        <v>6685</v>
      </c>
    </row>
    <row r="838" spans="1:14">
      <c r="A838" t="s">
        <v>1746</v>
      </c>
      <c r="B838" t="s">
        <v>1748</v>
      </c>
      <c r="C838" t="s">
        <v>1744</v>
      </c>
      <c r="D838" s="96">
        <v>53.58</v>
      </c>
      <c r="E838" s="13">
        <v>77828.149999999994</v>
      </c>
      <c r="F838" s="486">
        <v>1.4525999999999999</v>
      </c>
      <c r="G838"/>
      <c r="H838" s="13">
        <v>77828.149999999994</v>
      </c>
      <c r="I838" s="13">
        <v>1.4525999999999999</v>
      </c>
      <c r="J838">
        <v>13</v>
      </c>
      <c r="K838" s="131">
        <v>45688</v>
      </c>
      <c r="M838">
        <v>570</v>
      </c>
      <c r="N838" t="s">
        <v>6686</v>
      </c>
    </row>
    <row r="839" spans="1:14">
      <c r="A839" t="s">
        <v>1746</v>
      </c>
      <c r="B839" t="s">
        <v>1748</v>
      </c>
      <c r="C839" t="s">
        <v>1744</v>
      </c>
      <c r="D839" s="96">
        <v>53.58</v>
      </c>
      <c r="E839" s="13">
        <v>78095.039999999994</v>
      </c>
      <c r="F839" s="486">
        <v>1.4575</v>
      </c>
      <c r="G839"/>
      <c r="H839" s="13">
        <v>78095.039999999994</v>
      </c>
      <c r="I839" s="13">
        <v>1.4575</v>
      </c>
      <c r="J839">
        <v>13</v>
      </c>
      <c r="K839" s="131">
        <v>45688</v>
      </c>
      <c r="M839">
        <v>570</v>
      </c>
      <c r="N839" t="s">
        <v>6687</v>
      </c>
    </row>
    <row r="840" spans="1:14">
      <c r="A840" t="s">
        <v>1746</v>
      </c>
      <c r="B840" t="s">
        <v>6678</v>
      </c>
      <c r="C840" t="s">
        <v>1744</v>
      </c>
      <c r="D840" s="96">
        <v>53.58</v>
      </c>
      <c r="E840" s="13">
        <v>100653.05</v>
      </c>
      <c r="F840" s="486">
        <v>1.8786</v>
      </c>
      <c r="G840"/>
      <c r="H840" s="13">
        <v>100653.05</v>
      </c>
      <c r="I840" s="13">
        <v>1.8786</v>
      </c>
      <c r="J840">
        <v>13</v>
      </c>
      <c r="K840" s="131">
        <v>45688</v>
      </c>
      <c r="M840">
        <v>570</v>
      </c>
      <c r="N840" t="s">
        <v>6688</v>
      </c>
    </row>
    <row r="841" spans="1:14">
      <c r="A841" t="s">
        <v>1746</v>
      </c>
      <c r="B841" t="s">
        <v>6678</v>
      </c>
      <c r="C841" t="s">
        <v>1744</v>
      </c>
      <c r="D841" s="96">
        <v>53.58</v>
      </c>
      <c r="E841" s="13">
        <v>100919.93</v>
      </c>
      <c r="F841" s="486">
        <v>1.8835</v>
      </c>
      <c r="G841"/>
      <c r="H841" s="13">
        <v>100919.93</v>
      </c>
      <c r="I841" s="13">
        <v>1.8835</v>
      </c>
      <c r="J841">
        <v>13</v>
      </c>
      <c r="K841" s="131">
        <v>45688</v>
      </c>
      <c r="M841">
        <v>570</v>
      </c>
      <c r="N841" t="s">
        <v>6689</v>
      </c>
    </row>
    <row r="842" spans="1:14">
      <c r="A842" t="s">
        <v>1746</v>
      </c>
      <c r="B842" t="s">
        <v>6463</v>
      </c>
      <c r="C842" t="s">
        <v>1744</v>
      </c>
      <c r="D842" s="96">
        <v>53.96</v>
      </c>
      <c r="E842" s="13">
        <v>96100.86</v>
      </c>
      <c r="F842" s="486">
        <v>1.7809999999999999</v>
      </c>
      <c r="G842"/>
      <c r="H842" s="13">
        <v>96100.86</v>
      </c>
      <c r="I842" s="13">
        <v>1.7809999999999999</v>
      </c>
      <c r="J842">
        <v>13</v>
      </c>
      <c r="K842" s="131">
        <v>45688</v>
      </c>
      <c r="M842">
        <v>710</v>
      </c>
      <c r="N842" t="s">
        <v>6690</v>
      </c>
    </row>
    <row r="843" spans="1:14">
      <c r="A843" t="s">
        <v>1746</v>
      </c>
      <c r="B843" t="s">
        <v>1748</v>
      </c>
      <c r="C843" t="s">
        <v>1744</v>
      </c>
      <c r="D843" s="96">
        <v>54.15</v>
      </c>
      <c r="E843" s="13">
        <v>68916.28</v>
      </c>
      <c r="F843" s="486">
        <v>1.2726999999999999</v>
      </c>
      <c r="G843"/>
      <c r="H843" s="13">
        <v>68916.28</v>
      </c>
      <c r="I843" s="13">
        <v>1.2726999999999999</v>
      </c>
      <c r="J843">
        <v>13</v>
      </c>
      <c r="K843" s="131">
        <v>45688</v>
      </c>
      <c r="M843">
        <v>570</v>
      </c>
      <c r="N843" t="s">
        <v>6691</v>
      </c>
    </row>
    <row r="844" spans="1:14">
      <c r="A844" t="s">
        <v>1746</v>
      </c>
      <c r="B844" t="s">
        <v>1748</v>
      </c>
      <c r="C844" t="s">
        <v>1744</v>
      </c>
      <c r="D844" s="96">
        <v>54.15</v>
      </c>
      <c r="E844" s="13">
        <v>69186</v>
      </c>
      <c r="F844" s="486">
        <v>1.2777000000000001</v>
      </c>
      <c r="G844"/>
      <c r="H844" s="13">
        <v>69186</v>
      </c>
      <c r="I844" s="13">
        <v>1.2777000000000001</v>
      </c>
      <c r="J844">
        <v>13</v>
      </c>
      <c r="K844" s="131">
        <v>45688</v>
      </c>
      <c r="M844">
        <v>570</v>
      </c>
      <c r="N844" t="s">
        <v>6692</v>
      </c>
    </row>
    <row r="845" spans="1:14">
      <c r="A845" t="s">
        <v>1746</v>
      </c>
      <c r="B845" t="s">
        <v>1747</v>
      </c>
      <c r="C845" t="s">
        <v>1744</v>
      </c>
      <c r="D845" s="96">
        <v>54.15</v>
      </c>
      <c r="E845" s="13">
        <v>69276.86</v>
      </c>
      <c r="F845" s="486">
        <v>1.2794000000000001</v>
      </c>
      <c r="G845"/>
      <c r="H845" s="13">
        <v>69276.86</v>
      </c>
      <c r="I845" s="13">
        <v>1.2794000000000001</v>
      </c>
      <c r="J845">
        <v>13</v>
      </c>
      <c r="K845" s="131">
        <v>45688</v>
      </c>
      <c r="M845">
        <v>570</v>
      </c>
      <c r="N845" t="s">
        <v>6693</v>
      </c>
    </row>
    <row r="846" spans="1:14">
      <c r="A846" t="s">
        <v>1746</v>
      </c>
      <c r="B846" t="s">
        <v>1747</v>
      </c>
      <c r="C846" t="s">
        <v>1744</v>
      </c>
      <c r="D846" s="96">
        <v>54.15</v>
      </c>
      <c r="E846" s="13">
        <v>69546.58</v>
      </c>
      <c r="F846" s="486">
        <v>1.2843</v>
      </c>
      <c r="G846"/>
      <c r="H846" s="13">
        <v>69546.58</v>
      </c>
      <c r="I846" s="13">
        <v>1.2843</v>
      </c>
      <c r="J846">
        <v>13</v>
      </c>
      <c r="K846" s="131">
        <v>45688</v>
      </c>
      <c r="M846">
        <v>570</v>
      </c>
      <c r="N846" t="s">
        <v>6694</v>
      </c>
    </row>
    <row r="847" spans="1:14">
      <c r="A847" t="s">
        <v>1746</v>
      </c>
      <c r="B847" t="s">
        <v>1748</v>
      </c>
      <c r="C847" t="s">
        <v>1744</v>
      </c>
      <c r="D847" s="96">
        <v>54.15</v>
      </c>
      <c r="E847" s="13">
        <v>78352.83</v>
      </c>
      <c r="F847" s="486">
        <v>1.4470000000000001</v>
      </c>
      <c r="G847"/>
      <c r="H847" s="13">
        <v>78352.83</v>
      </c>
      <c r="I847" s="13">
        <v>1.4470000000000001</v>
      </c>
      <c r="J847">
        <v>13</v>
      </c>
      <c r="K847" s="131">
        <v>45688</v>
      </c>
      <c r="M847">
        <v>570</v>
      </c>
      <c r="N847" t="s">
        <v>6695</v>
      </c>
    </row>
    <row r="848" spans="1:14">
      <c r="A848" t="s">
        <v>1746</v>
      </c>
      <c r="B848" t="s">
        <v>1748</v>
      </c>
      <c r="C848" t="s">
        <v>1744</v>
      </c>
      <c r="D848" s="96">
        <v>54.15</v>
      </c>
      <c r="E848" s="13">
        <v>78622.559999999998</v>
      </c>
      <c r="F848" s="486">
        <v>1.4519</v>
      </c>
      <c r="G848"/>
      <c r="H848" s="13">
        <v>78622.559999999998</v>
      </c>
      <c r="I848" s="13">
        <v>1.4519</v>
      </c>
      <c r="J848">
        <v>13</v>
      </c>
      <c r="K848" s="131">
        <v>45688</v>
      </c>
      <c r="M848">
        <v>570</v>
      </c>
      <c r="N848" t="s">
        <v>6696</v>
      </c>
    </row>
    <row r="849" spans="1:14">
      <c r="A849" t="s">
        <v>1746</v>
      </c>
      <c r="B849" t="s">
        <v>6678</v>
      </c>
      <c r="C849" t="s">
        <v>1744</v>
      </c>
      <c r="D849" s="96">
        <v>54.15</v>
      </c>
      <c r="E849" s="13">
        <v>101177.73</v>
      </c>
      <c r="F849" s="486">
        <v>1.8685</v>
      </c>
      <c r="G849"/>
      <c r="H849" s="13">
        <v>101177.73</v>
      </c>
      <c r="I849" s="13">
        <v>1.8685</v>
      </c>
      <c r="J849">
        <v>13</v>
      </c>
      <c r="K849" s="131">
        <v>45688</v>
      </c>
      <c r="M849">
        <v>570</v>
      </c>
      <c r="N849" t="s">
        <v>6697</v>
      </c>
    </row>
    <row r="850" spans="1:14">
      <c r="A850" t="s">
        <v>1746</v>
      </c>
      <c r="B850" t="s">
        <v>6678</v>
      </c>
      <c r="C850" t="s">
        <v>1744</v>
      </c>
      <c r="D850" s="96">
        <v>54.15</v>
      </c>
      <c r="E850" s="13">
        <v>101447.46</v>
      </c>
      <c r="F850" s="486">
        <v>1.8734999999999999</v>
      </c>
      <c r="G850"/>
      <c r="H850" s="13">
        <v>101447.46</v>
      </c>
      <c r="I850" s="13">
        <v>1.8734999999999999</v>
      </c>
      <c r="J850">
        <v>13</v>
      </c>
      <c r="K850" s="131">
        <v>45688</v>
      </c>
      <c r="M850">
        <v>570</v>
      </c>
      <c r="N850" t="s">
        <v>6698</v>
      </c>
    </row>
    <row r="851" spans="1:14">
      <c r="A851" t="s">
        <v>1746</v>
      </c>
      <c r="B851" t="s">
        <v>6534</v>
      </c>
      <c r="C851" t="s">
        <v>1744</v>
      </c>
      <c r="D851" s="96">
        <v>54.67</v>
      </c>
      <c r="E851" s="13">
        <v>98950.19</v>
      </c>
      <c r="F851" s="486">
        <v>1.81</v>
      </c>
      <c r="G851"/>
      <c r="H851" s="13">
        <v>98950.19</v>
      </c>
      <c r="I851" s="13">
        <v>1.81</v>
      </c>
      <c r="J851">
        <v>13</v>
      </c>
      <c r="K851" s="131">
        <v>45688</v>
      </c>
      <c r="M851">
        <v>710</v>
      </c>
      <c r="N851" t="s">
        <v>6699</v>
      </c>
    </row>
    <row r="852" spans="1:14">
      <c r="A852" t="s">
        <v>1746</v>
      </c>
      <c r="B852" t="s">
        <v>1748</v>
      </c>
      <c r="C852" t="s">
        <v>1744</v>
      </c>
      <c r="D852" s="96">
        <v>54.72</v>
      </c>
      <c r="E852" s="13">
        <v>69440.960000000006</v>
      </c>
      <c r="F852" s="486">
        <v>1.2689999999999999</v>
      </c>
      <c r="G852"/>
      <c r="H852" s="13">
        <v>69440.960000000006</v>
      </c>
      <c r="I852" s="13">
        <v>1.2689999999999999</v>
      </c>
      <c r="J852">
        <v>13</v>
      </c>
      <c r="K852" s="131">
        <v>45688</v>
      </c>
      <c r="M852">
        <v>570</v>
      </c>
      <c r="N852" t="s">
        <v>6700</v>
      </c>
    </row>
    <row r="853" spans="1:14">
      <c r="A853" t="s">
        <v>1746</v>
      </c>
      <c r="B853" t="s">
        <v>1748</v>
      </c>
      <c r="C853" t="s">
        <v>1744</v>
      </c>
      <c r="D853" s="96">
        <v>54.72</v>
      </c>
      <c r="E853" s="13">
        <v>69713.53</v>
      </c>
      <c r="F853" s="486">
        <v>1.274</v>
      </c>
      <c r="G853"/>
      <c r="H853" s="13">
        <v>69713.53</v>
      </c>
      <c r="I853" s="13">
        <v>1.274</v>
      </c>
      <c r="J853">
        <v>13</v>
      </c>
      <c r="K853" s="131">
        <v>45688</v>
      </c>
      <c r="M853">
        <v>570</v>
      </c>
      <c r="N853" t="s">
        <v>6701</v>
      </c>
    </row>
    <row r="854" spans="1:14">
      <c r="A854" t="s">
        <v>1746</v>
      </c>
      <c r="B854" t="s">
        <v>1747</v>
      </c>
      <c r="C854" t="s">
        <v>1744</v>
      </c>
      <c r="D854" s="96">
        <v>54.72</v>
      </c>
      <c r="E854" s="13">
        <v>69801.539999999994</v>
      </c>
      <c r="F854" s="486">
        <v>1.2756000000000001</v>
      </c>
      <c r="G854"/>
      <c r="H854" s="13">
        <v>69801.539999999994</v>
      </c>
      <c r="I854" s="13">
        <v>1.2756000000000001</v>
      </c>
      <c r="J854">
        <v>13</v>
      </c>
      <c r="K854" s="131">
        <v>45688</v>
      </c>
      <c r="M854">
        <v>570</v>
      </c>
      <c r="N854" t="s">
        <v>6702</v>
      </c>
    </row>
    <row r="855" spans="1:14">
      <c r="A855" t="s">
        <v>1746</v>
      </c>
      <c r="B855" t="s">
        <v>1747</v>
      </c>
      <c r="C855" t="s">
        <v>1744</v>
      </c>
      <c r="D855" s="96">
        <v>54.72</v>
      </c>
      <c r="E855" s="13">
        <v>70074.11</v>
      </c>
      <c r="F855" s="486">
        <v>1.2806</v>
      </c>
      <c r="G855"/>
      <c r="H855" s="13">
        <v>70074.11</v>
      </c>
      <c r="I855" s="13">
        <v>1.2806</v>
      </c>
      <c r="J855">
        <v>13</v>
      </c>
      <c r="K855" s="131">
        <v>45688</v>
      </c>
      <c r="M855">
        <v>570</v>
      </c>
      <c r="N855" t="s">
        <v>6703</v>
      </c>
    </row>
    <row r="856" spans="1:14">
      <c r="A856" t="s">
        <v>1746</v>
      </c>
      <c r="B856" t="s">
        <v>1748</v>
      </c>
      <c r="C856" t="s">
        <v>1744</v>
      </c>
      <c r="D856" s="96">
        <v>54.72</v>
      </c>
      <c r="E856" s="13">
        <v>78877.52</v>
      </c>
      <c r="F856" s="486">
        <v>1.4415</v>
      </c>
      <c r="G856"/>
      <c r="H856" s="13">
        <v>78877.52</v>
      </c>
      <c r="I856" s="13">
        <v>1.4415</v>
      </c>
      <c r="J856">
        <v>13</v>
      </c>
      <c r="K856" s="131">
        <v>45688</v>
      </c>
      <c r="M856">
        <v>570</v>
      </c>
      <c r="N856" t="s">
        <v>6704</v>
      </c>
    </row>
    <row r="857" spans="1:14">
      <c r="A857" t="s">
        <v>1746</v>
      </c>
      <c r="B857" t="s">
        <v>1748</v>
      </c>
      <c r="C857" t="s">
        <v>1744</v>
      </c>
      <c r="D857" s="96">
        <v>54.72</v>
      </c>
      <c r="E857" s="13">
        <v>79150.080000000002</v>
      </c>
      <c r="F857" s="486">
        <v>1.4464999999999999</v>
      </c>
      <c r="G857"/>
      <c r="H857" s="13">
        <v>79150.080000000002</v>
      </c>
      <c r="I857" s="13">
        <v>1.4464999999999999</v>
      </c>
      <c r="J857">
        <v>13</v>
      </c>
      <c r="K857" s="131">
        <v>45688</v>
      </c>
      <c r="M857">
        <v>570</v>
      </c>
      <c r="N857" t="s">
        <v>6705</v>
      </c>
    </row>
    <row r="858" spans="1:14">
      <c r="A858" t="s">
        <v>1746</v>
      </c>
      <c r="B858" t="s">
        <v>6678</v>
      </c>
      <c r="C858" t="s">
        <v>1744</v>
      </c>
      <c r="D858" s="96">
        <v>54.72</v>
      </c>
      <c r="E858" s="13">
        <v>101702.42</v>
      </c>
      <c r="F858" s="486">
        <v>1.8586</v>
      </c>
      <c r="G858"/>
      <c r="H858" s="13">
        <v>101702.42</v>
      </c>
      <c r="I858" s="13">
        <v>1.8586</v>
      </c>
      <c r="J858">
        <v>13</v>
      </c>
      <c r="K858" s="131">
        <v>45688</v>
      </c>
      <c r="M858">
        <v>570</v>
      </c>
      <c r="N858" t="s">
        <v>6706</v>
      </c>
    </row>
    <row r="859" spans="1:14">
      <c r="A859" t="s">
        <v>1746</v>
      </c>
      <c r="B859" t="s">
        <v>6678</v>
      </c>
      <c r="C859" t="s">
        <v>1744</v>
      </c>
      <c r="D859" s="96">
        <v>54.72</v>
      </c>
      <c r="E859" s="13">
        <v>101974.98</v>
      </c>
      <c r="F859" s="486">
        <v>1.8635999999999999</v>
      </c>
      <c r="G859"/>
      <c r="H859" s="13">
        <v>101974.98</v>
      </c>
      <c r="I859" s="13">
        <v>1.8635999999999999</v>
      </c>
      <c r="J859">
        <v>13</v>
      </c>
      <c r="K859" s="131">
        <v>45688</v>
      </c>
      <c r="M859">
        <v>570</v>
      </c>
      <c r="N859" t="s">
        <v>6707</v>
      </c>
    </row>
    <row r="860" spans="1:14">
      <c r="A860" t="s">
        <v>1746</v>
      </c>
      <c r="B860" t="s">
        <v>1748</v>
      </c>
      <c r="C860" t="s">
        <v>1744</v>
      </c>
      <c r="D860" s="96">
        <v>55.29</v>
      </c>
      <c r="E860" s="13">
        <v>70280.23</v>
      </c>
      <c r="F860" s="486">
        <v>1.2710999999999999</v>
      </c>
      <c r="G860"/>
      <c r="H860" s="13">
        <v>70280.23</v>
      </c>
      <c r="I860" s="13">
        <v>1.2710999999999999</v>
      </c>
      <c r="J860">
        <v>13</v>
      </c>
      <c r="K860" s="131">
        <v>45688</v>
      </c>
      <c r="M860">
        <v>570</v>
      </c>
      <c r="N860" t="s">
        <v>6708</v>
      </c>
    </row>
    <row r="861" spans="1:14">
      <c r="A861" t="s">
        <v>1746</v>
      </c>
      <c r="B861" t="s">
        <v>1748</v>
      </c>
      <c r="C861" t="s">
        <v>1744</v>
      </c>
      <c r="D861" s="96">
        <v>55.29</v>
      </c>
      <c r="E861" s="13">
        <v>70555.63</v>
      </c>
      <c r="F861" s="486">
        <v>1.2761</v>
      </c>
      <c r="G861"/>
      <c r="H861" s="13">
        <v>70555.63</v>
      </c>
      <c r="I861" s="13">
        <v>1.2761</v>
      </c>
      <c r="J861">
        <v>13</v>
      </c>
      <c r="K861" s="131">
        <v>45688</v>
      </c>
      <c r="M861">
        <v>570</v>
      </c>
      <c r="N861" t="s">
        <v>6709</v>
      </c>
    </row>
    <row r="862" spans="1:14">
      <c r="A862" t="s">
        <v>1746</v>
      </c>
      <c r="B862" t="s">
        <v>1747</v>
      </c>
      <c r="C862" t="s">
        <v>1744</v>
      </c>
      <c r="D862" s="96">
        <v>55.29</v>
      </c>
      <c r="E862" s="13">
        <v>70640.81</v>
      </c>
      <c r="F862" s="486">
        <v>1.2776000000000001</v>
      </c>
      <c r="G862"/>
      <c r="H862" s="13">
        <v>70640.81</v>
      </c>
      <c r="I862" s="13">
        <v>1.2776000000000001</v>
      </c>
      <c r="J862">
        <v>13</v>
      </c>
      <c r="K862" s="131">
        <v>45688</v>
      </c>
      <c r="M862">
        <v>570</v>
      </c>
      <c r="N862" t="s">
        <v>6710</v>
      </c>
    </row>
    <row r="863" spans="1:14">
      <c r="A863" t="s">
        <v>1746</v>
      </c>
      <c r="B863" t="s">
        <v>1747</v>
      </c>
      <c r="C863" t="s">
        <v>1744</v>
      </c>
      <c r="D863" s="96">
        <v>55.29</v>
      </c>
      <c r="E863" s="13">
        <v>70916.210000000006</v>
      </c>
      <c r="F863" s="486">
        <v>1.2826</v>
      </c>
      <c r="G863"/>
      <c r="H863" s="13">
        <v>70916.210000000006</v>
      </c>
      <c r="I863" s="13">
        <v>1.2826</v>
      </c>
      <c r="J863">
        <v>13</v>
      </c>
      <c r="K863" s="131">
        <v>45688</v>
      </c>
      <c r="M863">
        <v>570</v>
      </c>
      <c r="N863" t="s">
        <v>6711</v>
      </c>
    </row>
    <row r="864" spans="1:14">
      <c r="A864" t="s">
        <v>1746</v>
      </c>
      <c r="B864" t="s">
        <v>1748</v>
      </c>
      <c r="C864" t="s">
        <v>1744</v>
      </c>
      <c r="D864" s="96">
        <v>55.29</v>
      </c>
      <c r="E864" s="13">
        <v>79716.789999999994</v>
      </c>
      <c r="F864" s="486">
        <v>1.4418</v>
      </c>
      <c r="G864"/>
      <c r="H864" s="13">
        <v>79716.789999999994</v>
      </c>
      <c r="I864" s="13">
        <v>1.4418</v>
      </c>
      <c r="J864">
        <v>13</v>
      </c>
      <c r="K864" s="131">
        <v>45688</v>
      </c>
      <c r="M864">
        <v>570</v>
      </c>
      <c r="N864" t="s">
        <v>6712</v>
      </c>
    </row>
    <row r="865" spans="1:14">
      <c r="A865" t="s">
        <v>1746</v>
      </c>
      <c r="B865" t="s">
        <v>1748</v>
      </c>
      <c r="C865" t="s">
        <v>1744</v>
      </c>
      <c r="D865" s="96">
        <v>55.29</v>
      </c>
      <c r="E865" s="13">
        <v>79992.19</v>
      </c>
      <c r="F865" s="486">
        <v>1.4468000000000001</v>
      </c>
      <c r="G865"/>
      <c r="H865" s="13">
        <v>79992.19</v>
      </c>
      <c r="I865" s="13">
        <v>1.4468000000000001</v>
      </c>
      <c r="J865">
        <v>13</v>
      </c>
      <c r="K865" s="131">
        <v>45688</v>
      </c>
      <c r="M865">
        <v>570</v>
      </c>
      <c r="N865" t="s">
        <v>6713</v>
      </c>
    </row>
    <row r="866" spans="1:14">
      <c r="A866" t="s">
        <v>1746</v>
      </c>
      <c r="B866" t="s">
        <v>6678</v>
      </c>
      <c r="C866" t="s">
        <v>1744</v>
      </c>
      <c r="D866" s="96">
        <v>55.29</v>
      </c>
      <c r="E866" s="13">
        <v>104314.48</v>
      </c>
      <c r="F866" s="486">
        <v>1.8867</v>
      </c>
      <c r="G866"/>
      <c r="H866" s="13">
        <v>104314.48</v>
      </c>
      <c r="I866" s="13">
        <v>1.8867</v>
      </c>
      <c r="J866">
        <v>13</v>
      </c>
      <c r="K866" s="131">
        <v>45688</v>
      </c>
      <c r="M866">
        <v>570</v>
      </c>
      <c r="N866" t="s">
        <v>6714</v>
      </c>
    </row>
    <row r="867" spans="1:14">
      <c r="A867" t="s">
        <v>1746</v>
      </c>
      <c r="B867" t="s">
        <v>6678</v>
      </c>
      <c r="C867" t="s">
        <v>1744</v>
      </c>
      <c r="D867" s="96">
        <v>55.29</v>
      </c>
      <c r="E867" s="13">
        <v>104589.88</v>
      </c>
      <c r="F867" s="486">
        <v>1.8916999999999999</v>
      </c>
      <c r="G867"/>
      <c r="H867" s="13">
        <v>104589.88</v>
      </c>
      <c r="I867" s="13">
        <v>1.8916999999999999</v>
      </c>
      <c r="J867">
        <v>13</v>
      </c>
      <c r="K867" s="131">
        <v>45688</v>
      </c>
      <c r="M867">
        <v>570</v>
      </c>
      <c r="N867" t="s">
        <v>6715</v>
      </c>
    </row>
    <row r="868" spans="1:14">
      <c r="A868" t="s">
        <v>1746</v>
      </c>
      <c r="B868" t="s">
        <v>6534</v>
      </c>
      <c r="C868" t="s">
        <v>1744</v>
      </c>
      <c r="D868" s="96">
        <v>55.38</v>
      </c>
      <c r="E868" s="13">
        <v>99678.35</v>
      </c>
      <c r="F868" s="486">
        <v>1.7999000000000001</v>
      </c>
      <c r="G868"/>
      <c r="H868" s="13">
        <v>99678.35</v>
      </c>
      <c r="I868" s="13">
        <v>1.7999000000000001</v>
      </c>
      <c r="J868">
        <v>13</v>
      </c>
      <c r="K868" s="131">
        <v>45688</v>
      </c>
      <c r="M868">
        <v>710</v>
      </c>
      <c r="N868" t="s">
        <v>6716</v>
      </c>
    </row>
    <row r="869" spans="1:14">
      <c r="A869" t="s">
        <v>1746</v>
      </c>
      <c r="B869" t="s">
        <v>1747</v>
      </c>
      <c r="C869" t="s">
        <v>1744</v>
      </c>
      <c r="D869" s="96">
        <v>55.86</v>
      </c>
      <c r="E869" s="13">
        <v>71165.490000000005</v>
      </c>
      <c r="F869" s="486">
        <v>1.274</v>
      </c>
      <c r="G869"/>
      <c r="H869" s="13">
        <v>71165.490000000005</v>
      </c>
      <c r="I869" s="13">
        <v>1.274</v>
      </c>
      <c r="J869">
        <v>13</v>
      </c>
      <c r="K869" s="131">
        <v>45688</v>
      </c>
      <c r="M869">
        <v>570</v>
      </c>
      <c r="N869" t="s">
        <v>6717</v>
      </c>
    </row>
    <row r="870" spans="1:14">
      <c r="A870" t="s">
        <v>1746</v>
      </c>
      <c r="B870" t="s">
        <v>1747</v>
      </c>
      <c r="C870" t="s">
        <v>1744</v>
      </c>
      <c r="D870" s="96">
        <v>55.86</v>
      </c>
      <c r="E870" s="13">
        <v>71443.740000000005</v>
      </c>
      <c r="F870" s="486">
        <v>1.2789999999999999</v>
      </c>
      <c r="G870"/>
      <c r="H870" s="13">
        <v>71443.740000000005</v>
      </c>
      <c r="I870" s="13">
        <v>1.2789999999999999</v>
      </c>
      <c r="J870">
        <v>13</v>
      </c>
      <c r="K870" s="131">
        <v>45688</v>
      </c>
      <c r="M870">
        <v>570</v>
      </c>
      <c r="N870" t="s">
        <v>6718</v>
      </c>
    </row>
    <row r="871" spans="1:14">
      <c r="A871" t="s">
        <v>1746</v>
      </c>
      <c r="B871" t="s">
        <v>1748</v>
      </c>
      <c r="C871" t="s">
        <v>1744</v>
      </c>
      <c r="D871" s="96">
        <v>55.86</v>
      </c>
      <c r="E871" s="13">
        <v>72500.11</v>
      </c>
      <c r="F871" s="486">
        <v>1.2979000000000001</v>
      </c>
      <c r="G871"/>
      <c r="H871" s="13">
        <v>72500.11</v>
      </c>
      <c r="I871" s="13">
        <v>1.2979000000000001</v>
      </c>
      <c r="J871">
        <v>13</v>
      </c>
      <c r="K871" s="131">
        <v>45688</v>
      </c>
      <c r="M871">
        <v>570</v>
      </c>
      <c r="N871" t="s">
        <v>6719</v>
      </c>
    </row>
    <row r="872" spans="1:14">
      <c r="A872" t="s">
        <v>1746</v>
      </c>
      <c r="B872" t="s">
        <v>1748</v>
      </c>
      <c r="C872" t="s">
        <v>1744</v>
      </c>
      <c r="D872" s="96">
        <v>55.86</v>
      </c>
      <c r="E872" s="13">
        <v>72778.350000000006</v>
      </c>
      <c r="F872" s="486">
        <v>1.3028999999999999</v>
      </c>
      <c r="G872"/>
      <c r="H872" s="13">
        <v>72778.350000000006</v>
      </c>
      <c r="I872" s="13">
        <v>1.3028999999999999</v>
      </c>
      <c r="J872">
        <v>13</v>
      </c>
      <c r="K872" s="131">
        <v>45688</v>
      </c>
      <c r="M872">
        <v>570</v>
      </c>
      <c r="N872" t="s">
        <v>6720</v>
      </c>
    </row>
    <row r="873" spans="1:14">
      <c r="A873" t="s">
        <v>1746</v>
      </c>
      <c r="B873" t="s">
        <v>1748</v>
      </c>
      <c r="C873" t="s">
        <v>1744</v>
      </c>
      <c r="D873" s="96">
        <v>55.86</v>
      </c>
      <c r="E873" s="13">
        <v>80241.47</v>
      </c>
      <c r="F873" s="486">
        <v>1.4365000000000001</v>
      </c>
      <c r="G873"/>
      <c r="H873" s="13">
        <v>80241.47</v>
      </c>
      <c r="I873" s="13">
        <v>1.4365000000000001</v>
      </c>
      <c r="J873">
        <v>13</v>
      </c>
      <c r="K873" s="131">
        <v>45688</v>
      </c>
      <c r="M873">
        <v>570</v>
      </c>
      <c r="N873" t="s">
        <v>6721</v>
      </c>
    </row>
    <row r="874" spans="1:14">
      <c r="A874" t="s">
        <v>1746</v>
      </c>
      <c r="B874" t="s">
        <v>1748</v>
      </c>
      <c r="C874" t="s">
        <v>1744</v>
      </c>
      <c r="D874" s="96">
        <v>55.86</v>
      </c>
      <c r="E874" s="13">
        <v>80519.710000000006</v>
      </c>
      <c r="F874" s="486">
        <v>1.4415</v>
      </c>
      <c r="G874"/>
      <c r="H874" s="13">
        <v>80519.710000000006</v>
      </c>
      <c r="I874" s="13">
        <v>1.4415</v>
      </c>
      <c r="J874">
        <v>13</v>
      </c>
      <c r="K874" s="131">
        <v>45688</v>
      </c>
      <c r="M874">
        <v>570</v>
      </c>
      <c r="N874" t="s">
        <v>6722</v>
      </c>
    </row>
    <row r="875" spans="1:14">
      <c r="A875" t="s">
        <v>1746</v>
      </c>
      <c r="B875" t="s">
        <v>6678</v>
      </c>
      <c r="C875" t="s">
        <v>1744</v>
      </c>
      <c r="D875" s="96">
        <v>55.86</v>
      </c>
      <c r="E875" s="13">
        <v>104839.16</v>
      </c>
      <c r="F875" s="486">
        <v>1.8768</v>
      </c>
      <c r="G875"/>
      <c r="H875" s="13">
        <v>104839.16</v>
      </c>
      <c r="I875" s="13">
        <v>1.8768</v>
      </c>
      <c r="J875">
        <v>13</v>
      </c>
      <c r="K875" s="131">
        <v>45688</v>
      </c>
      <c r="M875">
        <v>570</v>
      </c>
      <c r="N875" t="s">
        <v>6723</v>
      </c>
    </row>
    <row r="876" spans="1:14">
      <c r="A876" t="s">
        <v>1746</v>
      </c>
      <c r="B876" t="s">
        <v>6678</v>
      </c>
      <c r="C876" t="s">
        <v>1744</v>
      </c>
      <c r="D876" s="96">
        <v>55.86</v>
      </c>
      <c r="E876" s="13">
        <v>105117.41</v>
      </c>
      <c r="F876" s="486">
        <v>1.8817999999999999</v>
      </c>
      <c r="G876"/>
      <c r="H876" s="13">
        <v>105117.41</v>
      </c>
      <c r="I876" s="13">
        <v>1.8817999999999999</v>
      </c>
      <c r="J876">
        <v>13</v>
      </c>
      <c r="K876" s="131">
        <v>45688</v>
      </c>
      <c r="M876">
        <v>570</v>
      </c>
      <c r="N876" t="s">
        <v>6724</v>
      </c>
    </row>
    <row r="877" spans="1:14">
      <c r="A877" t="s">
        <v>1746</v>
      </c>
      <c r="B877" t="s">
        <v>6534</v>
      </c>
      <c r="C877" t="s">
        <v>1744</v>
      </c>
      <c r="D877" s="96">
        <v>56.09</v>
      </c>
      <c r="E877" s="13">
        <v>100406.51</v>
      </c>
      <c r="F877" s="486">
        <v>1.7901</v>
      </c>
      <c r="G877"/>
      <c r="H877" s="13">
        <v>100406.51</v>
      </c>
      <c r="I877" s="13">
        <v>1.7901</v>
      </c>
      <c r="J877">
        <v>13</v>
      </c>
      <c r="K877" s="131">
        <v>45688</v>
      </c>
      <c r="M877">
        <v>710</v>
      </c>
      <c r="N877" t="s">
        <v>6725</v>
      </c>
    </row>
    <row r="878" spans="1:14">
      <c r="A878" t="s">
        <v>1746</v>
      </c>
      <c r="B878" t="s">
        <v>1747</v>
      </c>
      <c r="C878" t="s">
        <v>1744</v>
      </c>
      <c r="D878" s="96">
        <v>56.43</v>
      </c>
      <c r="E878" s="13">
        <v>71690.179999999993</v>
      </c>
      <c r="F878" s="486">
        <v>1.2704</v>
      </c>
      <c r="G878"/>
      <c r="H878" s="13">
        <v>71690.179999999993</v>
      </c>
      <c r="I878" s="13">
        <v>1.2704</v>
      </c>
      <c r="J878">
        <v>13</v>
      </c>
      <c r="K878" s="131">
        <v>45688</v>
      </c>
      <c r="M878">
        <v>570</v>
      </c>
      <c r="N878" t="s">
        <v>6726</v>
      </c>
    </row>
    <row r="879" spans="1:14">
      <c r="A879" t="s">
        <v>1746</v>
      </c>
      <c r="B879" t="s">
        <v>1747</v>
      </c>
      <c r="C879" t="s">
        <v>1744</v>
      </c>
      <c r="D879" s="96">
        <v>56.43</v>
      </c>
      <c r="E879" s="13">
        <v>71971.259999999995</v>
      </c>
      <c r="F879" s="486">
        <v>1.2754000000000001</v>
      </c>
      <c r="G879"/>
      <c r="H879" s="13">
        <v>71971.259999999995</v>
      </c>
      <c r="I879" s="13">
        <v>1.2754000000000001</v>
      </c>
      <c r="J879">
        <v>13</v>
      </c>
      <c r="K879" s="131">
        <v>45688</v>
      </c>
      <c r="M879">
        <v>570</v>
      </c>
      <c r="N879" t="s">
        <v>6727</v>
      </c>
    </row>
    <row r="880" spans="1:14">
      <c r="A880" t="s">
        <v>1746</v>
      </c>
      <c r="B880" t="s">
        <v>1748</v>
      </c>
      <c r="C880" t="s">
        <v>1744</v>
      </c>
      <c r="D880" s="96">
        <v>56.43</v>
      </c>
      <c r="E880" s="13">
        <v>73024.789999999994</v>
      </c>
      <c r="F880" s="486">
        <v>1.2941</v>
      </c>
      <c r="G880"/>
      <c r="H880" s="13">
        <v>73024.789999999994</v>
      </c>
      <c r="I880" s="13">
        <v>1.2941</v>
      </c>
      <c r="J880">
        <v>13</v>
      </c>
      <c r="K880" s="131">
        <v>45688</v>
      </c>
      <c r="M880">
        <v>570</v>
      </c>
      <c r="N880" t="s">
        <v>6728</v>
      </c>
    </row>
    <row r="881" spans="1:14">
      <c r="A881" t="s">
        <v>1746</v>
      </c>
      <c r="B881" t="s">
        <v>1748</v>
      </c>
      <c r="C881" t="s">
        <v>1744</v>
      </c>
      <c r="D881" s="96">
        <v>56.43</v>
      </c>
      <c r="E881" s="13">
        <v>73305.87</v>
      </c>
      <c r="F881" s="486">
        <v>1.2990999999999999</v>
      </c>
      <c r="G881"/>
      <c r="H881" s="13">
        <v>73305.87</v>
      </c>
      <c r="I881" s="13">
        <v>1.2990999999999999</v>
      </c>
      <c r="J881">
        <v>13</v>
      </c>
      <c r="K881" s="131">
        <v>45688</v>
      </c>
      <c r="M881">
        <v>570</v>
      </c>
      <c r="N881" t="s">
        <v>6729</v>
      </c>
    </row>
    <row r="882" spans="1:14">
      <c r="A882" t="s">
        <v>1746</v>
      </c>
      <c r="B882" t="s">
        <v>1748</v>
      </c>
      <c r="C882" t="s">
        <v>1744</v>
      </c>
      <c r="D882" s="96">
        <v>56.43</v>
      </c>
      <c r="E882" s="13">
        <v>80766.149999999994</v>
      </c>
      <c r="F882" s="486">
        <v>1.4313</v>
      </c>
      <c r="G882"/>
      <c r="H882" s="13">
        <v>80766.149999999994</v>
      </c>
      <c r="I882" s="13">
        <v>1.4313</v>
      </c>
      <c r="J882">
        <v>13</v>
      </c>
      <c r="K882" s="131">
        <v>45688</v>
      </c>
      <c r="M882">
        <v>570</v>
      </c>
      <c r="N882" t="s">
        <v>6730</v>
      </c>
    </row>
    <row r="883" spans="1:14">
      <c r="A883" t="s">
        <v>1746</v>
      </c>
      <c r="B883" t="s">
        <v>1748</v>
      </c>
      <c r="C883" t="s">
        <v>1744</v>
      </c>
      <c r="D883" s="96">
        <v>56.43</v>
      </c>
      <c r="E883" s="13">
        <v>81047.240000000005</v>
      </c>
      <c r="F883" s="486">
        <v>1.4361999999999999</v>
      </c>
      <c r="G883"/>
      <c r="H883" s="13">
        <v>81047.240000000005</v>
      </c>
      <c r="I883" s="13">
        <v>1.4361999999999999</v>
      </c>
      <c r="J883">
        <v>13</v>
      </c>
      <c r="K883" s="131">
        <v>45688</v>
      </c>
      <c r="M883">
        <v>570</v>
      </c>
      <c r="N883" t="s">
        <v>6731</v>
      </c>
    </row>
    <row r="884" spans="1:14">
      <c r="A884" t="s">
        <v>1746</v>
      </c>
      <c r="B884" t="s">
        <v>6678</v>
      </c>
      <c r="C884" t="s">
        <v>1744</v>
      </c>
      <c r="D884" s="96">
        <v>56.43</v>
      </c>
      <c r="E884" s="13">
        <v>105363.85</v>
      </c>
      <c r="F884" s="486">
        <v>1.8672</v>
      </c>
      <c r="G884"/>
      <c r="H884" s="13">
        <v>105363.85</v>
      </c>
      <c r="I884" s="13">
        <v>1.8672</v>
      </c>
      <c r="J884">
        <v>13</v>
      </c>
      <c r="K884" s="131">
        <v>45688</v>
      </c>
      <c r="M884">
        <v>570</v>
      </c>
      <c r="N884" t="s">
        <v>6732</v>
      </c>
    </row>
    <row r="885" spans="1:14">
      <c r="A885" t="s">
        <v>1746</v>
      </c>
      <c r="B885" t="s">
        <v>6678</v>
      </c>
      <c r="C885" t="s">
        <v>1744</v>
      </c>
      <c r="D885" s="96">
        <v>56.43</v>
      </c>
      <c r="E885" s="13">
        <v>105644.93</v>
      </c>
      <c r="F885" s="486">
        <v>1.8721000000000001</v>
      </c>
      <c r="G885"/>
      <c r="H885" s="13">
        <v>105644.93</v>
      </c>
      <c r="I885" s="13">
        <v>1.8721000000000001</v>
      </c>
      <c r="J885">
        <v>13</v>
      </c>
      <c r="K885" s="131">
        <v>45688</v>
      </c>
      <c r="M885">
        <v>570</v>
      </c>
      <c r="N885" t="s">
        <v>6733</v>
      </c>
    </row>
    <row r="886" spans="1:14">
      <c r="A886" t="s">
        <v>1746</v>
      </c>
      <c r="B886" t="s">
        <v>6534</v>
      </c>
      <c r="C886" t="s">
        <v>1744</v>
      </c>
      <c r="D886" s="96">
        <v>56.8</v>
      </c>
      <c r="E886" s="13">
        <v>101134.67</v>
      </c>
      <c r="F886" s="486">
        <v>1.7805</v>
      </c>
      <c r="G886"/>
      <c r="H886" s="13">
        <v>101134.67</v>
      </c>
      <c r="I886" s="13">
        <v>1.7805</v>
      </c>
      <c r="J886">
        <v>13</v>
      </c>
      <c r="K886" s="131">
        <v>45688</v>
      </c>
      <c r="M886">
        <v>710</v>
      </c>
      <c r="N886" t="s">
        <v>6734</v>
      </c>
    </row>
    <row r="887" spans="1:14">
      <c r="A887" t="s">
        <v>1746</v>
      </c>
      <c r="B887" t="s">
        <v>1747</v>
      </c>
      <c r="C887" t="s">
        <v>1744</v>
      </c>
      <c r="D887" s="96">
        <v>57</v>
      </c>
      <c r="E887" s="13">
        <v>72214.86</v>
      </c>
      <c r="F887" s="486">
        <v>1.2668999999999999</v>
      </c>
      <c r="G887"/>
      <c r="H887" s="13">
        <v>72214.86</v>
      </c>
      <c r="I887" s="13">
        <v>1.2668999999999999</v>
      </c>
      <c r="J887">
        <v>13</v>
      </c>
      <c r="K887" s="131">
        <v>45688</v>
      </c>
      <c r="M887">
        <v>570</v>
      </c>
      <c r="N887" t="s">
        <v>6735</v>
      </c>
    </row>
    <row r="888" spans="1:14">
      <c r="A888" t="s">
        <v>1746</v>
      </c>
      <c r="B888" t="s">
        <v>1747</v>
      </c>
      <c r="C888" t="s">
        <v>1744</v>
      </c>
      <c r="D888" s="96">
        <v>57</v>
      </c>
      <c r="E888" s="13">
        <v>72498.78</v>
      </c>
      <c r="F888" s="486">
        <v>1.2719</v>
      </c>
      <c r="G888"/>
      <c r="H888" s="13">
        <v>72498.78</v>
      </c>
      <c r="I888" s="13">
        <v>1.2719</v>
      </c>
      <c r="J888">
        <v>13</v>
      </c>
      <c r="K888" s="131">
        <v>45688</v>
      </c>
      <c r="M888">
        <v>570</v>
      </c>
      <c r="N888" t="s">
        <v>6736</v>
      </c>
    </row>
    <row r="889" spans="1:14">
      <c r="A889" t="s">
        <v>1746</v>
      </c>
      <c r="B889" t="s">
        <v>1748</v>
      </c>
      <c r="C889" t="s">
        <v>1744</v>
      </c>
      <c r="D889" s="96">
        <v>57</v>
      </c>
      <c r="E889" s="13">
        <v>73549.48</v>
      </c>
      <c r="F889" s="486">
        <v>1.2903</v>
      </c>
      <c r="G889"/>
      <c r="H889" s="13">
        <v>73549.48</v>
      </c>
      <c r="I889" s="13">
        <v>1.2903</v>
      </c>
      <c r="J889">
        <v>13</v>
      </c>
      <c r="K889" s="131">
        <v>45688</v>
      </c>
      <c r="M889">
        <v>570</v>
      </c>
      <c r="N889" t="s">
        <v>6737</v>
      </c>
    </row>
    <row r="890" spans="1:14">
      <c r="A890" t="s">
        <v>1746</v>
      </c>
      <c r="B890" t="s">
        <v>1748</v>
      </c>
      <c r="C890" t="s">
        <v>1744</v>
      </c>
      <c r="D890" s="96">
        <v>57</v>
      </c>
      <c r="E890" s="13">
        <v>73833.399999999994</v>
      </c>
      <c r="F890" s="486">
        <v>1.2952999999999999</v>
      </c>
      <c r="G890"/>
      <c r="H890" s="13">
        <v>73833.399999999994</v>
      </c>
      <c r="I890" s="13">
        <v>1.2952999999999999</v>
      </c>
      <c r="J890">
        <v>13</v>
      </c>
      <c r="K890" s="131">
        <v>45688</v>
      </c>
      <c r="M890">
        <v>570</v>
      </c>
      <c r="N890" t="s">
        <v>6738</v>
      </c>
    </row>
    <row r="891" spans="1:14">
      <c r="A891" t="s">
        <v>1746</v>
      </c>
      <c r="B891" t="s">
        <v>1748</v>
      </c>
      <c r="C891" t="s">
        <v>1744</v>
      </c>
      <c r="D891" s="96">
        <v>57</v>
      </c>
      <c r="E891" s="13">
        <v>81290.84</v>
      </c>
      <c r="F891" s="486">
        <v>1.4261999999999999</v>
      </c>
      <c r="G891"/>
      <c r="H891" s="13">
        <v>81290.84</v>
      </c>
      <c r="I891" s="13">
        <v>1.4261999999999999</v>
      </c>
      <c r="J891">
        <v>13</v>
      </c>
      <c r="K891" s="131">
        <v>45688</v>
      </c>
      <c r="M891">
        <v>570</v>
      </c>
      <c r="N891" t="s">
        <v>6739</v>
      </c>
    </row>
    <row r="892" spans="1:14">
      <c r="A892" t="s">
        <v>1746</v>
      </c>
      <c r="B892" t="s">
        <v>1748</v>
      </c>
      <c r="C892" t="s">
        <v>1744</v>
      </c>
      <c r="D892" s="96">
        <v>57</v>
      </c>
      <c r="E892" s="13">
        <v>81574.759999999995</v>
      </c>
      <c r="F892" s="486">
        <v>1.4311</v>
      </c>
      <c r="G892"/>
      <c r="H892" s="13">
        <v>81574.759999999995</v>
      </c>
      <c r="I892" s="13">
        <v>1.4311</v>
      </c>
      <c r="J892">
        <v>13</v>
      </c>
      <c r="K892" s="131">
        <v>45688</v>
      </c>
      <c r="M892">
        <v>570</v>
      </c>
      <c r="N892" t="s">
        <v>6740</v>
      </c>
    </row>
    <row r="893" spans="1:14">
      <c r="A893" t="s">
        <v>1746</v>
      </c>
      <c r="B893" t="s">
        <v>6678</v>
      </c>
      <c r="C893" t="s">
        <v>1744</v>
      </c>
      <c r="D893" s="96">
        <v>57</v>
      </c>
      <c r="E893" s="13">
        <v>105888.53</v>
      </c>
      <c r="F893" s="486">
        <v>1.8576999999999999</v>
      </c>
      <c r="G893"/>
      <c r="H893" s="13">
        <v>105888.53</v>
      </c>
      <c r="I893" s="13">
        <v>1.8576999999999999</v>
      </c>
      <c r="J893">
        <v>13</v>
      </c>
      <c r="K893" s="131">
        <v>45688</v>
      </c>
      <c r="M893">
        <v>570</v>
      </c>
      <c r="N893" t="s">
        <v>6741</v>
      </c>
    </row>
    <row r="894" spans="1:14">
      <c r="A894" t="s">
        <v>1746</v>
      </c>
      <c r="B894" t="s">
        <v>6678</v>
      </c>
      <c r="C894" t="s">
        <v>1744</v>
      </c>
      <c r="D894" s="96">
        <v>57</v>
      </c>
      <c r="E894" s="13">
        <v>106172.45</v>
      </c>
      <c r="F894" s="486">
        <v>1.8627</v>
      </c>
      <c r="G894"/>
      <c r="H894" s="13">
        <v>106172.45</v>
      </c>
      <c r="I894" s="13">
        <v>1.8627</v>
      </c>
      <c r="J894">
        <v>13</v>
      </c>
      <c r="K894" s="131">
        <v>45688</v>
      </c>
      <c r="M894">
        <v>570</v>
      </c>
      <c r="N894" t="s">
        <v>6742</v>
      </c>
    </row>
    <row r="895" spans="1:14">
      <c r="A895" t="s">
        <v>1746</v>
      </c>
      <c r="B895" t="s">
        <v>6571</v>
      </c>
      <c r="C895" t="s">
        <v>1744</v>
      </c>
      <c r="D895" s="96">
        <v>57.51</v>
      </c>
      <c r="E895" s="13">
        <v>103984</v>
      </c>
      <c r="F895" s="486">
        <v>1.8081</v>
      </c>
      <c r="G895"/>
      <c r="H895" s="13">
        <v>103984</v>
      </c>
      <c r="I895" s="13">
        <v>1.8081</v>
      </c>
      <c r="J895">
        <v>13</v>
      </c>
      <c r="K895" s="131">
        <v>45688</v>
      </c>
      <c r="M895">
        <v>710</v>
      </c>
      <c r="N895" t="s">
        <v>6743</v>
      </c>
    </row>
    <row r="896" spans="1:14">
      <c r="A896" t="s">
        <v>1746</v>
      </c>
      <c r="B896" t="s">
        <v>1748</v>
      </c>
      <c r="C896" t="s">
        <v>1744</v>
      </c>
      <c r="D896" s="96">
        <v>57.57</v>
      </c>
      <c r="E896" s="13">
        <v>74388.740000000005</v>
      </c>
      <c r="F896" s="486">
        <v>1.2921</v>
      </c>
      <c r="G896"/>
      <c r="H896" s="13">
        <v>74388.740000000005</v>
      </c>
      <c r="I896" s="13">
        <v>1.2921</v>
      </c>
      <c r="J896">
        <v>13</v>
      </c>
      <c r="K896" s="131">
        <v>45688</v>
      </c>
      <c r="M896">
        <v>570</v>
      </c>
      <c r="N896" t="s">
        <v>6744</v>
      </c>
    </row>
    <row r="897" spans="1:14">
      <c r="A897" t="s">
        <v>1746</v>
      </c>
      <c r="B897" t="s">
        <v>1748</v>
      </c>
      <c r="C897" t="s">
        <v>1744</v>
      </c>
      <c r="D897" s="96">
        <v>57.57</v>
      </c>
      <c r="E897" s="13">
        <v>74675.5</v>
      </c>
      <c r="F897" s="486">
        <v>1.2970999999999999</v>
      </c>
      <c r="G897"/>
      <c r="H897" s="13">
        <v>74675.5</v>
      </c>
      <c r="I897" s="13">
        <v>1.2970999999999999</v>
      </c>
      <c r="J897">
        <v>13</v>
      </c>
      <c r="K897" s="131">
        <v>45688</v>
      </c>
      <c r="M897">
        <v>570</v>
      </c>
      <c r="N897" t="s">
        <v>6745</v>
      </c>
    </row>
    <row r="898" spans="1:14">
      <c r="A898" t="s">
        <v>1746</v>
      </c>
      <c r="B898" t="s">
        <v>1747</v>
      </c>
      <c r="C898" t="s">
        <v>1744</v>
      </c>
      <c r="D898" s="96">
        <v>57.57</v>
      </c>
      <c r="E898" s="13">
        <v>75238.61</v>
      </c>
      <c r="F898" s="486">
        <v>1.3069</v>
      </c>
      <c r="G898"/>
      <c r="H898" s="13">
        <v>75238.61</v>
      </c>
      <c r="I898" s="13">
        <v>1.3069</v>
      </c>
      <c r="J898">
        <v>13</v>
      </c>
      <c r="K898" s="131">
        <v>45688</v>
      </c>
      <c r="M898">
        <v>570</v>
      </c>
      <c r="N898" t="s">
        <v>6746</v>
      </c>
    </row>
    <row r="899" spans="1:14">
      <c r="A899" t="s">
        <v>1746</v>
      </c>
      <c r="B899" t="s">
        <v>1747</v>
      </c>
      <c r="C899" t="s">
        <v>1744</v>
      </c>
      <c r="D899" s="96">
        <v>57.57</v>
      </c>
      <c r="E899" s="13">
        <v>75525.37</v>
      </c>
      <c r="F899" s="486">
        <v>1.3119000000000001</v>
      </c>
      <c r="G899"/>
      <c r="H899" s="13">
        <v>75525.37</v>
      </c>
      <c r="I899" s="13">
        <v>1.3119000000000001</v>
      </c>
      <c r="J899">
        <v>13</v>
      </c>
      <c r="K899" s="131">
        <v>45688</v>
      </c>
      <c r="M899">
        <v>570</v>
      </c>
      <c r="N899" t="s">
        <v>6747</v>
      </c>
    </row>
    <row r="900" spans="1:14">
      <c r="A900" t="s">
        <v>1746</v>
      </c>
      <c r="B900" t="s">
        <v>1748</v>
      </c>
      <c r="C900" t="s">
        <v>1744</v>
      </c>
      <c r="D900" s="96">
        <v>57.57</v>
      </c>
      <c r="E900" s="13">
        <v>82130.11</v>
      </c>
      <c r="F900" s="486">
        <v>1.4266000000000001</v>
      </c>
      <c r="G900"/>
      <c r="H900" s="13">
        <v>82130.11</v>
      </c>
      <c r="I900" s="13">
        <v>1.4266000000000001</v>
      </c>
      <c r="J900">
        <v>13</v>
      </c>
      <c r="K900" s="131">
        <v>45688</v>
      </c>
      <c r="M900">
        <v>570</v>
      </c>
      <c r="N900" t="s">
        <v>6748</v>
      </c>
    </row>
    <row r="901" spans="1:14">
      <c r="A901" t="s">
        <v>1746</v>
      </c>
      <c r="B901" t="s">
        <v>1748</v>
      </c>
      <c r="C901" t="s">
        <v>1744</v>
      </c>
      <c r="D901" s="96">
        <v>57.57</v>
      </c>
      <c r="E901" s="13">
        <v>82416.87</v>
      </c>
      <c r="F901" s="486">
        <v>1.4316</v>
      </c>
      <c r="G901"/>
      <c r="H901" s="13">
        <v>82416.87</v>
      </c>
      <c r="I901" s="13">
        <v>1.4316</v>
      </c>
      <c r="J901">
        <v>13</v>
      </c>
      <c r="K901" s="131">
        <v>45688</v>
      </c>
      <c r="M901">
        <v>570</v>
      </c>
      <c r="N901" t="s">
        <v>6749</v>
      </c>
    </row>
    <row r="902" spans="1:14">
      <c r="A902" t="s">
        <v>1746</v>
      </c>
      <c r="B902" t="s">
        <v>6750</v>
      </c>
      <c r="C902" t="s">
        <v>1744</v>
      </c>
      <c r="D902" s="96">
        <v>57.57</v>
      </c>
      <c r="E902" s="13">
        <v>109188.34</v>
      </c>
      <c r="F902" s="486">
        <v>1.8966000000000001</v>
      </c>
      <c r="G902"/>
      <c r="H902" s="13">
        <v>109188.34</v>
      </c>
      <c r="I902" s="13">
        <v>1.8966000000000001</v>
      </c>
      <c r="J902">
        <v>13</v>
      </c>
      <c r="K902" s="131">
        <v>45688</v>
      </c>
      <c r="M902">
        <v>570</v>
      </c>
      <c r="N902" t="s">
        <v>6751</v>
      </c>
    </row>
    <row r="903" spans="1:14">
      <c r="A903" t="s">
        <v>1746</v>
      </c>
      <c r="B903" t="s">
        <v>6750</v>
      </c>
      <c r="C903" t="s">
        <v>1744</v>
      </c>
      <c r="D903" s="96">
        <v>57.57</v>
      </c>
      <c r="E903" s="13">
        <v>109475.1</v>
      </c>
      <c r="F903" s="486">
        <v>1.9016</v>
      </c>
      <c r="G903"/>
      <c r="H903" s="13">
        <v>109475.1</v>
      </c>
      <c r="I903" s="13">
        <v>1.9016</v>
      </c>
      <c r="J903">
        <v>13</v>
      </c>
      <c r="K903" s="131">
        <v>45688</v>
      </c>
      <c r="M903">
        <v>570</v>
      </c>
      <c r="N903" t="s">
        <v>6752</v>
      </c>
    </row>
    <row r="904" spans="1:14">
      <c r="A904" t="s">
        <v>1746</v>
      </c>
      <c r="B904" t="s">
        <v>1748</v>
      </c>
      <c r="C904" t="s">
        <v>1744</v>
      </c>
      <c r="D904" s="96">
        <v>58.14</v>
      </c>
      <c r="E904" s="13">
        <v>74913.429999999993</v>
      </c>
      <c r="F904" s="486">
        <v>1.2885</v>
      </c>
      <c r="G904"/>
      <c r="H904" s="13">
        <v>74913.429999999993</v>
      </c>
      <c r="I904" s="13">
        <v>1.2885</v>
      </c>
      <c r="J904">
        <v>13</v>
      </c>
      <c r="K904" s="131">
        <v>45688</v>
      </c>
      <c r="M904">
        <v>570</v>
      </c>
      <c r="N904" t="s">
        <v>6753</v>
      </c>
    </row>
    <row r="905" spans="1:14">
      <c r="A905" t="s">
        <v>1746</v>
      </c>
      <c r="B905" t="s">
        <v>1748</v>
      </c>
      <c r="C905" t="s">
        <v>1744</v>
      </c>
      <c r="D905" s="96">
        <v>58.14</v>
      </c>
      <c r="E905" s="13">
        <v>75203.03</v>
      </c>
      <c r="F905" s="486">
        <v>1.2935000000000001</v>
      </c>
      <c r="G905"/>
      <c r="H905" s="13">
        <v>75203.03</v>
      </c>
      <c r="I905" s="13">
        <v>1.2935000000000001</v>
      </c>
      <c r="J905">
        <v>13</v>
      </c>
      <c r="K905" s="131">
        <v>45688</v>
      </c>
      <c r="M905">
        <v>570</v>
      </c>
      <c r="N905" t="s">
        <v>6754</v>
      </c>
    </row>
    <row r="906" spans="1:14">
      <c r="A906" t="s">
        <v>1746</v>
      </c>
      <c r="B906" t="s">
        <v>1747</v>
      </c>
      <c r="C906" t="s">
        <v>1744</v>
      </c>
      <c r="D906" s="96">
        <v>58.14</v>
      </c>
      <c r="E906" s="13">
        <v>75763.289999999994</v>
      </c>
      <c r="F906" s="486">
        <v>1.3030999999999999</v>
      </c>
      <c r="G906"/>
      <c r="H906" s="13">
        <v>75763.289999999994</v>
      </c>
      <c r="I906" s="13">
        <v>1.3030999999999999</v>
      </c>
      <c r="J906">
        <v>13</v>
      </c>
      <c r="K906" s="131">
        <v>45688</v>
      </c>
      <c r="M906">
        <v>570</v>
      </c>
      <c r="N906" t="s">
        <v>6755</v>
      </c>
    </row>
    <row r="907" spans="1:14">
      <c r="A907" t="s">
        <v>1746</v>
      </c>
      <c r="B907" t="s">
        <v>1747</v>
      </c>
      <c r="C907" t="s">
        <v>1744</v>
      </c>
      <c r="D907" s="96">
        <v>58.14</v>
      </c>
      <c r="E907" s="13">
        <v>76052.89</v>
      </c>
      <c r="F907" s="486">
        <v>1.3081</v>
      </c>
      <c r="G907"/>
      <c r="H907" s="13">
        <v>76052.89</v>
      </c>
      <c r="I907" s="13">
        <v>1.3081</v>
      </c>
      <c r="J907">
        <v>13</v>
      </c>
      <c r="K907" s="131">
        <v>45688</v>
      </c>
      <c r="M907">
        <v>570</v>
      </c>
      <c r="N907" t="s">
        <v>6756</v>
      </c>
    </row>
    <row r="908" spans="1:14">
      <c r="A908" t="s">
        <v>1746</v>
      </c>
      <c r="B908" t="s">
        <v>1748</v>
      </c>
      <c r="C908" t="s">
        <v>1744</v>
      </c>
      <c r="D908" s="96">
        <v>58.14</v>
      </c>
      <c r="E908" s="13">
        <v>82654.789999999994</v>
      </c>
      <c r="F908" s="486">
        <v>1.4217</v>
      </c>
      <c r="G908"/>
      <c r="H908" s="13">
        <v>82654.789999999994</v>
      </c>
      <c r="I908" s="13">
        <v>1.4217</v>
      </c>
      <c r="J908">
        <v>13</v>
      </c>
      <c r="K908" s="131">
        <v>45688</v>
      </c>
      <c r="M908">
        <v>570</v>
      </c>
      <c r="N908" t="s">
        <v>6757</v>
      </c>
    </row>
    <row r="909" spans="1:14">
      <c r="A909" t="s">
        <v>1746</v>
      </c>
      <c r="B909" t="s">
        <v>1748</v>
      </c>
      <c r="C909" t="s">
        <v>1744</v>
      </c>
      <c r="D909" s="96">
        <v>58.14</v>
      </c>
      <c r="E909" s="13">
        <v>82944.39</v>
      </c>
      <c r="F909" s="486">
        <v>1.4266000000000001</v>
      </c>
      <c r="G909"/>
      <c r="H909" s="13">
        <v>82944.39</v>
      </c>
      <c r="I909" s="13">
        <v>1.4266000000000001</v>
      </c>
      <c r="J909">
        <v>13</v>
      </c>
      <c r="K909" s="131">
        <v>45688</v>
      </c>
      <c r="M909">
        <v>570</v>
      </c>
      <c r="N909" t="s">
        <v>6758</v>
      </c>
    </row>
    <row r="910" spans="1:14">
      <c r="A910" t="s">
        <v>1746</v>
      </c>
      <c r="B910" t="s">
        <v>6750</v>
      </c>
      <c r="C910" t="s">
        <v>1744</v>
      </c>
      <c r="D910" s="96">
        <v>58.14</v>
      </c>
      <c r="E910" s="13">
        <v>109713.03</v>
      </c>
      <c r="F910" s="486">
        <v>1.887</v>
      </c>
      <c r="G910"/>
      <c r="H910" s="13">
        <v>109713.03</v>
      </c>
      <c r="I910" s="13">
        <v>1.887</v>
      </c>
      <c r="J910">
        <v>13</v>
      </c>
      <c r="K910" s="131">
        <v>45688</v>
      </c>
      <c r="M910">
        <v>570</v>
      </c>
      <c r="N910" t="s">
        <v>6759</v>
      </c>
    </row>
    <row r="911" spans="1:14">
      <c r="A911" t="s">
        <v>1746</v>
      </c>
      <c r="B911" t="s">
        <v>6750</v>
      </c>
      <c r="C911" t="s">
        <v>1744</v>
      </c>
      <c r="D911" s="96">
        <v>58.14</v>
      </c>
      <c r="E911" s="13">
        <v>110002.63</v>
      </c>
      <c r="F911" s="486">
        <v>1.8919999999999999</v>
      </c>
      <c r="G911"/>
      <c r="H911" s="13">
        <v>110002.63</v>
      </c>
      <c r="I911" s="13">
        <v>1.8919999999999999</v>
      </c>
      <c r="J911">
        <v>13</v>
      </c>
      <c r="K911" s="131">
        <v>45688</v>
      </c>
      <c r="M911">
        <v>570</v>
      </c>
      <c r="N911" t="s">
        <v>6760</v>
      </c>
    </row>
    <row r="912" spans="1:14">
      <c r="A912" t="s">
        <v>1746</v>
      </c>
      <c r="B912" t="s">
        <v>6571</v>
      </c>
      <c r="C912" t="s">
        <v>1744</v>
      </c>
      <c r="D912" s="96">
        <v>58.22</v>
      </c>
      <c r="E912" s="13">
        <v>104712.16</v>
      </c>
      <c r="F912" s="486">
        <v>1.7986</v>
      </c>
      <c r="G912"/>
      <c r="H912" s="13">
        <v>104712.16</v>
      </c>
      <c r="I912" s="13">
        <v>1.7986</v>
      </c>
      <c r="J912">
        <v>13</v>
      </c>
      <c r="K912" s="131">
        <v>45688</v>
      </c>
      <c r="M912">
        <v>710</v>
      </c>
      <c r="N912" t="s">
        <v>6761</v>
      </c>
    </row>
    <row r="913" spans="1:14">
      <c r="A913" t="s">
        <v>1746</v>
      </c>
      <c r="B913" t="s">
        <v>1748</v>
      </c>
      <c r="C913" t="s">
        <v>1744</v>
      </c>
      <c r="D913" s="96">
        <v>58.71</v>
      </c>
      <c r="E913" s="13">
        <v>75438.11</v>
      </c>
      <c r="F913" s="486">
        <v>1.2848999999999999</v>
      </c>
      <c r="G913"/>
      <c r="H913" s="13">
        <v>75438.11</v>
      </c>
      <c r="I913" s="13">
        <v>1.2848999999999999</v>
      </c>
      <c r="J913">
        <v>13</v>
      </c>
      <c r="K913" s="131">
        <v>45688</v>
      </c>
      <c r="M913">
        <v>570</v>
      </c>
      <c r="N913" t="s">
        <v>6762</v>
      </c>
    </row>
    <row r="914" spans="1:14">
      <c r="A914" t="s">
        <v>1746</v>
      </c>
      <c r="B914" t="s">
        <v>1748</v>
      </c>
      <c r="C914" t="s">
        <v>1744</v>
      </c>
      <c r="D914" s="96">
        <v>58.71</v>
      </c>
      <c r="E914" s="13">
        <v>75730.55</v>
      </c>
      <c r="F914" s="486">
        <v>1.2899</v>
      </c>
      <c r="G914"/>
      <c r="H914" s="13">
        <v>75730.55</v>
      </c>
      <c r="I914" s="13">
        <v>1.2899</v>
      </c>
      <c r="J914">
        <v>13</v>
      </c>
      <c r="K914" s="131">
        <v>45688</v>
      </c>
      <c r="M914">
        <v>570</v>
      </c>
      <c r="N914" t="s">
        <v>6763</v>
      </c>
    </row>
    <row r="915" spans="1:14">
      <c r="A915" t="s">
        <v>1746</v>
      </c>
      <c r="B915" t="s">
        <v>1747</v>
      </c>
      <c r="C915" t="s">
        <v>1744</v>
      </c>
      <c r="D915" s="96">
        <v>58.71</v>
      </c>
      <c r="E915" s="13">
        <v>76287.98</v>
      </c>
      <c r="F915" s="486">
        <v>1.2994000000000001</v>
      </c>
      <c r="G915"/>
      <c r="H915" s="13">
        <v>76287.98</v>
      </c>
      <c r="I915" s="13">
        <v>1.2994000000000001</v>
      </c>
      <c r="J915">
        <v>13</v>
      </c>
      <c r="K915" s="131">
        <v>45688</v>
      </c>
      <c r="M915">
        <v>570</v>
      </c>
      <c r="N915" t="s">
        <v>6764</v>
      </c>
    </row>
    <row r="916" spans="1:14">
      <c r="A916" t="s">
        <v>1746</v>
      </c>
      <c r="B916" t="s">
        <v>1747</v>
      </c>
      <c r="C916" t="s">
        <v>1744</v>
      </c>
      <c r="D916" s="96">
        <v>58.71</v>
      </c>
      <c r="E916" s="13">
        <v>76580.42</v>
      </c>
      <c r="F916" s="486">
        <v>1.3044</v>
      </c>
      <c r="G916"/>
      <c r="H916" s="13">
        <v>76580.42</v>
      </c>
      <c r="I916" s="13">
        <v>1.3044</v>
      </c>
      <c r="J916">
        <v>13</v>
      </c>
      <c r="K916" s="131">
        <v>45688</v>
      </c>
      <c r="M916">
        <v>570</v>
      </c>
      <c r="N916" t="s">
        <v>6765</v>
      </c>
    </row>
    <row r="917" spans="1:14">
      <c r="A917" t="s">
        <v>1746</v>
      </c>
      <c r="B917" t="s">
        <v>1748</v>
      </c>
      <c r="C917" t="s">
        <v>1744</v>
      </c>
      <c r="D917" s="96">
        <v>58.71</v>
      </c>
      <c r="E917" s="13">
        <v>83179.47</v>
      </c>
      <c r="F917" s="486">
        <v>1.4168000000000001</v>
      </c>
      <c r="G917"/>
      <c r="H917" s="13">
        <v>83179.47</v>
      </c>
      <c r="I917" s="13">
        <v>1.4168000000000001</v>
      </c>
      <c r="J917">
        <v>13</v>
      </c>
      <c r="K917" s="131">
        <v>45688</v>
      </c>
      <c r="M917">
        <v>570</v>
      </c>
      <c r="N917" t="s">
        <v>6766</v>
      </c>
    </row>
    <row r="918" spans="1:14">
      <c r="A918" t="s">
        <v>1746</v>
      </c>
      <c r="B918" t="s">
        <v>1748</v>
      </c>
      <c r="C918" t="s">
        <v>1744</v>
      </c>
      <c r="D918" s="96">
        <v>58.71</v>
      </c>
      <c r="E918" s="13">
        <v>83471.91</v>
      </c>
      <c r="F918" s="486">
        <v>1.4218</v>
      </c>
      <c r="G918"/>
      <c r="H918" s="13">
        <v>83471.91</v>
      </c>
      <c r="I918" s="13">
        <v>1.4218</v>
      </c>
      <c r="J918">
        <v>13</v>
      </c>
      <c r="K918" s="131">
        <v>45688</v>
      </c>
      <c r="M918">
        <v>570</v>
      </c>
      <c r="N918" t="s">
        <v>6767</v>
      </c>
    </row>
    <row r="919" spans="1:14">
      <c r="A919" t="s">
        <v>1746</v>
      </c>
      <c r="B919" t="s">
        <v>6750</v>
      </c>
      <c r="C919" t="s">
        <v>1744</v>
      </c>
      <c r="D919" s="96">
        <v>58.71</v>
      </c>
      <c r="E919" s="13">
        <v>110237.71</v>
      </c>
      <c r="F919" s="486">
        <v>1.8776999999999999</v>
      </c>
      <c r="G919"/>
      <c r="H919" s="13">
        <v>110237.71</v>
      </c>
      <c r="I919" s="13">
        <v>1.8776999999999999</v>
      </c>
      <c r="J919">
        <v>13</v>
      </c>
      <c r="K919" s="131">
        <v>45688</v>
      </c>
      <c r="M919">
        <v>570</v>
      </c>
      <c r="N919" t="s">
        <v>6768</v>
      </c>
    </row>
    <row r="920" spans="1:14">
      <c r="A920" t="s">
        <v>1746</v>
      </c>
      <c r="B920" t="s">
        <v>6750</v>
      </c>
      <c r="C920" t="s">
        <v>1744</v>
      </c>
      <c r="D920" s="96">
        <v>58.71</v>
      </c>
      <c r="E920" s="13">
        <v>110530.15</v>
      </c>
      <c r="F920" s="486">
        <v>1.8826000000000001</v>
      </c>
      <c r="G920"/>
      <c r="H920" s="13">
        <v>110530.15</v>
      </c>
      <c r="I920" s="13">
        <v>1.8826000000000001</v>
      </c>
      <c r="J920">
        <v>13</v>
      </c>
      <c r="K920" s="131">
        <v>45688</v>
      </c>
      <c r="M920">
        <v>570</v>
      </c>
      <c r="N920" t="s">
        <v>6769</v>
      </c>
    </row>
    <row r="921" spans="1:14">
      <c r="A921" t="s">
        <v>1746</v>
      </c>
      <c r="B921" t="s">
        <v>6571</v>
      </c>
      <c r="C921" t="s">
        <v>1744</v>
      </c>
      <c r="D921" s="96">
        <v>58.93</v>
      </c>
      <c r="E921" s="13">
        <v>105440.32000000001</v>
      </c>
      <c r="F921" s="486">
        <v>1.7891999999999999</v>
      </c>
      <c r="G921"/>
      <c r="H921" s="13">
        <v>105440.32000000001</v>
      </c>
      <c r="I921" s="13">
        <v>1.7891999999999999</v>
      </c>
      <c r="J921">
        <v>13</v>
      </c>
      <c r="K921" s="131">
        <v>45688</v>
      </c>
      <c r="M921">
        <v>710</v>
      </c>
      <c r="N921" t="s">
        <v>6770</v>
      </c>
    </row>
    <row r="922" spans="1:14">
      <c r="A922" t="s">
        <v>1746</v>
      </c>
      <c r="B922" t="s">
        <v>1748</v>
      </c>
      <c r="C922" t="s">
        <v>1744</v>
      </c>
      <c r="D922" s="96">
        <v>59.28</v>
      </c>
      <c r="E922" s="13">
        <v>75962.8</v>
      </c>
      <c r="F922" s="486">
        <v>1.2814000000000001</v>
      </c>
      <c r="G922"/>
      <c r="H922" s="13">
        <v>75962.8</v>
      </c>
      <c r="I922" s="13">
        <v>1.2814000000000001</v>
      </c>
      <c r="J922">
        <v>13</v>
      </c>
      <c r="K922" s="131">
        <v>45688</v>
      </c>
      <c r="M922">
        <v>570</v>
      </c>
      <c r="N922" t="s">
        <v>6771</v>
      </c>
    </row>
    <row r="923" spans="1:14">
      <c r="A923" t="s">
        <v>1746</v>
      </c>
      <c r="B923" t="s">
        <v>1748</v>
      </c>
      <c r="C923" t="s">
        <v>1744</v>
      </c>
      <c r="D923" s="96">
        <v>59.28</v>
      </c>
      <c r="E923" s="13">
        <v>76258.070000000007</v>
      </c>
      <c r="F923" s="486">
        <v>1.2864</v>
      </c>
      <c r="G923"/>
      <c r="H923" s="13">
        <v>76258.070000000007</v>
      </c>
      <c r="I923" s="13">
        <v>1.2864</v>
      </c>
      <c r="J923">
        <v>13</v>
      </c>
      <c r="K923" s="131">
        <v>45688</v>
      </c>
      <c r="M923">
        <v>570</v>
      </c>
      <c r="N923" t="s">
        <v>6772</v>
      </c>
    </row>
    <row r="924" spans="1:14">
      <c r="A924" t="s">
        <v>1746</v>
      </c>
      <c r="B924" t="s">
        <v>1747</v>
      </c>
      <c r="C924" t="s">
        <v>1744</v>
      </c>
      <c r="D924" s="96">
        <v>59.28</v>
      </c>
      <c r="E924" s="13">
        <v>76812.66</v>
      </c>
      <c r="F924" s="486">
        <v>1.2958000000000001</v>
      </c>
      <c r="G924"/>
      <c r="H924" s="13">
        <v>76812.66</v>
      </c>
      <c r="I924" s="13">
        <v>1.2958000000000001</v>
      </c>
      <c r="J924">
        <v>13</v>
      </c>
      <c r="K924" s="131">
        <v>45688</v>
      </c>
      <c r="M924">
        <v>570</v>
      </c>
      <c r="N924" t="s">
        <v>6773</v>
      </c>
    </row>
    <row r="925" spans="1:14">
      <c r="A925" t="s">
        <v>1746</v>
      </c>
      <c r="B925" t="s">
        <v>1747</v>
      </c>
      <c r="C925" t="s">
        <v>1744</v>
      </c>
      <c r="D925" s="96">
        <v>59.28</v>
      </c>
      <c r="E925" s="13">
        <v>77107.94</v>
      </c>
      <c r="F925" s="486">
        <v>1.3007</v>
      </c>
      <c r="G925"/>
      <c r="H925" s="13">
        <v>77107.94</v>
      </c>
      <c r="I925" s="13">
        <v>1.3007</v>
      </c>
      <c r="J925">
        <v>13</v>
      </c>
      <c r="K925" s="131">
        <v>45688</v>
      </c>
      <c r="M925">
        <v>570</v>
      </c>
      <c r="N925" t="s">
        <v>6774</v>
      </c>
    </row>
    <row r="926" spans="1:14">
      <c r="A926" t="s">
        <v>1746</v>
      </c>
      <c r="B926" t="s">
        <v>1748</v>
      </c>
      <c r="C926" t="s">
        <v>1744</v>
      </c>
      <c r="D926" s="96">
        <v>59.28</v>
      </c>
      <c r="E926" s="13">
        <v>83704.160000000003</v>
      </c>
      <c r="F926" s="486">
        <v>1.4119999999999999</v>
      </c>
      <c r="G926"/>
      <c r="H926" s="13">
        <v>83704.160000000003</v>
      </c>
      <c r="I926" s="13">
        <v>1.4119999999999999</v>
      </c>
      <c r="J926">
        <v>13</v>
      </c>
      <c r="K926" s="131">
        <v>45688</v>
      </c>
      <c r="M926">
        <v>570</v>
      </c>
      <c r="N926" t="s">
        <v>6775</v>
      </c>
    </row>
    <row r="927" spans="1:14">
      <c r="A927" t="s">
        <v>1746</v>
      </c>
      <c r="B927" t="s">
        <v>1748</v>
      </c>
      <c r="C927" t="s">
        <v>1744</v>
      </c>
      <c r="D927" s="96">
        <v>59.28</v>
      </c>
      <c r="E927" s="13">
        <v>83999.44</v>
      </c>
      <c r="F927" s="486">
        <v>1.417</v>
      </c>
      <c r="G927"/>
      <c r="H927" s="13">
        <v>83999.44</v>
      </c>
      <c r="I927" s="13">
        <v>1.417</v>
      </c>
      <c r="J927">
        <v>13</v>
      </c>
      <c r="K927" s="131">
        <v>45688</v>
      </c>
      <c r="M927">
        <v>570</v>
      </c>
      <c r="N927" t="s">
        <v>6776</v>
      </c>
    </row>
    <row r="928" spans="1:14">
      <c r="A928" t="s">
        <v>1746</v>
      </c>
      <c r="B928" t="s">
        <v>6750</v>
      </c>
      <c r="C928" t="s">
        <v>1744</v>
      </c>
      <c r="D928" s="96">
        <v>59.28</v>
      </c>
      <c r="E928" s="13">
        <v>110762.4</v>
      </c>
      <c r="F928" s="486">
        <v>1.8685</v>
      </c>
      <c r="G928"/>
      <c r="H928" s="13">
        <v>110762.4</v>
      </c>
      <c r="I928" s="13">
        <v>1.8685</v>
      </c>
      <c r="J928">
        <v>13</v>
      </c>
      <c r="K928" s="131">
        <v>45688</v>
      </c>
      <c r="M928">
        <v>570</v>
      </c>
      <c r="N928" t="s">
        <v>6777</v>
      </c>
    </row>
    <row r="929" spans="1:14">
      <c r="A929" t="s">
        <v>1746</v>
      </c>
      <c r="B929" t="s">
        <v>6750</v>
      </c>
      <c r="C929" t="s">
        <v>1744</v>
      </c>
      <c r="D929" s="96">
        <v>59.28</v>
      </c>
      <c r="E929" s="13">
        <v>111057.67</v>
      </c>
      <c r="F929" s="486">
        <v>1.8734</v>
      </c>
      <c r="G929"/>
      <c r="H929" s="13">
        <v>111057.67</v>
      </c>
      <c r="I929" s="13">
        <v>1.8734</v>
      </c>
      <c r="J929">
        <v>13</v>
      </c>
      <c r="K929" s="131">
        <v>45688</v>
      </c>
      <c r="M929">
        <v>570</v>
      </c>
      <c r="N929" t="s">
        <v>6778</v>
      </c>
    </row>
    <row r="930" spans="1:14">
      <c r="A930" t="s">
        <v>1746</v>
      </c>
      <c r="B930" t="s">
        <v>6571</v>
      </c>
      <c r="C930" t="s">
        <v>1744</v>
      </c>
      <c r="D930" s="96">
        <v>59.64</v>
      </c>
      <c r="E930" s="13">
        <v>106168.48</v>
      </c>
      <c r="F930" s="486">
        <v>1.7802</v>
      </c>
      <c r="G930"/>
      <c r="H930" s="13">
        <v>106168.48</v>
      </c>
      <c r="I930" s="13">
        <v>1.7802</v>
      </c>
      <c r="J930">
        <v>13</v>
      </c>
      <c r="K930" s="131">
        <v>45688</v>
      </c>
      <c r="M930">
        <v>710</v>
      </c>
      <c r="N930" t="s">
        <v>6779</v>
      </c>
    </row>
    <row r="931" spans="1:14">
      <c r="A931" t="s">
        <v>1746</v>
      </c>
      <c r="B931" t="s">
        <v>1748</v>
      </c>
      <c r="C931" t="s">
        <v>1744</v>
      </c>
      <c r="D931" s="96">
        <v>59.85</v>
      </c>
      <c r="E931" s="13">
        <v>76802.06</v>
      </c>
      <c r="F931" s="486">
        <v>1.2831999999999999</v>
      </c>
      <c r="G931"/>
      <c r="H931" s="13">
        <v>76802.06</v>
      </c>
      <c r="I931" s="13">
        <v>1.2831999999999999</v>
      </c>
      <c r="J931">
        <v>13</v>
      </c>
      <c r="K931" s="131">
        <v>45688</v>
      </c>
      <c r="M931">
        <v>570</v>
      </c>
      <c r="N931" t="s">
        <v>6780</v>
      </c>
    </row>
    <row r="932" spans="1:14">
      <c r="A932" t="s">
        <v>1746</v>
      </c>
      <c r="B932" t="s">
        <v>1748</v>
      </c>
      <c r="C932" t="s">
        <v>1744</v>
      </c>
      <c r="D932" s="96">
        <v>59.85</v>
      </c>
      <c r="E932" s="13">
        <v>77100.179999999993</v>
      </c>
      <c r="F932" s="486">
        <v>1.2882</v>
      </c>
      <c r="G932"/>
      <c r="H932" s="13">
        <v>77100.179999999993</v>
      </c>
      <c r="I932" s="13">
        <v>1.2882</v>
      </c>
      <c r="J932">
        <v>13</v>
      </c>
      <c r="K932" s="131">
        <v>45688</v>
      </c>
      <c r="M932">
        <v>570</v>
      </c>
      <c r="N932" t="s">
        <v>6781</v>
      </c>
    </row>
    <row r="933" spans="1:14">
      <c r="A933" t="s">
        <v>1746</v>
      </c>
      <c r="B933" t="s">
        <v>1747</v>
      </c>
      <c r="C933" t="s">
        <v>1744</v>
      </c>
      <c r="D933" s="96">
        <v>59.85</v>
      </c>
      <c r="E933" s="13">
        <v>77651.929999999993</v>
      </c>
      <c r="F933" s="486">
        <v>1.2974000000000001</v>
      </c>
      <c r="G933"/>
      <c r="H933" s="13">
        <v>77651.929999999993</v>
      </c>
      <c r="I933" s="13">
        <v>1.2974000000000001</v>
      </c>
      <c r="J933">
        <v>13</v>
      </c>
      <c r="K933" s="131">
        <v>45688</v>
      </c>
      <c r="M933">
        <v>570</v>
      </c>
      <c r="N933" t="s">
        <v>6782</v>
      </c>
    </row>
    <row r="934" spans="1:14">
      <c r="A934" t="s">
        <v>1746</v>
      </c>
      <c r="B934" t="s">
        <v>1747</v>
      </c>
      <c r="C934" t="s">
        <v>1744</v>
      </c>
      <c r="D934" s="96">
        <v>59.85</v>
      </c>
      <c r="E934" s="13">
        <v>77950.05</v>
      </c>
      <c r="F934" s="486">
        <v>1.3024</v>
      </c>
      <c r="G934"/>
      <c r="H934" s="13">
        <v>77950.05</v>
      </c>
      <c r="I934" s="13">
        <v>1.3024</v>
      </c>
      <c r="J934">
        <v>13</v>
      </c>
      <c r="K934" s="131">
        <v>45688</v>
      </c>
      <c r="M934">
        <v>570</v>
      </c>
      <c r="N934" t="s">
        <v>6783</v>
      </c>
    </row>
    <row r="935" spans="1:14">
      <c r="A935" t="s">
        <v>1746</v>
      </c>
      <c r="B935" t="s">
        <v>1748</v>
      </c>
      <c r="C935" t="s">
        <v>1744</v>
      </c>
      <c r="D935" s="96">
        <v>59.85</v>
      </c>
      <c r="E935" s="13">
        <v>84543.43</v>
      </c>
      <c r="F935" s="486">
        <v>1.4126000000000001</v>
      </c>
      <c r="G935"/>
      <c r="H935" s="13">
        <v>84543.43</v>
      </c>
      <c r="I935" s="13">
        <v>1.4126000000000001</v>
      </c>
      <c r="J935">
        <v>13</v>
      </c>
      <c r="K935" s="131">
        <v>45688</v>
      </c>
      <c r="M935">
        <v>570</v>
      </c>
      <c r="N935" t="s">
        <v>6784</v>
      </c>
    </row>
    <row r="936" spans="1:14">
      <c r="A936" t="s">
        <v>1746</v>
      </c>
      <c r="B936" t="s">
        <v>1748</v>
      </c>
      <c r="C936" t="s">
        <v>1744</v>
      </c>
      <c r="D936" s="96">
        <v>59.85</v>
      </c>
      <c r="E936" s="13">
        <v>84841.54</v>
      </c>
      <c r="F936" s="486">
        <v>1.4176</v>
      </c>
      <c r="G936"/>
      <c r="H936" s="13">
        <v>84841.54</v>
      </c>
      <c r="I936" s="13">
        <v>1.4176</v>
      </c>
      <c r="J936">
        <v>13</v>
      </c>
      <c r="K936" s="131">
        <v>45688</v>
      </c>
      <c r="M936">
        <v>570</v>
      </c>
      <c r="N936" t="s">
        <v>6785</v>
      </c>
    </row>
    <row r="937" spans="1:14">
      <c r="A937" t="s">
        <v>1746</v>
      </c>
      <c r="B937" t="s">
        <v>6786</v>
      </c>
      <c r="C937" t="s">
        <v>1744</v>
      </c>
      <c r="D937" s="96">
        <v>59.85</v>
      </c>
      <c r="E937" s="13">
        <v>113408.25</v>
      </c>
      <c r="F937" s="486">
        <v>1.8949</v>
      </c>
      <c r="G937"/>
      <c r="H937" s="13">
        <v>113408.25</v>
      </c>
      <c r="I937" s="13">
        <v>1.8949</v>
      </c>
      <c r="J937">
        <v>13</v>
      </c>
      <c r="K937" s="131">
        <v>45688</v>
      </c>
      <c r="M937">
        <v>570</v>
      </c>
      <c r="N937" t="s">
        <v>6787</v>
      </c>
    </row>
    <row r="938" spans="1:14">
      <c r="A938" t="s">
        <v>1746</v>
      </c>
      <c r="B938" t="s">
        <v>6786</v>
      </c>
      <c r="C938" t="s">
        <v>1744</v>
      </c>
      <c r="D938" s="96">
        <v>59.85</v>
      </c>
      <c r="E938" s="13">
        <v>113706.36</v>
      </c>
      <c r="F938" s="486">
        <v>1.8998999999999999</v>
      </c>
      <c r="G938"/>
      <c r="H938" s="13">
        <v>113706.36</v>
      </c>
      <c r="I938" s="13">
        <v>1.8998999999999999</v>
      </c>
      <c r="J938">
        <v>13</v>
      </c>
      <c r="K938" s="131">
        <v>45688</v>
      </c>
      <c r="M938">
        <v>570</v>
      </c>
      <c r="N938" t="s">
        <v>6788</v>
      </c>
    </row>
    <row r="939" spans="1:14">
      <c r="A939" t="s">
        <v>1746</v>
      </c>
      <c r="B939" t="s">
        <v>6571</v>
      </c>
      <c r="C939" t="s">
        <v>1744</v>
      </c>
      <c r="D939" s="96">
        <v>60.35</v>
      </c>
      <c r="E939" s="13">
        <v>108984.02</v>
      </c>
      <c r="F939" s="486">
        <v>1.8059000000000001</v>
      </c>
      <c r="G939"/>
      <c r="H939" s="13">
        <v>108984.02</v>
      </c>
      <c r="I939" s="13">
        <v>1.8059000000000001</v>
      </c>
      <c r="J939">
        <v>13</v>
      </c>
      <c r="K939" s="131">
        <v>45688</v>
      </c>
      <c r="M939">
        <v>710</v>
      </c>
      <c r="N939" t="s">
        <v>6789</v>
      </c>
    </row>
    <row r="940" spans="1:14">
      <c r="A940" t="s">
        <v>1746</v>
      </c>
      <c r="B940" t="s">
        <v>1748</v>
      </c>
      <c r="C940" t="s">
        <v>1744</v>
      </c>
      <c r="D940" s="96">
        <v>60.42</v>
      </c>
      <c r="E940" s="13">
        <v>77326.75</v>
      </c>
      <c r="F940" s="486">
        <v>1.2798</v>
      </c>
      <c r="G940"/>
      <c r="H940" s="13">
        <v>77326.75</v>
      </c>
      <c r="I940" s="13">
        <v>1.2798</v>
      </c>
      <c r="J940">
        <v>13</v>
      </c>
      <c r="K940" s="131">
        <v>45688</v>
      </c>
      <c r="M940">
        <v>570</v>
      </c>
      <c r="N940" t="s">
        <v>6790</v>
      </c>
    </row>
    <row r="941" spans="1:14">
      <c r="A941" t="s">
        <v>1746</v>
      </c>
      <c r="B941" t="s">
        <v>1748</v>
      </c>
      <c r="C941" t="s">
        <v>1744</v>
      </c>
      <c r="D941" s="96">
        <v>60.42</v>
      </c>
      <c r="E941" s="13">
        <v>77627.7</v>
      </c>
      <c r="F941" s="486">
        <v>1.2847999999999999</v>
      </c>
      <c r="G941"/>
      <c r="H941" s="13">
        <v>77627.7</v>
      </c>
      <c r="I941" s="13">
        <v>1.2847999999999999</v>
      </c>
      <c r="J941">
        <v>13</v>
      </c>
      <c r="K941" s="131">
        <v>45688</v>
      </c>
      <c r="M941">
        <v>570</v>
      </c>
      <c r="N941" t="s">
        <v>6791</v>
      </c>
    </row>
    <row r="942" spans="1:14">
      <c r="A942" t="s">
        <v>1746</v>
      </c>
      <c r="B942" t="s">
        <v>1747</v>
      </c>
      <c r="C942" t="s">
        <v>1744</v>
      </c>
      <c r="D942" s="96">
        <v>60.42</v>
      </c>
      <c r="E942" s="13">
        <v>78176.61</v>
      </c>
      <c r="F942" s="486">
        <v>1.2939000000000001</v>
      </c>
      <c r="G942"/>
      <c r="H942" s="13">
        <v>78176.61</v>
      </c>
      <c r="I942" s="13">
        <v>1.2939000000000001</v>
      </c>
      <c r="J942">
        <v>13</v>
      </c>
      <c r="K942" s="131">
        <v>45688</v>
      </c>
      <c r="M942">
        <v>570</v>
      </c>
      <c r="N942" t="s">
        <v>6792</v>
      </c>
    </row>
    <row r="943" spans="1:14">
      <c r="A943" t="s">
        <v>1746</v>
      </c>
      <c r="B943" t="s">
        <v>1747</v>
      </c>
      <c r="C943" t="s">
        <v>1744</v>
      </c>
      <c r="D943" s="96">
        <v>60.42</v>
      </c>
      <c r="E943" s="13">
        <v>78477.570000000007</v>
      </c>
      <c r="F943" s="486">
        <v>1.2988999999999999</v>
      </c>
      <c r="G943"/>
      <c r="H943" s="13">
        <v>78477.570000000007</v>
      </c>
      <c r="I943" s="13">
        <v>1.2988999999999999</v>
      </c>
      <c r="J943">
        <v>13</v>
      </c>
      <c r="K943" s="131">
        <v>45688</v>
      </c>
      <c r="M943">
        <v>570</v>
      </c>
      <c r="N943" t="s">
        <v>6793</v>
      </c>
    </row>
    <row r="944" spans="1:14">
      <c r="A944" t="s">
        <v>1746</v>
      </c>
      <c r="B944" t="s">
        <v>1748</v>
      </c>
      <c r="C944" t="s">
        <v>1744</v>
      </c>
      <c r="D944" s="96">
        <v>60.42</v>
      </c>
      <c r="E944" s="13">
        <v>85068.11</v>
      </c>
      <c r="F944" s="486">
        <v>1.4078999999999999</v>
      </c>
      <c r="G944"/>
      <c r="H944" s="13">
        <v>85068.11</v>
      </c>
      <c r="I944" s="13">
        <v>1.4078999999999999</v>
      </c>
      <c r="J944">
        <v>13</v>
      </c>
      <c r="K944" s="131">
        <v>45688</v>
      </c>
      <c r="M944">
        <v>570</v>
      </c>
      <c r="N944" t="s">
        <v>6794</v>
      </c>
    </row>
    <row r="945" spans="1:14">
      <c r="A945" t="s">
        <v>1746</v>
      </c>
      <c r="B945" t="s">
        <v>1748</v>
      </c>
      <c r="C945" t="s">
        <v>1744</v>
      </c>
      <c r="D945" s="96">
        <v>60.42</v>
      </c>
      <c r="E945" s="13">
        <v>85369.07</v>
      </c>
      <c r="F945" s="486">
        <v>1.4129</v>
      </c>
      <c r="G945"/>
      <c r="H945" s="13">
        <v>85369.07</v>
      </c>
      <c r="I945" s="13">
        <v>1.4129</v>
      </c>
      <c r="J945">
        <v>13</v>
      </c>
      <c r="K945" s="131">
        <v>45688</v>
      </c>
      <c r="M945">
        <v>570</v>
      </c>
      <c r="N945" t="s">
        <v>6795</v>
      </c>
    </row>
    <row r="946" spans="1:14">
      <c r="A946" t="s">
        <v>1746</v>
      </c>
      <c r="B946" t="s">
        <v>6786</v>
      </c>
      <c r="C946" t="s">
        <v>1744</v>
      </c>
      <c r="D946" s="96">
        <v>60.42</v>
      </c>
      <c r="E946" s="13">
        <v>113932.93</v>
      </c>
      <c r="F946" s="486">
        <v>1.8856999999999999</v>
      </c>
      <c r="G946"/>
      <c r="H946" s="13">
        <v>113932.93</v>
      </c>
      <c r="I946" s="13">
        <v>1.8856999999999999</v>
      </c>
      <c r="J946">
        <v>13</v>
      </c>
      <c r="K946" s="131">
        <v>45688</v>
      </c>
      <c r="M946">
        <v>570</v>
      </c>
      <c r="N946" t="s">
        <v>6796</v>
      </c>
    </row>
    <row r="947" spans="1:14">
      <c r="A947" t="s">
        <v>1746</v>
      </c>
      <c r="B947" t="s">
        <v>6786</v>
      </c>
      <c r="C947" t="s">
        <v>1744</v>
      </c>
      <c r="D947" s="96">
        <v>60.42</v>
      </c>
      <c r="E947" s="13">
        <v>114233.89</v>
      </c>
      <c r="F947" s="486">
        <v>1.8907</v>
      </c>
      <c r="G947"/>
      <c r="H947" s="13">
        <v>114233.89</v>
      </c>
      <c r="I947" s="13">
        <v>1.8907</v>
      </c>
      <c r="J947">
        <v>13</v>
      </c>
      <c r="K947" s="131">
        <v>45688</v>
      </c>
      <c r="M947">
        <v>570</v>
      </c>
      <c r="N947" t="s">
        <v>6797</v>
      </c>
    </row>
    <row r="948" spans="1:14">
      <c r="A948" t="s">
        <v>1746</v>
      </c>
      <c r="B948" t="s">
        <v>1748</v>
      </c>
      <c r="C948" t="s">
        <v>1744</v>
      </c>
      <c r="D948" s="96">
        <v>60.99</v>
      </c>
      <c r="E948" s="13">
        <v>77851.429999999993</v>
      </c>
      <c r="F948" s="486">
        <v>1.2765</v>
      </c>
      <c r="G948"/>
      <c r="H948" s="13">
        <v>77851.429999999993</v>
      </c>
      <c r="I948" s="13">
        <v>1.2765</v>
      </c>
      <c r="J948">
        <v>13</v>
      </c>
      <c r="K948" s="131">
        <v>45688</v>
      </c>
      <c r="M948">
        <v>570</v>
      </c>
      <c r="N948" t="s">
        <v>6798</v>
      </c>
    </row>
    <row r="949" spans="1:14">
      <c r="A949" t="s">
        <v>1746</v>
      </c>
      <c r="B949" t="s">
        <v>1748</v>
      </c>
      <c r="C949" t="s">
        <v>1744</v>
      </c>
      <c r="D949" s="96">
        <v>60.99</v>
      </c>
      <c r="E949" s="13">
        <v>78155.23</v>
      </c>
      <c r="F949" s="486">
        <v>1.2814000000000001</v>
      </c>
      <c r="G949"/>
      <c r="H949" s="13">
        <v>78155.23</v>
      </c>
      <c r="I949" s="13">
        <v>1.2814000000000001</v>
      </c>
      <c r="J949">
        <v>13</v>
      </c>
      <c r="K949" s="131">
        <v>45688</v>
      </c>
      <c r="M949">
        <v>570</v>
      </c>
      <c r="N949" t="s">
        <v>6799</v>
      </c>
    </row>
    <row r="950" spans="1:14">
      <c r="A950" t="s">
        <v>1746</v>
      </c>
      <c r="B950" t="s">
        <v>1747</v>
      </c>
      <c r="C950" t="s">
        <v>1744</v>
      </c>
      <c r="D950" s="96">
        <v>60.99</v>
      </c>
      <c r="E950" s="13">
        <v>78701.3</v>
      </c>
      <c r="F950" s="486">
        <v>1.2904</v>
      </c>
      <c r="G950"/>
      <c r="H950" s="13">
        <v>78701.3</v>
      </c>
      <c r="I950" s="13">
        <v>1.2904</v>
      </c>
      <c r="J950">
        <v>13</v>
      </c>
      <c r="K950" s="131">
        <v>45688</v>
      </c>
      <c r="M950">
        <v>570</v>
      </c>
      <c r="N950" t="s">
        <v>6800</v>
      </c>
    </row>
    <row r="951" spans="1:14">
      <c r="A951" t="s">
        <v>1746</v>
      </c>
      <c r="B951" t="s">
        <v>1747</v>
      </c>
      <c r="C951" t="s">
        <v>1744</v>
      </c>
      <c r="D951" s="96">
        <v>60.99</v>
      </c>
      <c r="E951" s="13">
        <v>79005.09</v>
      </c>
      <c r="F951" s="486">
        <v>1.2954000000000001</v>
      </c>
      <c r="G951"/>
      <c r="H951" s="13">
        <v>79005.09</v>
      </c>
      <c r="I951" s="13">
        <v>1.2954000000000001</v>
      </c>
      <c r="J951">
        <v>13</v>
      </c>
      <c r="K951" s="131">
        <v>45688</v>
      </c>
      <c r="M951">
        <v>570</v>
      </c>
      <c r="N951" t="s">
        <v>6801</v>
      </c>
    </row>
    <row r="952" spans="1:14">
      <c r="A952" t="s">
        <v>1746</v>
      </c>
      <c r="B952" t="s">
        <v>1748</v>
      </c>
      <c r="C952" t="s">
        <v>1744</v>
      </c>
      <c r="D952" s="96">
        <v>60.99</v>
      </c>
      <c r="E952" s="13">
        <v>85592.79</v>
      </c>
      <c r="F952" s="486">
        <v>1.4034</v>
      </c>
      <c r="G952"/>
      <c r="H952" s="13">
        <v>85592.79</v>
      </c>
      <c r="I952" s="13">
        <v>1.4034</v>
      </c>
      <c r="J952">
        <v>13</v>
      </c>
      <c r="K952" s="131">
        <v>45688</v>
      </c>
      <c r="M952">
        <v>570</v>
      </c>
      <c r="N952" t="s">
        <v>6802</v>
      </c>
    </row>
    <row r="953" spans="1:14">
      <c r="A953" t="s">
        <v>1746</v>
      </c>
      <c r="B953" t="s">
        <v>1748</v>
      </c>
      <c r="C953" t="s">
        <v>1744</v>
      </c>
      <c r="D953" s="96">
        <v>60.99</v>
      </c>
      <c r="E953" s="13">
        <v>85896.59</v>
      </c>
      <c r="F953" s="486">
        <v>1.4084000000000001</v>
      </c>
      <c r="G953"/>
      <c r="H953" s="13">
        <v>85896.59</v>
      </c>
      <c r="I953" s="13">
        <v>1.4084000000000001</v>
      </c>
      <c r="J953">
        <v>13</v>
      </c>
      <c r="K953" s="131">
        <v>45688</v>
      </c>
      <c r="M953">
        <v>570</v>
      </c>
      <c r="N953" t="s">
        <v>6803</v>
      </c>
    </row>
    <row r="954" spans="1:14">
      <c r="A954" t="s">
        <v>1746</v>
      </c>
      <c r="B954" t="s">
        <v>6786</v>
      </c>
      <c r="C954" t="s">
        <v>1744</v>
      </c>
      <c r="D954" s="96">
        <v>60.99</v>
      </c>
      <c r="E954" s="13">
        <v>114457.62</v>
      </c>
      <c r="F954" s="486">
        <v>1.8767</v>
      </c>
      <c r="G954"/>
      <c r="H954" s="13">
        <v>114457.62</v>
      </c>
      <c r="I954" s="13">
        <v>1.8767</v>
      </c>
      <c r="J954">
        <v>13</v>
      </c>
      <c r="K954" s="131">
        <v>45688</v>
      </c>
      <c r="M954">
        <v>570</v>
      </c>
      <c r="N954" t="s">
        <v>6804</v>
      </c>
    </row>
    <row r="955" spans="1:14">
      <c r="A955" t="s">
        <v>1746</v>
      </c>
      <c r="B955" t="s">
        <v>6786</v>
      </c>
      <c r="C955" t="s">
        <v>1744</v>
      </c>
      <c r="D955" s="96">
        <v>60.99</v>
      </c>
      <c r="E955" s="13">
        <v>114761.41</v>
      </c>
      <c r="F955" s="486">
        <v>1.8815999999999999</v>
      </c>
      <c r="G955"/>
      <c r="H955" s="13">
        <v>114761.41</v>
      </c>
      <c r="I955" s="13">
        <v>1.8815999999999999</v>
      </c>
      <c r="J955">
        <v>13</v>
      </c>
      <c r="K955" s="131">
        <v>45688</v>
      </c>
      <c r="M955">
        <v>570</v>
      </c>
      <c r="N955" t="s">
        <v>6805</v>
      </c>
    </row>
    <row r="956" spans="1:14">
      <c r="A956" t="s">
        <v>1746</v>
      </c>
      <c r="B956" t="s">
        <v>6571</v>
      </c>
      <c r="C956" t="s">
        <v>1744</v>
      </c>
      <c r="D956" s="96">
        <v>61.06</v>
      </c>
      <c r="E956" s="13">
        <v>109712.18</v>
      </c>
      <c r="F956" s="486">
        <v>1.7968</v>
      </c>
      <c r="G956"/>
      <c r="H956" s="13">
        <v>109712.18</v>
      </c>
      <c r="I956" s="13">
        <v>1.7968</v>
      </c>
      <c r="J956">
        <v>13</v>
      </c>
      <c r="K956" s="131">
        <v>45688</v>
      </c>
      <c r="M956">
        <v>710</v>
      </c>
      <c r="N956" t="s">
        <v>6806</v>
      </c>
    </row>
    <row r="957" spans="1:14">
      <c r="A957" t="s">
        <v>1746</v>
      </c>
      <c r="B957" t="s">
        <v>1748</v>
      </c>
      <c r="C957" t="s">
        <v>1744</v>
      </c>
      <c r="D957" s="96">
        <v>61.56</v>
      </c>
      <c r="E957" s="13">
        <v>78376.12</v>
      </c>
      <c r="F957" s="486">
        <v>1.2732000000000001</v>
      </c>
      <c r="G957"/>
      <c r="H957" s="13">
        <v>78376.12</v>
      </c>
      <c r="I957" s="13">
        <v>1.2732000000000001</v>
      </c>
      <c r="J957">
        <v>13</v>
      </c>
      <c r="K957" s="131">
        <v>45688</v>
      </c>
      <c r="M957">
        <v>570</v>
      </c>
      <c r="N957" t="s">
        <v>6807</v>
      </c>
    </row>
    <row r="958" spans="1:14">
      <c r="A958" t="s">
        <v>1746</v>
      </c>
      <c r="B958" t="s">
        <v>1748</v>
      </c>
      <c r="C958" t="s">
        <v>1744</v>
      </c>
      <c r="D958" s="96">
        <v>61.56</v>
      </c>
      <c r="E958" s="13">
        <v>78682.75</v>
      </c>
      <c r="F958" s="486">
        <v>1.2781</v>
      </c>
      <c r="G958"/>
      <c r="H958" s="13">
        <v>78682.75</v>
      </c>
      <c r="I958" s="13">
        <v>1.2781</v>
      </c>
      <c r="J958">
        <v>13</v>
      </c>
      <c r="K958" s="131">
        <v>45688</v>
      </c>
      <c r="M958">
        <v>570</v>
      </c>
      <c r="N958" t="s">
        <v>6808</v>
      </c>
    </row>
    <row r="959" spans="1:14">
      <c r="A959" t="s">
        <v>1746</v>
      </c>
      <c r="B959" t="s">
        <v>1747</v>
      </c>
      <c r="C959" t="s">
        <v>1744</v>
      </c>
      <c r="D959" s="96">
        <v>61.56</v>
      </c>
      <c r="E959" s="13">
        <v>79225.98</v>
      </c>
      <c r="F959" s="486">
        <v>1.2869999999999999</v>
      </c>
      <c r="G959"/>
      <c r="H959" s="13">
        <v>79225.98</v>
      </c>
      <c r="I959" s="13">
        <v>1.2869999999999999</v>
      </c>
      <c r="J959">
        <v>13</v>
      </c>
      <c r="K959" s="131">
        <v>45688</v>
      </c>
      <c r="M959">
        <v>570</v>
      </c>
      <c r="N959" t="s">
        <v>6809</v>
      </c>
    </row>
    <row r="960" spans="1:14">
      <c r="A960" t="s">
        <v>1746</v>
      </c>
      <c r="B960" t="s">
        <v>1747</v>
      </c>
      <c r="C960" t="s">
        <v>1744</v>
      </c>
      <c r="D960" s="96">
        <v>61.56</v>
      </c>
      <c r="E960" s="13">
        <v>79532.62</v>
      </c>
      <c r="F960" s="486">
        <v>1.292</v>
      </c>
      <c r="G960"/>
      <c r="H960" s="13">
        <v>79532.62</v>
      </c>
      <c r="I960" s="13">
        <v>1.292</v>
      </c>
      <c r="J960">
        <v>13</v>
      </c>
      <c r="K960" s="131">
        <v>45688</v>
      </c>
      <c r="M960">
        <v>570</v>
      </c>
      <c r="N960" t="s">
        <v>6810</v>
      </c>
    </row>
    <row r="961" spans="1:14">
      <c r="A961" t="s">
        <v>1746</v>
      </c>
      <c r="B961" t="s">
        <v>1748</v>
      </c>
      <c r="C961" t="s">
        <v>1744</v>
      </c>
      <c r="D961" s="96">
        <v>61.56</v>
      </c>
      <c r="E961" s="13">
        <v>86117.48</v>
      </c>
      <c r="F961" s="486">
        <v>1.3989</v>
      </c>
      <c r="G961"/>
      <c r="H961" s="13">
        <v>86117.48</v>
      </c>
      <c r="I961" s="13">
        <v>1.3989</v>
      </c>
      <c r="J961">
        <v>13</v>
      </c>
      <c r="K961" s="131">
        <v>45688</v>
      </c>
      <c r="M961">
        <v>570</v>
      </c>
      <c r="N961" t="s">
        <v>6811</v>
      </c>
    </row>
    <row r="962" spans="1:14">
      <c r="A962" t="s">
        <v>1746</v>
      </c>
      <c r="B962" t="s">
        <v>1748</v>
      </c>
      <c r="C962" t="s">
        <v>1744</v>
      </c>
      <c r="D962" s="96">
        <v>61.56</v>
      </c>
      <c r="E962" s="13">
        <v>86424.11</v>
      </c>
      <c r="F962" s="486">
        <v>1.4038999999999999</v>
      </c>
      <c r="G962"/>
      <c r="H962" s="13">
        <v>86424.11</v>
      </c>
      <c r="I962" s="13">
        <v>1.4038999999999999</v>
      </c>
      <c r="J962">
        <v>13</v>
      </c>
      <c r="K962" s="131">
        <v>45688</v>
      </c>
      <c r="M962">
        <v>570</v>
      </c>
      <c r="N962" t="s">
        <v>6812</v>
      </c>
    </row>
    <row r="963" spans="1:14">
      <c r="A963" t="s">
        <v>1746</v>
      </c>
      <c r="B963" t="s">
        <v>6786</v>
      </c>
      <c r="C963" t="s">
        <v>1744</v>
      </c>
      <c r="D963" s="96">
        <v>61.56</v>
      </c>
      <c r="E963" s="13">
        <v>114982.3</v>
      </c>
      <c r="F963" s="486">
        <v>1.8677999999999999</v>
      </c>
      <c r="G963"/>
      <c r="H963" s="13">
        <v>114982.3</v>
      </c>
      <c r="I963" s="13">
        <v>1.8677999999999999</v>
      </c>
      <c r="J963">
        <v>13</v>
      </c>
      <c r="K963" s="131">
        <v>45688</v>
      </c>
      <c r="M963">
        <v>570</v>
      </c>
      <c r="N963" t="s">
        <v>6813</v>
      </c>
    </row>
    <row r="964" spans="1:14">
      <c r="A964" t="s">
        <v>1746</v>
      </c>
      <c r="B964" t="s">
        <v>6786</v>
      </c>
      <c r="C964" t="s">
        <v>1744</v>
      </c>
      <c r="D964" s="96">
        <v>61.56</v>
      </c>
      <c r="E964" s="13">
        <v>115288.93</v>
      </c>
      <c r="F964" s="486">
        <v>1.8728</v>
      </c>
      <c r="G964"/>
      <c r="H964" s="13">
        <v>115288.93</v>
      </c>
      <c r="I964" s="13">
        <v>1.8728</v>
      </c>
      <c r="J964">
        <v>13</v>
      </c>
      <c r="K964" s="131">
        <v>45688</v>
      </c>
      <c r="M964">
        <v>570</v>
      </c>
      <c r="N964" t="s">
        <v>6814</v>
      </c>
    </row>
    <row r="965" spans="1:14">
      <c r="A965" t="s">
        <v>1746</v>
      </c>
      <c r="B965" t="s">
        <v>6571</v>
      </c>
      <c r="C965" t="s">
        <v>1744</v>
      </c>
      <c r="D965" s="96">
        <v>61.77</v>
      </c>
      <c r="E965" s="13">
        <v>110440.34</v>
      </c>
      <c r="F965" s="486">
        <v>1.7879</v>
      </c>
      <c r="G965"/>
      <c r="H965" s="13">
        <v>110440.34</v>
      </c>
      <c r="I965" s="13">
        <v>1.7879</v>
      </c>
      <c r="J965">
        <v>13</v>
      </c>
      <c r="K965" s="131">
        <v>45688</v>
      </c>
      <c r="M965">
        <v>710</v>
      </c>
      <c r="N965" t="s">
        <v>6815</v>
      </c>
    </row>
    <row r="966" spans="1:14">
      <c r="A966" t="s">
        <v>1746</v>
      </c>
      <c r="B966" t="s">
        <v>1748</v>
      </c>
      <c r="C966" t="s">
        <v>1744</v>
      </c>
      <c r="D966" s="96">
        <v>62.13</v>
      </c>
      <c r="E966" s="13">
        <v>79215.38</v>
      </c>
      <c r="F966" s="486">
        <v>1.2749999999999999</v>
      </c>
      <c r="G966"/>
      <c r="H966" s="13">
        <v>79215.38</v>
      </c>
      <c r="I966" s="13">
        <v>1.2749999999999999</v>
      </c>
      <c r="J966">
        <v>13</v>
      </c>
      <c r="K966" s="131">
        <v>45688</v>
      </c>
      <c r="M966">
        <v>570</v>
      </c>
      <c r="N966" t="s">
        <v>6816</v>
      </c>
    </row>
    <row r="967" spans="1:14">
      <c r="A967" t="s">
        <v>1746</v>
      </c>
      <c r="B967" t="s">
        <v>1748</v>
      </c>
      <c r="C967" t="s">
        <v>1744</v>
      </c>
      <c r="D967" s="96">
        <v>62.13</v>
      </c>
      <c r="E967" s="13">
        <v>79524.86</v>
      </c>
      <c r="F967" s="486">
        <v>1.28</v>
      </c>
      <c r="G967"/>
      <c r="H967" s="13">
        <v>79524.86</v>
      </c>
      <c r="I967" s="13">
        <v>1.28</v>
      </c>
      <c r="J967">
        <v>13</v>
      </c>
      <c r="K967" s="131">
        <v>45688</v>
      </c>
      <c r="M967">
        <v>570</v>
      </c>
      <c r="N967" t="s">
        <v>6817</v>
      </c>
    </row>
    <row r="968" spans="1:14">
      <c r="A968" t="s">
        <v>1746</v>
      </c>
      <c r="B968" t="s">
        <v>1747</v>
      </c>
      <c r="C968" t="s">
        <v>1744</v>
      </c>
      <c r="D968" s="96">
        <v>62.13</v>
      </c>
      <c r="E968" s="13">
        <v>80065.25</v>
      </c>
      <c r="F968" s="486">
        <v>1.2887</v>
      </c>
      <c r="G968"/>
      <c r="H968" s="13">
        <v>80065.25</v>
      </c>
      <c r="I968" s="13">
        <v>1.2887</v>
      </c>
      <c r="J968">
        <v>13</v>
      </c>
      <c r="K968" s="131">
        <v>45688</v>
      </c>
      <c r="M968">
        <v>570</v>
      </c>
      <c r="N968" t="s">
        <v>6818</v>
      </c>
    </row>
    <row r="969" spans="1:14">
      <c r="A969" t="s">
        <v>1746</v>
      </c>
      <c r="B969" t="s">
        <v>1747</v>
      </c>
      <c r="C969" t="s">
        <v>1744</v>
      </c>
      <c r="D969" s="96">
        <v>62.13</v>
      </c>
      <c r="E969" s="13">
        <v>80374.720000000001</v>
      </c>
      <c r="F969" s="486">
        <v>1.2937000000000001</v>
      </c>
      <c r="G969"/>
      <c r="H969" s="13">
        <v>80374.720000000001</v>
      </c>
      <c r="I969" s="13">
        <v>1.2937000000000001</v>
      </c>
      <c r="J969">
        <v>13</v>
      </c>
      <c r="K969" s="131">
        <v>45688</v>
      </c>
      <c r="M969">
        <v>570</v>
      </c>
      <c r="N969" t="s">
        <v>6819</v>
      </c>
    </row>
    <row r="970" spans="1:14">
      <c r="A970" t="s">
        <v>1746</v>
      </c>
      <c r="B970" t="s">
        <v>1748</v>
      </c>
      <c r="C970" t="s">
        <v>1744</v>
      </c>
      <c r="D970" s="96">
        <v>62.13</v>
      </c>
      <c r="E970" s="13">
        <v>86956.75</v>
      </c>
      <c r="F970" s="486">
        <v>1.3996</v>
      </c>
      <c r="G970"/>
      <c r="H970" s="13">
        <v>86956.75</v>
      </c>
      <c r="I970" s="13">
        <v>1.3996</v>
      </c>
      <c r="J970">
        <v>13</v>
      </c>
      <c r="K970" s="131">
        <v>45688</v>
      </c>
      <c r="M970">
        <v>570</v>
      </c>
      <c r="N970" t="s">
        <v>6820</v>
      </c>
    </row>
    <row r="971" spans="1:14">
      <c r="A971" t="s">
        <v>1746</v>
      </c>
      <c r="B971" t="s">
        <v>1748</v>
      </c>
      <c r="C971" t="s">
        <v>1744</v>
      </c>
      <c r="D971" s="96">
        <v>62.13</v>
      </c>
      <c r="E971" s="13">
        <v>87266.22</v>
      </c>
      <c r="F971" s="486">
        <v>1.4046000000000001</v>
      </c>
      <c r="G971"/>
      <c r="H971" s="13">
        <v>87266.22</v>
      </c>
      <c r="I971" s="13">
        <v>1.4046000000000001</v>
      </c>
      <c r="J971">
        <v>13</v>
      </c>
      <c r="K971" s="131">
        <v>45688</v>
      </c>
      <c r="M971">
        <v>570</v>
      </c>
      <c r="N971" t="s">
        <v>6821</v>
      </c>
    </row>
    <row r="972" spans="1:14">
      <c r="A972" t="s">
        <v>1746</v>
      </c>
      <c r="B972" t="s">
        <v>6786</v>
      </c>
      <c r="C972" t="s">
        <v>1744</v>
      </c>
      <c r="D972" s="96">
        <v>62.13</v>
      </c>
      <c r="E972" s="13">
        <v>117594.36</v>
      </c>
      <c r="F972" s="486">
        <v>1.8927</v>
      </c>
      <c r="G972"/>
      <c r="H972" s="13">
        <v>117594.36</v>
      </c>
      <c r="I972" s="13">
        <v>1.8927</v>
      </c>
      <c r="J972">
        <v>13</v>
      </c>
      <c r="K972" s="131">
        <v>45688</v>
      </c>
      <c r="M972">
        <v>570</v>
      </c>
      <c r="N972" t="s">
        <v>6822</v>
      </c>
    </row>
    <row r="973" spans="1:14">
      <c r="A973" t="s">
        <v>1746</v>
      </c>
      <c r="B973" t="s">
        <v>6786</v>
      </c>
      <c r="C973" t="s">
        <v>1744</v>
      </c>
      <c r="D973" s="96">
        <v>62.13</v>
      </c>
      <c r="E973" s="13">
        <v>117903.84</v>
      </c>
      <c r="F973" s="486">
        <v>1.8976999999999999</v>
      </c>
      <c r="G973"/>
      <c r="H973" s="13">
        <v>117903.84</v>
      </c>
      <c r="I973" s="13">
        <v>1.8976999999999999</v>
      </c>
      <c r="J973">
        <v>13</v>
      </c>
      <c r="K973" s="131">
        <v>45688</v>
      </c>
      <c r="M973">
        <v>570</v>
      </c>
      <c r="N973" t="s">
        <v>6823</v>
      </c>
    </row>
    <row r="974" spans="1:14">
      <c r="A974" t="s">
        <v>1746</v>
      </c>
      <c r="B974" t="s">
        <v>6571</v>
      </c>
      <c r="C974" t="s">
        <v>1744</v>
      </c>
      <c r="D974" s="96">
        <v>62.48</v>
      </c>
      <c r="E974" s="13">
        <v>111168.5</v>
      </c>
      <c r="F974" s="486">
        <v>1.7793000000000001</v>
      </c>
      <c r="G974"/>
      <c r="H974" s="13">
        <v>111168.5</v>
      </c>
      <c r="I974" s="13">
        <v>1.7793000000000001</v>
      </c>
      <c r="J974">
        <v>13</v>
      </c>
      <c r="K974" s="131">
        <v>45688</v>
      </c>
      <c r="M974">
        <v>710</v>
      </c>
      <c r="N974" t="s">
        <v>6824</v>
      </c>
    </row>
    <row r="975" spans="1:14">
      <c r="A975" t="s">
        <v>1746</v>
      </c>
      <c r="B975" t="s">
        <v>1748</v>
      </c>
      <c r="C975" t="s">
        <v>1744</v>
      </c>
      <c r="D975" s="96">
        <v>62.7</v>
      </c>
      <c r="E975" s="13">
        <v>79740.070000000007</v>
      </c>
      <c r="F975" s="486">
        <v>1.2718</v>
      </c>
      <c r="G975"/>
      <c r="H975" s="13">
        <v>79740.070000000007</v>
      </c>
      <c r="I975" s="13">
        <v>1.2718</v>
      </c>
      <c r="J975">
        <v>13</v>
      </c>
      <c r="K975" s="131">
        <v>45688</v>
      </c>
      <c r="M975">
        <v>570</v>
      </c>
      <c r="N975" t="s">
        <v>6825</v>
      </c>
    </row>
    <row r="976" spans="1:14">
      <c r="A976" t="s">
        <v>1746</v>
      </c>
      <c r="B976" t="s">
        <v>1748</v>
      </c>
      <c r="C976" t="s">
        <v>1744</v>
      </c>
      <c r="D976" s="96">
        <v>62.7</v>
      </c>
      <c r="E976" s="13">
        <v>80052.38</v>
      </c>
      <c r="F976" s="486">
        <v>1.2767999999999999</v>
      </c>
      <c r="G976"/>
      <c r="H976" s="13">
        <v>80052.38</v>
      </c>
      <c r="I976" s="13">
        <v>1.2767999999999999</v>
      </c>
      <c r="J976">
        <v>13</v>
      </c>
      <c r="K976" s="131">
        <v>45688</v>
      </c>
      <c r="M976">
        <v>570</v>
      </c>
      <c r="N976" t="s">
        <v>6826</v>
      </c>
    </row>
    <row r="977" spans="1:14">
      <c r="A977" t="s">
        <v>1746</v>
      </c>
      <c r="B977" t="s">
        <v>1747</v>
      </c>
      <c r="C977" t="s">
        <v>1744</v>
      </c>
      <c r="D977" s="96">
        <v>62.7</v>
      </c>
      <c r="E977" s="13">
        <v>80589.929999999993</v>
      </c>
      <c r="F977" s="486">
        <v>1.2853000000000001</v>
      </c>
      <c r="G977"/>
      <c r="H977" s="13">
        <v>80589.929999999993</v>
      </c>
      <c r="I977" s="13">
        <v>1.2853000000000001</v>
      </c>
      <c r="J977">
        <v>13</v>
      </c>
      <c r="K977" s="131">
        <v>45688</v>
      </c>
      <c r="M977">
        <v>570</v>
      </c>
      <c r="N977" t="s">
        <v>6827</v>
      </c>
    </row>
    <row r="978" spans="1:14">
      <c r="A978" t="s">
        <v>1746</v>
      </c>
      <c r="B978" t="s">
        <v>1747</v>
      </c>
      <c r="C978" t="s">
        <v>1744</v>
      </c>
      <c r="D978" s="96">
        <v>62.7</v>
      </c>
      <c r="E978" s="13">
        <v>80902.25</v>
      </c>
      <c r="F978" s="486">
        <v>1.2903</v>
      </c>
      <c r="G978"/>
      <c r="H978" s="13">
        <v>80902.25</v>
      </c>
      <c r="I978" s="13">
        <v>1.2903</v>
      </c>
      <c r="J978">
        <v>13</v>
      </c>
      <c r="K978" s="131">
        <v>45688</v>
      </c>
      <c r="M978">
        <v>570</v>
      </c>
      <c r="N978" t="s">
        <v>6828</v>
      </c>
    </row>
    <row r="979" spans="1:14">
      <c r="A979" t="s">
        <v>1746</v>
      </c>
      <c r="B979" t="s">
        <v>1748</v>
      </c>
      <c r="C979" t="s">
        <v>1744</v>
      </c>
      <c r="D979" s="96">
        <v>62.7</v>
      </c>
      <c r="E979" s="13">
        <v>87481.43</v>
      </c>
      <c r="F979" s="486">
        <v>1.3952</v>
      </c>
      <c r="G979"/>
      <c r="H979" s="13">
        <v>87481.43</v>
      </c>
      <c r="I979" s="13">
        <v>1.3952</v>
      </c>
      <c r="J979">
        <v>13</v>
      </c>
      <c r="K979" s="131">
        <v>45688</v>
      </c>
      <c r="M979">
        <v>570</v>
      </c>
      <c r="N979" t="s">
        <v>6829</v>
      </c>
    </row>
    <row r="980" spans="1:14">
      <c r="A980" t="s">
        <v>1746</v>
      </c>
      <c r="B980" t="s">
        <v>1748</v>
      </c>
      <c r="C980" t="s">
        <v>1744</v>
      </c>
      <c r="D980" s="96">
        <v>62.7</v>
      </c>
      <c r="E980" s="13">
        <v>87793.74</v>
      </c>
      <c r="F980" s="486">
        <v>1.4001999999999999</v>
      </c>
      <c r="G980"/>
      <c r="H980" s="13">
        <v>87793.74</v>
      </c>
      <c r="I980" s="13">
        <v>1.4001999999999999</v>
      </c>
      <c r="J980">
        <v>13</v>
      </c>
      <c r="K980" s="131">
        <v>45688</v>
      </c>
      <c r="M980">
        <v>570</v>
      </c>
      <c r="N980" t="s">
        <v>6830</v>
      </c>
    </row>
    <row r="981" spans="1:14">
      <c r="A981" t="s">
        <v>1746</v>
      </c>
      <c r="B981" t="s">
        <v>6786</v>
      </c>
      <c r="C981" t="s">
        <v>1744</v>
      </c>
      <c r="D981" s="96">
        <v>62.7</v>
      </c>
      <c r="E981" s="13">
        <v>118119.05</v>
      </c>
      <c r="F981" s="486">
        <v>1.8838999999999999</v>
      </c>
      <c r="G981"/>
      <c r="H981" s="13">
        <v>118119.05</v>
      </c>
      <c r="I981" s="13">
        <v>1.8838999999999999</v>
      </c>
      <c r="J981">
        <v>13</v>
      </c>
      <c r="K981" s="131">
        <v>45688</v>
      </c>
      <c r="M981">
        <v>570</v>
      </c>
      <c r="N981" t="s">
        <v>6831</v>
      </c>
    </row>
    <row r="982" spans="1:14">
      <c r="A982" t="s">
        <v>1746</v>
      </c>
      <c r="B982" t="s">
        <v>6786</v>
      </c>
      <c r="C982" t="s">
        <v>1744</v>
      </c>
      <c r="D982" s="96">
        <v>62.7</v>
      </c>
      <c r="E982" s="13">
        <v>118431.36</v>
      </c>
      <c r="F982" s="486">
        <v>1.8889</v>
      </c>
      <c r="G982"/>
      <c r="H982" s="13">
        <v>118431.36</v>
      </c>
      <c r="I982" s="13">
        <v>1.8889</v>
      </c>
      <c r="J982">
        <v>13</v>
      </c>
      <c r="K982" s="131">
        <v>45688</v>
      </c>
      <c r="M982">
        <v>570</v>
      </c>
      <c r="N982" t="s">
        <v>6832</v>
      </c>
    </row>
    <row r="983" spans="1:14">
      <c r="A983" t="s">
        <v>1746</v>
      </c>
      <c r="B983" t="s">
        <v>6642</v>
      </c>
      <c r="C983" t="s">
        <v>1744</v>
      </c>
      <c r="D983" s="96">
        <v>63.19</v>
      </c>
      <c r="E983" s="13">
        <v>114017.82</v>
      </c>
      <c r="F983" s="486">
        <v>1.8044</v>
      </c>
      <c r="G983"/>
      <c r="H983" s="13">
        <v>114017.82</v>
      </c>
      <c r="I983" s="13">
        <v>1.8044</v>
      </c>
      <c r="J983">
        <v>13</v>
      </c>
      <c r="K983" s="131">
        <v>45688</v>
      </c>
      <c r="M983">
        <v>710</v>
      </c>
      <c r="N983" t="s">
        <v>6833</v>
      </c>
    </row>
    <row r="984" spans="1:14">
      <c r="A984" t="s">
        <v>1746</v>
      </c>
      <c r="B984" t="s">
        <v>1748</v>
      </c>
      <c r="C984" t="s">
        <v>1744</v>
      </c>
      <c r="D984" s="96">
        <v>63.27</v>
      </c>
      <c r="E984" s="13">
        <v>80264.75</v>
      </c>
      <c r="F984" s="486">
        <v>1.2685999999999999</v>
      </c>
      <c r="G984"/>
      <c r="H984" s="13">
        <v>80264.75</v>
      </c>
      <c r="I984" s="13">
        <v>1.2685999999999999</v>
      </c>
      <c r="J984">
        <v>13</v>
      </c>
      <c r="K984" s="131">
        <v>45688</v>
      </c>
      <c r="M984">
        <v>570</v>
      </c>
      <c r="N984" t="s">
        <v>6834</v>
      </c>
    </row>
    <row r="985" spans="1:14">
      <c r="A985" t="s">
        <v>1746</v>
      </c>
      <c r="B985" t="s">
        <v>1748</v>
      </c>
      <c r="C985" t="s">
        <v>1744</v>
      </c>
      <c r="D985" s="96">
        <v>63.27</v>
      </c>
      <c r="E985" s="13">
        <v>80579.899999999994</v>
      </c>
      <c r="F985" s="486">
        <v>1.2736000000000001</v>
      </c>
      <c r="G985"/>
      <c r="H985" s="13">
        <v>80579.899999999994</v>
      </c>
      <c r="I985" s="13">
        <v>1.2736000000000001</v>
      </c>
      <c r="J985">
        <v>13</v>
      </c>
      <c r="K985" s="131">
        <v>45688</v>
      </c>
      <c r="M985">
        <v>570</v>
      </c>
      <c r="N985" t="s">
        <v>6835</v>
      </c>
    </row>
    <row r="986" spans="1:14">
      <c r="A986" t="s">
        <v>1746</v>
      </c>
      <c r="B986" t="s">
        <v>1747</v>
      </c>
      <c r="C986" t="s">
        <v>1744</v>
      </c>
      <c r="D986" s="96">
        <v>63.27</v>
      </c>
      <c r="E986" s="13">
        <v>81114.62</v>
      </c>
      <c r="F986" s="486">
        <v>1.282</v>
      </c>
      <c r="G986"/>
      <c r="H986" s="13">
        <v>81114.62</v>
      </c>
      <c r="I986" s="13">
        <v>1.282</v>
      </c>
      <c r="J986">
        <v>13</v>
      </c>
      <c r="K986" s="131">
        <v>45688</v>
      </c>
      <c r="M986">
        <v>570</v>
      </c>
      <c r="N986" t="s">
        <v>6836</v>
      </c>
    </row>
    <row r="987" spans="1:14">
      <c r="A987" t="s">
        <v>1746</v>
      </c>
      <c r="B987" t="s">
        <v>1747</v>
      </c>
      <c r="C987" t="s">
        <v>1744</v>
      </c>
      <c r="D987" s="96">
        <v>63.27</v>
      </c>
      <c r="E987" s="13">
        <v>81429.77</v>
      </c>
      <c r="F987" s="486">
        <v>1.2869999999999999</v>
      </c>
      <c r="G987"/>
      <c r="H987" s="13">
        <v>81429.77</v>
      </c>
      <c r="I987" s="13">
        <v>1.2869999999999999</v>
      </c>
      <c r="J987">
        <v>13</v>
      </c>
      <c r="K987" s="131">
        <v>45688</v>
      </c>
      <c r="M987">
        <v>570</v>
      </c>
      <c r="N987" t="s">
        <v>6837</v>
      </c>
    </row>
    <row r="988" spans="1:14">
      <c r="A988" t="s">
        <v>1746</v>
      </c>
      <c r="B988" t="s">
        <v>1748</v>
      </c>
      <c r="C988" t="s">
        <v>1744</v>
      </c>
      <c r="D988" s="96">
        <v>63.27</v>
      </c>
      <c r="E988" s="13">
        <v>88006.11</v>
      </c>
      <c r="F988" s="486">
        <v>1.391</v>
      </c>
      <c r="G988"/>
      <c r="H988" s="13">
        <v>88006.11</v>
      </c>
      <c r="I988" s="13">
        <v>1.391</v>
      </c>
      <c r="J988">
        <v>13</v>
      </c>
      <c r="K988" s="131">
        <v>45688</v>
      </c>
      <c r="M988">
        <v>570</v>
      </c>
      <c r="N988" t="s">
        <v>6838</v>
      </c>
    </row>
    <row r="989" spans="1:14">
      <c r="A989" t="s">
        <v>1746</v>
      </c>
      <c r="B989" t="s">
        <v>1748</v>
      </c>
      <c r="C989" t="s">
        <v>1744</v>
      </c>
      <c r="D989" s="96">
        <v>63.27</v>
      </c>
      <c r="E989" s="13">
        <v>88321.27</v>
      </c>
      <c r="F989" s="486">
        <v>1.3958999999999999</v>
      </c>
      <c r="G989"/>
      <c r="H989" s="13">
        <v>88321.27</v>
      </c>
      <c r="I989" s="13">
        <v>1.3958999999999999</v>
      </c>
      <c r="J989">
        <v>13</v>
      </c>
      <c r="K989" s="131">
        <v>45688</v>
      </c>
      <c r="M989">
        <v>570</v>
      </c>
      <c r="N989" t="s">
        <v>6839</v>
      </c>
    </row>
    <row r="990" spans="1:14">
      <c r="A990" t="s">
        <v>1746</v>
      </c>
      <c r="B990" t="s">
        <v>6786</v>
      </c>
      <c r="C990" t="s">
        <v>1744</v>
      </c>
      <c r="D990" s="96">
        <v>63.27</v>
      </c>
      <c r="E990" s="13">
        <v>118643.73</v>
      </c>
      <c r="F990" s="486">
        <v>1.8752</v>
      </c>
      <c r="G990"/>
      <c r="H990" s="13">
        <v>118643.73</v>
      </c>
      <c r="I990" s="13">
        <v>1.8752</v>
      </c>
      <c r="J990">
        <v>13</v>
      </c>
      <c r="K990" s="131">
        <v>45688</v>
      </c>
      <c r="M990">
        <v>570</v>
      </c>
      <c r="N990" t="s">
        <v>6840</v>
      </c>
    </row>
    <row r="991" spans="1:14">
      <c r="A991" t="s">
        <v>1746</v>
      </c>
      <c r="B991" t="s">
        <v>6786</v>
      </c>
      <c r="C991" t="s">
        <v>1744</v>
      </c>
      <c r="D991" s="96">
        <v>63.27</v>
      </c>
      <c r="E991" s="13">
        <v>118958.88</v>
      </c>
      <c r="F991" s="486">
        <v>1.8802000000000001</v>
      </c>
      <c r="G991"/>
      <c r="H991" s="13">
        <v>118958.88</v>
      </c>
      <c r="I991" s="13">
        <v>1.8802000000000001</v>
      </c>
      <c r="J991">
        <v>13</v>
      </c>
      <c r="K991" s="131">
        <v>45688</v>
      </c>
      <c r="M991">
        <v>570</v>
      </c>
      <c r="N991" t="s">
        <v>6841</v>
      </c>
    </row>
    <row r="992" spans="1:14">
      <c r="A992" t="s">
        <v>1746</v>
      </c>
      <c r="B992" t="s">
        <v>1748</v>
      </c>
      <c r="C992" t="s">
        <v>1744</v>
      </c>
      <c r="D992" s="96">
        <v>63.84</v>
      </c>
      <c r="E992" s="13">
        <v>80789.440000000002</v>
      </c>
      <c r="F992" s="486">
        <v>1.2655000000000001</v>
      </c>
      <c r="G992"/>
      <c r="H992" s="13">
        <v>80789.440000000002</v>
      </c>
      <c r="I992" s="13">
        <v>1.2655000000000001</v>
      </c>
      <c r="J992">
        <v>13</v>
      </c>
      <c r="K992" s="131">
        <v>45688</v>
      </c>
      <c r="M992">
        <v>570</v>
      </c>
      <c r="N992" t="s">
        <v>6842</v>
      </c>
    </row>
    <row r="993" spans="1:14">
      <c r="A993" t="s">
        <v>1746</v>
      </c>
      <c r="B993" t="s">
        <v>1748</v>
      </c>
      <c r="C993" t="s">
        <v>1744</v>
      </c>
      <c r="D993" s="96">
        <v>63.84</v>
      </c>
      <c r="E993" s="13">
        <v>81107.429999999993</v>
      </c>
      <c r="F993" s="486">
        <v>1.2705</v>
      </c>
      <c r="G993"/>
      <c r="H993" s="13">
        <v>81107.429999999993</v>
      </c>
      <c r="I993" s="13">
        <v>1.2705</v>
      </c>
      <c r="J993">
        <v>13</v>
      </c>
      <c r="K993" s="131">
        <v>45688</v>
      </c>
      <c r="M993">
        <v>570</v>
      </c>
      <c r="N993" t="s">
        <v>6843</v>
      </c>
    </row>
    <row r="994" spans="1:14">
      <c r="A994" t="s">
        <v>1746</v>
      </c>
      <c r="B994" t="s">
        <v>1747</v>
      </c>
      <c r="C994" t="s">
        <v>1744</v>
      </c>
      <c r="D994" s="96">
        <v>63.84</v>
      </c>
      <c r="E994" s="13">
        <v>81639.3</v>
      </c>
      <c r="F994" s="486">
        <v>1.2787999999999999</v>
      </c>
      <c r="G994"/>
      <c r="H994" s="13">
        <v>81639.3</v>
      </c>
      <c r="I994" s="13">
        <v>1.2787999999999999</v>
      </c>
      <c r="J994">
        <v>13</v>
      </c>
      <c r="K994" s="131">
        <v>45688</v>
      </c>
      <c r="M994">
        <v>570</v>
      </c>
      <c r="N994" t="s">
        <v>6844</v>
      </c>
    </row>
    <row r="995" spans="1:14">
      <c r="A995" t="s">
        <v>1746</v>
      </c>
      <c r="B995" t="s">
        <v>1747</v>
      </c>
      <c r="C995" t="s">
        <v>1744</v>
      </c>
      <c r="D995" s="96">
        <v>63.84</v>
      </c>
      <c r="E995" s="13">
        <v>81957.289999999994</v>
      </c>
      <c r="F995" s="486">
        <v>1.2838000000000001</v>
      </c>
      <c r="G995"/>
      <c r="H995" s="13">
        <v>81957.289999999994</v>
      </c>
      <c r="I995" s="13">
        <v>1.2838000000000001</v>
      </c>
      <c r="J995">
        <v>13</v>
      </c>
      <c r="K995" s="131">
        <v>45688</v>
      </c>
      <c r="M995">
        <v>570</v>
      </c>
      <c r="N995" t="s">
        <v>6845</v>
      </c>
    </row>
    <row r="996" spans="1:14">
      <c r="A996" t="s">
        <v>1746</v>
      </c>
      <c r="B996" t="s">
        <v>1748</v>
      </c>
      <c r="C996" t="s">
        <v>1744</v>
      </c>
      <c r="D996" s="96">
        <v>63.84</v>
      </c>
      <c r="E996" s="13">
        <v>88530.8</v>
      </c>
      <c r="F996" s="486">
        <v>1.3868</v>
      </c>
      <c r="G996"/>
      <c r="H996" s="13">
        <v>88530.8</v>
      </c>
      <c r="I996" s="13">
        <v>1.3868</v>
      </c>
      <c r="J996">
        <v>13</v>
      </c>
      <c r="K996" s="131">
        <v>45688</v>
      </c>
      <c r="M996">
        <v>570</v>
      </c>
      <c r="N996" t="s">
        <v>6846</v>
      </c>
    </row>
    <row r="997" spans="1:14">
      <c r="A997" t="s">
        <v>1746</v>
      </c>
      <c r="B997" t="s">
        <v>1748</v>
      </c>
      <c r="C997" t="s">
        <v>1744</v>
      </c>
      <c r="D997" s="96">
        <v>63.84</v>
      </c>
      <c r="E997" s="13">
        <v>88848.79</v>
      </c>
      <c r="F997" s="486">
        <v>1.3916999999999999</v>
      </c>
      <c r="G997"/>
      <c r="H997" s="13">
        <v>88848.79</v>
      </c>
      <c r="I997" s="13">
        <v>1.3916999999999999</v>
      </c>
      <c r="J997">
        <v>13</v>
      </c>
      <c r="K997" s="131">
        <v>45688</v>
      </c>
      <c r="M997">
        <v>570</v>
      </c>
      <c r="N997" t="s">
        <v>6847</v>
      </c>
    </row>
    <row r="998" spans="1:14">
      <c r="A998" t="s">
        <v>1746</v>
      </c>
      <c r="B998" t="s">
        <v>6786</v>
      </c>
      <c r="C998" t="s">
        <v>1744</v>
      </c>
      <c r="D998" s="96">
        <v>63.84</v>
      </c>
      <c r="E998" s="13">
        <v>119168.42</v>
      </c>
      <c r="F998" s="486">
        <v>1.8667</v>
      </c>
      <c r="G998"/>
      <c r="H998" s="13">
        <v>119168.42</v>
      </c>
      <c r="I998" s="13">
        <v>1.8667</v>
      </c>
      <c r="J998">
        <v>13</v>
      </c>
      <c r="K998" s="131">
        <v>45688</v>
      </c>
      <c r="M998">
        <v>570</v>
      </c>
      <c r="N998" t="s">
        <v>6848</v>
      </c>
    </row>
    <row r="999" spans="1:14">
      <c r="A999" t="s">
        <v>1746</v>
      </c>
      <c r="B999" t="s">
        <v>6786</v>
      </c>
      <c r="C999" t="s">
        <v>1744</v>
      </c>
      <c r="D999" s="96">
        <v>63.84</v>
      </c>
      <c r="E999" s="13">
        <v>119486.41</v>
      </c>
      <c r="F999" s="486">
        <v>1.8716999999999999</v>
      </c>
      <c r="G999"/>
      <c r="H999" s="13">
        <v>119486.41</v>
      </c>
      <c r="I999" s="13">
        <v>1.8716999999999999</v>
      </c>
      <c r="J999">
        <v>13</v>
      </c>
      <c r="K999" s="131">
        <v>45688</v>
      </c>
      <c r="M999">
        <v>570</v>
      </c>
      <c r="N999" t="s">
        <v>6849</v>
      </c>
    </row>
    <row r="1000" spans="1:14">
      <c r="A1000" t="s">
        <v>1746</v>
      </c>
      <c r="B1000" t="s">
        <v>6642</v>
      </c>
      <c r="C1000" t="s">
        <v>1744</v>
      </c>
      <c r="D1000" s="96">
        <v>63.9</v>
      </c>
      <c r="E1000" s="13">
        <v>114745.98</v>
      </c>
      <c r="F1000" s="486">
        <v>1.7957000000000001</v>
      </c>
      <c r="G1000"/>
      <c r="H1000" s="13">
        <v>114745.98</v>
      </c>
      <c r="I1000" s="13">
        <v>1.7957000000000001</v>
      </c>
      <c r="J1000">
        <v>13</v>
      </c>
      <c r="K1000" s="131">
        <v>45688</v>
      </c>
      <c r="M1000">
        <v>710</v>
      </c>
      <c r="N1000" t="s">
        <v>6850</v>
      </c>
    </row>
    <row r="1001" spans="1:14">
      <c r="A1001" t="s">
        <v>1746</v>
      </c>
      <c r="B1001" t="s">
        <v>1748</v>
      </c>
      <c r="C1001" t="s">
        <v>1744</v>
      </c>
      <c r="D1001" s="96">
        <v>64.41</v>
      </c>
      <c r="E1001" s="13">
        <v>81628.7</v>
      </c>
      <c r="F1001" s="486">
        <v>1.2673000000000001</v>
      </c>
      <c r="G1001"/>
      <c r="H1001" s="13">
        <v>81628.7</v>
      </c>
      <c r="I1001" s="13">
        <v>1.2673000000000001</v>
      </c>
      <c r="J1001">
        <v>13</v>
      </c>
      <c r="K1001" s="131">
        <v>45688</v>
      </c>
      <c r="M1001">
        <v>570</v>
      </c>
      <c r="N1001" t="s">
        <v>6851</v>
      </c>
    </row>
    <row r="1002" spans="1:14">
      <c r="A1002" t="s">
        <v>1746</v>
      </c>
      <c r="B1002" t="s">
        <v>1748</v>
      </c>
      <c r="C1002" t="s">
        <v>1744</v>
      </c>
      <c r="D1002" s="96">
        <v>64.41</v>
      </c>
      <c r="E1002" s="13">
        <v>81949.53</v>
      </c>
      <c r="F1002" s="486">
        <v>1.2723</v>
      </c>
      <c r="G1002"/>
      <c r="H1002" s="13">
        <v>81949.53</v>
      </c>
      <c r="I1002" s="13">
        <v>1.2723</v>
      </c>
      <c r="J1002">
        <v>13</v>
      </c>
      <c r="K1002" s="131">
        <v>45688</v>
      </c>
      <c r="M1002">
        <v>570</v>
      </c>
      <c r="N1002" t="s">
        <v>6852</v>
      </c>
    </row>
    <row r="1003" spans="1:14">
      <c r="A1003" t="s">
        <v>1746</v>
      </c>
      <c r="B1003" t="s">
        <v>1747</v>
      </c>
      <c r="C1003" t="s">
        <v>1744</v>
      </c>
      <c r="D1003" s="96">
        <v>64.41</v>
      </c>
      <c r="E1003" s="13">
        <v>82478.570000000007</v>
      </c>
      <c r="F1003" s="486">
        <v>1.2805</v>
      </c>
      <c r="H1003" s="13">
        <v>82478.570000000007</v>
      </c>
      <c r="I1003" s="13">
        <v>1.2805</v>
      </c>
      <c r="J1003">
        <v>13</v>
      </c>
      <c r="K1003" s="131">
        <v>45688</v>
      </c>
      <c r="M1003">
        <v>570</v>
      </c>
      <c r="N1003" t="s">
        <v>6853</v>
      </c>
    </row>
    <row r="1004" spans="1:14">
      <c r="A1004" t="s">
        <v>1746</v>
      </c>
      <c r="B1004" t="s">
        <v>1747</v>
      </c>
      <c r="C1004" t="s">
        <v>1744</v>
      </c>
      <c r="D1004" s="96">
        <v>64.41</v>
      </c>
      <c r="E1004" s="13">
        <v>82799.399999999994</v>
      </c>
      <c r="F1004" s="486">
        <v>1.2855000000000001</v>
      </c>
      <c r="G1004"/>
      <c r="H1004" s="13">
        <v>82799.399999999994</v>
      </c>
      <c r="I1004" s="13">
        <v>1.2855000000000001</v>
      </c>
      <c r="J1004">
        <v>13</v>
      </c>
      <c r="K1004" s="131">
        <v>45688</v>
      </c>
      <c r="M1004">
        <v>570</v>
      </c>
      <c r="N1004" t="s">
        <v>6854</v>
      </c>
    </row>
    <row r="1005" spans="1:14">
      <c r="A1005" t="s">
        <v>1746</v>
      </c>
      <c r="B1005" t="s">
        <v>1748</v>
      </c>
      <c r="C1005" t="s">
        <v>1744</v>
      </c>
      <c r="D1005" s="96">
        <v>64.41</v>
      </c>
      <c r="E1005" s="13">
        <v>93271.88</v>
      </c>
      <c r="F1005" s="486">
        <v>1.4480999999999999</v>
      </c>
      <c r="G1005"/>
      <c r="H1005" s="13">
        <v>93271.88</v>
      </c>
      <c r="I1005" s="13">
        <v>1.4480999999999999</v>
      </c>
      <c r="J1005">
        <v>13</v>
      </c>
      <c r="K1005" s="131">
        <v>45688</v>
      </c>
      <c r="M1005">
        <v>570</v>
      </c>
      <c r="N1005" t="s">
        <v>6855</v>
      </c>
    </row>
    <row r="1006" spans="1:14">
      <c r="A1006" t="s">
        <v>1746</v>
      </c>
      <c r="B1006" t="s">
        <v>1748</v>
      </c>
      <c r="C1006" t="s">
        <v>1744</v>
      </c>
      <c r="D1006" s="96">
        <v>64.41</v>
      </c>
      <c r="E1006" s="13">
        <v>93592.71</v>
      </c>
      <c r="F1006" s="486">
        <v>1.4531000000000001</v>
      </c>
      <c r="G1006"/>
      <c r="H1006" s="13">
        <v>93592.71</v>
      </c>
      <c r="I1006" s="13">
        <v>1.4531000000000001</v>
      </c>
      <c r="J1006">
        <v>13</v>
      </c>
      <c r="K1006" s="131">
        <v>45688</v>
      </c>
      <c r="M1006">
        <v>570</v>
      </c>
      <c r="N1006" t="s">
        <v>6856</v>
      </c>
    </row>
    <row r="1007" spans="1:14">
      <c r="A1007" t="s">
        <v>1746</v>
      </c>
      <c r="B1007" t="s">
        <v>6857</v>
      </c>
      <c r="C1007" t="s">
        <v>1744</v>
      </c>
      <c r="D1007" s="96">
        <v>64.41</v>
      </c>
      <c r="E1007" s="13">
        <v>121814.27</v>
      </c>
      <c r="F1007" s="486">
        <v>1.8912</v>
      </c>
      <c r="G1007"/>
      <c r="H1007" s="13">
        <v>121814.27</v>
      </c>
      <c r="I1007" s="13">
        <v>1.8912</v>
      </c>
      <c r="J1007">
        <v>13</v>
      </c>
      <c r="K1007" s="131">
        <v>45688</v>
      </c>
      <c r="M1007">
        <v>570</v>
      </c>
      <c r="N1007" t="s">
        <v>6858</v>
      </c>
    </row>
    <row r="1008" spans="1:14">
      <c r="A1008" t="s">
        <v>1746</v>
      </c>
      <c r="B1008" t="s">
        <v>6857</v>
      </c>
      <c r="C1008" t="s">
        <v>1744</v>
      </c>
      <c r="D1008" s="96">
        <v>64.41</v>
      </c>
      <c r="E1008" s="13">
        <v>122135.1</v>
      </c>
      <c r="F1008" s="486">
        <v>1.8962000000000001</v>
      </c>
      <c r="G1008"/>
      <c r="H1008" s="13">
        <v>122135.1</v>
      </c>
      <c r="I1008" s="13">
        <v>1.8962000000000001</v>
      </c>
      <c r="J1008">
        <v>13</v>
      </c>
      <c r="K1008" s="131">
        <v>45688</v>
      </c>
      <c r="M1008">
        <v>570</v>
      </c>
      <c r="N1008" t="s">
        <v>6859</v>
      </c>
    </row>
    <row r="1009" spans="1:14">
      <c r="A1009" t="s">
        <v>1746</v>
      </c>
      <c r="B1009" t="s">
        <v>6642</v>
      </c>
      <c r="C1009" t="s">
        <v>1744</v>
      </c>
      <c r="D1009" s="96">
        <v>64.61</v>
      </c>
      <c r="E1009" s="13">
        <v>115474.14</v>
      </c>
      <c r="F1009" s="486">
        <v>1.7871999999999999</v>
      </c>
      <c r="G1009"/>
      <c r="H1009" s="13">
        <v>115474.14</v>
      </c>
      <c r="I1009" s="13">
        <v>1.7871999999999999</v>
      </c>
      <c r="J1009">
        <v>13</v>
      </c>
      <c r="K1009" s="131">
        <v>45688</v>
      </c>
      <c r="M1009">
        <v>710</v>
      </c>
      <c r="N1009" t="s">
        <v>6860</v>
      </c>
    </row>
    <row r="1010" spans="1:14">
      <c r="A1010" t="s">
        <v>1746</v>
      </c>
      <c r="B1010" t="s">
        <v>1748</v>
      </c>
      <c r="C1010" t="s">
        <v>1744</v>
      </c>
      <c r="D1010" s="96">
        <v>64.98</v>
      </c>
      <c r="E1010" s="13">
        <v>82153.39</v>
      </c>
      <c r="F1010" s="486">
        <v>1.2643</v>
      </c>
      <c r="G1010"/>
      <c r="H1010" s="13">
        <v>82153.39</v>
      </c>
      <c r="I1010" s="13">
        <v>1.2643</v>
      </c>
      <c r="J1010">
        <v>13</v>
      </c>
      <c r="K1010" s="131">
        <v>45688</v>
      </c>
      <c r="M1010">
        <v>570</v>
      </c>
      <c r="N1010" t="s">
        <v>6861</v>
      </c>
    </row>
    <row r="1011" spans="1:14">
      <c r="A1011" t="s">
        <v>1746</v>
      </c>
      <c r="B1011" t="s">
        <v>1748</v>
      </c>
      <c r="C1011" t="s">
        <v>1744</v>
      </c>
      <c r="D1011" s="96">
        <v>64.98</v>
      </c>
      <c r="E1011" s="13">
        <v>82477.06</v>
      </c>
      <c r="F1011" s="486">
        <v>1.2693000000000001</v>
      </c>
      <c r="G1011"/>
      <c r="H1011" s="13">
        <v>82477.06</v>
      </c>
      <c r="I1011" s="13">
        <v>1.2693000000000001</v>
      </c>
      <c r="J1011">
        <v>13</v>
      </c>
      <c r="K1011" s="131">
        <v>45688</v>
      </c>
      <c r="M1011">
        <v>570</v>
      </c>
      <c r="N1011" t="s">
        <v>6862</v>
      </c>
    </row>
    <row r="1012" spans="1:14">
      <c r="A1012" t="s">
        <v>1746</v>
      </c>
      <c r="B1012" t="s">
        <v>1747</v>
      </c>
      <c r="C1012" t="s">
        <v>1744</v>
      </c>
      <c r="D1012" s="96">
        <v>64.98</v>
      </c>
      <c r="E1012" s="13">
        <v>83003.25</v>
      </c>
      <c r="F1012" s="486">
        <v>1.2774000000000001</v>
      </c>
      <c r="G1012"/>
      <c r="H1012" s="13">
        <v>83003.25</v>
      </c>
      <c r="I1012" s="13">
        <v>1.2774000000000001</v>
      </c>
      <c r="J1012">
        <v>13</v>
      </c>
      <c r="K1012" s="131">
        <v>45688</v>
      </c>
      <c r="M1012">
        <v>570</v>
      </c>
      <c r="N1012" t="s">
        <v>6863</v>
      </c>
    </row>
    <row r="1013" spans="1:14">
      <c r="A1013" t="s">
        <v>1746</v>
      </c>
      <c r="B1013" t="s">
        <v>1747</v>
      </c>
      <c r="C1013" t="s">
        <v>1744</v>
      </c>
      <c r="D1013" s="96">
        <v>64.98</v>
      </c>
      <c r="E1013" s="13">
        <v>83326.92</v>
      </c>
      <c r="F1013" s="486">
        <v>1.2823</v>
      </c>
      <c r="G1013"/>
      <c r="H1013" s="13">
        <v>83326.92</v>
      </c>
      <c r="I1013" s="13">
        <v>1.2823</v>
      </c>
      <c r="J1013">
        <v>13</v>
      </c>
      <c r="K1013" s="131">
        <v>45688</v>
      </c>
      <c r="M1013">
        <v>570</v>
      </c>
      <c r="N1013" t="s">
        <v>6864</v>
      </c>
    </row>
    <row r="1014" spans="1:14">
      <c r="A1014" t="s">
        <v>1746</v>
      </c>
      <c r="B1014" t="s">
        <v>1748</v>
      </c>
      <c r="C1014" t="s">
        <v>1744</v>
      </c>
      <c r="D1014" s="96">
        <v>64.98</v>
      </c>
      <c r="E1014" s="13">
        <v>93796.57</v>
      </c>
      <c r="F1014" s="486">
        <v>1.4435</v>
      </c>
      <c r="G1014"/>
      <c r="H1014" s="13">
        <v>93796.57</v>
      </c>
      <c r="I1014" s="13">
        <v>1.4435</v>
      </c>
      <c r="J1014">
        <v>13</v>
      </c>
      <c r="K1014" s="131">
        <v>45688</v>
      </c>
      <c r="M1014">
        <v>570</v>
      </c>
      <c r="N1014" t="s">
        <v>6865</v>
      </c>
    </row>
    <row r="1015" spans="1:14">
      <c r="A1015" t="s">
        <v>1746</v>
      </c>
      <c r="B1015" t="s">
        <v>1748</v>
      </c>
      <c r="C1015" t="s">
        <v>1744</v>
      </c>
      <c r="D1015" s="96">
        <v>64.98</v>
      </c>
      <c r="E1015" s="13">
        <v>94120.24</v>
      </c>
      <c r="F1015" s="486">
        <v>1.4483999999999999</v>
      </c>
      <c r="G1015"/>
      <c r="H1015" s="13">
        <v>94120.24</v>
      </c>
      <c r="I1015" s="13">
        <v>1.4483999999999999</v>
      </c>
      <c r="J1015">
        <v>13</v>
      </c>
      <c r="K1015" s="131">
        <v>45688</v>
      </c>
      <c r="M1015">
        <v>570</v>
      </c>
      <c r="N1015" t="s">
        <v>6866</v>
      </c>
    </row>
    <row r="1016" spans="1:14">
      <c r="A1016" t="s">
        <v>1746</v>
      </c>
      <c r="B1016" t="s">
        <v>6857</v>
      </c>
      <c r="C1016" t="s">
        <v>1744</v>
      </c>
      <c r="D1016" s="96">
        <v>64.98</v>
      </c>
      <c r="E1016" s="13">
        <v>122338.95</v>
      </c>
      <c r="F1016" s="486">
        <v>1.8827</v>
      </c>
      <c r="G1016"/>
      <c r="H1016" s="13">
        <v>122338.95</v>
      </c>
      <c r="I1016" s="13">
        <v>1.8827</v>
      </c>
      <c r="J1016">
        <v>13</v>
      </c>
      <c r="K1016" s="131">
        <v>45688</v>
      </c>
      <c r="M1016">
        <v>570</v>
      </c>
      <c r="N1016" t="s">
        <v>6867</v>
      </c>
    </row>
    <row r="1017" spans="1:14">
      <c r="A1017" t="s">
        <v>1746</v>
      </c>
      <c r="B1017" t="s">
        <v>6857</v>
      </c>
      <c r="C1017" t="s">
        <v>1744</v>
      </c>
      <c r="D1017" s="96">
        <v>64.98</v>
      </c>
      <c r="E1017" s="13">
        <v>122662.62</v>
      </c>
      <c r="F1017" s="486">
        <v>1.8876999999999999</v>
      </c>
      <c r="G1017"/>
      <c r="H1017" s="13">
        <v>122662.62</v>
      </c>
      <c r="I1017" s="13">
        <v>1.8876999999999999</v>
      </c>
      <c r="J1017">
        <v>13</v>
      </c>
      <c r="K1017" s="131">
        <v>45688</v>
      </c>
      <c r="M1017">
        <v>570</v>
      </c>
      <c r="N1017" t="s">
        <v>6868</v>
      </c>
    </row>
    <row r="1018" spans="1:14">
      <c r="A1018" t="s">
        <v>1746</v>
      </c>
      <c r="B1018" t="s">
        <v>6642</v>
      </c>
      <c r="C1018" t="s">
        <v>1744</v>
      </c>
      <c r="D1018" s="96">
        <v>65.319999999999993</v>
      </c>
      <c r="E1018" s="13">
        <v>116202.3</v>
      </c>
      <c r="F1018" s="486">
        <v>1.7789999999999999</v>
      </c>
      <c r="G1018"/>
      <c r="H1018" s="13">
        <v>116202.3</v>
      </c>
      <c r="I1018" s="13">
        <v>1.7789999999999999</v>
      </c>
      <c r="J1018">
        <v>13</v>
      </c>
      <c r="K1018" s="131">
        <v>45688</v>
      </c>
      <c r="M1018">
        <v>710</v>
      </c>
      <c r="N1018" t="s">
        <v>6869</v>
      </c>
    </row>
    <row r="1019" spans="1:14">
      <c r="A1019" t="s">
        <v>1746</v>
      </c>
      <c r="B1019" t="s">
        <v>1748</v>
      </c>
      <c r="C1019" t="s">
        <v>1744</v>
      </c>
      <c r="D1019" s="96">
        <v>65.55</v>
      </c>
      <c r="E1019" s="13">
        <v>82678.070000000007</v>
      </c>
      <c r="F1019" s="486">
        <v>1.2613000000000001</v>
      </c>
      <c r="G1019"/>
      <c r="H1019" s="13">
        <v>82678.070000000007</v>
      </c>
      <c r="I1019" s="13">
        <v>1.2613000000000001</v>
      </c>
      <c r="J1019">
        <v>13</v>
      </c>
      <c r="K1019" s="131">
        <v>45688</v>
      </c>
      <c r="M1019">
        <v>570</v>
      </c>
      <c r="N1019" t="s">
        <v>6870</v>
      </c>
    </row>
    <row r="1020" spans="1:14">
      <c r="A1020" t="s">
        <v>1746</v>
      </c>
      <c r="B1020" t="s">
        <v>1748</v>
      </c>
      <c r="C1020" t="s">
        <v>1744</v>
      </c>
      <c r="D1020" s="96">
        <v>65.55</v>
      </c>
      <c r="E1020" s="13">
        <v>83004.58</v>
      </c>
      <c r="F1020" s="486">
        <v>1.2663</v>
      </c>
      <c r="G1020"/>
      <c r="H1020" s="13">
        <v>83004.58</v>
      </c>
      <c r="I1020" s="13">
        <v>1.2663</v>
      </c>
      <c r="J1020">
        <v>13</v>
      </c>
      <c r="K1020" s="131">
        <v>45688</v>
      </c>
      <c r="M1020">
        <v>570</v>
      </c>
      <c r="N1020" t="s">
        <v>6871</v>
      </c>
    </row>
    <row r="1021" spans="1:14">
      <c r="A1021" t="s">
        <v>1746</v>
      </c>
      <c r="B1021" t="s">
        <v>1747</v>
      </c>
      <c r="C1021" t="s">
        <v>1744</v>
      </c>
      <c r="D1021" s="96">
        <v>65.55</v>
      </c>
      <c r="E1021" s="13">
        <v>83527.94</v>
      </c>
      <c r="F1021" s="486">
        <v>1.2743</v>
      </c>
      <c r="G1021"/>
      <c r="H1021" s="13">
        <v>83527.94</v>
      </c>
      <c r="I1021" s="13">
        <v>1.2743</v>
      </c>
      <c r="J1021">
        <v>13</v>
      </c>
      <c r="K1021" s="131">
        <v>45688</v>
      </c>
      <c r="M1021">
        <v>570</v>
      </c>
      <c r="N1021" t="s">
        <v>6872</v>
      </c>
    </row>
    <row r="1022" spans="1:14">
      <c r="A1022" t="s">
        <v>1746</v>
      </c>
      <c r="B1022" t="s">
        <v>1747</v>
      </c>
      <c r="C1022" t="s">
        <v>1744</v>
      </c>
      <c r="D1022" s="96">
        <v>65.55</v>
      </c>
      <c r="E1022" s="13">
        <v>83854.45</v>
      </c>
      <c r="F1022" s="486">
        <v>1.2791999999999999</v>
      </c>
      <c r="G1022"/>
      <c r="H1022" s="13">
        <v>83854.45</v>
      </c>
      <c r="I1022" s="13">
        <v>1.2791999999999999</v>
      </c>
      <c r="J1022">
        <v>13</v>
      </c>
      <c r="K1022" s="131">
        <v>45688</v>
      </c>
      <c r="M1022">
        <v>570</v>
      </c>
      <c r="N1022" t="s">
        <v>6873</v>
      </c>
    </row>
    <row r="1023" spans="1:14">
      <c r="A1023" t="s">
        <v>1746</v>
      </c>
      <c r="B1023" t="s">
        <v>1748</v>
      </c>
      <c r="C1023" t="s">
        <v>1744</v>
      </c>
      <c r="D1023" s="96">
        <v>65.55</v>
      </c>
      <c r="E1023" s="13">
        <v>94321.25</v>
      </c>
      <c r="F1023" s="486">
        <v>1.4389000000000001</v>
      </c>
      <c r="G1023"/>
      <c r="H1023" s="13">
        <v>94321.25</v>
      </c>
      <c r="I1023" s="13">
        <v>1.4389000000000001</v>
      </c>
      <c r="J1023">
        <v>13</v>
      </c>
      <c r="K1023" s="131">
        <v>45688</v>
      </c>
      <c r="M1023">
        <v>570</v>
      </c>
      <c r="N1023" t="s">
        <v>6874</v>
      </c>
    </row>
    <row r="1024" spans="1:14">
      <c r="A1024" t="s">
        <v>1746</v>
      </c>
      <c r="B1024" t="s">
        <v>1748</v>
      </c>
      <c r="C1024" t="s">
        <v>1744</v>
      </c>
      <c r="D1024" s="96">
        <v>65.55</v>
      </c>
      <c r="E1024" s="13">
        <v>94647.76</v>
      </c>
      <c r="F1024" s="486">
        <v>1.4439</v>
      </c>
      <c r="G1024"/>
      <c r="H1024" s="13">
        <v>94647.76</v>
      </c>
      <c r="I1024" s="13">
        <v>1.4439</v>
      </c>
      <c r="J1024">
        <v>13</v>
      </c>
      <c r="K1024" s="131">
        <v>45688</v>
      </c>
      <c r="M1024">
        <v>570</v>
      </c>
      <c r="N1024" t="s">
        <v>6875</v>
      </c>
    </row>
    <row r="1025" spans="1:14">
      <c r="A1025" t="s">
        <v>1746</v>
      </c>
      <c r="B1025" t="s">
        <v>6857</v>
      </c>
      <c r="C1025" t="s">
        <v>1744</v>
      </c>
      <c r="D1025" s="96">
        <v>65.55</v>
      </c>
      <c r="E1025" s="13">
        <v>122863.64</v>
      </c>
      <c r="F1025" s="486">
        <v>1.8743000000000001</v>
      </c>
      <c r="G1025"/>
      <c r="H1025" s="13">
        <v>122863.64</v>
      </c>
      <c r="I1025" s="13">
        <v>1.8743000000000001</v>
      </c>
      <c r="J1025">
        <v>13</v>
      </c>
      <c r="K1025" s="131">
        <v>45688</v>
      </c>
      <c r="M1025">
        <v>570</v>
      </c>
      <c r="N1025" t="s">
        <v>6876</v>
      </c>
    </row>
    <row r="1026" spans="1:14">
      <c r="A1026" t="s">
        <v>1746</v>
      </c>
      <c r="B1026" t="s">
        <v>6857</v>
      </c>
      <c r="C1026" t="s">
        <v>1744</v>
      </c>
      <c r="D1026" s="96">
        <v>65.55</v>
      </c>
      <c r="E1026" s="13">
        <v>123190.14</v>
      </c>
      <c r="F1026" s="486">
        <v>1.8793</v>
      </c>
      <c r="G1026"/>
      <c r="H1026" s="13">
        <v>123190.14</v>
      </c>
      <c r="I1026" s="13">
        <v>1.8793</v>
      </c>
      <c r="J1026">
        <v>13</v>
      </c>
      <c r="K1026" s="131">
        <v>45688</v>
      </c>
      <c r="M1026">
        <v>570</v>
      </c>
      <c r="N1026" t="s">
        <v>6877</v>
      </c>
    </row>
    <row r="1027" spans="1:14">
      <c r="A1027" t="s">
        <v>1746</v>
      </c>
      <c r="B1027" t="s">
        <v>6678</v>
      </c>
      <c r="C1027" t="s">
        <v>1744</v>
      </c>
      <c r="D1027" s="96">
        <v>66.03</v>
      </c>
      <c r="E1027" s="13">
        <v>119051.63</v>
      </c>
      <c r="F1027" s="486">
        <v>1.8029999999999999</v>
      </c>
      <c r="G1027"/>
      <c r="H1027" s="13">
        <v>119051.63</v>
      </c>
      <c r="I1027" s="13">
        <v>1.8029999999999999</v>
      </c>
      <c r="J1027">
        <v>13</v>
      </c>
      <c r="K1027" s="131">
        <v>45688</v>
      </c>
      <c r="M1027">
        <v>710</v>
      </c>
      <c r="N1027" t="s">
        <v>6878</v>
      </c>
    </row>
    <row r="1028" spans="1:14">
      <c r="A1028" t="s">
        <v>1746</v>
      </c>
      <c r="B1028" t="s">
        <v>1748</v>
      </c>
      <c r="C1028" t="s">
        <v>1744</v>
      </c>
      <c r="D1028" s="96">
        <v>66.12</v>
      </c>
      <c r="E1028" s="13">
        <v>83202.759999999995</v>
      </c>
      <c r="F1028" s="486">
        <v>1.2584</v>
      </c>
      <c r="G1028"/>
      <c r="H1028" s="13">
        <v>83202.759999999995</v>
      </c>
      <c r="I1028" s="13">
        <v>1.2584</v>
      </c>
      <c r="J1028">
        <v>13</v>
      </c>
      <c r="K1028" s="131">
        <v>45688</v>
      </c>
      <c r="M1028">
        <v>570</v>
      </c>
      <c r="N1028" t="s">
        <v>6879</v>
      </c>
    </row>
    <row r="1029" spans="1:14">
      <c r="A1029" t="s">
        <v>1746</v>
      </c>
      <c r="B1029" t="s">
        <v>1748</v>
      </c>
      <c r="C1029" t="s">
        <v>1744</v>
      </c>
      <c r="D1029" s="96">
        <v>66.12</v>
      </c>
      <c r="E1029" s="13">
        <v>83532.100000000006</v>
      </c>
      <c r="F1029" s="486">
        <v>1.2633000000000001</v>
      </c>
      <c r="G1029"/>
      <c r="H1029" s="13">
        <v>83532.100000000006</v>
      </c>
      <c r="I1029" s="13">
        <v>1.2633000000000001</v>
      </c>
      <c r="J1029">
        <v>13</v>
      </c>
      <c r="K1029" s="131">
        <v>45688</v>
      </c>
      <c r="M1029">
        <v>570</v>
      </c>
      <c r="N1029" t="s">
        <v>6880</v>
      </c>
    </row>
    <row r="1030" spans="1:14">
      <c r="A1030" t="s">
        <v>1746</v>
      </c>
      <c r="B1030" t="s">
        <v>1747</v>
      </c>
      <c r="C1030" t="s">
        <v>1744</v>
      </c>
      <c r="D1030" s="96">
        <v>66.12</v>
      </c>
      <c r="E1030" s="13">
        <v>84052.62</v>
      </c>
      <c r="F1030" s="486">
        <v>1.2712000000000001</v>
      </c>
      <c r="G1030"/>
      <c r="H1030" s="13">
        <v>84052.62</v>
      </c>
      <c r="I1030" s="13">
        <v>1.2712000000000001</v>
      </c>
      <c r="J1030">
        <v>13</v>
      </c>
      <c r="K1030" s="131">
        <v>45688</v>
      </c>
      <c r="M1030">
        <v>570</v>
      </c>
      <c r="N1030" t="s">
        <v>6881</v>
      </c>
    </row>
    <row r="1031" spans="1:14">
      <c r="A1031" t="s">
        <v>1746</v>
      </c>
      <c r="B1031" t="s">
        <v>1747</v>
      </c>
      <c r="C1031" t="s">
        <v>1744</v>
      </c>
      <c r="D1031" s="96">
        <v>66.12</v>
      </c>
      <c r="E1031" s="13">
        <v>84381.97</v>
      </c>
      <c r="F1031" s="486">
        <v>1.2762</v>
      </c>
      <c r="G1031"/>
      <c r="H1031" s="13">
        <v>84381.97</v>
      </c>
      <c r="I1031" s="13">
        <v>1.2762</v>
      </c>
      <c r="J1031">
        <v>13</v>
      </c>
      <c r="K1031" s="131">
        <v>45688</v>
      </c>
      <c r="M1031">
        <v>570</v>
      </c>
      <c r="N1031" t="s">
        <v>6882</v>
      </c>
    </row>
    <row r="1032" spans="1:14">
      <c r="A1032" t="s">
        <v>1746</v>
      </c>
      <c r="B1032" t="s">
        <v>1748</v>
      </c>
      <c r="C1032" t="s">
        <v>1744</v>
      </c>
      <c r="D1032" s="96">
        <v>66.12</v>
      </c>
      <c r="E1032" s="13">
        <v>94845.94</v>
      </c>
      <c r="F1032" s="486">
        <v>1.4345000000000001</v>
      </c>
      <c r="G1032"/>
      <c r="H1032" s="13">
        <v>94845.94</v>
      </c>
      <c r="I1032" s="13">
        <v>1.4345000000000001</v>
      </c>
      <c r="J1032">
        <v>13</v>
      </c>
      <c r="K1032" s="131">
        <v>45688</v>
      </c>
      <c r="M1032">
        <v>570</v>
      </c>
      <c r="N1032" t="s">
        <v>6883</v>
      </c>
    </row>
    <row r="1033" spans="1:14">
      <c r="A1033" t="s">
        <v>1746</v>
      </c>
      <c r="B1033" t="s">
        <v>1748</v>
      </c>
      <c r="C1033" t="s">
        <v>1744</v>
      </c>
      <c r="D1033" s="96">
        <v>66.12</v>
      </c>
      <c r="E1033" s="13">
        <v>95175.28</v>
      </c>
      <c r="F1033" s="486">
        <v>1.4394</v>
      </c>
      <c r="G1033"/>
      <c r="H1033" s="13">
        <v>95175.28</v>
      </c>
      <c r="I1033" s="13">
        <v>1.4394</v>
      </c>
      <c r="J1033">
        <v>13</v>
      </c>
      <c r="K1033" s="131">
        <v>45688</v>
      </c>
      <c r="M1033">
        <v>570</v>
      </c>
      <c r="N1033" t="s">
        <v>6884</v>
      </c>
    </row>
    <row r="1034" spans="1:14">
      <c r="A1034" t="s">
        <v>1746</v>
      </c>
      <c r="B1034" t="s">
        <v>6857</v>
      </c>
      <c r="C1034" t="s">
        <v>1744</v>
      </c>
      <c r="D1034" s="96">
        <v>66.12</v>
      </c>
      <c r="E1034" s="13">
        <v>123388.32</v>
      </c>
      <c r="F1034" s="486">
        <v>1.8661000000000001</v>
      </c>
      <c r="G1034"/>
      <c r="H1034" s="13">
        <v>123388.32</v>
      </c>
      <c r="I1034" s="13">
        <v>1.8661000000000001</v>
      </c>
      <c r="J1034">
        <v>13</v>
      </c>
      <c r="K1034" s="131">
        <v>45688</v>
      </c>
      <c r="M1034">
        <v>570</v>
      </c>
      <c r="N1034" t="s">
        <v>6885</v>
      </c>
    </row>
    <row r="1035" spans="1:14">
      <c r="A1035" t="s">
        <v>1746</v>
      </c>
      <c r="B1035" t="s">
        <v>6857</v>
      </c>
      <c r="C1035" t="s">
        <v>1744</v>
      </c>
      <c r="D1035" s="96">
        <v>66.12</v>
      </c>
      <c r="E1035" s="13">
        <v>123717.67</v>
      </c>
      <c r="F1035" s="486">
        <v>1.8711</v>
      </c>
      <c r="G1035"/>
      <c r="H1035" s="13">
        <v>123717.67</v>
      </c>
      <c r="I1035" s="13">
        <v>1.8711</v>
      </c>
      <c r="J1035">
        <v>13</v>
      </c>
      <c r="K1035" s="131">
        <v>45688</v>
      </c>
      <c r="M1035">
        <v>570</v>
      </c>
      <c r="N1035" t="s">
        <v>6886</v>
      </c>
    </row>
    <row r="1036" spans="1:14">
      <c r="A1036" t="s">
        <v>1746</v>
      </c>
      <c r="B1036" t="s">
        <v>1748</v>
      </c>
      <c r="C1036" t="s">
        <v>1744</v>
      </c>
      <c r="D1036" s="96">
        <v>66.69</v>
      </c>
      <c r="E1036" s="13">
        <v>84042.02</v>
      </c>
      <c r="F1036" s="486">
        <v>1.2602</v>
      </c>
      <c r="G1036"/>
      <c r="H1036" s="13">
        <v>84042.02</v>
      </c>
      <c r="I1036" s="13">
        <v>1.2602</v>
      </c>
      <c r="J1036">
        <v>13</v>
      </c>
      <c r="K1036" s="131">
        <v>45688</v>
      </c>
      <c r="M1036">
        <v>570</v>
      </c>
      <c r="N1036" t="s">
        <v>6887</v>
      </c>
    </row>
    <row r="1037" spans="1:14">
      <c r="A1037" t="s">
        <v>1746</v>
      </c>
      <c r="B1037" t="s">
        <v>1748</v>
      </c>
      <c r="C1037" t="s">
        <v>1744</v>
      </c>
      <c r="D1037" s="96">
        <v>66.69</v>
      </c>
      <c r="E1037" s="13">
        <v>84374.21</v>
      </c>
      <c r="F1037" s="486">
        <v>1.2652000000000001</v>
      </c>
      <c r="G1037"/>
      <c r="H1037" s="13">
        <v>84374.21</v>
      </c>
      <c r="I1037" s="13">
        <v>1.2652000000000001</v>
      </c>
      <c r="J1037">
        <v>13</v>
      </c>
      <c r="K1037" s="131">
        <v>45688</v>
      </c>
      <c r="M1037">
        <v>570</v>
      </c>
      <c r="N1037" t="s">
        <v>6888</v>
      </c>
    </row>
    <row r="1038" spans="1:14">
      <c r="A1038" t="s">
        <v>1746</v>
      </c>
      <c r="B1038" t="s">
        <v>1747</v>
      </c>
      <c r="C1038" t="s">
        <v>1744</v>
      </c>
      <c r="D1038" s="96">
        <v>66.69</v>
      </c>
      <c r="E1038" s="13">
        <v>84891.89</v>
      </c>
      <c r="F1038" s="486">
        <v>1.2728999999999999</v>
      </c>
      <c r="G1038"/>
      <c r="H1038" s="13">
        <v>84891.89</v>
      </c>
      <c r="I1038" s="13">
        <v>1.2728999999999999</v>
      </c>
      <c r="J1038">
        <v>13</v>
      </c>
      <c r="K1038" s="131">
        <v>45688</v>
      </c>
      <c r="M1038">
        <v>570</v>
      </c>
      <c r="N1038" t="s">
        <v>6889</v>
      </c>
    </row>
    <row r="1039" spans="1:14">
      <c r="A1039" t="s">
        <v>1746</v>
      </c>
      <c r="B1039" t="s">
        <v>1747</v>
      </c>
      <c r="C1039" t="s">
        <v>1744</v>
      </c>
      <c r="D1039" s="96">
        <v>66.69</v>
      </c>
      <c r="E1039" s="13">
        <v>85224.08</v>
      </c>
      <c r="F1039" s="486">
        <v>1.2779</v>
      </c>
      <c r="G1039"/>
      <c r="H1039" s="13">
        <v>85224.08</v>
      </c>
      <c r="I1039" s="13">
        <v>1.2779</v>
      </c>
      <c r="J1039">
        <v>13</v>
      </c>
      <c r="K1039" s="131">
        <v>45688</v>
      </c>
      <c r="M1039">
        <v>570</v>
      </c>
      <c r="N1039" t="s">
        <v>6890</v>
      </c>
    </row>
    <row r="1040" spans="1:14">
      <c r="A1040" t="s">
        <v>1746</v>
      </c>
      <c r="B1040" t="s">
        <v>1748</v>
      </c>
      <c r="C1040" t="s">
        <v>1744</v>
      </c>
      <c r="D1040" s="96">
        <v>66.69</v>
      </c>
      <c r="E1040" s="13">
        <v>95685.2</v>
      </c>
      <c r="F1040" s="486">
        <v>1.4348000000000001</v>
      </c>
      <c r="G1040"/>
      <c r="H1040" s="13">
        <v>95685.2</v>
      </c>
      <c r="I1040" s="13">
        <v>1.4348000000000001</v>
      </c>
      <c r="J1040">
        <v>13</v>
      </c>
      <c r="K1040" s="131">
        <v>45688</v>
      </c>
      <c r="M1040">
        <v>570</v>
      </c>
      <c r="N1040" t="s">
        <v>6891</v>
      </c>
    </row>
    <row r="1041" spans="1:14">
      <c r="A1041" t="s">
        <v>1746</v>
      </c>
      <c r="B1041" t="s">
        <v>1748</v>
      </c>
      <c r="C1041" t="s">
        <v>1744</v>
      </c>
      <c r="D1041" s="96">
        <v>66.69</v>
      </c>
      <c r="E1041" s="13">
        <v>96017.39</v>
      </c>
      <c r="F1041" s="486">
        <v>1.4398</v>
      </c>
      <c r="G1041"/>
      <c r="H1041" s="13">
        <v>96017.39</v>
      </c>
      <c r="I1041" s="13">
        <v>1.4398</v>
      </c>
      <c r="J1041">
        <v>13</v>
      </c>
      <c r="K1041" s="131">
        <v>45688</v>
      </c>
      <c r="M1041">
        <v>570</v>
      </c>
      <c r="N1041" t="s">
        <v>6892</v>
      </c>
    </row>
    <row r="1042" spans="1:14">
      <c r="A1042" t="s">
        <v>1746</v>
      </c>
      <c r="B1042" t="s">
        <v>6893</v>
      </c>
      <c r="C1042" t="s">
        <v>1744</v>
      </c>
      <c r="D1042" s="96">
        <v>66.69</v>
      </c>
      <c r="E1042" s="13">
        <v>126034.17</v>
      </c>
      <c r="F1042" s="486">
        <v>1.8898999999999999</v>
      </c>
      <c r="G1042"/>
      <c r="H1042" s="13">
        <v>126034.17</v>
      </c>
      <c r="I1042" s="13">
        <v>1.8898999999999999</v>
      </c>
      <c r="J1042">
        <v>13</v>
      </c>
      <c r="K1042" s="131">
        <v>45688</v>
      </c>
      <c r="M1042">
        <v>570</v>
      </c>
      <c r="N1042" t="s">
        <v>6894</v>
      </c>
    </row>
    <row r="1043" spans="1:14">
      <c r="A1043" t="s">
        <v>1746</v>
      </c>
      <c r="B1043" t="s">
        <v>6893</v>
      </c>
      <c r="C1043" t="s">
        <v>1744</v>
      </c>
      <c r="D1043" s="96">
        <v>66.69</v>
      </c>
      <c r="E1043" s="13">
        <v>126366.36</v>
      </c>
      <c r="F1043" s="486">
        <v>1.8948</v>
      </c>
      <c r="G1043"/>
      <c r="H1043" s="13">
        <v>126366.36</v>
      </c>
      <c r="I1043" s="13">
        <v>1.8948</v>
      </c>
      <c r="J1043">
        <v>13</v>
      </c>
      <c r="K1043" s="131">
        <v>45688</v>
      </c>
      <c r="M1043">
        <v>570</v>
      </c>
      <c r="N1043" t="s">
        <v>6895</v>
      </c>
    </row>
    <row r="1044" spans="1:14">
      <c r="A1044" t="s">
        <v>1746</v>
      </c>
      <c r="B1044" t="s">
        <v>6678</v>
      </c>
      <c r="C1044" t="s">
        <v>1744</v>
      </c>
      <c r="D1044" s="96">
        <v>66.739999999999995</v>
      </c>
      <c r="E1044" s="13">
        <v>119779.79</v>
      </c>
      <c r="F1044" s="486">
        <v>1.7947</v>
      </c>
      <c r="G1044"/>
      <c r="H1044" s="13">
        <v>119779.79</v>
      </c>
      <c r="I1044" s="13">
        <v>1.7947</v>
      </c>
      <c r="J1044">
        <v>13</v>
      </c>
      <c r="K1044" s="131">
        <v>45688</v>
      </c>
      <c r="M1044">
        <v>710</v>
      </c>
      <c r="N1044" t="s">
        <v>6896</v>
      </c>
    </row>
    <row r="1045" spans="1:14">
      <c r="A1045" t="s">
        <v>1746</v>
      </c>
      <c r="B1045" t="s">
        <v>1748</v>
      </c>
      <c r="C1045" t="s">
        <v>1744</v>
      </c>
      <c r="D1045" s="96">
        <v>67.260000000000005</v>
      </c>
      <c r="E1045" s="13">
        <v>84566.71</v>
      </c>
      <c r="F1045" s="486">
        <v>1.2573000000000001</v>
      </c>
      <c r="G1045"/>
      <c r="H1045" s="13">
        <v>84566.71</v>
      </c>
      <c r="I1045" s="13">
        <v>1.2573000000000001</v>
      </c>
      <c r="J1045">
        <v>13</v>
      </c>
      <c r="K1045" s="131">
        <v>45688</v>
      </c>
      <c r="M1045">
        <v>570</v>
      </c>
      <c r="N1045" t="s">
        <v>6897</v>
      </c>
    </row>
    <row r="1046" spans="1:14">
      <c r="A1046" t="s">
        <v>1746</v>
      </c>
      <c r="B1046" t="s">
        <v>1748</v>
      </c>
      <c r="C1046" t="s">
        <v>1744</v>
      </c>
      <c r="D1046" s="96">
        <v>67.260000000000005</v>
      </c>
      <c r="E1046" s="13">
        <v>84901.73</v>
      </c>
      <c r="F1046" s="486">
        <v>1.2623</v>
      </c>
      <c r="G1046"/>
      <c r="H1046" s="13">
        <v>84901.73</v>
      </c>
      <c r="I1046" s="13">
        <v>1.2623</v>
      </c>
      <c r="J1046">
        <v>13</v>
      </c>
      <c r="K1046" s="131">
        <v>45688</v>
      </c>
      <c r="M1046">
        <v>570</v>
      </c>
      <c r="N1046" t="s">
        <v>6898</v>
      </c>
    </row>
    <row r="1047" spans="1:14">
      <c r="A1047" t="s">
        <v>1746</v>
      </c>
      <c r="B1047" t="s">
        <v>1747</v>
      </c>
      <c r="C1047" t="s">
        <v>1744</v>
      </c>
      <c r="D1047" s="96">
        <v>67.260000000000005</v>
      </c>
      <c r="E1047" s="13">
        <v>85416.57</v>
      </c>
      <c r="F1047" s="486">
        <v>1.2699</v>
      </c>
      <c r="G1047"/>
      <c r="H1047" s="13">
        <v>85416.57</v>
      </c>
      <c r="I1047" s="13">
        <v>1.2699</v>
      </c>
      <c r="J1047">
        <v>13</v>
      </c>
      <c r="K1047" s="131">
        <v>45688</v>
      </c>
      <c r="M1047">
        <v>570</v>
      </c>
      <c r="N1047" t="s">
        <v>6899</v>
      </c>
    </row>
    <row r="1048" spans="1:14">
      <c r="A1048" t="s">
        <v>1746</v>
      </c>
      <c r="B1048" t="s">
        <v>1747</v>
      </c>
      <c r="C1048" t="s">
        <v>1744</v>
      </c>
      <c r="D1048" s="96">
        <v>67.260000000000005</v>
      </c>
      <c r="E1048" s="13">
        <v>85751.6</v>
      </c>
      <c r="F1048" s="486">
        <v>1.2748999999999999</v>
      </c>
      <c r="G1048"/>
      <c r="H1048" s="13">
        <v>85751.6</v>
      </c>
      <c r="I1048" s="13">
        <v>1.2748999999999999</v>
      </c>
      <c r="J1048">
        <v>13</v>
      </c>
      <c r="K1048" s="131">
        <v>45688</v>
      </c>
      <c r="M1048">
        <v>570</v>
      </c>
      <c r="N1048" t="s">
        <v>6900</v>
      </c>
    </row>
    <row r="1049" spans="1:14">
      <c r="A1049" t="s">
        <v>1746</v>
      </c>
      <c r="B1049" t="s">
        <v>1748</v>
      </c>
      <c r="C1049" t="s">
        <v>1744</v>
      </c>
      <c r="D1049" s="96">
        <v>67.260000000000005</v>
      </c>
      <c r="E1049" s="13">
        <v>96209.89</v>
      </c>
      <c r="F1049" s="486">
        <v>1.4303999999999999</v>
      </c>
      <c r="G1049"/>
      <c r="H1049" s="13">
        <v>96209.89</v>
      </c>
      <c r="I1049" s="13">
        <v>1.4303999999999999</v>
      </c>
      <c r="J1049">
        <v>13</v>
      </c>
      <c r="K1049" s="131">
        <v>45688</v>
      </c>
      <c r="M1049">
        <v>570</v>
      </c>
      <c r="N1049" t="s">
        <v>6901</v>
      </c>
    </row>
    <row r="1050" spans="1:14">
      <c r="A1050" t="s">
        <v>1746</v>
      </c>
      <c r="B1050" t="s">
        <v>1748</v>
      </c>
      <c r="C1050" t="s">
        <v>1744</v>
      </c>
      <c r="D1050" s="96">
        <v>67.260000000000005</v>
      </c>
      <c r="E1050" s="13">
        <v>96544.91</v>
      </c>
      <c r="F1050" s="486">
        <v>1.4354</v>
      </c>
      <c r="G1050"/>
      <c r="H1050" s="13">
        <v>96544.91</v>
      </c>
      <c r="I1050" s="13">
        <v>1.4354</v>
      </c>
      <c r="J1050">
        <v>13</v>
      </c>
      <c r="K1050" s="131">
        <v>45688</v>
      </c>
      <c r="M1050">
        <v>570</v>
      </c>
      <c r="N1050" t="s">
        <v>6902</v>
      </c>
    </row>
    <row r="1051" spans="1:14">
      <c r="A1051" t="s">
        <v>1746</v>
      </c>
      <c r="B1051" t="s">
        <v>6893</v>
      </c>
      <c r="C1051" t="s">
        <v>1744</v>
      </c>
      <c r="D1051" s="96">
        <v>67.260000000000005</v>
      </c>
      <c r="E1051" s="13">
        <v>126558.85</v>
      </c>
      <c r="F1051" s="486">
        <v>1.8815999999999999</v>
      </c>
      <c r="G1051"/>
      <c r="H1051" s="13">
        <v>126558.85</v>
      </c>
      <c r="I1051" s="13">
        <v>1.8815999999999999</v>
      </c>
      <c r="J1051">
        <v>13</v>
      </c>
      <c r="K1051" s="131">
        <v>45688</v>
      </c>
      <c r="M1051">
        <v>570</v>
      </c>
      <c r="N1051" t="s">
        <v>6903</v>
      </c>
    </row>
    <row r="1052" spans="1:14">
      <c r="A1052" t="s">
        <v>1746</v>
      </c>
      <c r="B1052" t="s">
        <v>6893</v>
      </c>
      <c r="C1052" t="s">
        <v>1744</v>
      </c>
      <c r="D1052" s="96">
        <v>67.260000000000005</v>
      </c>
      <c r="E1052" s="13">
        <v>126893.88</v>
      </c>
      <c r="F1052" s="486">
        <v>1.8866000000000001</v>
      </c>
      <c r="G1052"/>
      <c r="H1052" s="13">
        <v>126893.88</v>
      </c>
      <c r="I1052" s="13">
        <v>1.8866000000000001</v>
      </c>
      <c r="J1052">
        <v>13</v>
      </c>
      <c r="K1052" s="131">
        <v>45688</v>
      </c>
      <c r="M1052">
        <v>570</v>
      </c>
      <c r="N1052" t="s">
        <v>6904</v>
      </c>
    </row>
    <row r="1053" spans="1:14">
      <c r="A1053" t="s">
        <v>1746</v>
      </c>
      <c r="B1053" t="s">
        <v>6678</v>
      </c>
      <c r="C1053" t="s">
        <v>1744</v>
      </c>
      <c r="D1053" s="96">
        <v>67.45</v>
      </c>
      <c r="E1053" s="13">
        <v>120507.95</v>
      </c>
      <c r="F1053" s="486">
        <v>1.7866</v>
      </c>
      <c r="G1053"/>
      <c r="H1053" s="13">
        <v>120507.95</v>
      </c>
      <c r="I1053" s="13">
        <v>1.7866</v>
      </c>
      <c r="J1053">
        <v>13</v>
      </c>
      <c r="K1053" s="131">
        <v>45688</v>
      </c>
      <c r="M1053">
        <v>710</v>
      </c>
      <c r="N1053" t="s">
        <v>6905</v>
      </c>
    </row>
    <row r="1054" spans="1:14">
      <c r="A1054" t="s">
        <v>1746</v>
      </c>
      <c r="B1054" t="s">
        <v>1748</v>
      </c>
      <c r="C1054" t="s">
        <v>1744</v>
      </c>
      <c r="D1054" s="96">
        <v>67.83</v>
      </c>
      <c r="E1054" s="13">
        <v>85091.39</v>
      </c>
      <c r="F1054" s="486">
        <v>1.2544999999999999</v>
      </c>
      <c r="G1054"/>
      <c r="H1054" s="13">
        <v>85091.39</v>
      </c>
      <c r="I1054" s="13">
        <v>1.2544999999999999</v>
      </c>
      <c r="J1054">
        <v>13</v>
      </c>
      <c r="K1054" s="131">
        <v>45688</v>
      </c>
      <c r="M1054">
        <v>570</v>
      </c>
      <c r="N1054" t="s">
        <v>6906</v>
      </c>
    </row>
    <row r="1055" spans="1:14">
      <c r="A1055" t="s">
        <v>1746</v>
      </c>
      <c r="B1055" t="s">
        <v>1748</v>
      </c>
      <c r="C1055" t="s">
        <v>1744</v>
      </c>
      <c r="D1055" s="96">
        <v>67.83</v>
      </c>
      <c r="E1055" s="13">
        <v>85429.26</v>
      </c>
      <c r="F1055" s="486">
        <v>1.2595000000000001</v>
      </c>
      <c r="G1055"/>
      <c r="H1055" s="13">
        <v>85429.26</v>
      </c>
      <c r="I1055" s="13">
        <v>1.2595000000000001</v>
      </c>
      <c r="J1055">
        <v>13</v>
      </c>
      <c r="K1055" s="131">
        <v>45688</v>
      </c>
      <c r="M1055">
        <v>570</v>
      </c>
      <c r="N1055" t="s">
        <v>6907</v>
      </c>
    </row>
    <row r="1056" spans="1:14">
      <c r="A1056" t="s">
        <v>1746</v>
      </c>
      <c r="B1056" t="s">
        <v>1747</v>
      </c>
      <c r="C1056" t="s">
        <v>1744</v>
      </c>
      <c r="D1056" s="96">
        <v>67.83</v>
      </c>
      <c r="E1056" s="13">
        <v>85941.26</v>
      </c>
      <c r="F1056" s="486">
        <v>1.2669999999999999</v>
      </c>
      <c r="G1056"/>
      <c r="H1056" s="13">
        <v>85941.26</v>
      </c>
      <c r="I1056" s="13">
        <v>1.2669999999999999</v>
      </c>
      <c r="J1056">
        <v>13</v>
      </c>
      <c r="K1056" s="131">
        <v>45688</v>
      </c>
      <c r="M1056">
        <v>570</v>
      </c>
      <c r="N1056" t="s">
        <v>6908</v>
      </c>
    </row>
    <row r="1057" spans="1:14">
      <c r="A1057" t="s">
        <v>1746</v>
      </c>
      <c r="B1057" t="s">
        <v>1747</v>
      </c>
      <c r="C1057" t="s">
        <v>1744</v>
      </c>
      <c r="D1057" s="96">
        <v>67.83</v>
      </c>
      <c r="E1057" s="13">
        <v>86279.12</v>
      </c>
      <c r="F1057" s="486">
        <v>1.272</v>
      </c>
      <c r="G1057"/>
      <c r="H1057" s="13">
        <v>86279.12</v>
      </c>
      <c r="I1057" s="13">
        <v>1.272</v>
      </c>
      <c r="J1057">
        <v>13</v>
      </c>
      <c r="K1057" s="131">
        <v>45688</v>
      </c>
      <c r="M1057">
        <v>570</v>
      </c>
      <c r="N1057" t="s">
        <v>6909</v>
      </c>
    </row>
    <row r="1058" spans="1:14">
      <c r="A1058" t="s">
        <v>1746</v>
      </c>
      <c r="B1058" t="s">
        <v>1748</v>
      </c>
      <c r="C1058" t="s">
        <v>1744</v>
      </c>
      <c r="D1058" s="96">
        <v>67.83</v>
      </c>
      <c r="E1058" s="13">
        <v>96734.57</v>
      </c>
      <c r="F1058" s="486">
        <v>1.4260999999999999</v>
      </c>
      <c r="G1058"/>
      <c r="H1058" s="13">
        <v>96734.57</v>
      </c>
      <c r="I1058" s="13">
        <v>1.4260999999999999</v>
      </c>
      <c r="J1058">
        <v>13</v>
      </c>
      <c r="K1058" s="131">
        <v>45688</v>
      </c>
      <c r="M1058">
        <v>570</v>
      </c>
      <c r="N1058" t="s">
        <v>6910</v>
      </c>
    </row>
    <row r="1059" spans="1:14">
      <c r="A1059" t="s">
        <v>1746</v>
      </c>
      <c r="B1059" t="s">
        <v>1748</v>
      </c>
      <c r="C1059" t="s">
        <v>1744</v>
      </c>
      <c r="D1059" s="96">
        <v>67.83</v>
      </c>
      <c r="E1059" s="13">
        <v>97072.44</v>
      </c>
      <c r="F1059" s="486">
        <v>1.4311</v>
      </c>
      <c r="G1059"/>
      <c r="H1059" s="13">
        <v>97072.44</v>
      </c>
      <c r="I1059" s="13">
        <v>1.4311</v>
      </c>
      <c r="J1059">
        <v>13</v>
      </c>
      <c r="K1059" s="131">
        <v>45688</v>
      </c>
      <c r="M1059">
        <v>570</v>
      </c>
      <c r="N1059" t="s">
        <v>6911</v>
      </c>
    </row>
    <row r="1060" spans="1:14">
      <c r="A1060" t="s">
        <v>1746</v>
      </c>
      <c r="B1060" t="s">
        <v>6893</v>
      </c>
      <c r="C1060" t="s">
        <v>1744</v>
      </c>
      <c r="D1060" s="96">
        <v>67.83</v>
      </c>
      <c r="E1060" s="13">
        <v>127083.54</v>
      </c>
      <c r="F1060" s="486">
        <v>1.8735999999999999</v>
      </c>
      <c r="G1060"/>
      <c r="H1060" s="13">
        <v>127083.54</v>
      </c>
      <c r="I1060" s="13">
        <v>1.8735999999999999</v>
      </c>
      <c r="J1060">
        <v>13</v>
      </c>
      <c r="K1060" s="131">
        <v>45688</v>
      </c>
      <c r="M1060">
        <v>570</v>
      </c>
      <c r="N1060" t="s">
        <v>6912</v>
      </c>
    </row>
    <row r="1061" spans="1:14">
      <c r="A1061" t="s">
        <v>1746</v>
      </c>
      <c r="B1061" t="s">
        <v>6893</v>
      </c>
      <c r="C1061" t="s">
        <v>1744</v>
      </c>
      <c r="D1061" s="96">
        <v>67.83</v>
      </c>
      <c r="E1061" s="13">
        <v>127421.4</v>
      </c>
      <c r="F1061" s="486">
        <v>1.8785000000000001</v>
      </c>
      <c r="G1061"/>
      <c r="H1061" s="13">
        <v>127421.4</v>
      </c>
      <c r="I1061" s="13">
        <v>1.8785000000000001</v>
      </c>
      <c r="J1061">
        <v>13</v>
      </c>
      <c r="K1061" s="131">
        <v>45688</v>
      </c>
      <c r="M1061">
        <v>570</v>
      </c>
      <c r="N1061" t="s">
        <v>6913</v>
      </c>
    </row>
    <row r="1062" spans="1:14">
      <c r="A1062" t="s">
        <v>1746</v>
      </c>
      <c r="B1062" t="s">
        <v>6678</v>
      </c>
      <c r="C1062" t="s">
        <v>1744</v>
      </c>
      <c r="D1062" s="96">
        <v>68.16</v>
      </c>
      <c r="E1062" s="13">
        <v>121236.11</v>
      </c>
      <c r="F1062" s="486">
        <v>1.7786999999999999</v>
      </c>
      <c r="G1062"/>
      <c r="H1062" s="13">
        <v>121236.11</v>
      </c>
      <c r="I1062" s="13">
        <v>1.7786999999999999</v>
      </c>
      <c r="J1062">
        <v>13</v>
      </c>
      <c r="K1062" s="131">
        <v>45688</v>
      </c>
      <c r="M1062">
        <v>710</v>
      </c>
      <c r="N1062" t="s">
        <v>6914</v>
      </c>
    </row>
    <row r="1063" spans="1:14">
      <c r="A1063" t="s">
        <v>1746</v>
      </c>
      <c r="B1063" t="s">
        <v>1748</v>
      </c>
      <c r="C1063" t="s">
        <v>1744</v>
      </c>
      <c r="D1063" s="96">
        <v>68.400000000000006</v>
      </c>
      <c r="E1063" s="13">
        <v>85616.08</v>
      </c>
      <c r="F1063" s="486">
        <v>1.2517</v>
      </c>
      <c r="G1063"/>
      <c r="H1063" s="13">
        <v>85616.08</v>
      </c>
      <c r="I1063" s="13">
        <v>1.2517</v>
      </c>
      <c r="J1063">
        <v>13</v>
      </c>
      <c r="K1063" s="131">
        <v>45688</v>
      </c>
      <c r="M1063">
        <v>570</v>
      </c>
      <c r="N1063" t="s">
        <v>6915</v>
      </c>
    </row>
    <row r="1064" spans="1:14">
      <c r="A1064" t="s">
        <v>1746</v>
      </c>
      <c r="B1064" t="s">
        <v>1748</v>
      </c>
      <c r="C1064" t="s">
        <v>1744</v>
      </c>
      <c r="D1064" s="96">
        <v>68.400000000000006</v>
      </c>
      <c r="E1064" s="13">
        <v>85956.78</v>
      </c>
      <c r="F1064" s="486">
        <v>1.2566999999999999</v>
      </c>
      <c r="G1064"/>
      <c r="H1064" s="13">
        <v>85956.78</v>
      </c>
      <c r="I1064" s="13">
        <v>1.2566999999999999</v>
      </c>
      <c r="J1064">
        <v>13</v>
      </c>
      <c r="K1064" s="131">
        <v>45688</v>
      </c>
      <c r="M1064">
        <v>570</v>
      </c>
      <c r="N1064" t="s">
        <v>6916</v>
      </c>
    </row>
    <row r="1065" spans="1:14">
      <c r="A1065" t="s">
        <v>1746</v>
      </c>
      <c r="B1065" t="s">
        <v>1747</v>
      </c>
      <c r="C1065" t="s">
        <v>1744</v>
      </c>
      <c r="D1065" s="96">
        <v>68.400000000000006</v>
      </c>
      <c r="E1065" s="13">
        <v>86465.94</v>
      </c>
      <c r="F1065" s="486">
        <v>1.2641</v>
      </c>
      <c r="G1065"/>
      <c r="H1065" s="13">
        <v>86465.94</v>
      </c>
      <c r="I1065" s="13">
        <v>1.2641</v>
      </c>
      <c r="J1065">
        <v>13</v>
      </c>
      <c r="K1065" s="131">
        <v>45688</v>
      </c>
      <c r="M1065">
        <v>570</v>
      </c>
      <c r="N1065" t="s">
        <v>6917</v>
      </c>
    </row>
    <row r="1066" spans="1:14">
      <c r="A1066" t="s">
        <v>1746</v>
      </c>
      <c r="B1066" t="s">
        <v>1747</v>
      </c>
      <c r="C1066" t="s">
        <v>1744</v>
      </c>
      <c r="D1066" s="96">
        <v>68.400000000000006</v>
      </c>
      <c r="E1066" s="13">
        <v>86806.65</v>
      </c>
      <c r="F1066" s="486">
        <v>1.2690999999999999</v>
      </c>
      <c r="G1066"/>
      <c r="H1066" s="13">
        <v>86806.65</v>
      </c>
      <c r="I1066" s="13">
        <v>1.2690999999999999</v>
      </c>
      <c r="J1066">
        <v>13</v>
      </c>
      <c r="K1066" s="131">
        <v>45688</v>
      </c>
      <c r="M1066">
        <v>570</v>
      </c>
      <c r="N1066" t="s">
        <v>6918</v>
      </c>
    </row>
    <row r="1067" spans="1:14">
      <c r="A1067" t="s">
        <v>1746</v>
      </c>
      <c r="B1067" t="s">
        <v>1748</v>
      </c>
      <c r="C1067" t="s">
        <v>1744</v>
      </c>
      <c r="D1067" s="96">
        <v>68.400000000000006</v>
      </c>
      <c r="E1067" s="13">
        <v>97259.26</v>
      </c>
      <c r="F1067" s="486">
        <v>1.4218999999999999</v>
      </c>
      <c r="G1067"/>
      <c r="H1067" s="13">
        <v>97259.26</v>
      </c>
      <c r="I1067" s="13">
        <v>1.4218999999999999</v>
      </c>
      <c r="J1067">
        <v>13</v>
      </c>
      <c r="K1067" s="131">
        <v>45688</v>
      </c>
      <c r="M1067">
        <v>570</v>
      </c>
      <c r="N1067" t="s">
        <v>6919</v>
      </c>
    </row>
    <row r="1068" spans="1:14">
      <c r="A1068" t="s">
        <v>1746</v>
      </c>
      <c r="B1068" t="s">
        <v>1748</v>
      </c>
      <c r="C1068" t="s">
        <v>1744</v>
      </c>
      <c r="D1068" s="96">
        <v>68.400000000000006</v>
      </c>
      <c r="E1068" s="13">
        <v>97599.96</v>
      </c>
      <c r="F1068" s="486">
        <v>1.4269000000000001</v>
      </c>
      <c r="G1068"/>
      <c r="H1068" s="13">
        <v>97599.96</v>
      </c>
      <c r="I1068" s="13">
        <v>1.4269000000000001</v>
      </c>
      <c r="J1068">
        <v>13</v>
      </c>
      <c r="K1068" s="131">
        <v>45688</v>
      </c>
      <c r="M1068">
        <v>570</v>
      </c>
      <c r="N1068" t="s">
        <v>6920</v>
      </c>
    </row>
    <row r="1069" spans="1:14">
      <c r="A1069" t="s">
        <v>1746</v>
      </c>
      <c r="B1069" t="s">
        <v>6893</v>
      </c>
      <c r="C1069" t="s">
        <v>1744</v>
      </c>
      <c r="D1069" s="96">
        <v>68.400000000000006</v>
      </c>
      <c r="E1069" s="13">
        <v>127608.22</v>
      </c>
      <c r="F1069" s="486">
        <v>1.8655999999999999</v>
      </c>
      <c r="G1069"/>
      <c r="H1069" s="13">
        <v>127608.22</v>
      </c>
      <c r="I1069" s="13">
        <v>1.8655999999999999</v>
      </c>
      <c r="J1069">
        <v>13</v>
      </c>
      <c r="K1069" s="131">
        <v>45688</v>
      </c>
      <c r="M1069">
        <v>570</v>
      </c>
      <c r="N1069" t="s">
        <v>6921</v>
      </c>
    </row>
    <row r="1070" spans="1:14">
      <c r="A1070" t="s">
        <v>1746</v>
      </c>
      <c r="B1070" t="s">
        <v>6893</v>
      </c>
      <c r="C1070" t="s">
        <v>1744</v>
      </c>
      <c r="D1070" s="96">
        <v>68.400000000000006</v>
      </c>
      <c r="E1070" s="13">
        <v>127948.93</v>
      </c>
      <c r="F1070" s="486">
        <v>1.8706</v>
      </c>
      <c r="G1070"/>
      <c r="H1070" s="13">
        <v>127948.93</v>
      </c>
      <c r="I1070" s="13">
        <v>1.8706</v>
      </c>
      <c r="J1070">
        <v>13</v>
      </c>
      <c r="K1070" s="131">
        <v>45688</v>
      </c>
      <c r="M1070">
        <v>570</v>
      </c>
      <c r="N1070" t="s">
        <v>6922</v>
      </c>
    </row>
    <row r="1071" spans="1:14">
      <c r="A1071" t="s">
        <v>1746</v>
      </c>
      <c r="B1071" t="s">
        <v>6678</v>
      </c>
      <c r="C1071" t="s">
        <v>1744</v>
      </c>
      <c r="D1071" s="96">
        <v>68.87</v>
      </c>
      <c r="E1071" s="13">
        <v>124051.65</v>
      </c>
      <c r="F1071" s="486">
        <v>1.8011999999999999</v>
      </c>
      <c r="G1071"/>
      <c r="H1071" s="13">
        <v>124051.65</v>
      </c>
      <c r="I1071" s="13">
        <v>1.8011999999999999</v>
      </c>
      <c r="J1071">
        <v>13</v>
      </c>
      <c r="K1071" s="131">
        <v>45688</v>
      </c>
      <c r="M1071">
        <v>710</v>
      </c>
      <c r="N1071" t="s">
        <v>6923</v>
      </c>
    </row>
    <row r="1072" spans="1:14">
      <c r="A1072" t="s">
        <v>1746</v>
      </c>
      <c r="B1072" t="s">
        <v>1748</v>
      </c>
      <c r="C1072" t="s">
        <v>1744</v>
      </c>
      <c r="D1072" s="96">
        <v>68.97</v>
      </c>
      <c r="E1072" s="13">
        <v>86455.34</v>
      </c>
      <c r="F1072" s="486">
        <v>1.2535000000000001</v>
      </c>
      <c r="G1072"/>
      <c r="H1072" s="13">
        <v>86455.34</v>
      </c>
      <c r="I1072" s="13">
        <v>1.2535000000000001</v>
      </c>
      <c r="J1072">
        <v>13</v>
      </c>
      <c r="K1072" s="131">
        <v>45688</v>
      </c>
      <c r="M1072">
        <v>570</v>
      </c>
      <c r="N1072" t="s">
        <v>6924</v>
      </c>
    </row>
    <row r="1073" spans="1:14">
      <c r="A1073" t="s">
        <v>1746</v>
      </c>
      <c r="B1073" t="s">
        <v>1748</v>
      </c>
      <c r="C1073" t="s">
        <v>1744</v>
      </c>
      <c r="D1073" s="96">
        <v>68.97</v>
      </c>
      <c r="E1073" s="13">
        <v>86798.89</v>
      </c>
      <c r="F1073" s="486">
        <v>1.2585</v>
      </c>
      <c r="G1073"/>
      <c r="H1073" s="13">
        <v>86798.89</v>
      </c>
      <c r="I1073" s="13">
        <v>1.2585</v>
      </c>
      <c r="J1073">
        <v>13</v>
      </c>
      <c r="K1073" s="131">
        <v>45688</v>
      </c>
      <c r="M1073">
        <v>570</v>
      </c>
      <c r="N1073" t="s">
        <v>6925</v>
      </c>
    </row>
    <row r="1074" spans="1:14">
      <c r="A1074" t="s">
        <v>1746</v>
      </c>
      <c r="B1074" t="s">
        <v>1747</v>
      </c>
      <c r="C1074" t="s">
        <v>1744</v>
      </c>
      <c r="D1074" s="96">
        <v>68.97</v>
      </c>
      <c r="E1074" s="13">
        <v>87305.21</v>
      </c>
      <c r="F1074" s="486">
        <v>1.2658</v>
      </c>
      <c r="G1074"/>
      <c r="H1074" s="13">
        <v>87305.21</v>
      </c>
      <c r="I1074" s="13">
        <v>1.2658</v>
      </c>
      <c r="J1074">
        <v>13</v>
      </c>
      <c r="K1074" s="131">
        <v>45688</v>
      </c>
      <c r="M1074">
        <v>570</v>
      </c>
      <c r="N1074" t="s">
        <v>6926</v>
      </c>
    </row>
    <row r="1075" spans="1:14">
      <c r="A1075" t="s">
        <v>1746</v>
      </c>
      <c r="B1075" t="s">
        <v>1747</v>
      </c>
      <c r="C1075" t="s">
        <v>1744</v>
      </c>
      <c r="D1075" s="96">
        <v>68.97</v>
      </c>
      <c r="E1075" s="13">
        <v>87648.75</v>
      </c>
      <c r="F1075" s="486">
        <v>1.2707999999999999</v>
      </c>
      <c r="G1075"/>
      <c r="H1075" s="13">
        <v>87648.75</v>
      </c>
      <c r="I1075" s="13">
        <v>1.2707999999999999</v>
      </c>
      <c r="J1075">
        <v>13</v>
      </c>
      <c r="K1075" s="131">
        <v>45688</v>
      </c>
      <c r="M1075">
        <v>570</v>
      </c>
      <c r="N1075" t="s">
        <v>6927</v>
      </c>
    </row>
    <row r="1076" spans="1:14">
      <c r="A1076" t="s">
        <v>1746</v>
      </c>
      <c r="B1076" t="s">
        <v>1748</v>
      </c>
      <c r="C1076" t="s">
        <v>1744</v>
      </c>
      <c r="D1076" s="96">
        <v>68.97</v>
      </c>
      <c r="E1076" s="13">
        <v>98098.52</v>
      </c>
      <c r="F1076" s="486">
        <v>1.4222999999999999</v>
      </c>
      <c r="G1076"/>
      <c r="H1076" s="13">
        <v>98098.52</v>
      </c>
      <c r="I1076" s="13">
        <v>1.4222999999999999</v>
      </c>
      <c r="J1076">
        <v>13</v>
      </c>
      <c r="K1076" s="131">
        <v>45688</v>
      </c>
      <c r="M1076">
        <v>570</v>
      </c>
      <c r="N1076" t="s">
        <v>6928</v>
      </c>
    </row>
    <row r="1077" spans="1:14">
      <c r="A1077" t="s">
        <v>1746</v>
      </c>
      <c r="B1077" t="s">
        <v>1748</v>
      </c>
      <c r="C1077" t="s">
        <v>1744</v>
      </c>
      <c r="D1077" s="96">
        <v>68.97</v>
      </c>
      <c r="E1077" s="13">
        <v>98442.07</v>
      </c>
      <c r="F1077" s="486">
        <v>1.4273</v>
      </c>
      <c r="G1077"/>
      <c r="H1077" s="13">
        <v>98442.07</v>
      </c>
      <c r="I1077" s="13">
        <v>1.4273</v>
      </c>
      <c r="J1077">
        <v>13</v>
      </c>
      <c r="K1077" s="131">
        <v>45688</v>
      </c>
      <c r="M1077">
        <v>570</v>
      </c>
      <c r="N1077" t="s">
        <v>6929</v>
      </c>
    </row>
    <row r="1078" spans="1:14">
      <c r="A1078" t="s">
        <v>1746</v>
      </c>
      <c r="B1078" t="s">
        <v>6893</v>
      </c>
      <c r="C1078" t="s">
        <v>1744</v>
      </c>
      <c r="D1078" s="96">
        <v>68.97</v>
      </c>
      <c r="E1078" s="13">
        <v>130220.29</v>
      </c>
      <c r="F1078" s="486">
        <v>1.8880999999999999</v>
      </c>
      <c r="G1078"/>
      <c r="H1078" s="13">
        <v>130220.29</v>
      </c>
      <c r="I1078" s="13">
        <v>1.8880999999999999</v>
      </c>
      <c r="J1078">
        <v>13</v>
      </c>
      <c r="K1078" s="131">
        <v>45688</v>
      </c>
      <c r="M1078">
        <v>570</v>
      </c>
      <c r="N1078" t="s">
        <v>6930</v>
      </c>
    </row>
    <row r="1079" spans="1:14">
      <c r="A1079" t="s">
        <v>1746</v>
      </c>
      <c r="B1079" t="s">
        <v>6893</v>
      </c>
      <c r="C1079" t="s">
        <v>1744</v>
      </c>
      <c r="D1079" s="96">
        <v>68.97</v>
      </c>
      <c r="E1079" s="13">
        <v>130563.83</v>
      </c>
      <c r="F1079" s="486">
        <v>1.8931</v>
      </c>
      <c r="G1079"/>
      <c r="H1079" s="13">
        <v>130563.83</v>
      </c>
      <c r="I1079" s="13">
        <v>1.8931</v>
      </c>
      <c r="J1079">
        <v>13</v>
      </c>
      <c r="K1079" s="131">
        <v>45688</v>
      </c>
      <c r="M1079">
        <v>570</v>
      </c>
      <c r="N1079" t="s">
        <v>6931</v>
      </c>
    </row>
    <row r="1080" spans="1:14">
      <c r="A1080" t="s">
        <v>1746</v>
      </c>
      <c r="B1080" t="s">
        <v>1747</v>
      </c>
      <c r="C1080" t="s">
        <v>1744</v>
      </c>
      <c r="D1080" s="96">
        <v>69.540000000000006</v>
      </c>
      <c r="E1080" s="13">
        <v>87829.89</v>
      </c>
      <c r="F1080" s="486">
        <v>1.2629999999999999</v>
      </c>
      <c r="G1080"/>
      <c r="H1080" s="13">
        <v>87829.89</v>
      </c>
      <c r="I1080" s="13">
        <v>1.2629999999999999</v>
      </c>
      <c r="J1080">
        <v>13</v>
      </c>
      <c r="K1080" s="131">
        <v>45688</v>
      </c>
      <c r="M1080">
        <v>570</v>
      </c>
      <c r="N1080" t="s">
        <v>6932</v>
      </c>
    </row>
    <row r="1081" spans="1:14">
      <c r="A1081" t="s">
        <v>1746</v>
      </c>
      <c r="B1081" t="s">
        <v>1747</v>
      </c>
      <c r="C1081" t="s">
        <v>1744</v>
      </c>
      <c r="D1081" s="96">
        <v>69.540000000000006</v>
      </c>
      <c r="E1081" s="13">
        <v>88176.28</v>
      </c>
      <c r="F1081" s="486">
        <v>1.268</v>
      </c>
      <c r="G1081"/>
      <c r="H1081" s="13">
        <v>88176.28</v>
      </c>
      <c r="I1081" s="13">
        <v>1.268</v>
      </c>
      <c r="J1081">
        <v>13</v>
      </c>
      <c r="K1081" s="131">
        <v>45688</v>
      </c>
      <c r="M1081">
        <v>570</v>
      </c>
      <c r="N1081" t="s">
        <v>6933</v>
      </c>
    </row>
    <row r="1082" spans="1:14">
      <c r="A1082" t="s">
        <v>1746</v>
      </c>
      <c r="B1082" t="s">
        <v>1748</v>
      </c>
      <c r="C1082" t="s">
        <v>1744</v>
      </c>
      <c r="D1082" s="96">
        <v>69.540000000000006</v>
      </c>
      <c r="E1082" s="13">
        <v>89276.18</v>
      </c>
      <c r="F1082" s="486">
        <v>1.2838000000000001</v>
      </c>
      <c r="G1082"/>
      <c r="H1082" s="13">
        <v>89276.18</v>
      </c>
      <c r="I1082" s="13">
        <v>1.2838000000000001</v>
      </c>
      <c r="J1082">
        <v>13</v>
      </c>
      <c r="K1082" s="131">
        <v>45688</v>
      </c>
      <c r="M1082">
        <v>570</v>
      </c>
      <c r="N1082" t="s">
        <v>6934</v>
      </c>
    </row>
    <row r="1083" spans="1:14">
      <c r="A1083" t="s">
        <v>1746</v>
      </c>
      <c r="B1083" t="s">
        <v>1748</v>
      </c>
      <c r="C1083" t="s">
        <v>1744</v>
      </c>
      <c r="D1083" s="96">
        <v>69.540000000000006</v>
      </c>
      <c r="E1083" s="13">
        <v>89622.57</v>
      </c>
      <c r="F1083" s="486">
        <v>1.2887999999999999</v>
      </c>
      <c r="G1083"/>
      <c r="H1083" s="13">
        <v>89622.57</v>
      </c>
      <c r="I1083" s="13">
        <v>1.2887999999999999</v>
      </c>
      <c r="J1083">
        <v>13</v>
      </c>
      <c r="K1083" s="131">
        <v>45688</v>
      </c>
      <c r="M1083">
        <v>570</v>
      </c>
      <c r="N1083" t="s">
        <v>6935</v>
      </c>
    </row>
    <row r="1084" spans="1:14">
      <c r="A1084" t="s">
        <v>1746</v>
      </c>
      <c r="B1084" t="s">
        <v>1748</v>
      </c>
      <c r="C1084" t="s">
        <v>1744</v>
      </c>
      <c r="D1084" s="96">
        <v>69.540000000000006</v>
      </c>
      <c r="E1084" s="13">
        <v>98623.21</v>
      </c>
      <c r="F1084" s="486">
        <v>1.4181999999999999</v>
      </c>
      <c r="G1084"/>
      <c r="H1084" s="13">
        <v>98623.21</v>
      </c>
      <c r="I1084" s="13">
        <v>1.4181999999999999</v>
      </c>
      <c r="J1084">
        <v>13</v>
      </c>
      <c r="K1084" s="131">
        <v>45688</v>
      </c>
      <c r="M1084">
        <v>570</v>
      </c>
      <c r="N1084" t="s">
        <v>6936</v>
      </c>
    </row>
    <row r="1085" spans="1:14">
      <c r="A1085" t="s">
        <v>1746</v>
      </c>
      <c r="B1085" t="s">
        <v>1748</v>
      </c>
      <c r="C1085" t="s">
        <v>1744</v>
      </c>
      <c r="D1085" s="96">
        <v>69.540000000000006</v>
      </c>
      <c r="E1085" s="13">
        <v>98969.59</v>
      </c>
      <c r="F1085" s="486">
        <v>1.4232</v>
      </c>
      <c r="G1085"/>
      <c r="H1085" s="13">
        <v>98969.59</v>
      </c>
      <c r="I1085" s="13">
        <v>1.4232</v>
      </c>
      <c r="J1085">
        <v>13</v>
      </c>
      <c r="K1085" s="131">
        <v>45688</v>
      </c>
      <c r="M1085">
        <v>570</v>
      </c>
      <c r="N1085" t="s">
        <v>6937</v>
      </c>
    </row>
    <row r="1086" spans="1:14">
      <c r="A1086" t="s">
        <v>1746</v>
      </c>
      <c r="B1086" t="s">
        <v>6893</v>
      </c>
      <c r="C1086" t="s">
        <v>1744</v>
      </c>
      <c r="D1086" s="96">
        <v>69.540000000000006</v>
      </c>
      <c r="E1086" s="13">
        <v>130744.97</v>
      </c>
      <c r="F1086" s="486">
        <v>1.8801000000000001</v>
      </c>
      <c r="G1086"/>
      <c r="H1086" s="13">
        <v>130744.97</v>
      </c>
      <c r="I1086" s="13">
        <v>1.8801000000000001</v>
      </c>
      <c r="J1086">
        <v>13</v>
      </c>
      <c r="K1086" s="131">
        <v>45688</v>
      </c>
      <c r="M1086">
        <v>570</v>
      </c>
      <c r="N1086" t="s">
        <v>6938</v>
      </c>
    </row>
    <row r="1087" spans="1:14">
      <c r="A1087" t="s">
        <v>1746</v>
      </c>
      <c r="B1087" t="s">
        <v>6893</v>
      </c>
      <c r="C1087" t="s">
        <v>1744</v>
      </c>
      <c r="D1087" s="96">
        <v>69.540000000000006</v>
      </c>
      <c r="E1087" s="13">
        <v>131091.35</v>
      </c>
      <c r="F1087" s="486">
        <v>1.8851</v>
      </c>
      <c r="G1087"/>
      <c r="H1087" s="13">
        <v>131091.35</v>
      </c>
      <c r="I1087" s="13">
        <v>1.8851</v>
      </c>
      <c r="J1087">
        <v>13</v>
      </c>
      <c r="K1087" s="131">
        <v>45688</v>
      </c>
      <c r="M1087">
        <v>570</v>
      </c>
      <c r="N1087" t="s">
        <v>6939</v>
      </c>
    </row>
    <row r="1088" spans="1:14">
      <c r="A1088" t="s">
        <v>1746</v>
      </c>
      <c r="B1088" t="s">
        <v>6678</v>
      </c>
      <c r="C1088" t="s">
        <v>1744</v>
      </c>
      <c r="D1088" s="96">
        <v>69.58</v>
      </c>
      <c r="E1088" s="13">
        <v>124779.81</v>
      </c>
      <c r="F1088" s="486">
        <v>1.7932999999999999</v>
      </c>
      <c r="G1088"/>
      <c r="H1088" s="13">
        <v>124779.81</v>
      </c>
      <c r="I1088" s="13">
        <v>1.7932999999999999</v>
      </c>
      <c r="J1088">
        <v>13</v>
      </c>
      <c r="K1088" s="131">
        <v>45688</v>
      </c>
      <c r="M1088">
        <v>710</v>
      </c>
      <c r="N1088" t="s">
        <v>6940</v>
      </c>
    </row>
    <row r="1089" spans="1:14">
      <c r="A1089" t="s">
        <v>1746</v>
      </c>
      <c r="B1089" t="s">
        <v>1747</v>
      </c>
      <c r="C1089" t="s">
        <v>1744</v>
      </c>
      <c r="D1089" s="96">
        <v>70.11</v>
      </c>
      <c r="E1089" s="13">
        <v>88354.58</v>
      </c>
      <c r="F1089" s="486">
        <v>1.2602</v>
      </c>
      <c r="G1089"/>
      <c r="H1089" s="13">
        <v>88354.58</v>
      </c>
      <c r="I1089" s="13">
        <v>1.2602</v>
      </c>
      <c r="J1089">
        <v>13</v>
      </c>
      <c r="K1089" s="131">
        <v>45688</v>
      </c>
      <c r="M1089">
        <v>570</v>
      </c>
      <c r="N1089" t="s">
        <v>6941</v>
      </c>
    </row>
    <row r="1090" spans="1:14">
      <c r="A1090" t="s">
        <v>1746</v>
      </c>
      <c r="B1090" t="s">
        <v>1747</v>
      </c>
      <c r="C1090" t="s">
        <v>1744</v>
      </c>
      <c r="D1090" s="96">
        <v>70.11</v>
      </c>
      <c r="E1090" s="13">
        <v>88703.8</v>
      </c>
      <c r="F1090" s="486">
        <v>1.2652000000000001</v>
      </c>
      <c r="G1090"/>
      <c r="H1090" s="13">
        <v>88703.8</v>
      </c>
      <c r="I1090" s="13">
        <v>1.2652000000000001</v>
      </c>
      <c r="J1090">
        <v>13</v>
      </c>
      <c r="K1090" s="131">
        <v>45688</v>
      </c>
      <c r="M1090">
        <v>570</v>
      </c>
      <c r="N1090" t="s">
        <v>6942</v>
      </c>
    </row>
    <row r="1091" spans="1:14">
      <c r="A1091" t="s">
        <v>1746</v>
      </c>
      <c r="B1091" t="s">
        <v>1748</v>
      </c>
      <c r="C1091" t="s">
        <v>1744</v>
      </c>
      <c r="D1091" s="96">
        <v>70.11</v>
      </c>
      <c r="E1091" s="13">
        <v>89800.87</v>
      </c>
      <c r="F1091" s="486">
        <v>1.2808999999999999</v>
      </c>
      <c r="G1091"/>
      <c r="H1091" s="13">
        <v>89800.87</v>
      </c>
      <c r="I1091" s="13">
        <v>1.2808999999999999</v>
      </c>
      <c r="J1091">
        <v>13</v>
      </c>
      <c r="K1091" s="131">
        <v>45688</v>
      </c>
      <c r="M1091">
        <v>570</v>
      </c>
      <c r="N1091" t="s">
        <v>6943</v>
      </c>
    </row>
    <row r="1092" spans="1:14">
      <c r="A1092" t="s">
        <v>1746</v>
      </c>
      <c r="B1092" t="s">
        <v>1748</v>
      </c>
      <c r="C1092" t="s">
        <v>1744</v>
      </c>
      <c r="D1092" s="96">
        <v>70.11</v>
      </c>
      <c r="E1092" s="13">
        <v>90150.09</v>
      </c>
      <c r="F1092" s="486">
        <v>1.2858000000000001</v>
      </c>
      <c r="G1092"/>
      <c r="H1092" s="13">
        <v>90150.09</v>
      </c>
      <c r="I1092" s="13">
        <v>1.2858000000000001</v>
      </c>
      <c r="J1092">
        <v>13</v>
      </c>
      <c r="K1092" s="131">
        <v>45688</v>
      </c>
      <c r="M1092">
        <v>570</v>
      </c>
      <c r="N1092" t="s">
        <v>6944</v>
      </c>
    </row>
    <row r="1093" spans="1:14">
      <c r="A1093" t="s">
        <v>1746</v>
      </c>
      <c r="B1093" t="s">
        <v>1748</v>
      </c>
      <c r="C1093" t="s">
        <v>1744</v>
      </c>
      <c r="D1093" s="96">
        <v>70.11</v>
      </c>
      <c r="E1093" s="13">
        <v>99147.89</v>
      </c>
      <c r="F1093" s="486">
        <v>1.4141999999999999</v>
      </c>
      <c r="G1093"/>
      <c r="H1093" s="13">
        <v>99147.89</v>
      </c>
      <c r="I1093" s="13">
        <v>1.4141999999999999</v>
      </c>
      <c r="J1093">
        <v>13</v>
      </c>
      <c r="K1093" s="131">
        <v>45688</v>
      </c>
      <c r="M1093">
        <v>570</v>
      </c>
      <c r="N1093" t="s">
        <v>6945</v>
      </c>
    </row>
    <row r="1094" spans="1:14">
      <c r="A1094" t="s">
        <v>1746</v>
      </c>
      <c r="B1094" t="s">
        <v>1748</v>
      </c>
      <c r="C1094" t="s">
        <v>1744</v>
      </c>
      <c r="D1094" s="96">
        <v>70.11</v>
      </c>
      <c r="E1094" s="13">
        <v>99497.11</v>
      </c>
      <c r="F1094" s="486">
        <v>1.4192</v>
      </c>
      <c r="G1094"/>
      <c r="H1094" s="13">
        <v>99497.11</v>
      </c>
      <c r="I1094" s="13">
        <v>1.4192</v>
      </c>
      <c r="J1094">
        <v>13</v>
      </c>
      <c r="K1094" s="131">
        <v>45688</v>
      </c>
      <c r="M1094">
        <v>570</v>
      </c>
      <c r="N1094" t="s">
        <v>6946</v>
      </c>
    </row>
    <row r="1095" spans="1:14">
      <c r="A1095" t="s">
        <v>1746</v>
      </c>
      <c r="B1095" t="s">
        <v>6893</v>
      </c>
      <c r="C1095" t="s">
        <v>1744</v>
      </c>
      <c r="D1095" s="96">
        <v>70.11</v>
      </c>
      <c r="E1095" s="13">
        <v>131269.65</v>
      </c>
      <c r="F1095" s="486">
        <v>1.8723000000000001</v>
      </c>
      <c r="G1095"/>
      <c r="H1095" s="13">
        <v>131269.65</v>
      </c>
      <c r="I1095" s="13">
        <v>1.8723000000000001</v>
      </c>
      <c r="J1095">
        <v>13</v>
      </c>
      <c r="K1095" s="131">
        <v>45688</v>
      </c>
      <c r="M1095">
        <v>570</v>
      </c>
      <c r="N1095" t="s">
        <v>6947</v>
      </c>
    </row>
    <row r="1096" spans="1:14">
      <c r="A1096" t="s">
        <v>1746</v>
      </c>
      <c r="B1096" t="s">
        <v>6893</v>
      </c>
      <c r="C1096" t="s">
        <v>1744</v>
      </c>
      <c r="D1096" s="96">
        <v>70.11</v>
      </c>
      <c r="E1096" s="13">
        <v>131618.88</v>
      </c>
      <c r="F1096" s="486">
        <v>1.8773</v>
      </c>
      <c r="G1096"/>
      <c r="H1096" s="13">
        <v>131618.88</v>
      </c>
      <c r="I1096" s="13">
        <v>1.8773</v>
      </c>
      <c r="J1096">
        <v>13</v>
      </c>
      <c r="K1096" s="131">
        <v>45688</v>
      </c>
      <c r="M1096">
        <v>570</v>
      </c>
      <c r="N1096" t="s">
        <v>6948</v>
      </c>
    </row>
    <row r="1097" spans="1:14">
      <c r="A1097" t="s">
        <v>1746</v>
      </c>
      <c r="B1097" t="s">
        <v>6678</v>
      </c>
      <c r="C1097" t="s">
        <v>1744</v>
      </c>
      <c r="D1097" s="96">
        <v>70.290000000000006</v>
      </c>
      <c r="E1097" s="13">
        <v>125507.97</v>
      </c>
      <c r="F1097" s="486">
        <v>1.7856000000000001</v>
      </c>
      <c r="G1097"/>
      <c r="H1097" s="13">
        <v>125507.97</v>
      </c>
      <c r="I1097" s="13">
        <v>1.7856000000000001</v>
      </c>
      <c r="J1097">
        <v>13</v>
      </c>
      <c r="K1097" s="131">
        <v>45688</v>
      </c>
      <c r="M1097">
        <v>710</v>
      </c>
      <c r="N1097" t="s">
        <v>6949</v>
      </c>
    </row>
    <row r="1098" spans="1:14">
      <c r="A1098" t="s">
        <v>1746</v>
      </c>
      <c r="B1098" t="s">
        <v>1747</v>
      </c>
      <c r="C1098" t="s">
        <v>1744</v>
      </c>
      <c r="D1098" s="96">
        <v>70.680000000000007</v>
      </c>
      <c r="E1098" s="13">
        <v>88879.26</v>
      </c>
      <c r="F1098" s="486">
        <v>1.2575000000000001</v>
      </c>
      <c r="G1098"/>
      <c r="H1098" s="13">
        <v>88879.26</v>
      </c>
      <c r="I1098" s="13">
        <v>1.2575000000000001</v>
      </c>
      <c r="J1098">
        <v>13</v>
      </c>
      <c r="K1098" s="131">
        <v>45688</v>
      </c>
      <c r="M1098">
        <v>570</v>
      </c>
      <c r="N1098" t="s">
        <v>6950</v>
      </c>
    </row>
    <row r="1099" spans="1:14">
      <c r="A1099" t="s">
        <v>1746</v>
      </c>
      <c r="B1099" t="s">
        <v>1747</v>
      </c>
      <c r="C1099" t="s">
        <v>1744</v>
      </c>
      <c r="D1099" s="96">
        <v>70.680000000000007</v>
      </c>
      <c r="E1099" s="13">
        <v>89231.32</v>
      </c>
      <c r="F1099" s="486">
        <v>1.2625</v>
      </c>
      <c r="G1099"/>
      <c r="H1099" s="13">
        <v>89231.32</v>
      </c>
      <c r="I1099" s="13">
        <v>1.2625</v>
      </c>
      <c r="J1099">
        <v>13</v>
      </c>
      <c r="K1099" s="131">
        <v>45688</v>
      </c>
      <c r="M1099">
        <v>570</v>
      </c>
      <c r="N1099" t="s">
        <v>6951</v>
      </c>
    </row>
    <row r="1100" spans="1:14">
      <c r="A1100" t="s">
        <v>1746</v>
      </c>
      <c r="B1100" t="s">
        <v>1748</v>
      </c>
      <c r="C1100" t="s">
        <v>1744</v>
      </c>
      <c r="D1100" s="96">
        <v>70.680000000000007</v>
      </c>
      <c r="E1100" s="13">
        <v>90325.55</v>
      </c>
      <c r="F1100" s="486">
        <v>1.278</v>
      </c>
      <c r="G1100"/>
      <c r="H1100" s="13">
        <v>90325.55</v>
      </c>
      <c r="I1100" s="13">
        <v>1.278</v>
      </c>
      <c r="J1100">
        <v>13</v>
      </c>
      <c r="K1100" s="131">
        <v>45688</v>
      </c>
      <c r="M1100">
        <v>570</v>
      </c>
      <c r="N1100" t="s">
        <v>6952</v>
      </c>
    </row>
    <row r="1101" spans="1:14">
      <c r="A1101" t="s">
        <v>1746</v>
      </c>
      <c r="B1101" t="s">
        <v>1748</v>
      </c>
      <c r="C1101" t="s">
        <v>1744</v>
      </c>
      <c r="D1101" s="96">
        <v>70.680000000000007</v>
      </c>
      <c r="E1101" s="13">
        <v>90677.61</v>
      </c>
      <c r="F1101" s="486">
        <v>1.2828999999999999</v>
      </c>
      <c r="G1101"/>
      <c r="H1101" s="13">
        <v>90677.61</v>
      </c>
      <c r="I1101" s="13">
        <v>1.2828999999999999</v>
      </c>
      <c r="J1101">
        <v>13</v>
      </c>
      <c r="K1101" s="131">
        <v>45688</v>
      </c>
      <c r="M1101">
        <v>570</v>
      </c>
      <c r="N1101" t="s">
        <v>6953</v>
      </c>
    </row>
    <row r="1102" spans="1:14">
      <c r="A1102" t="s">
        <v>1746</v>
      </c>
      <c r="B1102" t="s">
        <v>1748</v>
      </c>
      <c r="C1102" t="s">
        <v>1744</v>
      </c>
      <c r="D1102" s="96">
        <v>70.680000000000007</v>
      </c>
      <c r="E1102" s="13">
        <v>99672.58</v>
      </c>
      <c r="F1102" s="486">
        <v>1.4101999999999999</v>
      </c>
      <c r="G1102"/>
      <c r="H1102" s="13">
        <v>99672.58</v>
      </c>
      <c r="I1102" s="13">
        <v>1.4101999999999999</v>
      </c>
      <c r="J1102">
        <v>13</v>
      </c>
      <c r="K1102" s="131">
        <v>45688</v>
      </c>
      <c r="M1102">
        <v>570</v>
      </c>
      <c r="N1102" t="s">
        <v>6954</v>
      </c>
    </row>
    <row r="1103" spans="1:14">
      <c r="A1103" t="s">
        <v>1746</v>
      </c>
      <c r="B1103" t="s">
        <v>1748</v>
      </c>
      <c r="C1103" t="s">
        <v>1744</v>
      </c>
      <c r="D1103" s="96">
        <v>70.680000000000007</v>
      </c>
      <c r="E1103" s="13">
        <v>100024.64</v>
      </c>
      <c r="F1103" s="486">
        <v>1.4152</v>
      </c>
      <c r="G1103"/>
      <c r="H1103" s="13">
        <v>100024.64</v>
      </c>
      <c r="I1103" s="13">
        <v>1.4152</v>
      </c>
      <c r="J1103">
        <v>13</v>
      </c>
      <c r="K1103" s="131">
        <v>45688</v>
      </c>
      <c r="M1103">
        <v>570</v>
      </c>
      <c r="N1103" t="s">
        <v>6955</v>
      </c>
    </row>
    <row r="1104" spans="1:14">
      <c r="A1104" t="s">
        <v>1746</v>
      </c>
      <c r="B1104" t="s">
        <v>6893</v>
      </c>
      <c r="C1104" t="s">
        <v>1744</v>
      </c>
      <c r="D1104" s="96">
        <v>70.680000000000007</v>
      </c>
      <c r="E1104" s="13">
        <v>131794.34</v>
      </c>
      <c r="F1104" s="486">
        <v>1.8647</v>
      </c>
      <c r="G1104"/>
      <c r="H1104" s="13">
        <v>131794.34</v>
      </c>
      <c r="I1104" s="13">
        <v>1.8647</v>
      </c>
      <c r="J1104">
        <v>13</v>
      </c>
      <c r="K1104" s="131">
        <v>45688</v>
      </c>
      <c r="M1104">
        <v>570</v>
      </c>
      <c r="N1104" t="s">
        <v>6956</v>
      </c>
    </row>
    <row r="1105" spans="1:14">
      <c r="A1105" t="s">
        <v>1746</v>
      </c>
      <c r="B1105" t="s">
        <v>6893</v>
      </c>
      <c r="C1105" t="s">
        <v>1744</v>
      </c>
      <c r="D1105" s="96">
        <v>70.680000000000007</v>
      </c>
      <c r="E1105" s="13">
        <v>132146.4</v>
      </c>
      <c r="F1105" s="486">
        <v>1.8695999999999999</v>
      </c>
      <c r="G1105"/>
      <c r="H1105" s="13">
        <v>132146.4</v>
      </c>
      <c r="I1105" s="13">
        <v>1.8695999999999999</v>
      </c>
      <c r="J1105">
        <v>13</v>
      </c>
      <c r="K1105" s="131">
        <v>45688</v>
      </c>
      <c r="M1105">
        <v>570</v>
      </c>
      <c r="N1105" t="s">
        <v>6957</v>
      </c>
    </row>
    <row r="1106" spans="1:14">
      <c r="A1106" t="s">
        <v>1746</v>
      </c>
      <c r="B1106" t="s">
        <v>6678</v>
      </c>
      <c r="C1106" t="s">
        <v>1744</v>
      </c>
      <c r="D1106" s="96">
        <v>71</v>
      </c>
      <c r="E1106" s="13">
        <v>126236.13</v>
      </c>
      <c r="F1106" s="486">
        <v>1.778</v>
      </c>
      <c r="G1106"/>
      <c r="H1106" s="13">
        <v>126236.13</v>
      </c>
      <c r="I1106" s="13">
        <v>1.778</v>
      </c>
      <c r="J1106">
        <v>13</v>
      </c>
      <c r="K1106" s="131">
        <v>45688</v>
      </c>
      <c r="M1106">
        <v>710</v>
      </c>
      <c r="N1106" t="s">
        <v>6958</v>
      </c>
    </row>
    <row r="1107" spans="1:14">
      <c r="A1107" t="s">
        <v>1746</v>
      </c>
      <c r="B1107" t="s">
        <v>1747</v>
      </c>
      <c r="C1107" t="s">
        <v>1744</v>
      </c>
      <c r="D1107" s="96">
        <v>71.25</v>
      </c>
      <c r="E1107" s="13">
        <v>89718.53</v>
      </c>
      <c r="F1107" s="486">
        <v>1.2592000000000001</v>
      </c>
      <c r="G1107"/>
      <c r="H1107" s="13">
        <v>89718.53</v>
      </c>
      <c r="I1107" s="13">
        <v>1.2592000000000001</v>
      </c>
      <c r="J1107">
        <v>13</v>
      </c>
      <c r="K1107" s="131">
        <v>45688</v>
      </c>
      <c r="M1107">
        <v>570</v>
      </c>
      <c r="N1107" t="s">
        <v>6959</v>
      </c>
    </row>
    <row r="1108" spans="1:14">
      <c r="A1108" t="s">
        <v>1746</v>
      </c>
      <c r="B1108" t="s">
        <v>1747</v>
      </c>
      <c r="C1108" t="s">
        <v>1744</v>
      </c>
      <c r="D1108" s="96">
        <v>71.25</v>
      </c>
      <c r="E1108" s="13">
        <v>90073.43</v>
      </c>
      <c r="F1108" s="486">
        <v>1.2642</v>
      </c>
      <c r="G1108"/>
      <c r="H1108" s="13">
        <v>90073.43</v>
      </c>
      <c r="I1108" s="13">
        <v>1.2642</v>
      </c>
      <c r="J1108">
        <v>13</v>
      </c>
      <c r="K1108" s="131">
        <v>45688</v>
      </c>
      <c r="M1108">
        <v>570</v>
      </c>
      <c r="N1108" t="s">
        <v>6960</v>
      </c>
    </row>
    <row r="1109" spans="1:14">
      <c r="A1109" t="s">
        <v>1746</v>
      </c>
      <c r="B1109" t="s">
        <v>1748</v>
      </c>
      <c r="C1109" t="s">
        <v>1744</v>
      </c>
      <c r="D1109" s="96">
        <v>71.25</v>
      </c>
      <c r="E1109" s="13">
        <v>91164.82</v>
      </c>
      <c r="F1109" s="486">
        <v>1.2795000000000001</v>
      </c>
      <c r="G1109"/>
      <c r="H1109" s="13">
        <v>91164.82</v>
      </c>
      <c r="I1109" s="13">
        <v>1.2795000000000001</v>
      </c>
      <c r="J1109">
        <v>13</v>
      </c>
      <c r="K1109" s="131">
        <v>45688</v>
      </c>
      <c r="M1109">
        <v>570</v>
      </c>
      <c r="N1109" t="s">
        <v>6961</v>
      </c>
    </row>
    <row r="1110" spans="1:14">
      <c r="A1110" t="s">
        <v>1746</v>
      </c>
      <c r="B1110" t="s">
        <v>1748</v>
      </c>
      <c r="C1110" t="s">
        <v>1744</v>
      </c>
      <c r="D1110" s="96">
        <v>71.25</v>
      </c>
      <c r="E1110" s="13">
        <v>91519.72</v>
      </c>
      <c r="F1110" s="486">
        <v>1.2845</v>
      </c>
      <c r="G1110"/>
      <c r="H1110" s="13">
        <v>91519.72</v>
      </c>
      <c r="I1110" s="13">
        <v>1.2845</v>
      </c>
      <c r="J1110">
        <v>13</v>
      </c>
      <c r="K1110" s="131">
        <v>45688</v>
      </c>
      <c r="M1110">
        <v>570</v>
      </c>
      <c r="N1110" t="s">
        <v>6962</v>
      </c>
    </row>
    <row r="1111" spans="1:14">
      <c r="A1111" t="s">
        <v>1746</v>
      </c>
      <c r="B1111" t="s">
        <v>1748</v>
      </c>
      <c r="C1111" t="s">
        <v>1744</v>
      </c>
      <c r="D1111" s="96">
        <v>71.25</v>
      </c>
      <c r="E1111" s="13">
        <v>100511.84</v>
      </c>
      <c r="F1111" s="486">
        <v>1.4107000000000001</v>
      </c>
      <c r="G1111"/>
      <c r="H1111" s="13">
        <v>100511.84</v>
      </c>
      <c r="I1111" s="13">
        <v>1.4107000000000001</v>
      </c>
      <c r="J1111">
        <v>13</v>
      </c>
      <c r="K1111" s="131">
        <v>45688</v>
      </c>
      <c r="M1111">
        <v>570</v>
      </c>
      <c r="N1111" t="s">
        <v>6963</v>
      </c>
    </row>
    <row r="1112" spans="1:14">
      <c r="A1112" t="s">
        <v>1746</v>
      </c>
      <c r="B1112" t="s">
        <v>1748</v>
      </c>
      <c r="C1112" t="s">
        <v>1744</v>
      </c>
      <c r="D1112" s="96">
        <v>71.25</v>
      </c>
      <c r="E1112" s="13">
        <v>100866.74</v>
      </c>
      <c r="F1112" s="486">
        <v>1.4157</v>
      </c>
      <c r="G1112"/>
      <c r="H1112" s="13">
        <v>100866.74</v>
      </c>
      <c r="I1112" s="13">
        <v>1.4157</v>
      </c>
      <c r="J1112">
        <v>13</v>
      </c>
      <c r="K1112" s="131">
        <v>45688</v>
      </c>
      <c r="M1112">
        <v>570</v>
      </c>
      <c r="N1112" t="s">
        <v>6964</v>
      </c>
    </row>
    <row r="1113" spans="1:14">
      <c r="A1113" t="s">
        <v>1746</v>
      </c>
      <c r="B1113" t="s">
        <v>6965</v>
      </c>
      <c r="C1113" t="s">
        <v>1744</v>
      </c>
      <c r="D1113" s="96">
        <v>71.25</v>
      </c>
      <c r="E1113" s="13">
        <v>134440.19</v>
      </c>
      <c r="F1113" s="486">
        <v>1.8869</v>
      </c>
      <c r="G1113"/>
      <c r="H1113" s="13">
        <v>134440.19</v>
      </c>
      <c r="I1113" s="13">
        <v>1.8869</v>
      </c>
      <c r="J1113">
        <v>13</v>
      </c>
      <c r="K1113" s="131">
        <v>45688</v>
      </c>
      <c r="M1113">
        <v>570</v>
      </c>
      <c r="N1113" t="s">
        <v>6966</v>
      </c>
    </row>
    <row r="1114" spans="1:14">
      <c r="A1114" t="s">
        <v>1746</v>
      </c>
      <c r="B1114" t="s">
        <v>6965</v>
      </c>
      <c r="C1114" t="s">
        <v>1744</v>
      </c>
      <c r="D1114" s="96">
        <v>71.25</v>
      </c>
      <c r="E1114" s="13">
        <v>134795.09</v>
      </c>
      <c r="F1114" s="486">
        <v>1.8918999999999999</v>
      </c>
      <c r="G1114"/>
      <c r="H1114" s="13">
        <v>134795.09</v>
      </c>
      <c r="I1114" s="13">
        <v>1.8918999999999999</v>
      </c>
      <c r="J1114">
        <v>13</v>
      </c>
      <c r="K1114" s="131">
        <v>45688</v>
      </c>
      <c r="M1114">
        <v>570</v>
      </c>
      <c r="N1114" t="s">
        <v>6967</v>
      </c>
    </row>
    <row r="1115" spans="1:14">
      <c r="A1115" t="s">
        <v>1746</v>
      </c>
      <c r="B1115" t="s">
        <v>6750</v>
      </c>
      <c r="C1115" t="s">
        <v>1744</v>
      </c>
      <c r="D1115" s="96">
        <v>71.709999999999994</v>
      </c>
      <c r="E1115" s="13">
        <v>129739.42</v>
      </c>
      <c r="F1115" s="486">
        <v>1.8091999999999999</v>
      </c>
      <c r="G1115"/>
      <c r="H1115" s="13">
        <v>129739.42</v>
      </c>
      <c r="I1115" s="13">
        <v>1.8091999999999999</v>
      </c>
      <c r="J1115">
        <v>13</v>
      </c>
      <c r="K1115" s="131">
        <v>45688</v>
      </c>
      <c r="M1115">
        <v>710</v>
      </c>
      <c r="N1115" t="s">
        <v>6968</v>
      </c>
    </row>
    <row r="1116" spans="1:14">
      <c r="A1116" t="s">
        <v>1746</v>
      </c>
      <c r="B1116" t="s">
        <v>1747</v>
      </c>
      <c r="C1116" t="s">
        <v>1744</v>
      </c>
      <c r="D1116" s="96">
        <v>71.819999999999993</v>
      </c>
      <c r="E1116" s="13">
        <v>90243.21</v>
      </c>
      <c r="F1116" s="486">
        <v>1.2565</v>
      </c>
      <c r="G1116"/>
      <c r="H1116" s="13">
        <v>90243.21</v>
      </c>
      <c r="I1116" s="13">
        <v>1.2565</v>
      </c>
      <c r="J1116">
        <v>13</v>
      </c>
      <c r="K1116" s="131">
        <v>45688</v>
      </c>
      <c r="M1116">
        <v>570</v>
      </c>
      <c r="N1116" t="s">
        <v>6969</v>
      </c>
    </row>
    <row r="1117" spans="1:14">
      <c r="A1117" t="s">
        <v>1746</v>
      </c>
      <c r="B1117" t="s">
        <v>1747</v>
      </c>
      <c r="C1117" t="s">
        <v>1744</v>
      </c>
      <c r="D1117" s="96">
        <v>71.819999999999993</v>
      </c>
      <c r="E1117" s="13">
        <v>90600.95</v>
      </c>
      <c r="F1117" s="486">
        <v>1.2615000000000001</v>
      </c>
      <c r="G1117"/>
      <c r="H1117" s="13">
        <v>90600.95</v>
      </c>
      <c r="I1117" s="13">
        <v>1.2615000000000001</v>
      </c>
      <c r="J1117">
        <v>13</v>
      </c>
      <c r="K1117" s="131">
        <v>45688</v>
      </c>
      <c r="M1117">
        <v>570</v>
      </c>
      <c r="N1117" t="s">
        <v>6970</v>
      </c>
    </row>
    <row r="1118" spans="1:14">
      <c r="A1118" t="s">
        <v>1746</v>
      </c>
      <c r="B1118" t="s">
        <v>1748</v>
      </c>
      <c r="C1118" t="s">
        <v>1744</v>
      </c>
      <c r="D1118" s="96">
        <v>71.819999999999993</v>
      </c>
      <c r="E1118" s="13">
        <v>91689.5</v>
      </c>
      <c r="F1118" s="486">
        <v>1.2766999999999999</v>
      </c>
      <c r="G1118"/>
      <c r="H1118" s="13">
        <v>91689.5</v>
      </c>
      <c r="I1118" s="13">
        <v>1.2766999999999999</v>
      </c>
      <c r="J1118">
        <v>13</v>
      </c>
      <c r="K1118" s="131">
        <v>45688</v>
      </c>
      <c r="M1118">
        <v>570</v>
      </c>
      <c r="N1118" t="s">
        <v>6971</v>
      </c>
    </row>
    <row r="1119" spans="1:14">
      <c r="A1119" t="s">
        <v>1746</v>
      </c>
      <c r="B1119" t="s">
        <v>1748</v>
      </c>
      <c r="C1119" t="s">
        <v>1744</v>
      </c>
      <c r="D1119" s="96">
        <v>71.819999999999993</v>
      </c>
      <c r="E1119" s="13">
        <v>92047.24</v>
      </c>
      <c r="F1119" s="486">
        <v>1.2816000000000001</v>
      </c>
      <c r="G1119"/>
      <c r="H1119" s="13">
        <v>92047.24</v>
      </c>
      <c r="I1119" s="13">
        <v>1.2816000000000001</v>
      </c>
      <c r="J1119">
        <v>13</v>
      </c>
      <c r="K1119" s="131">
        <v>45688</v>
      </c>
      <c r="M1119">
        <v>570</v>
      </c>
      <c r="N1119" t="s">
        <v>6972</v>
      </c>
    </row>
    <row r="1120" spans="1:14">
      <c r="A1120" t="s">
        <v>1746</v>
      </c>
      <c r="B1120" t="s">
        <v>1748</v>
      </c>
      <c r="C1120" t="s">
        <v>1744</v>
      </c>
      <c r="D1120" s="96">
        <v>71.819999999999993</v>
      </c>
      <c r="E1120" s="13">
        <v>101036.53</v>
      </c>
      <c r="F1120" s="486">
        <v>1.4068000000000001</v>
      </c>
      <c r="G1120"/>
      <c r="H1120" s="13">
        <v>101036.53</v>
      </c>
      <c r="I1120" s="13">
        <v>1.4068000000000001</v>
      </c>
      <c r="J1120">
        <v>13</v>
      </c>
      <c r="K1120" s="131">
        <v>45688</v>
      </c>
      <c r="M1120">
        <v>570</v>
      </c>
      <c r="N1120" t="s">
        <v>6973</v>
      </c>
    </row>
    <row r="1121" spans="1:14">
      <c r="A1121" t="s">
        <v>1746</v>
      </c>
      <c r="B1121" t="s">
        <v>1748</v>
      </c>
      <c r="C1121" t="s">
        <v>1744</v>
      </c>
      <c r="D1121" s="96">
        <v>71.819999999999993</v>
      </c>
      <c r="E1121" s="13">
        <v>101394.27</v>
      </c>
      <c r="F1121" s="486">
        <v>1.4117999999999999</v>
      </c>
      <c r="G1121"/>
      <c r="H1121" s="13">
        <v>101394.27</v>
      </c>
      <c r="I1121" s="13">
        <v>1.4117999999999999</v>
      </c>
      <c r="J1121">
        <v>13</v>
      </c>
      <c r="K1121" s="131">
        <v>45688</v>
      </c>
      <c r="M1121">
        <v>570</v>
      </c>
      <c r="N1121" t="s">
        <v>6974</v>
      </c>
    </row>
    <row r="1122" spans="1:14">
      <c r="A1122" t="s">
        <v>1746</v>
      </c>
      <c r="B1122" t="s">
        <v>6965</v>
      </c>
      <c r="C1122" t="s">
        <v>1744</v>
      </c>
      <c r="D1122" s="96">
        <v>71.819999999999993</v>
      </c>
      <c r="E1122" s="13">
        <v>134964.87</v>
      </c>
      <c r="F1122" s="486">
        <v>1.8792</v>
      </c>
      <c r="G1122"/>
      <c r="H1122" s="13">
        <v>134964.87</v>
      </c>
      <c r="I1122" s="13">
        <v>1.8792</v>
      </c>
      <c r="J1122">
        <v>13</v>
      </c>
      <c r="K1122" s="131">
        <v>45688</v>
      </c>
      <c r="M1122">
        <v>570</v>
      </c>
      <c r="N1122" t="s">
        <v>6975</v>
      </c>
    </row>
    <row r="1123" spans="1:14">
      <c r="A1123" t="s">
        <v>1746</v>
      </c>
      <c r="B1123" t="s">
        <v>6965</v>
      </c>
      <c r="C1123" t="s">
        <v>1744</v>
      </c>
      <c r="D1123" s="96">
        <v>71.819999999999993</v>
      </c>
      <c r="E1123" s="13">
        <v>135322.60999999999</v>
      </c>
      <c r="F1123" s="486">
        <v>1.8842000000000001</v>
      </c>
      <c r="G1123"/>
      <c r="H1123" s="13">
        <v>135322.60999999999</v>
      </c>
      <c r="I1123" s="13">
        <v>1.8842000000000001</v>
      </c>
      <c r="J1123">
        <v>13</v>
      </c>
      <c r="K1123" s="131">
        <v>45688</v>
      </c>
      <c r="M1123">
        <v>570</v>
      </c>
      <c r="N1123" t="s">
        <v>6976</v>
      </c>
    </row>
    <row r="1124" spans="1:14">
      <c r="A1124" t="s">
        <v>1746</v>
      </c>
      <c r="B1124" t="s">
        <v>1747</v>
      </c>
      <c r="C1124" t="s">
        <v>1744</v>
      </c>
      <c r="D1124" s="96">
        <v>72.39</v>
      </c>
      <c r="E1124" s="13">
        <v>90767.9</v>
      </c>
      <c r="F1124" s="486">
        <v>1.2539</v>
      </c>
      <c r="G1124"/>
      <c r="H1124" s="13">
        <v>90767.9</v>
      </c>
      <c r="I1124" s="13">
        <v>1.2539</v>
      </c>
      <c r="J1124">
        <v>13</v>
      </c>
      <c r="K1124" s="131">
        <v>45688</v>
      </c>
      <c r="M1124">
        <v>570</v>
      </c>
      <c r="N1124" t="s">
        <v>6977</v>
      </c>
    </row>
    <row r="1125" spans="1:14">
      <c r="A1125" t="s">
        <v>1746</v>
      </c>
      <c r="B1125" t="s">
        <v>1747</v>
      </c>
      <c r="C1125" t="s">
        <v>1744</v>
      </c>
      <c r="D1125" s="96">
        <v>72.39</v>
      </c>
      <c r="E1125" s="13">
        <v>91128.48</v>
      </c>
      <c r="F1125" s="486">
        <v>1.2588999999999999</v>
      </c>
      <c r="G1125"/>
      <c r="H1125" s="13">
        <v>91128.48</v>
      </c>
      <c r="I1125" s="13">
        <v>1.2588999999999999</v>
      </c>
      <c r="J1125">
        <v>13</v>
      </c>
      <c r="K1125" s="131">
        <v>45688</v>
      </c>
      <c r="M1125">
        <v>570</v>
      </c>
      <c r="N1125" t="s">
        <v>6978</v>
      </c>
    </row>
    <row r="1126" spans="1:14">
      <c r="A1126" t="s">
        <v>1746</v>
      </c>
      <c r="B1126" t="s">
        <v>1748</v>
      </c>
      <c r="C1126" t="s">
        <v>1744</v>
      </c>
      <c r="D1126" s="96">
        <v>72.39</v>
      </c>
      <c r="E1126" s="13">
        <v>92214.19</v>
      </c>
      <c r="F1126" s="486">
        <v>1.2739</v>
      </c>
      <c r="G1126"/>
      <c r="H1126" s="13">
        <v>92214.19</v>
      </c>
      <c r="I1126" s="13">
        <v>1.2739</v>
      </c>
      <c r="J1126">
        <v>13</v>
      </c>
      <c r="K1126" s="131">
        <v>45688</v>
      </c>
      <c r="M1126">
        <v>570</v>
      </c>
      <c r="N1126" t="s">
        <v>6979</v>
      </c>
    </row>
    <row r="1127" spans="1:14">
      <c r="A1127" t="s">
        <v>1746</v>
      </c>
      <c r="B1127" t="s">
        <v>1748</v>
      </c>
      <c r="C1127" t="s">
        <v>1744</v>
      </c>
      <c r="D1127" s="96">
        <v>72.39</v>
      </c>
      <c r="E1127" s="13">
        <v>92574.77</v>
      </c>
      <c r="F1127" s="486">
        <v>1.2787999999999999</v>
      </c>
      <c r="G1127"/>
      <c r="H1127" s="13">
        <v>92574.77</v>
      </c>
      <c r="I1127" s="13">
        <v>1.2787999999999999</v>
      </c>
      <c r="J1127">
        <v>13</v>
      </c>
      <c r="K1127" s="131">
        <v>45688</v>
      </c>
      <c r="M1127">
        <v>570</v>
      </c>
      <c r="N1127" t="s">
        <v>6980</v>
      </c>
    </row>
    <row r="1128" spans="1:14">
      <c r="A1128" t="s">
        <v>1746</v>
      </c>
      <c r="B1128" t="s">
        <v>1748</v>
      </c>
      <c r="C1128" t="s">
        <v>1744</v>
      </c>
      <c r="D1128" s="96">
        <v>72.39</v>
      </c>
      <c r="E1128" s="13">
        <v>101561.21</v>
      </c>
      <c r="F1128" s="486">
        <v>1.403</v>
      </c>
      <c r="G1128"/>
      <c r="H1128" s="13">
        <v>101561.21</v>
      </c>
      <c r="I1128" s="13">
        <v>1.403</v>
      </c>
      <c r="J1128">
        <v>13</v>
      </c>
      <c r="K1128" s="131">
        <v>45688</v>
      </c>
      <c r="M1128">
        <v>570</v>
      </c>
      <c r="N1128" t="s">
        <v>6981</v>
      </c>
    </row>
    <row r="1129" spans="1:14">
      <c r="A1129" t="s">
        <v>1746</v>
      </c>
      <c r="B1129" t="s">
        <v>1748</v>
      </c>
      <c r="C1129" t="s">
        <v>1744</v>
      </c>
      <c r="D1129" s="96">
        <v>72.39</v>
      </c>
      <c r="E1129" s="13">
        <v>101921.79</v>
      </c>
      <c r="F1129" s="486">
        <v>1.4079999999999999</v>
      </c>
      <c r="G1129"/>
      <c r="H1129" s="13">
        <v>101921.79</v>
      </c>
      <c r="I1129" s="13">
        <v>1.4079999999999999</v>
      </c>
      <c r="J1129">
        <v>13</v>
      </c>
      <c r="K1129" s="131">
        <v>45688</v>
      </c>
      <c r="M1129">
        <v>570</v>
      </c>
      <c r="N1129" t="s">
        <v>6982</v>
      </c>
    </row>
    <row r="1130" spans="1:14">
      <c r="A1130" t="s">
        <v>1746</v>
      </c>
      <c r="B1130" t="s">
        <v>6965</v>
      </c>
      <c r="C1130" t="s">
        <v>1744</v>
      </c>
      <c r="D1130" s="96">
        <v>72.39</v>
      </c>
      <c r="E1130" s="13">
        <v>135489.56</v>
      </c>
      <c r="F1130" s="486">
        <v>1.8716999999999999</v>
      </c>
      <c r="G1130"/>
      <c r="H1130" s="13">
        <v>135489.56</v>
      </c>
      <c r="I1130" s="13">
        <v>1.8716999999999999</v>
      </c>
      <c r="J1130">
        <v>13</v>
      </c>
      <c r="K1130" s="131">
        <v>45688</v>
      </c>
      <c r="M1130">
        <v>570</v>
      </c>
      <c r="N1130" t="s">
        <v>6983</v>
      </c>
    </row>
    <row r="1131" spans="1:14">
      <c r="A1131" t="s">
        <v>1746</v>
      </c>
      <c r="B1131" t="s">
        <v>6965</v>
      </c>
      <c r="C1131" t="s">
        <v>1744</v>
      </c>
      <c r="D1131" s="96">
        <v>72.39</v>
      </c>
      <c r="E1131" s="13">
        <v>135850.14000000001</v>
      </c>
      <c r="F1131" s="486">
        <v>1.8766</v>
      </c>
      <c r="G1131"/>
      <c r="H1131" s="13">
        <v>135850.14000000001</v>
      </c>
      <c r="I1131" s="13">
        <v>1.8766</v>
      </c>
      <c r="J1131">
        <v>13</v>
      </c>
      <c r="K1131" s="131">
        <v>45688</v>
      </c>
      <c r="M1131">
        <v>570</v>
      </c>
      <c r="N1131" t="s">
        <v>6984</v>
      </c>
    </row>
    <row r="1132" spans="1:14">
      <c r="A1132" t="s">
        <v>1746</v>
      </c>
      <c r="B1132" t="s">
        <v>6750</v>
      </c>
      <c r="C1132" t="s">
        <v>1744</v>
      </c>
      <c r="D1132" s="96">
        <v>72.42</v>
      </c>
      <c r="E1132" s="13">
        <v>130467.58</v>
      </c>
      <c r="F1132" s="486">
        <v>1.8015000000000001</v>
      </c>
      <c r="G1132"/>
      <c r="H1132" s="13">
        <v>130467.58</v>
      </c>
      <c r="I1132" s="13">
        <v>1.8015000000000001</v>
      </c>
      <c r="J1132">
        <v>13</v>
      </c>
      <c r="K1132" s="131">
        <v>45688</v>
      </c>
      <c r="M1132">
        <v>710</v>
      </c>
      <c r="N1132" t="s">
        <v>6985</v>
      </c>
    </row>
    <row r="1133" spans="1:14">
      <c r="A1133" t="s">
        <v>1746</v>
      </c>
      <c r="B1133" t="s">
        <v>1747</v>
      </c>
      <c r="C1133" t="s">
        <v>1744</v>
      </c>
      <c r="D1133" s="96">
        <v>72.959999999999994</v>
      </c>
      <c r="E1133" s="13">
        <v>91292.58</v>
      </c>
      <c r="F1133" s="486">
        <v>1.2513000000000001</v>
      </c>
      <c r="G1133"/>
      <c r="H1133" s="13">
        <v>91292.58</v>
      </c>
      <c r="I1133" s="13">
        <v>1.2513000000000001</v>
      </c>
      <c r="J1133">
        <v>13</v>
      </c>
      <c r="K1133" s="131">
        <v>45688</v>
      </c>
      <c r="M1133">
        <v>570</v>
      </c>
      <c r="N1133" t="s">
        <v>6986</v>
      </c>
    </row>
    <row r="1134" spans="1:14">
      <c r="A1134" t="s">
        <v>1746</v>
      </c>
      <c r="B1134" t="s">
        <v>1747</v>
      </c>
      <c r="C1134" t="s">
        <v>1744</v>
      </c>
      <c r="D1134" s="96">
        <v>72.959999999999994</v>
      </c>
      <c r="E1134" s="13">
        <v>91656</v>
      </c>
      <c r="F1134" s="486">
        <v>1.2562</v>
      </c>
      <c r="G1134"/>
      <c r="H1134" s="13">
        <v>91656</v>
      </c>
      <c r="I1134" s="13">
        <v>1.2562</v>
      </c>
      <c r="J1134">
        <v>13</v>
      </c>
      <c r="K1134" s="131">
        <v>45688</v>
      </c>
      <c r="M1134">
        <v>570</v>
      </c>
      <c r="N1134" t="s">
        <v>6987</v>
      </c>
    </row>
    <row r="1135" spans="1:14">
      <c r="A1135" t="s">
        <v>1746</v>
      </c>
      <c r="B1135" t="s">
        <v>1748</v>
      </c>
      <c r="C1135" t="s">
        <v>1744</v>
      </c>
      <c r="D1135" s="96">
        <v>72.959999999999994</v>
      </c>
      <c r="E1135" s="13">
        <v>92738.87</v>
      </c>
      <c r="F1135" s="486">
        <v>1.2710999999999999</v>
      </c>
      <c r="H1135" s="13">
        <v>92738.87</v>
      </c>
      <c r="I1135" s="13">
        <v>1.2710999999999999</v>
      </c>
      <c r="J1135">
        <v>13</v>
      </c>
      <c r="K1135" s="131">
        <v>45688</v>
      </c>
      <c r="M1135">
        <v>570</v>
      </c>
      <c r="N1135" t="s">
        <v>6988</v>
      </c>
    </row>
    <row r="1136" spans="1:14">
      <c r="A1136" t="s">
        <v>1746</v>
      </c>
      <c r="B1136" t="s">
        <v>1748</v>
      </c>
      <c r="C1136" t="s">
        <v>1744</v>
      </c>
      <c r="D1136" s="96">
        <v>72.959999999999994</v>
      </c>
      <c r="E1136" s="13">
        <v>93102.29</v>
      </c>
      <c r="F1136" s="486">
        <v>1.2761</v>
      </c>
      <c r="G1136"/>
      <c r="H1136" s="13">
        <v>93102.29</v>
      </c>
      <c r="I1136" s="13">
        <v>1.2761</v>
      </c>
      <c r="J1136">
        <v>13</v>
      </c>
      <c r="K1136" s="131">
        <v>45688</v>
      </c>
      <c r="M1136">
        <v>570</v>
      </c>
      <c r="N1136" t="s">
        <v>6989</v>
      </c>
    </row>
    <row r="1137" spans="1:14">
      <c r="A1137" t="s">
        <v>1746</v>
      </c>
      <c r="B1137" t="s">
        <v>1748</v>
      </c>
      <c r="C1137" t="s">
        <v>1744</v>
      </c>
      <c r="D1137" s="96">
        <v>72.959999999999994</v>
      </c>
      <c r="E1137" s="13">
        <v>102085.9</v>
      </c>
      <c r="F1137" s="486">
        <v>1.3992</v>
      </c>
      <c r="G1137"/>
      <c r="H1137" s="13">
        <v>102085.9</v>
      </c>
      <c r="I1137" s="13">
        <v>1.3992</v>
      </c>
      <c r="J1137">
        <v>13</v>
      </c>
      <c r="K1137" s="131">
        <v>45688</v>
      </c>
      <c r="M1137">
        <v>570</v>
      </c>
      <c r="N1137" t="s">
        <v>6990</v>
      </c>
    </row>
    <row r="1138" spans="1:14">
      <c r="A1138" t="s">
        <v>1746</v>
      </c>
      <c r="B1138" t="s">
        <v>1748</v>
      </c>
      <c r="C1138" t="s">
        <v>1744</v>
      </c>
      <c r="D1138" s="96">
        <v>72.959999999999994</v>
      </c>
      <c r="E1138" s="13">
        <v>102449.31</v>
      </c>
      <c r="F1138" s="486">
        <v>1.4041999999999999</v>
      </c>
      <c r="G1138"/>
      <c r="H1138" s="13">
        <v>102449.31</v>
      </c>
      <c r="I1138" s="13">
        <v>1.4041999999999999</v>
      </c>
      <c r="J1138">
        <v>13</v>
      </c>
      <c r="K1138" s="131">
        <v>45688</v>
      </c>
      <c r="M1138">
        <v>570</v>
      </c>
      <c r="N1138" t="s">
        <v>6991</v>
      </c>
    </row>
    <row r="1139" spans="1:14">
      <c r="A1139" t="s">
        <v>1746</v>
      </c>
      <c r="B1139" t="s">
        <v>6965</v>
      </c>
      <c r="C1139" t="s">
        <v>1744</v>
      </c>
      <c r="D1139" s="96">
        <v>72.959999999999994</v>
      </c>
      <c r="E1139" s="13">
        <v>136014.24</v>
      </c>
      <c r="F1139" s="486">
        <v>1.8642000000000001</v>
      </c>
      <c r="G1139"/>
      <c r="H1139" s="13">
        <v>136014.24</v>
      </c>
      <c r="I1139" s="13">
        <v>1.8642000000000001</v>
      </c>
      <c r="J1139">
        <v>13</v>
      </c>
      <c r="K1139" s="131">
        <v>45688</v>
      </c>
      <c r="M1139">
        <v>570</v>
      </c>
      <c r="N1139" t="s">
        <v>6992</v>
      </c>
    </row>
    <row r="1140" spans="1:14">
      <c r="A1140" t="s">
        <v>1746</v>
      </c>
      <c r="B1140" t="s">
        <v>6965</v>
      </c>
      <c r="C1140" t="s">
        <v>1744</v>
      </c>
      <c r="D1140" s="96">
        <v>72.959999999999994</v>
      </c>
      <c r="E1140" s="13">
        <v>136377.66</v>
      </c>
      <c r="F1140" s="486">
        <v>1.8692</v>
      </c>
      <c r="G1140"/>
      <c r="H1140" s="13">
        <v>136377.66</v>
      </c>
      <c r="I1140" s="13">
        <v>1.8692</v>
      </c>
      <c r="J1140">
        <v>13</v>
      </c>
      <c r="K1140" s="131">
        <v>45688</v>
      </c>
      <c r="M1140">
        <v>570</v>
      </c>
      <c r="N1140" t="s">
        <v>6993</v>
      </c>
    </row>
    <row r="1141" spans="1:14">
      <c r="A1141" t="s">
        <v>1746</v>
      </c>
      <c r="B1141" t="s">
        <v>6750</v>
      </c>
      <c r="C1141" t="s">
        <v>1744</v>
      </c>
      <c r="D1141" s="96">
        <v>73.13</v>
      </c>
      <c r="E1141" s="13">
        <v>131195.74</v>
      </c>
      <c r="F1141" s="486">
        <v>1.794</v>
      </c>
      <c r="G1141"/>
      <c r="H1141" s="13">
        <v>131195.74</v>
      </c>
      <c r="I1141" s="13">
        <v>1.794</v>
      </c>
      <c r="J1141">
        <v>13</v>
      </c>
      <c r="K1141" s="131">
        <v>45688</v>
      </c>
      <c r="M1141">
        <v>710</v>
      </c>
      <c r="N1141" t="s">
        <v>6994</v>
      </c>
    </row>
    <row r="1142" spans="1:14">
      <c r="A1142" t="s">
        <v>1746</v>
      </c>
      <c r="B1142" t="s">
        <v>1748</v>
      </c>
      <c r="C1142" t="s">
        <v>1744</v>
      </c>
      <c r="D1142" s="96">
        <v>73.53</v>
      </c>
      <c r="E1142" s="13">
        <v>93578.14</v>
      </c>
      <c r="F1142" s="486">
        <v>1.2726999999999999</v>
      </c>
      <c r="G1142"/>
      <c r="H1142" s="13">
        <v>93578.14</v>
      </c>
      <c r="I1142" s="13">
        <v>1.2726999999999999</v>
      </c>
      <c r="J1142">
        <v>13</v>
      </c>
      <c r="K1142" s="131">
        <v>45688</v>
      </c>
      <c r="M1142">
        <v>570</v>
      </c>
      <c r="N1142" t="s">
        <v>6995</v>
      </c>
    </row>
    <row r="1143" spans="1:14">
      <c r="A1143" t="s">
        <v>1746</v>
      </c>
      <c r="B1143" t="s">
        <v>1748</v>
      </c>
      <c r="C1143" t="s">
        <v>1744</v>
      </c>
      <c r="D1143" s="96">
        <v>73.53</v>
      </c>
      <c r="E1143" s="13">
        <v>93944.4</v>
      </c>
      <c r="F1143" s="486">
        <v>1.2776000000000001</v>
      </c>
      <c r="G1143"/>
      <c r="H1143" s="13">
        <v>93944.4</v>
      </c>
      <c r="I1143" s="13">
        <v>1.2776000000000001</v>
      </c>
      <c r="J1143">
        <v>13</v>
      </c>
      <c r="K1143" s="131">
        <v>45688</v>
      </c>
      <c r="M1143">
        <v>570</v>
      </c>
      <c r="N1143" t="s">
        <v>6996</v>
      </c>
    </row>
    <row r="1144" spans="1:14">
      <c r="A1144" t="s">
        <v>1746</v>
      </c>
      <c r="B1144" t="s">
        <v>1748</v>
      </c>
      <c r="C1144" t="s">
        <v>1744</v>
      </c>
      <c r="D1144" s="96">
        <v>73.53</v>
      </c>
      <c r="E1144" s="13">
        <v>102925.16</v>
      </c>
      <c r="F1144" s="486">
        <v>1.3997999999999999</v>
      </c>
      <c r="G1144"/>
      <c r="H1144" s="13">
        <v>102925.16</v>
      </c>
      <c r="I1144" s="13">
        <v>1.3997999999999999</v>
      </c>
      <c r="J1144">
        <v>13</v>
      </c>
      <c r="K1144" s="131">
        <v>45688</v>
      </c>
      <c r="M1144">
        <v>570</v>
      </c>
      <c r="N1144" t="s">
        <v>6997</v>
      </c>
    </row>
    <row r="1145" spans="1:14">
      <c r="A1145" t="s">
        <v>1746</v>
      </c>
      <c r="B1145" t="s">
        <v>1748</v>
      </c>
      <c r="C1145" t="s">
        <v>1744</v>
      </c>
      <c r="D1145" s="96">
        <v>73.53</v>
      </c>
      <c r="E1145" s="13">
        <v>103291.42</v>
      </c>
      <c r="F1145" s="486">
        <v>1.4048</v>
      </c>
      <c r="G1145"/>
      <c r="H1145" s="13">
        <v>103291.42</v>
      </c>
      <c r="I1145" s="13">
        <v>1.4048</v>
      </c>
      <c r="J1145">
        <v>13</v>
      </c>
      <c r="K1145" s="131">
        <v>45688</v>
      </c>
      <c r="M1145">
        <v>570</v>
      </c>
      <c r="N1145" t="s">
        <v>6998</v>
      </c>
    </row>
    <row r="1146" spans="1:14">
      <c r="A1146" t="s">
        <v>1746</v>
      </c>
      <c r="B1146" t="s">
        <v>6999</v>
      </c>
      <c r="C1146" t="s">
        <v>1744</v>
      </c>
      <c r="D1146" s="96">
        <v>73.53</v>
      </c>
      <c r="E1146" s="13">
        <v>138660.09</v>
      </c>
      <c r="F1146" s="486">
        <v>1.8857999999999999</v>
      </c>
      <c r="G1146"/>
      <c r="H1146" s="13">
        <v>138660.09</v>
      </c>
      <c r="I1146" s="13">
        <v>1.8857999999999999</v>
      </c>
      <c r="J1146">
        <v>13</v>
      </c>
      <c r="K1146" s="131">
        <v>45688</v>
      </c>
      <c r="M1146">
        <v>570</v>
      </c>
      <c r="N1146" t="s">
        <v>7000</v>
      </c>
    </row>
    <row r="1147" spans="1:14">
      <c r="A1147" t="s">
        <v>1746</v>
      </c>
      <c r="B1147" t="s">
        <v>6999</v>
      </c>
      <c r="C1147" t="s">
        <v>1744</v>
      </c>
      <c r="D1147" s="96">
        <v>73.53</v>
      </c>
      <c r="E1147" s="13">
        <v>139026.35</v>
      </c>
      <c r="F1147" s="486">
        <v>1.8907</v>
      </c>
      <c r="G1147"/>
      <c r="H1147" s="13">
        <v>139026.35</v>
      </c>
      <c r="I1147" s="13">
        <v>1.8907</v>
      </c>
      <c r="J1147">
        <v>13</v>
      </c>
      <c r="K1147" s="131">
        <v>45688</v>
      </c>
      <c r="M1147">
        <v>570</v>
      </c>
      <c r="N1147" t="s">
        <v>7001</v>
      </c>
    </row>
    <row r="1148" spans="1:14">
      <c r="A1148" t="s">
        <v>1746</v>
      </c>
      <c r="B1148" t="s">
        <v>6750</v>
      </c>
      <c r="C1148" t="s">
        <v>1744</v>
      </c>
      <c r="D1148" s="96">
        <v>73.84</v>
      </c>
      <c r="E1148" s="13">
        <v>131923.9</v>
      </c>
      <c r="F1148" s="486">
        <v>1.7866</v>
      </c>
      <c r="G1148"/>
      <c r="H1148" s="13">
        <v>131923.9</v>
      </c>
      <c r="I1148" s="13">
        <v>1.7866</v>
      </c>
      <c r="J1148">
        <v>13</v>
      </c>
      <c r="K1148" s="131">
        <v>45688</v>
      </c>
      <c r="M1148">
        <v>710</v>
      </c>
      <c r="N1148" t="s">
        <v>7002</v>
      </c>
    </row>
    <row r="1149" spans="1:14">
      <c r="A1149" t="s">
        <v>1746</v>
      </c>
      <c r="B1149" t="s">
        <v>1748</v>
      </c>
      <c r="C1149" t="s">
        <v>1744</v>
      </c>
      <c r="D1149" s="96">
        <v>74.099999999999994</v>
      </c>
      <c r="E1149" s="13">
        <v>94102.82</v>
      </c>
      <c r="F1149" s="486">
        <v>1.2699</v>
      </c>
      <c r="G1149"/>
      <c r="H1149" s="13">
        <v>94102.82</v>
      </c>
      <c r="I1149" s="13">
        <v>1.2699</v>
      </c>
      <c r="J1149">
        <v>13</v>
      </c>
      <c r="K1149" s="131">
        <v>45688</v>
      </c>
      <c r="M1149">
        <v>570</v>
      </c>
      <c r="N1149" t="s">
        <v>7003</v>
      </c>
    </row>
    <row r="1150" spans="1:14">
      <c r="A1150" t="s">
        <v>1746</v>
      </c>
      <c r="B1150" t="s">
        <v>1748</v>
      </c>
      <c r="C1150" t="s">
        <v>1744</v>
      </c>
      <c r="D1150" s="96">
        <v>74.099999999999994</v>
      </c>
      <c r="E1150" s="13">
        <v>94471.92</v>
      </c>
      <c r="F1150" s="486">
        <v>1.2748999999999999</v>
      </c>
      <c r="G1150"/>
      <c r="H1150" s="13">
        <v>94471.92</v>
      </c>
      <c r="I1150" s="13">
        <v>1.2748999999999999</v>
      </c>
      <c r="J1150">
        <v>13</v>
      </c>
      <c r="K1150" s="131">
        <v>45688</v>
      </c>
      <c r="M1150">
        <v>570</v>
      </c>
      <c r="N1150" t="s">
        <v>7004</v>
      </c>
    </row>
    <row r="1151" spans="1:14">
      <c r="A1151" t="s">
        <v>1746</v>
      </c>
      <c r="B1151" t="s">
        <v>1748</v>
      </c>
      <c r="C1151" t="s">
        <v>1744</v>
      </c>
      <c r="D1151" s="96">
        <v>74.099999999999994</v>
      </c>
      <c r="E1151" s="13">
        <v>103449.85</v>
      </c>
      <c r="F1151" s="486">
        <v>1.3960999999999999</v>
      </c>
      <c r="G1151"/>
      <c r="H1151" s="13">
        <v>103449.85</v>
      </c>
      <c r="I1151" s="13">
        <v>1.3960999999999999</v>
      </c>
      <c r="J1151">
        <v>13</v>
      </c>
      <c r="K1151" s="131">
        <v>45688</v>
      </c>
      <c r="M1151">
        <v>570</v>
      </c>
      <c r="N1151" t="s">
        <v>7005</v>
      </c>
    </row>
    <row r="1152" spans="1:14">
      <c r="A1152" t="s">
        <v>1746</v>
      </c>
      <c r="B1152" t="s">
        <v>1748</v>
      </c>
      <c r="C1152" t="s">
        <v>1744</v>
      </c>
      <c r="D1152" s="96">
        <v>74.099999999999994</v>
      </c>
      <c r="E1152" s="13">
        <v>103818.94</v>
      </c>
      <c r="F1152" s="486">
        <v>1.4011</v>
      </c>
      <c r="G1152"/>
      <c r="H1152" s="13">
        <v>103818.94</v>
      </c>
      <c r="I1152" s="13">
        <v>1.4011</v>
      </c>
      <c r="J1152">
        <v>13</v>
      </c>
      <c r="K1152" s="131">
        <v>45688</v>
      </c>
      <c r="M1152">
        <v>570</v>
      </c>
      <c r="N1152" t="s">
        <v>7006</v>
      </c>
    </row>
    <row r="1153" spans="1:14">
      <c r="A1153" t="s">
        <v>1746</v>
      </c>
      <c r="B1153" t="s">
        <v>6999</v>
      </c>
      <c r="C1153" t="s">
        <v>1744</v>
      </c>
      <c r="D1153" s="96">
        <v>74.099999999999994</v>
      </c>
      <c r="E1153" s="13">
        <v>139184.78</v>
      </c>
      <c r="F1153" s="486">
        <v>1.8783000000000001</v>
      </c>
      <c r="G1153"/>
      <c r="H1153" s="13">
        <v>139184.78</v>
      </c>
      <c r="I1153" s="13">
        <v>1.8783000000000001</v>
      </c>
      <c r="J1153">
        <v>13</v>
      </c>
      <c r="K1153" s="131">
        <v>45688</v>
      </c>
      <c r="M1153">
        <v>570</v>
      </c>
      <c r="N1153" t="s">
        <v>7007</v>
      </c>
    </row>
    <row r="1154" spans="1:14">
      <c r="A1154" t="s">
        <v>1746</v>
      </c>
      <c r="B1154" t="s">
        <v>6999</v>
      </c>
      <c r="C1154" t="s">
        <v>1744</v>
      </c>
      <c r="D1154" s="96">
        <v>74.099999999999994</v>
      </c>
      <c r="E1154" s="13">
        <v>139553.87</v>
      </c>
      <c r="F1154" s="486">
        <v>1.8833</v>
      </c>
      <c r="G1154"/>
      <c r="H1154" s="13">
        <v>139553.87</v>
      </c>
      <c r="I1154" s="13">
        <v>1.8833</v>
      </c>
      <c r="J1154">
        <v>13</v>
      </c>
      <c r="K1154" s="131">
        <v>45688</v>
      </c>
      <c r="M1154">
        <v>570</v>
      </c>
      <c r="N1154" t="s">
        <v>7008</v>
      </c>
    </row>
    <row r="1155" spans="1:14">
      <c r="A1155" t="s">
        <v>1746</v>
      </c>
      <c r="B1155" t="s">
        <v>6786</v>
      </c>
      <c r="C1155" t="s">
        <v>1744</v>
      </c>
      <c r="D1155" s="96">
        <v>74.55</v>
      </c>
      <c r="E1155" s="13">
        <v>134773.23000000001</v>
      </c>
      <c r="F1155" s="486">
        <v>1.8078000000000001</v>
      </c>
      <c r="G1155"/>
      <c r="H1155" s="13">
        <v>134773.23000000001</v>
      </c>
      <c r="I1155" s="13">
        <v>1.8078000000000001</v>
      </c>
      <c r="J1155">
        <v>13</v>
      </c>
      <c r="K1155" s="131">
        <v>45688</v>
      </c>
      <c r="M1155">
        <v>710</v>
      </c>
      <c r="N1155" t="s">
        <v>7009</v>
      </c>
    </row>
    <row r="1156" spans="1:14">
      <c r="A1156" t="s">
        <v>1746</v>
      </c>
      <c r="B1156" t="s">
        <v>1748</v>
      </c>
      <c r="C1156" t="s">
        <v>1744</v>
      </c>
      <c r="D1156" s="96">
        <v>74.67</v>
      </c>
      <c r="E1156" s="13">
        <v>94627.51</v>
      </c>
      <c r="F1156" s="486">
        <v>1.2673000000000001</v>
      </c>
      <c r="G1156"/>
      <c r="H1156" s="13">
        <v>94627.51</v>
      </c>
      <c r="I1156" s="13">
        <v>1.2673000000000001</v>
      </c>
      <c r="J1156">
        <v>13</v>
      </c>
      <c r="K1156" s="131">
        <v>45688</v>
      </c>
      <c r="M1156">
        <v>570</v>
      </c>
      <c r="N1156" t="s">
        <v>7010</v>
      </c>
    </row>
    <row r="1157" spans="1:14">
      <c r="A1157" t="s">
        <v>1746</v>
      </c>
      <c r="B1157" t="s">
        <v>1748</v>
      </c>
      <c r="C1157" t="s">
        <v>1744</v>
      </c>
      <c r="D1157" s="96">
        <v>74.67</v>
      </c>
      <c r="E1157" s="13">
        <v>94999.44</v>
      </c>
      <c r="F1157" s="486">
        <v>1.2723</v>
      </c>
      <c r="G1157"/>
      <c r="H1157" s="13">
        <v>94999.44</v>
      </c>
      <c r="I1157" s="13">
        <v>1.2723</v>
      </c>
      <c r="J1157">
        <v>13</v>
      </c>
      <c r="K1157" s="131">
        <v>45688</v>
      </c>
      <c r="M1157">
        <v>570</v>
      </c>
      <c r="N1157" t="s">
        <v>7011</v>
      </c>
    </row>
    <row r="1158" spans="1:14">
      <c r="A1158" t="s">
        <v>1746</v>
      </c>
      <c r="B1158" t="s">
        <v>1748</v>
      </c>
      <c r="C1158" t="s">
        <v>1744</v>
      </c>
      <c r="D1158" s="96">
        <v>74.67</v>
      </c>
      <c r="E1158" s="13">
        <v>103974.53</v>
      </c>
      <c r="F1158" s="486">
        <v>1.3925000000000001</v>
      </c>
      <c r="G1158"/>
      <c r="H1158" s="13">
        <v>103974.53</v>
      </c>
      <c r="I1158" s="13">
        <v>1.3925000000000001</v>
      </c>
      <c r="J1158">
        <v>13</v>
      </c>
      <c r="K1158" s="131">
        <v>45688</v>
      </c>
      <c r="M1158">
        <v>570</v>
      </c>
      <c r="N1158" t="s">
        <v>7012</v>
      </c>
    </row>
    <row r="1159" spans="1:14">
      <c r="A1159" t="s">
        <v>1746</v>
      </c>
      <c r="B1159" t="s">
        <v>1748</v>
      </c>
      <c r="C1159" t="s">
        <v>1744</v>
      </c>
      <c r="D1159" s="96">
        <v>74.67</v>
      </c>
      <c r="E1159" s="13">
        <v>104346.47</v>
      </c>
      <c r="F1159" s="486">
        <v>1.3974</v>
      </c>
      <c r="G1159"/>
      <c r="H1159" s="13">
        <v>104346.47</v>
      </c>
      <c r="I1159" s="13">
        <v>1.3974</v>
      </c>
      <c r="J1159">
        <v>13</v>
      </c>
      <c r="K1159" s="131">
        <v>45688</v>
      </c>
      <c r="M1159">
        <v>570</v>
      </c>
      <c r="N1159" t="s">
        <v>7013</v>
      </c>
    </row>
    <row r="1160" spans="1:14">
      <c r="A1160" t="s">
        <v>1746</v>
      </c>
      <c r="B1160" t="s">
        <v>6999</v>
      </c>
      <c r="C1160" t="s">
        <v>1744</v>
      </c>
      <c r="D1160" s="96">
        <v>74.67</v>
      </c>
      <c r="E1160" s="13">
        <v>139709.46</v>
      </c>
      <c r="F1160" s="486">
        <v>1.871</v>
      </c>
      <c r="G1160"/>
      <c r="H1160" s="13">
        <v>139709.46</v>
      </c>
      <c r="I1160" s="13">
        <v>1.871</v>
      </c>
      <c r="J1160">
        <v>13</v>
      </c>
      <c r="K1160" s="131">
        <v>45688</v>
      </c>
      <c r="M1160">
        <v>570</v>
      </c>
      <c r="N1160" t="s">
        <v>7014</v>
      </c>
    </row>
    <row r="1161" spans="1:14">
      <c r="A1161" t="s">
        <v>1746</v>
      </c>
      <c r="B1161" t="s">
        <v>6999</v>
      </c>
      <c r="C1161" t="s">
        <v>1744</v>
      </c>
      <c r="D1161" s="96">
        <v>74.67</v>
      </c>
      <c r="E1161" s="13">
        <v>140081.4</v>
      </c>
      <c r="F1161" s="486">
        <v>1.8759999999999999</v>
      </c>
      <c r="G1161"/>
      <c r="H1161" s="13">
        <v>140081.4</v>
      </c>
      <c r="I1161" s="13">
        <v>1.8759999999999999</v>
      </c>
      <c r="J1161">
        <v>13</v>
      </c>
      <c r="K1161" s="131">
        <v>45688</v>
      </c>
      <c r="M1161">
        <v>570</v>
      </c>
      <c r="N1161" t="s">
        <v>7015</v>
      </c>
    </row>
    <row r="1162" spans="1:14">
      <c r="A1162" t="s">
        <v>1746</v>
      </c>
      <c r="B1162" t="s">
        <v>1748</v>
      </c>
      <c r="C1162" t="s">
        <v>1744</v>
      </c>
      <c r="D1162" s="96">
        <v>75.239999999999995</v>
      </c>
      <c r="E1162" s="13">
        <v>95152.19</v>
      </c>
      <c r="F1162" s="486">
        <v>1.2645999999999999</v>
      </c>
      <c r="G1162"/>
      <c r="H1162" s="13">
        <v>95152.19</v>
      </c>
      <c r="I1162" s="13">
        <v>1.2645999999999999</v>
      </c>
      <c r="J1162">
        <v>13</v>
      </c>
      <c r="K1162" s="131">
        <v>45688</v>
      </c>
      <c r="M1162">
        <v>570</v>
      </c>
      <c r="N1162" t="s">
        <v>7016</v>
      </c>
    </row>
    <row r="1163" spans="1:14">
      <c r="A1163" t="s">
        <v>1746</v>
      </c>
      <c r="B1163" t="s">
        <v>1748</v>
      </c>
      <c r="C1163" t="s">
        <v>1744</v>
      </c>
      <c r="D1163" s="96">
        <v>75.239999999999995</v>
      </c>
      <c r="E1163" s="13">
        <v>95526.97</v>
      </c>
      <c r="F1163" s="486">
        <v>1.2696000000000001</v>
      </c>
      <c r="G1163"/>
      <c r="H1163" s="13">
        <v>95526.97</v>
      </c>
      <c r="I1163" s="13">
        <v>1.2696000000000001</v>
      </c>
      <c r="J1163">
        <v>13</v>
      </c>
      <c r="K1163" s="131">
        <v>45688</v>
      </c>
      <c r="M1163">
        <v>570</v>
      </c>
      <c r="N1163" t="s">
        <v>7017</v>
      </c>
    </row>
    <row r="1164" spans="1:14">
      <c r="A1164" t="s">
        <v>1746</v>
      </c>
      <c r="B1164" t="s">
        <v>1747</v>
      </c>
      <c r="C1164" t="s">
        <v>1744</v>
      </c>
      <c r="D1164" s="96">
        <v>75.239999999999995</v>
      </c>
      <c r="E1164" s="13">
        <v>102604.9</v>
      </c>
      <c r="F1164" s="486">
        <v>1.3636999999999999</v>
      </c>
      <c r="G1164"/>
      <c r="H1164" s="13">
        <v>102604.9</v>
      </c>
      <c r="I1164" s="13">
        <v>1.3636999999999999</v>
      </c>
      <c r="J1164">
        <v>13</v>
      </c>
      <c r="K1164" s="131">
        <v>45688</v>
      </c>
      <c r="M1164">
        <v>570</v>
      </c>
      <c r="N1164" t="s">
        <v>7018</v>
      </c>
    </row>
    <row r="1165" spans="1:14">
      <c r="A1165" t="s">
        <v>1746</v>
      </c>
      <c r="B1165" t="s">
        <v>1747</v>
      </c>
      <c r="C1165" t="s">
        <v>1744</v>
      </c>
      <c r="D1165" s="96">
        <v>75.239999999999995</v>
      </c>
      <c r="E1165" s="13">
        <v>102979.68</v>
      </c>
      <c r="F1165" s="486">
        <v>1.3687</v>
      </c>
      <c r="G1165"/>
      <c r="H1165" s="13">
        <v>102979.68</v>
      </c>
      <c r="I1165" s="13">
        <v>1.3687</v>
      </c>
      <c r="J1165">
        <v>13</v>
      </c>
      <c r="K1165" s="131">
        <v>45688</v>
      </c>
      <c r="M1165">
        <v>570</v>
      </c>
      <c r="N1165" t="s">
        <v>7019</v>
      </c>
    </row>
    <row r="1166" spans="1:14">
      <c r="A1166" t="s">
        <v>1746</v>
      </c>
      <c r="B1166" t="s">
        <v>1748</v>
      </c>
      <c r="C1166" t="s">
        <v>1744</v>
      </c>
      <c r="D1166" s="96">
        <v>75.239999999999995</v>
      </c>
      <c r="E1166" s="13">
        <v>104499.22</v>
      </c>
      <c r="F1166" s="486">
        <v>1.3889</v>
      </c>
      <c r="G1166"/>
      <c r="H1166" s="13">
        <v>104499.22</v>
      </c>
      <c r="I1166" s="13">
        <v>1.3889</v>
      </c>
      <c r="J1166">
        <v>13</v>
      </c>
      <c r="K1166" s="131">
        <v>45688</v>
      </c>
      <c r="M1166">
        <v>570</v>
      </c>
      <c r="N1166" t="s">
        <v>7020</v>
      </c>
    </row>
    <row r="1167" spans="1:14">
      <c r="A1167" t="s">
        <v>1746</v>
      </c>
      <c r="B1167" t="s">
        <v>1748</v>
      </c>
      <c r="C1167" t="s">
        <v>1744</v>
      </c>
      <c r="D1167" s="96">
        <v>75.239999999999995</v>
      </c>
      <c r="E1167" s="13">
        <v>104873.99</v>
      </c>
      <c r="F1167" s="486">
        <v>1.3938999999999999</v>
      </c>
      <c r="G1167"/>
      <c r="H1167" s="13">
        <v>104873.99</v>
      </c>
      <c r="I1167" s="13">
        <v>1.3938999999999999</v>
      </c>
      <c r="J1167">
        <v>13</v>
      </c>
      <c r="K1167" s="131">
        <v>45688</v>
      </c>
      <c r="M1167">
        <v>570</v>
      </c>
      <c r="N1167" t="s">
        <v>7021</v>
      </c>
    </row>
    <row r="1168" spans="1:14">
      <c r="A1168" t="s">
        <v>1746</v>
      </c>
      <c r="B1168" t="s">
        <v>6999</v>
      </c>
      <c r="C1168" t="s">
        <v>1744</v>
      </c>
      <c r="D1168" s="96">
        <v>75.239999999999995</v>
      </c>
      <c r="E1168" s="13">
        <v>140234.14000000001</v>
      </c>
      <c r="F1168" s="486">
        <v>1.8637999999999999</v>
      </c>
      <c r="G1168"/>
      <c r="H1168" s="13">
        <v>140234.14000000001</v>
      </c>
      <c r="I1168" s="13">
        <v>1.8637999999999999</v>
      </c>
      <c r="J1168">
        <v>13</v>
      </c>
      <c r="K1168" s="131">
        <v>45688</v>
      </c>
      <c r="M1168">
        <v>570</v>
      </c>
      <c r="N1168" t="s">
        <v>7022</v>
      </c>
    </row>
    <row r="1169" spans="1:14">
      <c r="A1169" t="s">
        <v>1746</v>
      </c>
      <c r="B1169" t="s">
        <v>6999</v>
      </c>
      <c r="C1169" t="s">
        <v>1744</v>
      </c>
      <c r="D1169" s="96">
        <v>75.239999999999995</v>
      </c>
      <c r="E1169" s="13">
        <v>140608.92000000001</v>
      </c>
      <c r="F1169" s="486">
        <v>1.8688</v>
      </c>
      <c r="G1169"/>
      <c r="H1169" s="13">
        <v>140608.92000000001</v>
      </c>
      <c r="I1169" s="13">
        <v>1.8688</v>
      </c>
      <c r="J1169">
        <v>13</v>
      </c>
      <c r="K1169" s="131">
        <v>45688</v>
      </c>
      <c r="M1169">
        <v>570</v>
      </c>
      <c r="N1169" t="s">
        <v>7023</v>
      </c>
    </row>
    <row r="1170" spans="1:14">
      <c r="A1170" t="s">
        <v>1746</v>
      </c>
      <c r="B1170" t="s">
        <v>6786</v>
      </c>
      <c r="C1170" t="s">
        <v>1744</v>
      </c>
      <c r="D1170" s="96">
        <v>75.260000000000005</v>
      </c>
      <c r="E1170" s="13">
        <v>135501.39000000001</v>
      </c>
      <c r="F1170" s="486">
        <v>1.8004</v>
      </c>
      <c r="G1170"/>
      <c r="H1170" s="13">
        <v>135501.39000000001</v>
      </c>
      <c r="I1170" s="13">
        <v>1.8004</v>
      </c>
      <c r="J1170">
        <v>13</v>
      </c>
      <c r="K1170" s="131">
        <v>45688</v>
      </c>
      <c r="M1170">
        <v>710</v>
      </c>
      <c r="N1170" t="s">
        <v>7024</v>
      </c>
    </row>
    <row r="1171" spans="1:14">
      <c r="A1171" t="s">
        <v>1746</v>
      </c>
      <c r="B1171" t="s">
        <v>1748</v>
      </c>
      <c r="C1171" t="s">
        <v>1744</v>
      </c>
      <c r="D1171" s="96">
        <v>75.81</v>
      </c>
      <c r="E1171" s="13">
        <v>95991.46</v>
      </c>
      <c r="F1171" s="486">
        <v>1.2662</v>
      </c>
      <c r="G1171"/>
      <c r="H1171" s="13">
        <v>95991.46</v>
      </c>
      <c r="I1171" s="13">
        <v>1.2662</v>
      </c>
      <c r="J1171">
        <v>13</v>
      </c>
      <c r="K1171" s="131">
        <v>45688</v>
      </c>
      <c r="M1171">
        <v>570</v>
      </c>
      <c r="N1171" t="s">
        <v>7025</v>
      </c>
    </row>
    <row r="1172" spans="1:14">
      <c r="A1172" t="s">
        <v>1746</v>
      </c>
      <c r="B1172" t="s">
        <v>1748</v>
      </c>
      <c r="C1172" t="s">
        <v>1744</v>
      </c>
      <c r="D1172" s="96">
        <v>75.81</v>
      </c>
      <c r="E1172" s="13">
        <v>96369.07</v>
      </c>
      <c r="F1172" s="486">
        <v>1.2712000000000001</v>
      </c>
      <c r="G1172"/>
      <c r="H1172" s="13">
        <v>96369.07</v>
      </c>
      <c r="I1172" s="13">
        <v>1.2712000000000001</v>
      </c>
      <c r="J1172">
        <v>13</v>
      </c>
      <c r="K1172" s="131">
        <v>45688</v>
      </c>
      <c r="M1172">
        <v>570</v>
      </c>
      <c r="N1172" t="s">
        <v>7026</v>
      </c>
    </row>
    <row r="1173" spans="1:14">
      <c r="A1173" t="s">
        <v>1746</v>
      </c>
      <c r="B1173" t="s">
        <v>1747</v>
      </c>
      <c r="C1173" t="s">
        <v>1744</v>
      </c>
      <c r="D1173" s="96">
        <v>75.81</v>
      </c>
      <c r="E1173" s="13">
        <v>103444.17</v>
      </c>
      <c r="F1173" s="486">
        <v>1.3645</v>
      </c>
      <c r="G1173"/>
      <c r="H1173" s="13">
        <v>103444.17</v>
      </c>
      <c r="I1173" s="13">
        <v>1.3645</v>
      </c>
      <c r="J1173">
        <v>13</v>
      </c>
      <c r="K1173" s="131">
        <v>45688</v>
      </c>
      <c r="M1173">
        <v>570</v>
      </c>
      <c r="N1173" t="s">
        <v>7027</v>
      </c>
    </row>
    <row r="1174" spans="1:14">
      <c r="A1174" t="s">
        <v>1746</v>
      </c>
      <c r="B1174" t="s">
        <v>1747</v>
      </c>
      <c r="C1174" t="s">
        <v>1744</v>
      </c>
      <c r="D1174" s="96">
        <v>75.81</v>
      </c>
      <c r="E1174" s="13">
        <v>103821.78</v>
      </c>
      <c r="F1174" s="486">
        <v>1.3694999999999999</v>
      </c>
      <c r="G1174"/>
      <c r="H1174" s="13">
        <v>103821.78</v>
      </c>
      <c r="I1174" s="13">
        <v>1.3694999999999999</v>
      </c>
      <c r="J1174">
        <v>13</v>
      </c>
      <c r="K1174" s="131">
        <v>45688</v>
      </c>
      <c r="M1174">
        <v>570</v>
      </c>
      <c r="N1174" t="s">
        <v>7028</v>
      </c>
    </row>
    <row r="1175" spans="1:14">
      <c r="A1175" t="s">
        <v>1746</v>
      </c>
      <c r="B1175" t="s">
        <v>1748</v>
      </c>
      <c r="C1175" t="s">
        <v>1744</v>
      </c>
      <c r="D1175" s="96">
        <v>75.81</v>
      </c>
      <c r="E1175" s="13">
        <v>105338.48</v>
      </c>
      <c r="F1175" s="486">
        <v>1.3895</v>
      </c>
      <c r="G1175"/>
      <c r="H1175" s="13">
        <v>105338.48</v>
      </c>
      <c r="I1175" s="13">
        <v>1.3895</v>
      </c>
      <c r="J1175">
        <v>13</v>
      </c>
      <c r="K1175" s="131">
        <v>45688</v>
      </c>
      <c r="M1175">
        <v>570</v>
      </c>
      <c r="N1175" t="s">
        <v>7029</v>
      </c>
    </row>
    <row r="1176" spans="1:14">
      <c r="A1176" t="s">
        <v>1746</v>
      </c>
      <c r="B1176" t="s">
        <v>1748</v>
      </c>
      <c r="C1176" t="s">
        <v>1744</v>
      </c>
      <c r="D1176" s="96">
        <v>75.81</v>
      </c>
      <c r="E1176" s="13">
        <v>105716.1</v>
      </c>
      <c r="F1176" s="486">
        <v>1.3945000000000001</v>
      </c>
      <c r="G1176"/>
      <c r="H1176" s="13">
        <v>105716.1</v>
      </c>
      <c r="I1176" s="13">
        <v>1.3945000000000001</v>
      </c>
      <c r="J1176">
        <v>13</v>
      </c>
      <c r="K1176" s="131">
        <v>45688</v>
      </c>
      <c r="M1176">
        <v>570</v>
      </c>
      <c r="N1176" t="s">
        <v>7030</v>
      </c>
    </row>
    <row r="1177" spans="1:14">
      <c r="A1177" t="s">
        <v>1746</v>
      </c>
      <c r="B1177" t="s">
        <v>6999</v>
      </c>
      <c r="C1177" t="s">
        <v>1744</v>
      </c>
      <c r="D1177" s="96">
        <v>75.81</v>
      </c>
      <c r="E1177" s="13">
        <v>142846.21</v>
      </c>
      <c r="F1177" s="486">
        <v>1.8843000000000001</v>
      </c>
      <c r="G1177"/>
      <c r="H1177" s="13">
        <v>142846.21</v>
      </c>
      <c r="I1177" s="13">
        <v>1.8843000000000001</v>
      </c>
      <c r="J1177">
        <v>13</v>
      </c>
      <c r="K1177" s="131">
        <v>45688</v>
      </c>
      <c r="M1177">
        <v>570</v>
      </c>
      <c r="N1177" t="s">
        <v>7031</v>
      </c>
    </row>
    <row r="1178" spans="1:14">
      <c r="A1178" t="s">
        <v>1746</v>
      </c>
      <c r="B1178" t="s">
        <v>6999</v>
      </c>
      <c r="C1178" t="s">
        <v>1744</v>
      </c>
      <c r="D1178" s="96">
        <v>75.81</v>
      </c>
      <c r="E1178" s="13">
        <v>143223.82</v>
      </c>
      <c r="F1178" s="486">
        <v>1.8892</v>
      </c>
      <c r="G1178"/>
      <c r="H1178" s="13">
        <v>143223.82</v>
      </c>
      <c r="I1178" s="13">
        <v>1.8892</v>
      </c>
      <c r="J1178">
        <v>13</v>
      </c>
      <c r="K1178" s="131">
        <v>45688</v>
      </c>
      <c r="M1178">
        <v>570</v>
      </c>
      <c r="N1178" t="s">
        <v>7032</v>
      </c>
    </row>
    <row r="1179" spans="1:14">
      <c r="A1179" t="s">
        <v>1746</v>
      </c>
      <c r="B1179" t="s">
        <v>6786</v>
      </c>
      <c r="C1179" t="s">
        <v>1744</v>
      </c>
      <c r="D1179" s="96">
        <v>75.97</v>
      </c>
      <c r="E1179" s="13">
        <v>136229.54999999999</v>
      </c>
      <c r="F1179" s="486">
        <v>1.7931999999999999</v>
      </c>
      <c r="G1179"/>
      <c r="H1179" s="13">
        <v>136229.54999999999</v>
      </c>
      <c r="I1179" s="13">
        <v>1.7931999999999999</v>
      </c>
      <c r="J1179">
        <v>13</v>
      </c>
      <c r="K1179" s="131">
        <v>45688</v>
      </c>
      <c r="M1179">
        <v>710</v>
      </c>
      <c r="N1179" t="s">
        <v>7033</v>
      </c>
    </row>
    <row r="1180" spans="1:14">
      <c r="A1180" t="s">
        <v>1746</v>
      </c>
      <c r="B1180" t="s">
        <v>1748</v>
      </c>
      <c r="C1180" t="s">
        <v>1744</v>
      </c>
      <c r="D1180" s="96">
        <v>76.38</v>
      </c>
      <c r="E1180" s="13">
        <v>96516.14</v>
      </c>
      <c r="F1180" s="486">
        <v>1.2636000000000001</v>
      </c>
      <c r="G1180"/>
      <c r="H1180" s="13">
        <v>96516.14</v>
      </c>
      <c r="I1180" s="13">
        <v>1.2636000000000001</v>
      </c>
      <c r="J1180">
        <v>13</v>
      </c>
      <c r="K1180" s="131">
        <v>45688</v>
      </c>
      <c r="M1180">
        <v>570</v>
      </c>
      <c r="N1180" t="s">
        <v>7034</v>
      </c>
    </row>
    <row r="1181" spans="1:14">
      <c r="A1181" t="s">
        <v>1746</v>
      </c>
      <c r="B1181" t="s">
        <v>1748</v>
      </c>
      <c r="C1181" t="s">
        <v>1744</v>
      </c>
      <c r="D1181" s="96">
        <v>76.38</v>
      </c>
      <c r="E1181" s="13">
        <v>96896.6</v>
      </c>
      <c r="F1181" s="486">
        <v>1.2685999999999999</v>
      </c>
      <c r="G1181"/>
      <c r="H1181" s="13">
        <v>96896.6</v>
      </c>
      <c r="I1181" s="13">
        <v>1.2685999999999999</v>
      </c>
      <c r="J1181">
        <v>13</v>
      </c>
      <c r="K1181" s="131">
        <v>45688</v>
      </c>
      <c r="M1181">
        <v>570</v>
      </c>
      <c r="N1181" t="s">
        <v>7035</v>
      </c>
    </row>
    <row r="1182" spans="1:14">
      <c r="A1182" t="s">
        <v>1746</v>
      </c>
      <c r="B1182" t="s">
        <v>1747</v>
      </c>
      <c r="C1182" t="s">
        <v>1744</v>
      </c>
      <c r="D1182" s="96">
        <v>76.38</v>
      </c>
      <c r="E1182" s="13">
        <v>103968.85</v>
      </c>
      <c r="F1182" s="486">
        <v>1.3612</v>
      </c>
      <c r="G1182"/>
      <c r="H1182" s="13">
        <v>103968.85</v>
      </c>
      <c r="I1182" s="13">
        <v>1.3612</v>
      </c>
      <c r="J1182">
        <v>13</v>
      </c>
      <c r="K1182" s="131">
        <v>45688</v>
      </c>
      <c r="M1182">
        <v>570</v>
      </c>
      <c r="N1182" t="s">
        <v>7036</v>
      </c>
    </row>
    <row r="1183" spans="1:14">
      <c r="A1183" t="s">
        <v>1746</v>
      </c>
      <c r="B1183" t="s">
        <v>1747</v>
      </c>
      <c r="C1183" t="s">
        <v>1744</v>
      </c>
      <c r="D1183" s="96">
        <v>76.38</v>
      </c>
      <c r="E1183" s="13">
        <v>104349.31</v>
      </c>
      <c r="F1183" s="486">
        <v>1.3662000000000001</v>
      </c>
      <c r="G1183"/>
      <c r="H1183" s="13">
        <v>104349.31</v>
      </c>
      <c r="I1183" s="13">
        <v>1.3662000000000001</v>
      </c>
      <c r="J1183">
        <v>13</v>
      </c>
      <c r="K1183" s="131">
        <v>45688</v>
      </c>
      <c r="M1183">
        <v>570</v>
      </c>
      <c r="N1183" t="s">
        <v>7037</v>
      </c>
    </row>
    <row r="1184" spans="1:14">
      <c r="A1184" t="s">
        <v>1746</v>
      </c>
      <c r="B1184" t="s">
        <v>1748</v>
      </c>
      <c r="C1184" t="s">
        <v>1744</v>
      </c>
      <c r="D1184" s="96">
        <v>76.38</v>
      </c>
      <c r="E1184" s="13">
        <v>105863.17</v>
      </c>
      <c r="F1184" s="486">
        <v>1.3859999999999999</v>
      </c>
      <c r="G1184"/>
      <c r="H1184" s="13">
        <v>105863.17</v>
      </c>
      <c r="I1184" s="13">
        <v>1.3859999999999999</v>
      </c>
      <c r="J1184">
        <v>13</v>
      </c>
      <c r="K1184" s="131">
        <v>45688</v>
      </c>
      <c r="M1184">
        <v>570</v>
      </c>
      <c r="N1184" t="s">
        <v>7038</v>
      </c>
    </row>
    <row r="1185" spans="1:14">
      <c r="A1185" t="s">
        <v>1746</v>
      </c>
      <c r="B1185" t="s">
        <v>1748</v>
      </c>
      <c r="C1185" t="s">
        <v>1744</v>
      </c>
      <c r="D1185" s="96">
        <v>76.38</v>
      </c>
      <c r="E1185" s="13">
        <v>106243.62</v>
      </c>
      <c r="F1185" s="486">
        <v>1.391</v>
      </c>
      <c r="G1185"/>
      <c r="H1185" s="13">
        <v>106243.62</v>
      </c>
      <c r="I1185" s="13">
        <v>1.391</v>
      </c>
      <c r="J1185">
        <v>13</v>
      </c>
      <c r="K1185" s="131">
        <v>45688</v>
      </c>
      <c r="M1185">
        <v>570</v>
      </c>
      <c r="N1185" t="s">
        <v>7039</v>
      </c>
    </row>
    <row r="1186" spans="1:14">
      <c r="A1186" t="s">
        <v>1746</v>
      </c>
      <c r="B1186" t="s">
        <v>6999</v>
      </c>
      <c r="C1186" t="s">
        <v>1744</v>
      </c>
      <c r="D1186" s="96">
        <v>76.38</v>
      </c>
      <c r="E1186" s="13">
        <v>143370.89000000001</v>
      </c>
      <c r="F1186" s="486">
        <v>1.8771</v>
      </c>
      <c r="G1186"/>
      <c r="H1186" s="13">
        <v>143370.89000000001</v>
      </c>
      <c r="I1186" s="13">
        <v>1.8771</v>
      </c>
      <c r="J1186">
        <v>13</v>
      </c>
      <c r="K1186" s="131">
        <v>45688</v>
      </c>
      <c r="M1186">
        <v>570</v>
      </c>
      <c r="N1186" t="s">
        <v>7040</v>
      </c>
    </row>
    <row r="1187" spans="1:14">
      <c r="A1187" t="s">
        <v>1746</v>
      </c>
      <c r="B1187" t="s">
        <v>6999</v>
      </c>
      <c r="C1187" t="s">
        <v>1744</v>
      </c>
      <c r="D1187" s="96">
        <v>76.38</v>
      </c>
      <c r="E1187" s="13">
        <v>143751.35</v>
      </c>
      <c r="F1187" s="486">
        <v>1.8821000000000001</v>
      </c>
      <c r="G1187"/>
      <c r="H1187" s="13">
        <v>143751.35</v>
      </c>
      <c r="I1187" s="13">
        <v>1.8821000000000001</v>
      </c>
      <c r="J1187">
        <v>13</v>
      </c>
      <c r="K1187" s="131">
        <v>45688</v>
      </c>
      <c r="M1187">
        <v>570</v>
      </c>
      <c r="N1187" t="s">
        <v>7041</v>
      </c>
    </row>
    <row r="1188" spans="1:14">
      <c r="A1188" t="s">
        <v>1746</v>
      </c>
      <c r="B1188" t="s">
        <v>6786</v>
      </c>
      <c r="C1188" t="s">
        <v>1744</v>
      </c>
      <c r="D1188" s="96">
        <v>76.680000000000007</v>
      </c>
      <c r="E1188" s="13">
        <v>136957.71</v>
      </c>
      <c r="F1188" s="486">
        <v>1.7861</v>
      </c>
      <c r="G1188"/>
      <c r="H1188" s="13">
        <v>136957.71</v>
      </c>
      <c r="I1188" s="13">
        <v>1.7861</v>
      </c>
      <c r="J1188">
        <v>13</v>
      </c>
      <c r="K1188" s="131">
        <v>45688</v>
      </c>
      <c r="M1188">
        <v>710</v>
      </c>
      <c r="N1188" t="s">
        <v>7042</v>
      </c>
    </row>
    <row r="1189" spans="1:14">
      <c r="A1189" t="s">
        <v>1746</v>
      </c>
      <c r="B1189" t="s">
        <v>1748</v>
      </c>
      <c r="C1189" t="s">
        <v>1744</v>
      </c>
      <c r="D1189" s="96">
        <v>76.95</v>
      </c>
      <c r="E1189" s="13">
        <v>97040.83</v>
      </c>
      <c r="F1189" s="486">
        <v>1.2611000000000001</v>
      </c>
      <c r="G1189"/>
      <c r="H1189" s="13">
        <v>97040.83</v>
      </c>
      <c r="I1189" s="13">
        <v>1.2611000000000001</v>
      </c>
      <c r="J1189">
        <v>13</v>
      </c>
      <c r="K1189" s="131">
        <v>45688</v>
      </c>
      <c r="M1189">
        <v>570</v>
      </c>
      <c r="N1189" t="s">
        <v>7043</v>
      </c>
    </row>
    <row r="1190" spans="1:14">
      <c r="A1190" t="s">
        <v>1746</v>
      </c>
      <c r="B1190" t="s">
        <v>1748</v>
      </c>
      <c r="C1190" t="s">
        <v>1744</v>
      </c>
      <c r="D1190" s="96">
        <v>76.95</v>
      </c>
      <c r="E1190" s="13">
        <v>97424.12</v>
      </c>
      <c r="F1190" s="486">
        <v>1.2661</v>
      </c>
      <c r="G1190"/>
      <c r="H1190" s="13">
        <v>97424.12</v>
      </c>
      <c r="I1190" s="13">
        <v>1.2661</v>
      </c>
      <c r="J1190">
        <v>13</v>
      </c>
      <c r="K1190" s="131">
        <v>45688</v>
      </c>
      <c r="M1190">
        <v>570</v>
      </c>
      <c r="N1190" t="s">
        <v>7044</v>
      </c>
    </row>
    <row r="1191" spans="1:14">
      <c r="A1191" t="s">
        <v>1746</v>
      </c>
      <c r="B1191" t="s">
        <v>1747</v>
      </c>
      <c r="C1191" t="s">
        <v>1744</v>
      </c>
      <c r="D1191" s="96">
        <v>76.95</v>
      </c>
      <c r="E1191" s="13">
        <v>104493.54</v>
      </c>
      <c r="F1191" s="486">
        <v>1.3579000000000001</v>
      </c>
      <c r="G1191"/>
      <c r="H1191" s="13">
        <v>104493.54</v>
      </c>
      <c r="I1191" s="13">
        <v>1.3579000000000001</v>
      </c>
      <c r="J1191">
        <v>13</v>
      </c>
      <c r="K1191" s="131">
        <v>45688</v>
      </c>
      <c r="M1191">
        <v>570</v>
      </c>
      <c r="N1191" t="s">
        <v>7045</v>
      </c>
    </row>
    <row r="1192" spans="1:14">
      <c r="A1192" t="s">
        <v>1746</v>
      </c>
      <c r="B1192" t="s">
        <v>1747</v>
      </c>
      <c r="C1192" t="s">
        <v>1744</v>
      </c>
      <c r="D1192" s="96">
        <v>76.95</v>
      </c>
      <c r="E1192" s="13">
        <v>104876.83</v>
      </c>
      <c r="F1192" s="486">
        <v>1.3629</v>
      </c>
      <c r="G1192"/>
      <c r="H1192" s="13">
        <v>104876.83</v>
      </c>
      <c r="I1192" s="13">
        <v>1.3629</v>
      </c>
      <c r="J1192">
        <v>13</v>
      </c>
      <c r="K1192" s="131">
        <v>45688</v>
      </c>
      <c r="M1192">
        <v>570</v>
      </c>
      <c r="N1192" t="s">
        <v>7046</v>
      </c>
    </row>
    <row r="1193" spans="1:14">
      <c r="A1193" t="s">
        <v>1746</v>
      </c>
      <c r="B1193" t="s">
        <v>1748</v>
      </c>
      <c r="C1193" t="s">
        <v>1744</v>
      </c>
      <c r="D1193" s="96">
        <v>76.95</v>
      </c>
      <c r="E1193" s="13">
        <v>106387.85</v>
      </c>
      <c r="F1193" s="486">
        <v>1.3826000000000001</v>
      </c>
      <c r="G1193"/>
      <c r="H1193" s="13">
        <v>106387.85</v>
      </c>
      <c r="I1193" s="13">
        <v>1.3826000000000001</v>
      </c>
      <c r="J1193">
        <v>13</v>
      </c>
      <c r="K1193" s="131">
        <v>45688</v>
      </c>
      <c r="M1193">
        <v>570</v>
      </c>
      <c r="N1193" t="s">
        <v>7047</v>
      </c>
    </row>
    <row r="1194" spans="1:14">
      <c r="A1194" t="s">
        <v>1746</v>
      </c>
      <c r="B1194" t="s">
        <v>1748</v>
      </c>
      <c r="C1194" t="s">
        <v>1744</v>
      </c>
      <c r="D1194" s="96">
        <v>76.95</v>
      </c>
      <c r="E1194" s="13">
        <v>106771.14</v>
      </c>
      <c r="F1194" s="486">
        <v>1.3875</v>
      </c>
      <c r="G1194"/>
      <c r="H1194" s="13">
        <v>106771.14</v>
      </c>
      <c r="I1194" s="13">
        <v>1.3875</v>
      </c>
      <c r="J1194">
        <v>13</v>
      </c>
      <c r="K1194" s="131">
        <v>45688</v>
      </c>
      <c r="M1194">
        <v>570</v>
      </c>
      <c r="N1194" t="s">
        <v>7048</v>
      </c>
    </row>
    <row r="1195" spans="1:14">
      <c r="A1195" t="s">
        <v>1746</v>
      </c>
      <c r="B1195" t="s">
        <v>6999</v>
      </c>
      <c r="C1195" t="s">
        <v>1744</v>
      </c>
      <c r="D1195" s="96">
        <v>76.95</v>
      </c>
      <c r="E1195" s="13">
        <v>143895.57999999999</v>
      </c>
      <c r="F1195" s="486">
        <v>1.87</v>
      </c>
      <c r="G1195"/>
      <c r="H1195" s="13">
        <v>143895.57999999999</v>
      </c>
      <c r="I1195" s="13">
        <v>1.87</v>
      </c>
      <c r="J1195">
        <v>13</v>
      </c>
      <c r="K1195" s="131">
        <v>45688</v>
      </c>
      <c r="M1195">
        <v>570</v>
      </c>
      <c r="N1195" t="s">
        <v>7049</v>
      </c>
    </row>
    <row r="1196" spans="1:14">
      <c r="A1196" t="s">
        <v>1746</v>
      </c>
      <c r="B1196" t="s">
        <v>6999</v>
      </c>
      <c r="C1196" t="s">
        <v>1744</v>
      </c>
      <c r="D1196" s="96">
        <v>76.95</v>
      </c>
      <c r="E1196" s="13">
        <v>144278.87</v>
      </c>
      <c r="F1196" s="486">
        <v>1.875</v>
      </c>
      <c r="G1196"/>
      <c r="H1196" s="13">
        <v>144278.87</v>
      </c>
      <c r="I1196" s="13">
        <v>1.875</v>
      </c>
      <c r="J1196">
        <v>13</v>
      </c>
      <c r="K1196" s="131">
        <v>45688</v>
      </c>
      <c r="M1196">
        <v>570</v>
      </c>
      <c r="N1196" t="s">
        <v>7050</v>
      </c>
    </row>
    <row r="1197" spans="1:14">
      <c r="A1197" t="s">
        <v>1746</v>
      </c>
      <c r="B1197" t="s">
        <v>6786</v>
      </c>
      <c r="C1197" t="s">
        <v>1744</v>
      </c>
      <c r="D1197" s="96">
        <v>77.39</v>
      </c>
      <c r="E1197" s="13">
        <v>139773.25</v>
      </c>
      <c r="F1197" s="486">
        <v>1.8061</v>
      </c>
      <c r="G1197"/>
      <c r="H1197" s="13">
        <v>139773.25</v>
      </c>
      <c r="I1197" s="13">
        <v>1.8061</v>
      </c>
      <c r="J1197">
        <v>13</v>
      </c>
      <c r="K1197" s="131">
        <v>45688</v>
      </c>
      <c r="M1197">
        <v>710</v>
      </c>
      <c r="N1197" t="s">
        <v>7051</v>
      </c>
    </row>
    <row r="1198" spans="1:14">
      <c r="A1198" t="s">
        <v>1746</v>
      </c>
      <c r="B1198" t="s">
        <v>1748</v>
      </c>
      <c r="C1198" t="s">
        <v>1744</v>
      </c>
      <c r="D1198" s="96">
        <v>77.52</v>
      </c>
      <c r="E1198" s="13">
        <v>97565.51</v>
      </c>
      <c r="F1198" s="486">
        <v>1.2585999999999999</v>
      </c>
      <c r="G1198"/>
      <c r="H1198" s="13">
        <v>97565.51</v>
      </c>
      <c r="I1198" s="13">
        <v>1.2585999999999999</v>
      </c>
      <c r="J1198">
        <v>13</v>
      </c>
      <c r="K1198" s="131">
        <v>45688</v>
      </c>
      <c r="M1198">
        <v>570</v>
      </c>
      <c r="N1198" t="s">
        <v>7052</v>
      </c>
    </row>
    <row r="1199" spans="1:14">
      <c r="A1199" t="s">
        <v>1746</v>
      </c>
      <c r="B1199" t="s">
        <v>1748</v>
      </c>
      <c r="C1199" t="s">
        <v>1744</v>
      </c>
      <c r="D1199" s="96">
        <v>77.52</v>
      </c>
      <c r="E1199" s="13">
        <v>97951.64</v>
      </c>
      <c r="F1199" s="486">
        <v>1.2636000000000001</v>
      </c>
      <c r="G1199"/>
      <c r="H1199" s="13">
        <v>97951.64</v>
      </c>
      <c r="I1199" s="13">
        <v>1.2636000000000001</v>
      </c>
      <c r="J1199">
        <v>13</v>
      </c>
      <c r="K1199" s="131">
        <v>45688</v>
      </c>
      <c r="M1199">
        <v>570</v>
      </c>
      <c r="N1199" t="s">
        <v>7053</v>
      </c>
    </row>
    <row r="1200" spans="1:14">
      <c r="A1200" t="s">
        <v>1746</v>
      </c>
      <c r="B1200" t="s">
        <v>1747</v>
      </c>
      <c r="C1200" t="s">
        <v>1744</v>
      </c>
      <c r="D1200" s="96">
        <v>77.52</v>
      </c>
      <c r="E1200" s="13">
        <v>105018.22</v>
      </c>
      <c r="F1200" s="486">
        <v>1.3547</v>
      </c>
      <c r="G1200"/>
      <c r="H1200" s="13">
        <v>105018.22</v>
      </c>
      <c r="I1200" s="13">
        <v>1.3547</v>
      </c>
      <c r="J1200">
        <v>13</v>
      </c>
      <c r="K1200" s="131">
        <v>45688</v>
      </c>
      <c r="M1200">
        <v>570</v>
      </c>
      <c r="N1200" t="s">
        <v>7054</v>
      </c>
    </row>
    <row r="1201" spans="1:14">
      <c r="A1201" t="s">
        <v>1746</v>
      </c>
      <c r="B1201" t="s">
        <v>1747</v>
      </c>
      <c r="C1201" t="s">
        <v>1744</v>
      </c>
      <c r="D1201" s="96">
        <v>77.52</v>
      </c>
      <c r="E1201" s="13">
        <v>105404.35</v>
      </c>
      <c r="F1201" s="486">
        <v>1.3596999999999999</v>
      </c>
      <c r="G1201"/>
      <c r="H1201" s="13">
        <v>105404.35</v>
      </c>
      <c r="I1201" s="13">
        <v>1.3596999999999999</v>
      </c>
      <c r="J1201">
        <v>13</v>
      </c>
      <c r="K1201" s="131">
        <v>45688</v>
      </c>
      <c r="M1201">
        <v>570</v>
      </c>
      <c r="N1201" t="s">
        <v>7055</v>
      </c>
    </row>
    <row r="1202" spans="1:14">
      <c r="A1202" t="s">
        <v>1746</v>
      </c>
      <c r="B1202" t="s">
        <v>1748</v>
      </c>
      <c r="C1202" t="s">
        <v>1744</v>
      </c>
      <c r="D1202" s="96">
        <v>77.52</v>
      </c>
      <c r="E1202" s="13">
        <v>106912.54</v>
      </c>
      <c r="F1202" s="486">
        <v>1.3792</v>
      </c>
      <c r="G1202"/>
      <c r="H1202" s="13">
        <v>106912.54</v>
      </c>
      <c r="I1202" s="13">
        <v>1.3792</v>
      </c>
      <c r="J1202">
        <v>13</v>
      </c>
      <c r="K1202" s="131">
        <v>45688</v>
      </c>
      <c r="M1202">
        <v>570</v>
      </c>
      <c r="N1202" t="s">
        <v>7056</v>
      </c>
    </row>
    <row r="1203" spans="1:14">
      <c r="A1203" t="s">
        <v>1746</v>
      </c>
      <c r="B1203" t="s">
        <v>1748</v>
      </c>
      <c r="C1203" t="s">
        <v>1744</v>
      </c>
      <c r="D1203" s="96">
        <v>77.52</v>
      </c>
      <c r="E1203" s="13">
        <v>107298.67</v>
      </c>
      <c r="F1203" s="486">
        <v>1.3841000000000001</v>
      </c>
      <c r="G1203"/>
      <c r="H1203" s="13">
        <v>107298.67</v>
      </c>
      <c r="I1203" s="13">
        <v>1.3841000000000001</v>
      </c>
      <c r="J1203">
        <v>13</v>
      </c>
      <c r="K1203" s="131">
        <v>45688</v>
      </c>
      <c r="M1203">
        <v>570</v>
      </c>
      <c r="N1203" t="s">
        <v>7057</v>
      </c>
    </row>
    <row r="1204" spans="1:14">
      <c r="A1204" t="s">
        <v>1746</v>
      </c>
      <c r="B1204" t="s">
        <v>6999</v>
      </c>
      <c r="C1204" t="s">
        <v>1744</v>
      </c>
      <c r="D1204" s="96">
        <v>77.52</v>
      </c>
      <c r="E1204" s="13">
        <v>144420.26</v>
      </c>
      <c r="F1204" s="486">
        <v>1.863</v>
      </c>
      <c r="G1204"/>
      <c r="H1204" s="13">
        <v>144420.26</v>
      </c>
      <c r="I1204" s="13">
        <v>1.863</v>
      </c>
      <c r="J1204">
        <v>13</v>
      </c>
      <c r="K1204" s="131">
        <v>45688</v>
      </c>
      <c r="M1204">
        <v>570</v>
      </c>
      <c r="N1204" t="s">
        <v>7058</v>
      </c>
    </row>
    <row r="1205" spans="1:14">
      <c r="A1205" t="s">
        <v>1746</v>
      </c>
      <c r="B1205" t="s">
        <v>6999</v>
      </c>
      <c r="C1205" t="s">
        <v>1744</v>
      </c>
      <c r="D1205" s="96">
        <v>77.52</v>
      </c>
      <c r="E1205" s="13">
        <v>144806.39000000001</v>
      </c>
      <c r="F1205" s="486">
        <v>1.8680000000000001</v>
      </c>
      <c r="G1205"/>
      <c r="H1205" s="13">
        <v>144806.39000000001</v>
      </c>
      <c r="I1205" s="13">
        <v>1.8680000000000001</v>
      </c>
      <c r="J1205">
        <v>13</v>
      </c>
      <c r="K1205" s="131">
        <v>45688</v>
      </c>
      <c r="M1205">
        <v>570</v>
      </c>
      <c r="N1205" t="s">
        <v>7059</v>
      </c>
    </row>
    <row r="1206" spans="1:14">
      <c r="A1206" t="s">
        <v>1746</v>
      </c>
      <c r="B1206" t="s">
        <v>1748</v>
      </c>
      <c r="C1206" t="s">
        <v>1744</v>
      </c>
      <c r="D1206" s="96">
        <v>78.09</v>
      </c>
      <c r="E1206" s="13">
        <v>98404.78</v>
      </c>
      <c r="F1206" s="486">
        <v>1.2601</v>
      </c>
      <c r="G1206"/>
      <c r="H1206" s="13">
        <v>98404.78</v>
      </c>
      <c r="I1206" s="13">
        <v>1.2601</v>
      </c>
      <c r="J1206">
        <v>13</v>
      </c>
      <c r="K1206" s="131">
        <v>45688</v>
      </c>
      <c r="M1206">
        <v>570</v>
      </c>
      <c r="N1206" t="s">
        <v>7060</v>
      </c>
    </row>
    <row r="1207" spans="1:14">
      <c r="A1207" t="s">
        <v>1746</v>
      </c>
      <c r="B1207" t="s">
        <v>1748</v>
      </c>
      <c r="C1207" t="s">
        <v>1744</v>
      </c>
      <c r="D1207" s="96">
        <v>78.09</v>
      </c>
      <c r="E1207" s="13">
        <v>98793.75</v>
      </c>
      <c r="F1207" s="486">
        <v>1.2650999999999999</v>
      </c>
      <c r="G1207"/>
      <c r="H1207" s="13">
        <v>98793.75</v>
      </c>
      <c r="I1207" s="13">
        <v>1.2650999999999999</v>
      </c>
      <c r="J1207">
        <v>13</v>
      </c>
      <c r="K1207" s="131">
        <v>45688</v>
      </c>
      <c r="M1207">
        <v>570</v>
      </c>
      <c r="N1207" t="s">
        <v>7061</v>
      </c>
    </row>
    <row r="1208" spans="1:14">
      <c r="A1208" t="s">
        <v>1746</v>
      </c>
      <c r="B1208" t="s">
        <v>1747</v>
      </c>
      <c r="C1208" t="s">
        <v>1744</v>
      </c>
      <c r="D1208" s="96">
        <v>78.09</v>
      </c>
      <c r="E1208" s="13">
        <v>105857.49</v>
      </c>
      <c r="F1208" s="486">
        <v>1.3555999999999999</v>
      </c>
      <c r="G1208"/>
      <c r="H1208" s="13">
        <v>105857.49</v>
      </c>
      <c r="I1208" s="13">
        <v>1.3555999999999999</v>
      </c>
      <c r="J1208">
        <v>13</v>
      </c>
      <c r="K1208" s="131">
        <v>45688</v>
      </c>
      <c r="M1208">
        <v>570</v>
      </c>
      <c r="N1208" t="s">
        <v>7062</v>
      </c>
    </row>
    <row r="1209" spans="1:14">
      <c r="A1209" t="s">
        <v>1746</v>
      </c>
      <c r="B1209" t="s">
        <v>1747</v>
      </c>
      <c r="C1209" t="s">
        <v>1744</v>
      </c>
      <c r="D1209" s="96">
        <v>78.09</v>
      </c>
      <c r="E1209" s="13">
        <v>106246.46</v>
      </c>
      <c r="F1209" s="486">
        <v>1.3606</v>
      </c>
      <c r="G1209"/>
      <c r="H1209" s="13">
        <v>106246.46</v>
      </c>
      <c r="I1209" s="13">
        <v>1.3606</v>
      </c>
      <c r="J1209">
        <v>13</v>
      </c>
      <c r="K1209" s="131">
        <v>45688</v>
      </c>
      <c r="M1209">
        <v>570</v>
      </c>
      <c r="N1209" t="s">
        <v>7063</v>
      </c>
    </row>
    <row r="1210" spans="1:14">
      <c r="A1210" t="s">
        <v>1746</v>
      </c>
      <c r="B1210" t="s">
        <v>1748</v>
      </c>
      <c r="C1210" t="s">
        <v>1744</v>
      </c>
      <c r="D1210" s="96">
        <v>78.09</v>
      </c>
      <c r="E1210" s="13">
        <v>107751.8</v>
      </c>
      <c r="F1210" s="486">
        <v>1.3797999999999999</v>
      </c>
      <c r="G1210"/>
      <c r="H1210" s="13">
        <v>107751.8</v>
      </c>
      <c r="I1210" s="13">
        <v>1.3797999999999999</v>
      </c>
      <c r="J1210">
        <v>13</v>
      </c>
      <c r="K1210" s="131">
        <v>45688</v>
      </c>
      <c r="M1210">
        <v>570</v>
      </c>
      <c r="N1210" t="s">
        <v>7064</v>
      </c>
    </row>
    <row r="1211" spans="1:14">
      <c r="A1211" t="s">
        <v>1746</v>
      </c>
      <c r="B1211" t="s">
        <v>1748</v>
      </c>
      <c r="C1211" t="s">
        <v>1744</v>
      </c>
      <c r="D1211" s="96">
        <v>78.09</v>
      </c>
      <c r="E1211" s="13">
        <v>108140.77</v>
      </c>
      <c r="F1211" s="486">
        <v>1.3848</v>
      </c>
      <c r="G1211"/>
      <c r="H1211" s="13">
        <v>108140.77</v>
      </c>
      <c r="I1211" s="13">
        <v>1.3848</v>
      </c>
      <c r="J1211">
        <v>13</v>
      </c>
      <c r="K1211" s="131">
        <v>45688</v>
      </c>
      <c r="M1211">
        <v>570</v>
      </c>
      <c r="N1211" t="s">
        <v>7065</v>
      </c>
    </row>
    <row r="1212" spans="1:14">
      <c r="A1212" t="s">
        <v>1746</v>
      </c>
      <c r="B1212" t="s">
        <v>7066</v>
      </c>
      <c r="C1212" t="s">
        <v>1744</v>
      </c>
      <c r="D1212" s="96">
        <v>78.09</v>
      </c>
      <c r="E1212" s="13">
        <v>147066.10999999999</v>
      </c>
      <c r="F1212" s="486">
        <v>1.8833</v>
      </c>
      <c r="G1212"/>
      <c r="H1212" s="13">
        <v>147066.10999999999</v>
      </c>
      <c r="I1212" s="13">
        <v>1.8833</v>
      </c>
      <c r="J1212">
        <v>13</v>
      </c>
      <c r="K1212" s="131">
        <v>45688</v>
      </c>
      <c r="M1212">
        <v>570</v>
      </c>
      <c r="N1212" t="s">
        <v>7067</v>
      </c>
    </row>
    <row r="1213" spans="1:14">
      <c r="A1213" t="s">
        <v>1746</v>
      </c>
      <c r="B1213" t="s">
        <v>7066</v>
      </c>
      <c r="C1213" t="s">
        <v>1744</v>
      </c>
      <c r="D1213" s="96">
        <v>78.09</v>
      </c>
      <c r="E1213" s="13">
        <v>147455.07999999999</v>
      </c>
      <c r="F1213" s="486">
        <v>1.8883000000000001</v>
      </c>
      <c r="G1213"/>
      <c r="H1213" s="13">
        <v>147455.07999999999</v>
      </c>
      <c r="I1213" s="13">
        <v>1.8883000000000001</v>
      </c>
      <c r="J1213">
        <v>13</v>
      </c>
      <c r="K1213" s="131">
        <v>45688</v>
      </c>
      <c r="M1213">
        <v>570</v>
      </c>
      <c r="N1213" t="s">
        <v>7068</v>
      </c>
    </row>
    <row r="1214" spans="1:14">
      <c r="A1214" t="s">
        <v>1746</v>
      </c>
      <c r="B1214" t="s">
        <v>6786</v>
      </c>
      <c r="C1214" t="s">
        <v>1744</v>
      </c>
      <c r="D1214" s="96">
        <v>78.099999999999994</v>
      </c>
      <c r="E1214" s="13">
        <v>140501.41</v>
      </c>
      <c r="F1214" s="486">
        <v>1.7989999999999999</v>
      </c>
      <c r="G1214"/>
      <c r="H1214" s="13">
        <v>140501.41</v>
      </c>
      <c r="I1214" s="13">
        <v>1.7989999999999999</v>
      </c>
      <c r="J1214">
        <v>13</v>
      </c>
      <c r="K1214" s="131">
        <v>45688</v>
      </c>
      <c r="M1214">
        <v>710</v>
      </c>
      <c r="N1214" t="s">
        <v>7069</v>
      </c>
    </row>
    <row r="1215" spans="1:14">
      <c r="A1215" t="s">
        <v>1746</v>
      </c>
      <c r="B1215" t="s">
        <v>1748</v>
      </c>
      <c r="C1215" t="s">
        <v>1744</v>
      </c>
      <c r="D1215" s="96">
        <v>78.66</v>
      </c>
      <c r="E1215" s="13">
        <v>98929.46</v>
      </c>
      <c r="F1215" s="486">
        <v>1.2577</v>
      </c>
      <c r="G1215"/>
      <c r="H1215" s="13">
        <v>98929.46</v>
      </c>
      <c r="I1215" s="13">
        <v>1.2577</v>
      </c>
      <c r="J1215">
        <v>13</v>
      </c>
      <c r="K1215" s="131">
        <v>45688</v>
      </c>
      <c r="M1215">
        <v>570</v>
      </c>
      <c r="N1215" t="s">
        <v>7070</v>
      </c>
    </row>
    <row r="1216" spans="1:14">
      <c r="A1216" t="s">
        <v>1746</v>
      </c>
      <c r="B1216" t="s">
        <v>1748</v>
      </c>
      <c r="C1216" t="s">
        <v>1744</v>
      </c>
      <c r="D1216" s="96">
        <v>78.66</v>
      </c>
      <c r="E1216" s="13">
        <v>99321.27</v>
      </c>
      <c r="F1216" s="486">
        <v>1.2626999999999999</v>
      </c>
      <c r="G1216"/>
      <c r="H1216" s="13">
        <v>99321.27</v>
      </c>
      <c r="I1216" s="13">
        <v>1.2626999999999999</v>
      </c>
      <c r="J1216">
        <v>13</v>
      </c>
      <c r="K1216" s="131">
        <v>45688</v>
      </c>
      <c r="M1216">
        <v>570</v>
      </c>
      <c r="N1216" t="s">
        <v>7071</v>
      </c>
    </row>
    <row r="1217" spans="1:14">
      <c r="A1217" t="s">
        <v>1746</v>
      </c>
      <c r="B1217" t="s">
        <v>1747</v>
      </c>
      <c r="C1217" t="s">
        <v>1744</v>
      </c>
      <c r="D1217" s="96">
        <v>78.66</v>
      </c>
      <c r="E1217" s="13">
        <v>106382.17</v>
      </c>
      <c r="F1217" s="486">
        <v>1.3524</v>
      </c>
      <c r="G1217"/>
      <c r="H1217" s="13">
        <v>106382.17</v>
      </c>
      <c r="I1217" s="13">
        <v>1.3524</v>
      </c>
      <c r="J1217">
        <v>13</v>
      </c>
      <c r="K1217" s="131">
        <v>45688</v>
      </c>
      <c r="M1217">
        <v>570</v>
      </c>
      <c r="N1217" t="s">
        <v>7072</v>
      </c>
    </row>
    <row r="1218" spans="1:14">
      <c r="A1218" t="s">
        <v>1746</v>
      </c>
      <c r="B1218" t="s">
        <v>1747</v>
      </c>
      <c r="C1218" t="s">
        <v>1744</v>
      </c>
      <c r="D1218" s="96">
        <v>78.66</v>
      </c>
      <c r="E1218" s="13">
        <v>106773.98</v>
      </c>
      <c r="F1218" s="486">
        <v>1.3573999999999999</v>
      </c>
      <c r="G1218"/>
      <c r="H1218" s="13">
        <v>106773.98</v>
      </c>
      <c r="I1218" s="13">
        <v>1.3573999999999999</v>
      </c>
      <c r="J1218">
        <v>13</v>
      </c>
      <c r="K1218" s="131">
        <v>45688</v>
      </c>
      <c r="M1218">
        <v>570</v>
      </c>
      <c r="N1218" t="s">
        <v>7073</v>
      </c>
    </row>
    <row r="1219" spans="1:14">
      <c r="A1219" t="s">
        <v>1746</v>
      </c>
      <c r="B1219" t="s">
        <v>1748</v>
      </c>
      <c r="C1219" t="s">
        <v>1744</v>
      </c>
      <c r="D1219" s="96">
        <v>78.66</v>
      </c>
      <c r="E1219" s="13">
        <v>108276.49</v>
      </c>
      <c r="F1219" s="486">
        <v>1.3765000000000001</v>
      </c>
      <c r="G1219"/>
      <c r="H1219" s="13">
        <v>108276.49</v>
      </c>
      <c r="I1219" s="13">
        <v>1.3765000000000001</v>
      </c>
      <c r="J1219">
        <v>13</v>
      </c>
      <c r="K1219" s="131">
        <v>45688</v>
      </c>
      <c r="M1219">
        <v>570</v>
      </c>
      <c r="N1219" t="s">
        <v>7074</v>
      </c>
    </row>
    <row r="1220" spans="1:14">
      <c r="A1220" t="s">
        <v>1746</v>
      </c>
      <c r="B1220" t="s">
        <v>1748</v>
      </c>
      <c r="C1220" t="s">
        <v>1744</v>
      </c>
      <c r="D1220" s="96">
        <v>78.66</v>
      </c>
      <c r="E1220" s="13">
        <v>108668.3</v>
      </c>
      <c r="F1220" s="486">
        <v>1.3815</v>
      </c>
      <c r="G1220"/>
      <c r="H1220" s="13">
        <v>108668.3</v>
      </c>
      <c r="I1220" s="13">
        <v>1.3815</v>
      </c>
      <c r="J1220">
        <v>13</v>
      </c>
      <c r="K1220" s="131">
        <v>45688</v>
      </c>
      <c r="M1220">
        <v>570</v>
      </c>
      <c r="N1220" t="s">
        <v>7075</v>
      </c>
    </row>
    <row r="1221" spans="1:14">
      <c r="A1221" t="s">
        <v>1746</v>
      </c>
      <c r="B1221" t="s">
        <v>7066</v>
      </c>
      <c r="C1221" t="s">
        <v>1744</v>
      </c>
      <c r="D1221" s="96">
        <v>78.66</v>
      </c>
      <c r="E1221" s="13">
        <v>147590.79999999999</v>
      </c>
      <c r="F1221" s="486">
        <v>1.8763000000000001</v>
      </c>
      <c r="G1221"/>
      <c r="H1221" s="13">
        <v>147590.79999999999</v>
      </c>
      <c r="I1221" s="13">
        <v>1.8763000000000001</v>
      </c>
      <c r="J1221">
        <v>13</v>
      </c>
      <c r="K1221" s="131">
        <v>45688</v>
      </c>
      <c r="M1221">
        <v>570</v>
      </c>
      <c r="N1221" t="s">
        <v>7076</v>
      </c>
    </row>
    <row r="1222" spans="1:14">
      <c r="A1222" t="s">
        <v>1746</v>
      </c>
      <c r="B1222" t="s">
        <v>7066</v>
      </c>
      <c r="C1222" t="s">
        <v>1744</v>
      </c>
      <c r="D1222" s="96">
        <v>78.66</v>
      </c>
      <c r="E1222" s="13">
        <v>147982.60999999999</v>
      </c>
      <c r="F1222" s="486">
        <v>1.8813</v>
      </c>
      <c r="G1222"/>
      <c r="H1222" s="13">
        <v>147982.60999999999</v>
      </c>
      <c r="I1222" s="13">
        <v>1.8813</v>
      </c>
      <c r="J1222">
        <v>13</v>
      </c>
      <c r="K1222" s="131">
        <v>45688</v>
      </c>
      <c r="M1222">
        <v>570</v>
      </c>
      <c r="N1222" t="s">
        <v>7077</v>
      </c>
    </row>
    <row r="1223" spans="1:14">
      <c r="A1223" t="s">
        <v>1746</v>
      </c>
      <c r="B1223" t="s">
        <v>6786</v>
      </c>
      <c r="C1223" t="s">
        <v>1744</v>
      </c>
      <c r="D1223" s="96">
        <v>78.81</v>
      </c>
      <c r="E1223" s="13">
        <v>141229.57</v>
      </c>
      <c r="F1223" s="486">
        <v>1.792</v>
      </c>
      <c r="G1223"/>
      <c r="H1223" s="13">
        <v>141229.57</v>
      </c>
      <c r="I1223" s="13">
        <v>1.792</v>
      </c>
      <c r="J1223">
        <v>13</v>
      </c>
      <c r="K1223" s="131">
        <v>45688</v>
      </c>
      <c r="M1223">
        <v>710</v>
      </c>
      <c r="N1223" t="s">
        <v>7078</v>
      </c>
    </row>
    <row r="1224" spans="1:14">
      <c r="A1224" t="s">
        <v>1746</v>
      </c>
      <c r="B1224" t="s">
        <v>1748</v>
      </c>
      <c r="C1224" t="s">
        <v>1744</v>
      </c>
      <c r="D1224" s="96">
        <v>79.23</v>
      </c>
      <c r="E1224" s="13">
        <v>99454.15</v>
      </c>
      <c r="F1224" s="486">
        <v>1.2553000000000001</v>
      </c>
      <c r="G1224"/>
      <c r="H1224" s="13">
        <v>99454.15</v>
      </c>
      <c r="I1224" s="13">
        <v>1.2553000000000001</v>
      </c>
      <c r="J1224">
        <v>13</v>
      </c>
      <c r="K1224" s="131">
        <v>45688</v>
      </c>
      <c r="M1224">
        <v>570</v>
      </c>
      <c r="N1224" t="s">
        <v>7079</v>
      </c>
    </row>
    <row r="1225" spans="1:14">
      <c r="A1225" t="s">
        <v>1746</v>
      </c>
      <c r="B1225" t="s">
        <v>1748</v>
      </c>
      <c r="C1225" t="s">
        <v>1744</v>
      </c>
      <c r="D1225" s="96">
        <v>79.23</v>
      </c>
      <c r="E1225" s="13">
        <v>99848.8</v>
      </c>
      <c r="F1225" s="486">
        <v>1.2602</v>
      </c>
      <c r="G1225"/>
      <c r="H1225" s="13">
        <v>99848.8</v>
      </c>
      <c r="I1225" s="13">
        <v>1.2602</v>
      </c>
      <c r="J1225">
        <v>13</v>
      </c>
      <c r="K1225" s="131">
        <v>45688</v>
      </c>
      <c r="M1225">
        <v>570</v>
      </c>
      <c r="N1225" t="s">
        <v>7080</v>
      </c>
    </row>
    <row r="1226" spans="1:14">
      <c r="A1226" t="s">
        <v>1746</v>
      </c>
      <c r="B1226" t="s">
        <v>1747</v>
      </c>
      <c r="C1226" t="s">
        <v>1744</v>
      </c>
      <c r="D1226" s="96">
        <v>79.23</v>
      </c>
      <c r="E1226" s="13">
        <v>106906.86</v>
      </c>
      <c r="F1226" s="486">
        <v>1.3492999999999999</v>
      </c>
      <c r="G1226"/>
      <c r="H1226" s="13">
        <v>106906.86</v>
      </c>
      <c r="I1226" s="13">
        <v>1.3492999999999999</v>
      </c>
      <c r="J1226">
        <v>13</v>
      </c>
      <c r="K1226" s="131">
        <v>45688</v>
      </c>
      <c r="M1226">
        <v>570</v>
      </c>
      <c r="N1226" t="s">
        <v>7081</v>
      </c>
    </row>
    <row r="1227" spans="1:14">
      <c r="A1227" t="s">
        <v>1746</v>
      </c>
      <c r="B1227" t="s">
        <v>1747</v>
      </c>
      <c r="C1227" t="s">
        <v>1744</v>
      </c>
      <c r="D1227" s="96">
        <v>79.23</v>
      </c>
      <c r="E1227" s="13">
        <v>107301.51</v>
      </c>
      <c r="F1227" s="486">
        <v>1.3543000000000001</v>
      </c>
      <c r="G1227"/>
      <c r="H1227" s="13">
        <v>107301.51</v>
      </c>
      <c r="I1227" s="13">
        <v>1.3543000000000001</v>
      </c>
      <c r="J1227">
        <v>13</v>
      </c>
      <c r="K1227" s="131">
        <v>45688</v>
      </c>
      <c r="M1227">
        <v>570</v>
      </c>
      <c r="N1227" t="s">
        <v>7082</v>
      </c>
    </row>
    <row r="1228" spans="1:14">
      <c r="A1228" t="s">
        <v>1746</v>
      </c>
      <c r="B1228" t="s">
        <v>1748</v>
      </c>
      <c r="C1228" t="s">
        <v>1744</v>
      </c>
      <c r="D1228" s="96">
        <v>79.23</v>
      </c>
      <c r="E1228" s="13">
        <v>108801.17</v>
      </c>
      <c r="F1228" s="486">
        <v>1.3732</v>
      </c>
      <c r="G1228"/>
      <c r="H1228" s="13">
        <v>108801.17</v>
      </c>
      <c r="I1228" s="13">
        <v>1.3732</v>
      </c>
      <c r="J1228">
        <v>13</v>
      </c>
      <c r="K1228" s="131">
        <v>45688</v>
      </c>
      <c r="M1228">
        <v>570</v>
      </c>
      <c r="N1228" t="s">
        <v>7083</v>
      </c>
    </row>
    <row r="1229" spans="1:14">
      <c r="A1229" t="s">
        <v>1746</v>
      </c>
      <c r="B1229" t="s">
        <v>1748</v>
      </c>
      <c r="C1229" t="s">
        <v>1744</v>
      </c>
      <c r="D1229" s="96">
        <v>79.23</v>
      </c>
      <c r="E1229" s="13">
        <v>109195.82</v>
      </c>
      <c r="F1229" s="486">
        <v>1.3782000000000001</v>
      </c>
      <c r="G1229"/>
      <c r="H1229" s="13">
        <v>109195.82</v>
      </c>
      <c r="I1229" s="13">
        <v>1.3782000000000001</v>
      </c>
      <c r="J1229">
        <v>13</v>
      </c>
      <c r="K1229" s="131">
        <v>45688</v>
      </c>
      <c r="M1229">
        <v>570</v>
      </c>
      <c r="N1229" t="s">
        <v>7084</v>
      </c>
    </row>
    <row r="1230" spans="1:14">
      <c r="A1230" t="s">
        <v>1746</v>
      </c>
      <c r="B1230" t="s">
        <v>7066</v>
      </c>
      <c r="C1230" t="s">
        <v>1744</v>
      </c>
      <c r="D1230" s="96">
        <v>79.23</v>
      </c>
      <c r="E1230" s="13">
        <v>148115.48000000001</v>
      </c>
      <c r="F1230" s="486">
        <v>1.8694</v>
      </c>
      <c r="G1230"/>
      <c r="H1230" s="13">
        <v>148115.48000000001</v>
      </c>
      <c r="I1230" s="13">
        <v>1.8694</v>
      </c>
      <c r="J1230">
        <v>13</v>
      </c>
      <c r="K1230" s="131">
        <v>45688</v>
      </c>
      <c r="M1230">
        <v>570</v>
      </c>
      <c r="N1230" t="s">
        <v>7085</v>
      </c>
    </row>
    <row r="1231" spans="1:14">
      <c r="A1231" t="s">
        <v>1746</v>
      </c>
      <c r="B1231" t="s">
        <v>7066</v>
      </c>
      <c r="C1231" t="s">
        <v>1744</v>
      </c>
      <c r="D1231" s="96">
        <v>79.23</v>
      </c>
      <c r="E1231" s="13">
        <v>148510.13</v>
      </c>
      <c r="F1231" s="486">
        <v>1.8744000000000001</v>
      </c>
      <c r="G1231"/>
      <c r="H1231" s="13">
        <v>148510.13</v>
      </c>
      <c r="I1231" s="13">
        <v>1.8744000000000001</v>
      </c>
      <c r="J1231">
        <v>13</v>
      </c>
      <c r="K1231" s="131">
        <v>45688</v>
      </c>
      <c r="M1231">
        <v>570</v>
      </c>
      <c r="N1231" t="s">
        <v>7086</v>
      </c>
    </row>
    <row r="1232" spans="1:14">
      <c r="A1232" t="s">
        <v>1746</v>
      </c>
      <c r="B1232" t="s">
        <v>6786</v>
      </c>
      <c r="C1232" t="s">
        <v>1744</v>
      </c>
      <c r="D1232" s="96">
        <v>79.52</v>
      </c>
      <c r="E1232" s="13">
        <v>141957.73000000001</v>
      </c>
      <c r="F1232" s="486">
        <v>1.7851999999999999</v>
      </c>
      <c r="G1232"/>
      <c r="H1232" s="13">
        <v>141957.73000000001</v>
      </c>
      <c r="I1232" s="13">
        <v>1.7851999999999999</v>
      </c>
      <c r="J1232">
        <v>13</v>
      </c>
      <c r="K1232" s="131">
        <v>45688</v>
      </c>
      <c r="M1232">
        <v>710</v>
      </c>
      <c r="N1232" t="s">
        <v>7087</v>
      </c>
    </row>
    <row r="1233" spans="1:14">
      <c r="A1233" t="s">
        <v>1746</v>
      </c>
      <c r="B1233" t="s">
        <v>1748</v>
      </c>
      <c r="C1233" t="s">
        <v>1744</v>
      </c>
      <c r="D1233" s="96">
        <v>79.8</v>
      </c>
      <c r="E1233" s="13">
        <v>99978.83</v>
      </c>
      <c r="F1233" s="486">
        <v>1.2528999999999999</v>
      </c>
      <c r="G1233"/>
      <c r="H1233" s="13">
        <v>99978.83</v>
      </c>
      <c r="I1233" s="13">
        <v>1.2528999999999999</v>
      </c>
      <c r="J1233">
        <v>13</v>
      </c>
      <c r="K1233" s="131">
        <v>45688</v>
      </c>
      <c r="M1233">
        <v>570</v>
      </c>
      <c r="N1233" t="s">
        <v>7088</v>
      </c>
    </row>
    <row r="1234" spans="1:14">
      <c r="A1234" t="s">
        <v>1746</v>
      </c>
      <c r="B1234" t="s">
        <v>1748</v>
      </c>
      <c r="C1234" t="s">
        <v>1744</v>
      </c>
      <c r="D1234" s="96">
        <v>79.8</v>
      </c>
      <c r="E1234" s="13">
        <v>100376.32000000001</v>
      </c>
      <c r="F1234" s="486">
        <v>1.2578</v>
      </c>
      <c r="G1234"/>
      <c r="H1234" s="13">
        <v>100376.32000000001</v>
      </c>
      <c r="I1234" s="13">
        <v>1.2578</v>
      </c>
      <c r="J1234">
        <v>13</v>
      </c>
      <c r="K1234" s="131">
        <v>45688</v>
      </c>
      <c r="M1234">
        <v>570</v>
      </c>
      <c r="N1234" t="s">
        <v>7089</v>
      </c>
    </row>
    <row r="1235" spans="1:14">
      <c r="A1235" t="s">
        <v>1746</v>
      </c>
      <c r="B1235" t="s">
        <v>1747</v>
      </c>
      <c r="C1235" t="s">
        <v>1744</v>
      </c>
      <c r="D1235" s="96">
        <v>79.8</v>
      </c>
      <c r="E1235" s="13">
        <v>107431.54</v>
      </c>
      <c r="F1235" s="486">
        <v>1.3463000000000001</v>
      </c>
      <c r="G1235"/>
      <c r="H1235" s="13">
        <v>107431.54</v>
      </c>
      <c r="I1235" s="13">
        <v>1.3463000000000001</v>
      </c>
      <c r="J1235">
        <v>13</v>
      </c>
      <c r="K1235" s="131">
        <v>45688</v>
      </c>
      <c r="M1235">
        <v>570</v>
      </c>
      <c r="N1235" t="s">
        <v>7090</v>
      </c>
    </row>
    <row r="1236" spans="1:14">
      <c r="A1236" t="s">
        <v>1746</v>
      </c>
      <c r="B1236" t="s">
        <v>1747</v>
      </c>
      <c r="C1236" t="s">
        <v>1744</v>
      </c>
      <c r="D1236" s="96">
        <v>79.8</v>
      </c>
      <c r="E1236" s="13">
        <v>107829.03</v>
      </c>
      <c r="F1236" s="486">
        <v>1.3512</v>
      </c>
      <c r="G1236"/>
      <c r="H1236" s="13">
        <v>107829.03</v>
      </c>
      <c r="I1236" s="13">
        <v>1.3512</v>
      </c>
      <c r="J1236">
        <v>13</v>
      </c>
      <c r="K1236" s="131">
        <v>45688</v>
      </c>
      <c r="M1236">
        <v>570</v>
      </c>
      <c r="N1236" t="s">
        <v>7091</v>
      </c>
    </row>
    <row r="1237" spans="1:14">
      <c r="A1237" t="s">
        <v>1746</v>
      </c>
      <c r="B1237" t="s">
        <v>1748</v>
      </c>
      <c r="C1237" t="s">
        <v>1744</v>
      </c>
      <c r="D1237" s="96">
        <v>79.8</v>
      </c>
      <c r="E1237" s="13">
        <v>109325.86</v>
      </c>
      <c r="F1237" s="486">
        <v>1.37</v>
      </c>
      <c r="G1237"/>
      <c r="H1237" s="13">
        <v>109325.86</v>
      </c>
      <c r="I1237" s="13">
        <v>1.37</v>
      </c>
      <c r="J1237">
        <v>13</v>
      </c>
      <c r="K1237" s="131">
        <v>45688</v>
      </c>
      <c r="M1237">
        <v>570</v>
      </c>
      <c r="N1237" t="s">
        <v>7092</v>
      </c>
    </row>
    <row r="1238" spans="1:14">
      <c r="A1238" t="s">
        <v>1746</v>
      </c>
      <c r="B1238" t="s">
        <v>1748</v>
      </c>
      <c r="C1238" t="s">
        <v>1744</v>
      </c>
      <c r="D1238" s="96">
        <v>79.8</v>
      </c>
      <c r="E1238" s="13">
        <v>109723.34</v>
      </c>
      <c r="F1238" s="486">
        <v>1.375</v>
      </c>
      <c r="G1238"/>
      <c r="H1238" s="13">
        <v>109723.34</v>
      </c>
      <c r="I1238" s="13">
        <v>1.375</v>
      </c>
      <c r="J1238">
        <v>13</v>
      </c>
      <c r="K1238" s="131">
        <v>45688</v>
      </c>
      <c r="M1238">
        <v>570</v>
      </c>
      <c r="N1238" t="s">
        <v>7093</v>
      </c>
    </row>
    <row r="1239" spans="1:14">
      <c r="A1239" t="s">
        <v>1746</v>
      </c>
      <c r="B1239" t="s">
        <v>7066</v>
      </c>
      <c r="C1239" t="s">
        <v>1744</v>
      </c>
      <c r="D1239" s="96">
        <v>79.8</v>
      </c>
      <c r="E1239" s="13">
        <v>148640.16</v>
      </c>
      <c r="F1239" s="486">
        <v>1.8627</v>
      </c>
      <c r="G1239"/>
      <c r="H1239" s="13">
        <v>148640.16</v>
      </c>
      <c r="I1239" s="13">
        <v>1.8627</v>
      </c>
      <c r="J1239">
        <v>13</v>
      </c>
      <c r="K1239" s="131">
        <v>45688</v>
      </c>
      <c r="M1239">
        <v>570</v>
      </c>
      <c r="N1239" t="s">
        <v>7094</v>
      </c>
    </row>
    <row r="1240" spans="1:14">
      <c r="A1240" t="s">
        <v>1746</v>
      </c>
      <c r="B1240" t="s">
        <v>7066</v>
      </c>
      <c r="C1240" t="s">
        <v>1744</v>
      </c>
      <c r="D1240" s="96">
        <v>79.8</v>
      </c>
      <c r="E1240" s="13">
        <v>149037.65</v>
      </c>
      <c r="F1240" s="486">
        <v>1.8675999999999999</v>
      </c>
      <c r="G1240"/>
      <c r="H1240" s="13">
        <v>149037.65</v>
      </c>
      <c r="I1240" s="13">
        <v>1.8675999999999999</v>
      </c>
      <c r="J1240">
        <v>13</v>
      </c>
      <c r="K1240" s="131">
        <v>45688</v>
      </c>
      <c r="M1240">
        <v>570</v>
      </c>
      <c r="N1240" t="s">
        <v>7095</v>
      </c>
    </row>
    <row r="1241" spans="1:14">
      <c r="A1241" t="s">
        <v>1746</v>
      </c>
      <c r="B1241" t="s">
        <v>6857</v>
      </c>
      <c r="C1241" t="s">
        <v>1744</v>
      </c>
      <c r="D1241" s="96">
        <v>80.23</v>
      </c>
      <c r="E1241" s="13">
        <v>144807.06</v>
      </c>
      <c r="F1241" s="486">
        <v>1.8048999999999999</v>
      </c>
      <c r="G1241"/>
      <c r="H1241" s="13">
        <v>144807.06</v>
      </c>
      <c r="I1241" s="13">
        <v>1.8048999999999999</v>
      </c>
      <c r="J1241">
        <v>13</v>
      </c>
      <c r="K1241" s="131">
        <v>45688</v>
      </c>
      <c r="M1241">
        <v>710</v>
      </c>
      <c r="N1241" t="s">
        <v>7096</v>
      </c>
    </row>
    <row r="1242" spans="1:14">
      <c r="A1242" t="s">
        <v>1746</v>
      </c>
      <c r="B1242" t="s">
        <v>1748</v>
      </c>
      <c r="C1242" t="s">
        <v>1744</v>
      </c>
      <c r="D1242" s="96">
        <v>80.37</v>
      </c>
      <c r="E1242" s="13">
        <v>100818.1</v>
      </c>
      <c r="F1242" s="486">
        <v>1.2544</v>
      </c>
      <c r="G1242"/>
      <c r="H1242" s="13">
        <v>100818.1</v>
      </c>
      <c r="I1242" s="13">
        <v>1.2544</v>
      </c>
      <c r="J1242">
        <v>13</v>
      </c>
      <c r="K1242" s="131">
        <v>45688</v>
      </c>
      <c r="M1242">
        <v>570</v>
      </c>
      <c r="N1242" t="s">
        <v>7097</v>
      </c>
    </row>
    <row r="1243" spans="1:14">
      <c r="A1243" t="s">
        <v>1746</v>
      </c>
      <c r="B1243" t="s">
        <v>1748</v>
      </c>
      <c r="C1243" t="s">
        <v>1744</v>
      </c>
      <c r="D1243" s="96">
        <v>80.37</v>
      </c>
      <c r="E1243" s="13">
        <v>101218.43</v>
      </c>
      <c r="F1243" s="486">
        <v>1.2594000000000001</v>
      </c>
      <c r="G1243"/>
      <c r="H1243" s="13">
        <v>101218.43</v>
      </c>
      <c r="I1243" s="13">
        <v>1.2594000000000001</v>
      </c>
      <c r="J1243">
        <v>13</v>
      </c>
      <c r="K1243" s="131">
        <v>45688</v>
      </c>
      <c r="M1243">
        <v>570</v>
      </c>
      <c r="N1243" t="s">
        <v>7098</v>
      </c>
    </row>
    <row r="1244" spans="1:14">
      <c r="A1244" t="s">
        <v>1746</v>
      </c>
      <c r="B1244" t="s">
        <v>1747</v>
      </c>
      <c r="C1244" t="s">
        <v>1744</v>
      </c>
      <c r="D1244" s="96">
        <v>80.37</v>
      </c>
      <c r="E1244" s="13">
        <v>108270.81</v>
      </c>
      <c r="F1244" s="486">
        <v>1.3472</v>
      </c>
      <c r="G1244"/>
      <c r="H1244" s="13">
        <v>108270.81</v>
      </c>
      <c r="I1244" s="13">
        <v>1.3472</v>
      </c>
      <c r="J1244">
        <v>13</v>
      </c>
      <c r="K1244" s="131">
        <v>45688</v>
      </c>
      <c r="M1244">
        <v>570</v>
      </c>
      <c r="N1244" t="s">
        <v>7099</v>
      </c>
    </row>
    <row r="1245" spans="1:14">
      <c r="A1245" t="s">
        <v>1746</v>
      </c>
      <c r="B1245" t="s">
        <v>1747</v>
      </c>
      <c r="C1245" t="s">
        <v>1744</v>
      </c>
      <c r="D1245" s="96">
        <v>80.37</v>
      </c>
      <c r="E1245" s="13">
        <v>108671.14</v>
      </c>
      <c r="F1245" s="486">
        <v>1.3521000000000001</v>
      </c>
      <c r="G1245"/>
      <c r="H1245" s="13">
        <v>108671.14</v>
      </c>
      <c r="I1245" s="13">
        <v>1.3521000000000001</v>
      </c>
      <c r="J1245">
        <v>13</v>
      </c>
      <c r="K1245" s="131">
        <v>45688</v>
      </c>
      <c r="M1245">
        <v>570</v>
      </c>
      <c r="N1245" t="s">
        <v>7100</v>
      </c>
    </row>
    <row r="1246" spans="1:14">
      <c r="A1246" t="s">
        <v>1746</v>
      </c>
      <c r="B1246" t="s">
        <v>1748</v>
      </c>
      <c r="C1246" t="s">
        <v>1744</v>
      </c>
      <c r="D1246" s="96">
        <v>80.37</v>
      </c>
      <c r="E1246" s="13">
        <v>110165.12</v>
      </c>
      <c r="F1246" s="486">
        <v>1.3707</v>
      </c>
      <c r="G1246"/>
      <c r="H1246" s="13">
        <v>110165.12</v>
      </c>
      <c r="I1246" s="13">
        <v>1.3707</v>
      </c>
      <c r="J1246">
        <v>13</v>
      </c>
      <c r="K1246" s="131">
        <v>45688</v>
      </c>
      <c r="M1246">
        <v>570</v>
      </c>
      <c r="N1246" t="s">
        <v>7101</v>
      </c>
    </row>
    <row r="1247" spans="1:14">
      <c r="A1247" t="s">
        <v>1746</v>
      </c>
      <c r="B1247" t="s">
        <v>1748</v>
      </c>
      <c r="C1247" t="s">
        <v>1744</v>
      </c>
      <c r="D1247" s="96">
        <v>80.37</v>
      </c>
      <c r="E1247" s="13">
        <v>110565.45</v>
      </c>
      <c r="F1247" s="486">
        <v>1.3756999999999999</v>
      </c>
      <c r="G1247"/>
      <c r="H1247" s="13">
        <v>110565.45</v>
      </c>
      <c r="I1247" s="13">
        <v>1.3756999999999999</v>
      </c>
      <c r="J1247">
        <v>13</v>
      </c>
      <c r="K1247" s="131">
        <v>45688</v>
      </c>
      <c r="M1247">
        <v>570</v>
      </c>
      <c r="N1247" t="s">
        <v>7102</v>
      </c>
    </row>
    <row r="1248" spans="1:14">
      <c r="A1248" t="s">
        <v>1746</v>
      </c>
      <c r="B1248" t="s">
        <v>7103</v>
      </c>
      <c r="C1248" t="s">
        <v>1744</v>
      </c>
      <c r="D1248" s="96">
        <v>80.37</v>
      </c>
      <c r="E1248" s="13">
        <v>151286.01</v>
      </c>
      <c r="F1248" s="486">
        <v>1.8824000000000001</v>
      </c>
      <c r="G1248"/>
      <c r="H1248" s="13">
        <v>151286.01</v>
      </c>
      <c r="I1248" s="13">
        <v>1.8824000000000001</v>
      </c>
      <c r="J1248">
        <v>13</v>
      </c>
      <c r="K1248" s="131">
        <v>45688</v>
      </c>
      <c r="M1248">
        <v>570</v>
      </c>
      <c r="N1248" t="s">
        <v>7104</v>
      </c>
    </row>
    <row r="1249" spans="1:14">
      <c r="A1249" t="s">
        <v>1746</v>
      </c>
      <c r="B1249" t="s">
        <v>7103</v>
      </c>
      <c r="C1249" t="s">
        <v>1744</v>
      </c>
      <c r="D1249" s="96">
        <v>80.37</v>
      </c>
      <c r="E1249" s="13">
        <v>151686.34</v>
      </c>
      <c r="F1249" s="486">
        <v>1.8874</v>
      </c>
      <c r="G1249"/>
      <c r="H1249" s="13">
        <v>151686.34</v>
      </c>
      <c r="I1249" s="13">
        <v>1.8874</v>
      </c>
      <c r="J1249">
        <v>13</v>
      </c>
      <c r="K1249" s="131">
        <v>45688</v>
      </c>
      <c r="M1249">
        <v>570</v>
      </c>
      <c r="N1249" t="s">
        <v>7105</v>
      </c>
    </row>
    <row r="1250" spans="1:14">
      <c r="A1250" t="s">
        <v>1746</v>
      </c>
      <c r="B1250" t="s">
        <v>1748</v>
      </c>
      <c r="C1250" t="s">
        <v>1744</v>
      </c>
      <c r="D1250" s="96">
        <v>80.94</v>
      </c>
      <c r="E1250" s="13">
        <v>101342.78</v>
      </c>
      <c r="F1250" s="486">
        <v>1.2521</v>
      </c>
      <c r="G1250"/>
      <c r="H1250" s="13">
        <v>101342.78</v>
      </c>
      <c r="I1250" s="13">
        <v>1.2521</v>
      </c>
      <c r="J1250">
        <v>13</v>
      </c>
      <c r="K1250" s="131">
        <v>45688</v>
      </c>
      <c r="M1250">
        <v>570</v>
      </c>
      <c r="N1250" t="s">
        <v>7106</v>
      </c>
    </row>
    <row r="1251" spans="1:14">
      <c r="A1251" t="s">
        <v>1746</v>
      </c>
      <c r="B1251" t="s">
        <v>1748</v>
      </c>
      <c r="C1251" t="s">
        <v>1744</v>
      </c>
      <c r="D1251" s="96">
        <v>80.94</v>
      </c>
      <c r="E1251" s="13">
        <v>101745.95</v>
      </c>
      <c r="F1251" s="486">
        <v>1.2571000000000001</v>
      </c>
      <c r="G1251"/>
      <c r="H1251" s="13">
        <v>101745.95</v>
      </c>
      <c r="I1251" s="13">
        <v>1.2571000000000001</v>
      </c>
      <c r="J1251">
        <v>13</v>
      </c>
      <c r="K1251" s="131">
        <v>45688</v>
      </c>
      <c r="M1251">
        <v>570</v>
      </c>
      <c r="N1251" t="s">
        <v>7107</v>
      </c>
    </row>
    <row r="1252" spans="1:14">
      <c r="A1252" t="s">
        <v>1746</v>
      </c>
      <c r="B1252" t="s">
        <v>1747</v>
      </c>
      <c r="C1252" t="s">
        <v>1744</v>
      </c>
      <c r="D1252" s="96">
        <v>80.94</v>
      </c>
      <c r="E1252" s="13">
        <v>108795.49</v>
      </c>
      <c r="F1252" s="486">
        <v>1.3441000000000001</v>
      </c>
      <c r="G1252"/>
      <c r="H1252" s="13">
        <v>108795.49</v>
      </c>
      <c r="I1252" s="13">
        <v>1.3441000000000001</v>
      </c>
      <c r="J1252">
        <v>13</v>
      </c>
      <c r="K1252" s="131">
        <v>45688</v>
      </c>
      <c r="M1252">
        <v>570</v>
      </c>
      <c r="N1252" t="s">
        <v>7108</v>
      </c>
    </row>
    <row r="1253" spans="1:14">
      <c r="A1253" t="s">
        <v>1746</v>
      </c>
      <c r="B1253" t="s">
        <v>1747</v>
      </c>
      <c r="C1253" t="s">
        <v>1744</v>
      </c>
      <c r="D1253" s="96">
        <v>80.94</v>
      </c>
      <c r="E1253" s="13">
        <v>109198.66</v>
      </c>
      <c r="F1253" s="486">
        <v>1.3491</v>
      </c>
      <c r="G1253"/>
      <c r="H1253" s="13">
        <v>109198.66</v>
      </c>
      <c r="I1253" s="13">
        <v>1.3491</v>
      </c>
      <c r="J1253">
        <v>13</v>
      </c>
      <c r="K1253" s="131">
        <v>45688</v>
      </c>
      <c r="M1253">
        <v>570</v>
      </c>
      <c r="N1253" t="s">
        <v>7109</v>
      </c>
    </row>
    <row r="1254" spans="1:14">
      <c r="A1254" t="s">
        <v>1746</v>
      </c>
      <c r="B1254" t="s">
        <v>1748</v>
      </c>
      <c r="C1254" t="s">
        <v>1744</v>
      </c>
      <c r="D1254" s="96">
        <v>80.94</v>
      </c>
      <c r="E1254" s="13">
        <v>110689.81</v>
      </c>
      <c r="F1254" s="486">
        <v>1.3675999999999999</v>
      </c>
      <c r="G1254"/>
      <c r="H1254" s="13">
        <v>110689.81</v>
      </c>
      <c r="I1254" s="13">
        <v>1.3675999999999999</v>
      </c>
      <c r="J1254">
        <v>13</v>
      </c>
      <c r="K1254" s="131">
        <v>45688</v>
      </c>
      <c r="M1254">
        <v>570</v>
      </c>
      <c r="N1254" t="s">
        <v>7110</v>
      </c>
    </row>
    <row r="1255" spans="1:14">
      <c r="A1255" t="s">
        <v>1746</v>
      </c>
      <c r="B1255" t="s">
        <v>1748</v>
      </c>
      <c r="C1255" t="s">
        <v>1744</v>
      </c>
      <c r="D1255" s="96">
        <v>80.94</v>
      </c>
      <c r="E1255" s="13">
        <v>111092.97</v>
      </c>
      <c r="F1255" s="486">
        <v>1.3725000000000001</v>
      </c>
      <c r="G1255"/>
      <c r="H1255" s="13">
        <v>111092.97</v>
      </c>
      <c r="I1255" s="13">
        <v>1.3725000000000001</v>
      </c>
      <c r="J1255">
        <v>13</v>
      </c>
      <c r="K1255" s="131">
        <v>45688</v>
      </c>
      <c r="M1255">
        <v>570</v>
      </c>
      <c r="N1255" t="s">
        <v>7111</v>
      </c>
    </row>
    <row r="1256" spans="1:14">
      <c r="A1256" t="s">
        <v>1746</v>
      </c>
      <c r="B1256" t="s">
        <v>6857</v>
      </c>
      <c r="C1256" t="s">
        <v>1744</v>
      </c>
      <c r="D1256" s="96">
        <v>80.94</v>
      </c>
      <c r="E1256" s="13">
        <v>145535.22</v>
      </c>
      <c r="F1256" s="486">
        <v>1.7981</v>
      </c>
      <c r="G1256"/>
      <c r="H1256" s="13">
        <v>145535.22</v>
      </c>
      <c r="I1256" s="13">
        <v>1.7981</v>
      </c>
      <c r="J1256">
        <v>13</v>
      </c>
      <c r="K1256" s="131">
        <v>45688</v>
      </c>
      <c r="M1256">
        <v>710</v>
      </c>
      <c r="N1256" t="s">
        <v>7112</v>
      </c>
    </row>
    <row r="1257" spans="1:14">
      <c r="A1257" t="s">
        <v>1746</v>
      </c>
      <c r="B1257" t="s">
        <v>7103</v>
      </c>
      <c r="C1257" t="s">
        <v>1744</v>
      </c>
      <c r="D1257" s="96">
        <v>80.94</v>
      </c>
      <c r="E1257" s="13">
        <v>151810.70000000001</v>
      </c>
      <c r="F1257" s="486">
        <v>1.8755999999999999</v>
      </c>
      <c r="G1257"/>
      <c r="H1257" s="13">
        <v>151810.70000000001</v>
      </c>
      <c r="I1257" s="13">
        <v>1.8755999999999999</v>
      </c>
      <c r="J1257">
        <v>13</v>
      </c>
      <c r="K1257" s="131">
        <v>45688</v>
      </c>
      <c r="M1257">
        <v>570</v>
      </c>
      <c r="N1257" t="s">
        <v>7113</v>
      </c>
    </row>
    <row r="1258" spans="1:14">
      <c r="A1258" t="s">
        <v>1746</v>
      </c>
      <c r="B1258" t="s">
        <v>7103</v>
      </c>
      <c r="C1258" t="s">
        <v>1744</v>
      </c>
      <c r="D1258" s="96">
        <v>80.94</v>
      </c>
      <c r="E1258" s="13">
        <v>152213.87</v>
      </c>
      <c r="F1258" s="486">
        <v>1.8806</v>
      </c>
      <c r="G1258"/>
      <c r="H1258" s="13">
        <v>152213.87</v>
      </c>
      <c r="I1258" s="13">
        <v>1.8806</v>
      </c>
      <c r="J1258">
        <v>13</v>
      </c>
      <c r="K1258" s="131">
        <v>45688</v>
      </c>
      <c r="M1258">
        <v>570</v>
      </c>
      <c r="N1258" t="s">
        <v>7114</v>
      </c>
    </row>
    <row r="1259" spans="1:14">
      <c r="A1259" t="s">
        <v>1746</v>
      </c>
      <c r="B1259" t="s">
        <v>1748</v>
      </c>
      <c r="C1259" t="s">
        <v>1744</v>
      </c>
      <c r="D1259" s="96">
        <v>81.510000000000005</v>
      </c>
      <c r="E1259" s="13">
        <v>101867.47</v>
      </c>
      <c r="F1259" s="486">
        <v>1.2498</v>
      </c>
      <c r="G1259"/>
      <c r="H1259" s="13">
        <v>101867.47</v>
      </c>
      <c r="I1259" s="13">
        <v>1.2498</v>
      </c>
      <c r="J1259">
        <v>13</v>
      </c>
      <c r="K1259" s="131">
        <v>45688</v>
      </c>
      <c r="M1259">
        <v>570</v>
      </c>
      <c r="N1259" t="s">
        <v>7115</v>
      </c>
    </row>
    <row r="1260" spans="1:14">
      <c r="A1260" t="s">
        <v>1746</v>
      </c>
      <c r="B1260" t="s">
        <v>1748</v>
      </c>
      <c r="C1260" t="s">
        <v>1744</v>
      </c>
      <c r="D1260" s="96">
        <v>81.510000000000005</v>
      </c>
      <c r="E1260" s="13">
        <v>102273.47</v>
      </c>
      <c r="F1260" s="486">
        <v>1.2546999999999999</v>
      </c>
      <c r="G1260"/>
      <c r="H1260" s="13">
        <v>102273.47</v>
      </c>
      <c r="I1260" s="13">
        <v>1.2546999999999999</v>
      </c>
      <c r="J1260">
        <v>13</v>
      </c>
      <c r="K1260" s="131">
        <v>45688</v>
      </c>
      <c r="M1260">
        <v>570</v>
      </c>
      <c r="N1260" t="s">
        <v>7116</v>
      </c>
    </row>
    <row r="1261" spans="1:14">
      <c r="A1261" t="s">
        <v>1746</v>
      </c>
      <c r="B1261" t="s">
        <v>1747</v>
      </c>
      <c r="C1261" t="s">
        <v>1744</v>
      </c>
      <c r="D1261" s="96">
        <v>81.510000000000005</v>
      </c>
      <c r="E1261" s="13">
        <v>109320.18</v>
      </c>
      <c r="F1261" s="486">
        <v>1.3411999999999999</v>
      </c>
      <c r="G1261"/>
      <c r="H1261" s="13">
        <v>109320.18</v>
      </c>
      <c r="I1261" s="13">
        <v>1.3411999999999999</v>
      </c>
      <c r="J1261">
        <v>13</v>
      </c>
      <c r="K1261" s="131">
        <v>45688</v>
      </c>
      <c r="M1261">
        <v>570</v>
      </c>
      <c r="N1261" t="s">
        <v>7117</v>
      </c>
    </row>
    <row r="1262" spans="1:14">
      <c r="A1262" t="s">
        <v>1746</v>
      </c>
      <c r="B1262" t="s">
        <v>1747</v>
      </c>
      <c r="C1262" t="s">
        <v>1744</v>
      </c>
      <c r="D1262" s="96">
        <v>81.510000000000005</v>
      </c>
      <c r="E1262" s="13">
        <v>109726.18</v>
      </c>
      <c r="F1262" s="486">
        <v>1.3462000000000001</v>
      </c>
      <c r="G1262"/>
      <c r="H1262" s="13">
        <v>109726.18</v>
      </c>
      <c r="I1262" s="13">
        <v>1.3462000000000001</v>
      </c>
      <c r="J1262">
        <v>13</v>
      </c>
      <c r="K1262" s="131">
        <v>45688</v>
      </c>
      <c r="M1262">
        <v>570</v>
      </c>
      <c r="N1262" t="s">
        <v>7118</v>
      </c>
    </row>
    <row r="1263" spans="1:14">
      <c r="A1263" t="s">
        <v>1746</v>
      </c>
      <c r="B1263" t="s">
        <v>1748</v>
      </c>
      <c r="C1263" t="s">
        <v>1744</v>
      </c>
      <c r="D1263" s="96">
        <v>81.510000000000005</v>
      </c>
      <c r="E1263" s="13">
        <v>111214.49</v>
      </c>
      <c r="F1263" s="486">
        <v>1.3644000000000001</v>
      </c>
      <c r="G1263"/>
      <c r="H1263" s="13">
        <v>111214.49</v>
      </c>
      <c r="I1263" s="13">
        <v>1.3644000000000001</v>
      </c>
      <c r="J1263">
        <v>13</v>
      </c>
      <c r="K1263" s="131">
        <v>45688</v>
      </c>
      <c r="M1263">
        <v>570</v>
      </c>
      <c r="N1263" t="s">
        <v>7119</v>
      </c>
    </row>
    <row r="1264" spans="1:14">
      <c r="A1264" t="s">
        <v>1746</v>
      </c>
      <c r="B1264" t="s">
        <v>1748</v>
      </c>
      <c r="C1264" t="s">
        <v>1744</v>
      </c>
      <c r="D1264" s="96">
        <v>81.510000000000005</v>
      </c>
      <c r="E1264" s="13">
        <v>111620.5</v>
      </c>
      <c r="F1264" s="486">
        <v>1.3694</v>
      </c>
      <c r="G1264"/>
      <c r="H1264" s="13">
        <v>111620.5</v>
      </c>
      <c r="I1264" s="13">
        <v>1.3694</v>
      </c>
      <c r="J1264">
        <v>13</v>
      </c>
      <c r="K1264" s="131">
        <v>45688</v>
      </c>
      <c r="M1264">
        <v>570</v>
      </c>
      <c r="N1264" t="s">
        <v>7120</v>
      </c>
    </row>
    <row r="1265" spans="1:14">
      <c r="A1265" t="s">
        <v>1746</v>
      </c>
      <c r="B1265" t="s">
        <v>7103</v>
      </c>
      <c r="C1265" t="s">
        <v>1744</v>
      </c>
      <c r="D1265" s="96">
        <v>81.510000000000005</v>
      </c>
      <c r="E1265" s="13">
        <v>152335.38</v>
      </c>
      <c r="F1265" s="486">
        <v>1.8689</v>
      </c>
      <c r="G1265"/>
      <c r="H1265" s="13">
        <v>152335.38</v>
      </c>
      <c r="I1265" s="13">
        <v>1.8689</v>
      </c>
      <c r="J1265">
        <v>13</v>
      </c>
      <c r="K1265" s="131">
        <v>45688</v>
      </c>
      <c r="M1265">
        <v>570</v>
      </c>
      <c r="N1265" t="s">
        <v>7121</v>
      </c>
    </row>
    <row r="1266" spans="1:14">
      <c r="A1266" t="s">
        <v>1746</v>
      </c>
      <c r="B1266" t="s">
        <v>7103</v>
      </c>
      <c r="C1266" t="s">
        <v>1744</v>
      </c>
      <c r="D1266" s="96">
        <v>81.510000000000005</v>
      </c>
      <c r="E1266" s="13">
        <v>152741.39000000001</v>
      </c>
      <c r="F1266" s="486">
        <v>1.8738999999999999</v>
      </c>
      <c r="G1266"/>
      <c r="H1266" s="13">
        <v>152741.39000000001</v>
      </c>
      <c r="I1266" s="13">
        <v>1.8738999999999999</v>
      </c>
      <c r="J1266">
        <v>13</v>
      </c>
      <c r="K1266" s="131">
        <v>45688</v>
      </c>
      <c r="M1266">
        <v>570</v>
      </c>
      <c r="N1266" t="s">
        <v>7122</v>
      </c>
    </row>
    <row r="1267" spans="1:14">
      <c r="A1267" t="s">
        <v>1746</v>
      </c>
      <c r="B1267" t="s">
        <v>6857</v>
      </c>
      <c r="C1267" t="s">
        <v>1744</v>
      </c>
      <c r="D1267" s="96">
        <v>81.650000000000006</v>
      </c>
      <c r="E1267" s="13">
        <v>146263.38</v>
      </c>
      <c r="F1267" s="486">
        <v>1.7912999999999999</v>
      </c>
      <c r="G1267"/>
      <c r="H1267" s="13">
        <v>146263.38</v>
      </c>
      <c r="I1267" s="13">
        <v>1.7912999999999999</v>
      </c>
      <c r="J1267">
        <v>13</v>
      </c>
      <c r="K1267" s="131">
        <v>45688</v>
      </c>
      <c r="M1267">
        <v>710</v>
      </c>
      <c r="N1267" t="s">
        <v>7123</v>
      </c>
    </row>
    <row r="1268" spans="1:14">
      <c r="A1268" t="s">
        <v>1746</v>
      </c>
      <c r="B1268" t="s">
        <v>1748</v>
      </c>
      <c r="C1268" t="s">
        <v>1744</v>
      </c>
      <c r="D1268" s="96">
        <v>82.08</v>
      </c>
      <c r="E1268" s="13">
        <v>102392.15</v>
      </c>
      <c r="F1268" s="486">
        <v>1.2475000000000001</v>
      </c>
      <c r="G1268"/>
      <c r="H1268" s="13">
        <v>102392.15</v>
      </c>
      <c r="I1268" s="13">
        <v>1.2475000000000001</v>
      </c>
      <c r="J1268">
        <v>13</v>
      </c>
      <c r="K1268" s="131">
        <v>45688</v>
      </c>
      <c r="M1268">
        <v>570</v>
      </c>
      <c r="N1268" t="s">
        <v>7124</v>
      </c>
    </row>
    <row r="1269" spans="1:14">
      <c r="A1269" t="s">
        <v>1746</v>
      </c>
      <c r="B1269" t="s">
        <v>1748</v>
      </c>
      <c r="C1269" t="s">
        <v>1744</v>
      </c>
      <c r="D1269" s="96">
        <v>82.08</v>
      </c>
      <c r="E1269" s="13">
        <v>102801</v>
      </c>
      <c r="F1269" s="486">
        <v>1.2524</v>
      </c>
      <c r="G1269"/>
      <c r="H1269" s="13">
        <v>102801</v>
      </c>
      <c r="I1269" s="13">
        <v>1.2524</v>
      </c>
      <c r="J1269">
        <v>13</v>
      </c>
      <c r="K1269" s="131">
        <v>45688</v>
      </c>
      <c r="M1269">
        <v>570</v>
      </c>
      <c r="N1269" t="s">
        <v>7125</v>
      </c>
    </row>
    <row r="1270" spans="1:14">
      <c r="A1270" t="s">
        <v>1746</v>
      </c>
      <c r="B1270" t="s">
        <v>1747</v>
      </c>
      <c r="C1270" t="s">
        <v>1744</v>
      </c>
      <c r="D1270" s="96">
        <v>82.08</v>
      </c>
      <c r="E1270" s="13">
        <v>109844.86</v>
      </c>
      <c r="F1270" s="486">
        <v>1.3383</v>
      </c>
      <c r="G1270"/>
      <c r="H1270" s="13">
        <v>109844.86</v>
      </c>
      <c r="I1270" s="13">
        <v>1.3383</v>
      </c>
      <c r="J1270">
        <v>13</v>
      </c>
      <c r="K1270" s="131">
        <v>45688</v>
      </c>
      <c r="M1270">
        <v>570</v>
      </c>
      <c r="N1270" t="s">
        <v>7126</v>
      </c>
    </row>
    <row r="1271" spans="1:14">
      <c r="A1271" t="s">
        <v>1746</v>
      </c>
      <c r="B1271" t="s">
        <v>1747</v>
      </c>
      <c r="C1271" t="s">
        <v>1744</v>
      </c>
      <c r="D1271" s="96">
        <v>82.08</v>
      </c>
      <c r="E1271" s="13">
        <v>110253.71</v>
      </c>
      <c r="F1271" s="486">
        <v>1.3431999999999999</v>
      </c>
      <c r="G1271"/>
      <c r="H1271" s="13">
        <v>110253.71</v>
      </c>
      <c r="I1271" s="13">
        <v>1.3431999999999999</v>
      </c>
      <c r="J1271">
        <v>13</v>
      </c>
      <c r="K1271" s="131">
        <v>45688</v>
      </c>
      <c r="M1271">
        <v>570</v>
      </c>
      <c r="N1271" t="s">
        <v>7127</v>
      </c>
    </row>
    <row r="1272" spans="1:14">
      <c r="A1272" t="s">
        <v>1746</v>
      </c>
      <c r="B1272" t="s">
        <v>1748</v>
      </c>
      <c r="C1272" t="s">
        <v>1744</v>
      </c>
      <c r="D1272" s="96">
        <v>82.08</v>
      </c>
      <c r="E1272" s="13">
        <v>111739.18</v>
      </c>
      <c r="F1272" s="486">
        <v>1.3613</v>
      </c>
      <c r="G1272"/>
      <c r="H1272" s="13">
        <v>111739.18</v>
      </c>
      <c r="I1272" s="13">
        <v>1.3613</v>
      </c>
      <c r="J1272">
        <v>13</v>
      </c>
      <c r="K1272" s="131">
        <v>45688</v>
      </c>
      <c r="M1272">
        <v>570</v>
      </c>
      <c r="N1272" t="s">
        <v>7128</v>
      </c>
    </row>
    <row r="1273" spans="1:14">
      <c r="A1273" t="s">
        <v>1746</v>
      </c>
      <c r="B1273" t="s">
        <v>1748</v>
      </c>
      <c r="C1273" t="s">
        <v>1744</v>
      </c>
      <c r="D1273" s="96">
        <v>82.08</v>
      </c>
      <c r="E1273" s="13">
        <v>112148.02</v>
      </c>
      <c r="F1273" s="486">
        <v>1.3663000000000001</v>
      </c>
      <c r="G1273"/>
      <c r="H1273" s="13">
        <v>112148.02</v>
      </c>
      <c r="I1273" s="13">
        <v>1.3663000000000001</v>
      </c>
      <c r="J1273">
        <v>13</v>
      </c>
      <c r="K1273" s="131">
        <v>45688</v>
      </c>
      <c r="M1273">
        <v>570</v>
      </c>
      <c r="N1273" t="s">
        <v>7129</v>
      </c>
    </row>
    <row r="1274" spans="1:14">
      <c r="A1274" t="s">
        <v>1746</v>
      </c>
      <c r="B1274" t="s">
        <v>7103</v>
      </c>
      <c r="C1274" t="s">
        <v>1744</v>
      </c>
      <c r="D1274" s="96">
        <v>82.08</v>
      </c>
      <c r="E1274" s="13">
        <v>152860.07</v>
      </c>
      <c r="F1274" s="486">
        <v>1.8623000000000001</v>
      </c>
      <c r="G1274"/>
      <c r="H1274" s="13">
        <v>152860.07</v>
      </c>
      <c r="I1274" s="13">
        <v>1.8623000000000001</v>
      </c>
      <c r="J1274">
        <v>13</v>
      </c>
      <c r="K1274" s="131">
        <v>45688</v>
      </c>
      <c r="M1274">
        <v>570</v>
      </c>
      <c r="N1274" t="s">
        <v>7130</v>
      </c>
    </row>
    <row r="1275" spans="1:14">
      <c r="A1275" t="s">
        <v>1746</v>
      </c>
      <c r="B1275" t="s">
        <v>7103</v>
      </c>
      <c r="C1275" t="s">
        <v>1744</v>
      </c>
      <c r="D1275" s="96">
        <v>82.08</v>
      </c>
      <c r="E1275" s="13">
        <v>153268.91</v>
      </c>
      <c r="F1275" s="486">
        <v>1.8673</v>
      </c>
      <c r="G1275"/>
      <c r="H1275" s="13">
        <v>153268.91</v>
      </c>
      <c r="I1275" s="13">
        <v>1.8673</v>
      </c>
      <c r="J1275">
        <v>13</v>
      </c>
      <c r="K1275" s="131">
        <v>45688</v>
      </c>
      <c r="M1275">
        <v>570</v>
      </c>
      <c r="N1275" t="s">
        <v>7131</v>
      </c>
    </row>
    <row r="1276" spans="1:14">
      <c r="A1276" t="s">
        <v>1746</v>
      </c>
      <c r="B1276" t="s">
        <v>6857</v>
      </c>
      <c r="C1276" t="s">
        <v>1744</v>
      </c>
      <c r="D1276" s="96">
        <v>82.36</v>
      </c>
      <c r="E1276" s="13">
        <v>146991.54</v>
      </c>
      <c r="F1276" s="486">
        <v>1.7847</v>
      </c>
      <c r="G1276"/>
      <c r="H1276" s="13">
        <v>146991.54</v>
      </c>
      <c r="I1276" s="13">
        <v>1.7847</v>
      </c>
      <c r="J1276">
        <v>13</v>
      </c>
      <c r="K1276" s="131">
        <v>45688</v>
      </c>
      <c r="M1276">
        <v>710</v>
      </c>
      <c r="N1276" t="s">
        <v>7132</v>
      </c>
    </row>
    <row r="1277" spans="1:14">
      <c r="A1277" t="s">
        <v>1746</v>
      </c>
      <c r="B1277" t="s">
        <v>1748</v>
      </c>
      <c r="C1277" t="s">
        <v>1744</v>
      </c>
      <c r="D1277" s="96">
        <v>82.65</v>
      </c>
      <c r="E1277" s="13">
        <v>103231.42</v>
      </c>
      <c r="F1277" s="486">
        <v>1.2490000000000001</v>
      </c>
      <c r="G1277"/>
      <c r="H1277" s="13">
        <v>103231.42</v>
      </c>
      <c r="I1277" s="13">
        <v>1.2490000000000001</v>
      </c>
      <c r="J1277">
        <v>13</v>
      </c>
      <c r="K1277" s="131">
        <v>45688</v>
      </c>
      <c r="M1277">
        <v>570</v>
      </c>
      <c r="N1277" t="s">
        <v>7133</v>
      </c>
    </row>
    <row r="1278" spans="1:14">
      <c r="A1278" t="s">
        <v>1746</v>
      </c>
      <c r="B1278" t="s">
        <v>1748</v>
      </c>
      <c r="C1278" t="s">
        <v>1744</v>
      </c>
      <c r="D1278" s="96">
        <v>82.65</v>
      </c>
      <c r="E1278" s="13">
        <v>103643.1</v>
      </c>
      <c r="F1278" s="486">
        <v>1.254</v>
      </c>
      <c r="G1278"/>
      <c r="H1278" s="13">
        <v>103643.1</v>
      </c>
      <c r="I1278" s="13">
        <v>1.254</v>
      </c>
      <c r="J1278">
        <v>13</v>
      </c>
      <c r="K1278" s="131">
        <v>45688</v>
      </c>
      <c r="M1278">
        <v>570</v>
      </c>
      <c r="N1278" t="s">
        <v>7134</v>
      </c>
    </row>
    <row r="1279" spans="1:14">
      <c r="A1279" t="s">
        <v>1746</v>
      </c>
      <c r="B1279" t="s">
        <v>1747</v>
      </c>
      <c r="C1279" t="s">
        <v>1744</v>
      </c>
      <c r="D1279" s="96">
        <v>82.65</v>
      </c>
      <c r="E1279" s="13">
        <v>110684.13</v>
      </c>
      <c r="F1279" s="486">
        <v>1.3391999999999999</v>
      </c>
      <c r="G1279"/>
      <c r="H1279" s="13">
        <v>110684.13</v>
      </c>
      <c r="I1279" s="13">
        <v>1.3391999999999999</v>
      </c>
      <c r="J1279">
        <v>13</v>
      </c>
      <c r="K1279" s="131">
        <v>45688</v>
      </c>
      <c r="M1279">
        <v>570</v>
      </c>
      <c r="N1279" t="s">
        <v>7135</v>
      </c>
    </row>
    <row r="1280" spans="1:14">
      <c r="A1280" t="s">
        <v>1746</v>
      </c>
      <c r="B1280" t="s">
        <v>1747</v>
      </c>
      <c r="C1280" t="s">
        <v>1744</v>
      </c>
      <c r="D1280" s="96">
        <v>82.65</v>
      </c>
      <c r="E1280" s="13">
        <v>111095.81</v>
      </c>
      <c r="F1280" s="486">
        <v>1.3442000000000001</v>
      </c>
      <c r="G1280"/>
      <c r="H1280" s="13">
        <v>111095.81</v>
      </c>
      <c r="I1280" s="13">
        <v>1.3442000000000001</v>
      </c>
      <c r="J1280">
        <v>13</v>
      </c>
      <c r="K1280" s="131">
        <v>45688</v>
      </c>
      <c r="M1280">
        <v>570</v>
      </c>
      <c r="N1280" t="s">
        <v>7136</v>
      </c>
    </row>
    <row r="1281" spans="1:14">
      <c r="A1281" t="s">
        <v>1746</v>
      </c>
      <c r="B1281" t="s">
        <v>7103</v>
      </c>
      <c r="C1281" t="s">
        <v>1744</v>
      </c>
      <c r="D1281" s="96">
        <v>82.65</v>
      </c>
      <c r="E1281" s="13">
        <v>155472.13</v>
      </c>
      <c r="F1281" s="486">
        <v>1.8811</v>
      </c>
      <c r="G1281"/>
      <c r="H1281" s="13">
        <v>155472.13</v>
      </c>
      <c r="I1281" s="13">
        <v>1.8811</v>
      </c>
      <c r="J1281">
        <v>13</v>
      </c>
      <c r="K1281" s="131">
        <v>45688</v>
      </c>
      <c r="M1281">
        <v>570</v>
      </c>
      <c r="N1281" t="s">
        <v>7137</v>
      </c>
    </row>
    <row r="1282" spans="1:14">
      <c r="A1282" t="s">
        <v>1746</v>
      </c>
      <c r="B1282" t="s">
        <v>7103</v>
      </c>
      <c r="C1282" t="s">
        <v>1744</v>
      </c>
      <c r="D1282" s="96">
        <v>82.65</v>
      </c>
      <c r="E1282" s="13">
        <v>155883.82</v>
      </c>
      <c r="F1282" s="486">
        <v>1.8861000000000001</v>
      </c>
      <c r="G1282"/>
      <c r="H1282" s="13">
        <v>155883.82</v>
      </c>
      <c r="I1282" s="13">
        <v>1.8861000000000001</v>
      </c>
      <c r="J1282">
        <v>13</v>
      </c>
      <c r="K1282" s="131">
        <v>45688</v>
      </c>
      <c r="M1282">
        <v>570</v>
      </c>
      <c r="N1282" t="s">
        <v>7138</v>
      </c>
    </row>
    <row r="1283" spans="1:14">
      <c r="A1283" t="s">
        <v>1746</v>
      </c>
      <c r="B1283" t="s">
        <v>6893</v>
      </c>
      <c r="C1283" t="s">
        <v>1744</v>
      </c>
      <c r="D1283" s="96">
        <v>83.07</v>
      </c>
      <c r="E1283" s="13">
        <v>149840.85999999999</v>
      </c>
      <c r="F1283" s="486">
        <v>1.8038000000000001</v>
      </c>
      <c r="G1283"/>
      <c r="H1283" s="13">
        <v>149840.85999999999</v>
      </c>
      <c r="I1283" s="13">
        <v>1.8038000000000001</v>
      </c>
      <c r="J1283">
        <v>13</v>
      </c>
      <c r="K1283" s="131">
        <v>45688</v>
      </c>
      <c r="M1283">
        <v>710</v>
      </c>
      <c r="N1283" t="s">
        <v>7139</v>
      </c>
    </row>
    <row r="1284" spans="1:14">
      <c r="A1284" t="s">
        <v>1746</v>
      </c>
      <c r="B1284" t="s">
        <v>1747</v>
      </c>
      <c r="C1284" t="s">
        <v>1744</v>
      </c>
      <c r="D1284" s="96">
        <v>83.22</v>
      </c>
      <c r="E1284" s="13">
        <v>111208.81</v>
      </c>
      <c r="F1284" s="486">
        <v>1.3363</v>
      </c>
      <c r="G1284"/>
      <c r="H1284" s="13">
        <v>111208.81</v>
      </c>
      <c r="I1284" s="13">
        <v>1.3363</v>
      </c>
      <c r="J1284">
        <v>13</v>
      </c>
      <c r="K1284" s="131">
        <v>45688</v>
      </c>
      <c r="M1284">
        <v>570</v>
      </c>
      <c r="N1284" t="s">
        <v>7140</v>
      </c>
    </row>
    <row r="1285" spans="1:14">
      <c r="A1285" t="s">
        <v>1746</v>
      </c>
      <c r="B1285" t="s">
        <v>1747</v>
      </c>
      <c r="C1285" t="s">
        <v>1744</v>
      </c>
      <c r="D1285" s="96">
        <v>83.22</v>
      </c>
      <c r="E1285" s="13">
        <v>111623.34</v>
      </c>
      <c r="F1285" s="486">
        <v>1.3412999999999999</v>
      </c>
      <c r="G1285"/>
      <c r="H1285" s="13">
        <v>111623.34</v>
      </c>
      <c r="I1285" s="13">
        <v>1.3412999999999999</v>
      </c>
      <c r="J1285">
        <v>13</v>
      </c>
      <c r="K1285" s="131">
        <v>45688</v>
      </c>
      <c r="M1285">
        <v>570</v>
      </c>
      <c r="N1285" t="s">
        <v>7141</v>
      </c>
    </row>
    <row r="1286" spans="1:14">
      <c r="A1286" t="s">
        <v>1746</v>
      </c>
      <c r="B1286" t="s">
        <v>1748</v>
      </c>
      <c r="C1286" t="s">
        <v>1744</v>
      </c>
      <c r="D1286" s="96">
        <v>83.22</v>
      </c>
      <c r="E1286" s="13">
        <v>115313.92</v>
      </c>
      <c r="F1286" s="486">
        <v>1.3856999999999999</v>
      </c>
      <c r="G1286"/>
      <c r="H1286" s="13">
        <v>115313.92</v>
      </c>
      <c r="I1286" s="13">
        <v>1.3856999999999999</v>
      </c>
      <c r="J1286">
        <v>13</v>
      </c>
      <c r="K1286" s="131">
        <v>45688</v>
      </c>
      <c r="M1286">
        <v>570</v>
      </c>
      <c r="N1286" t="s">
        <v>7142</v>
      </c>
    </row>
    <row r="1287" spans="1:14">
      <c r="A1287" t="s">
        <v>1746</v>
      </c>
      <c r="B1287" t="s">
        <v>1748</v>
      </c>
      <c r="C1287" t="s">
        <v>1744</v>
      </c>
      <c r="D1287" s="96">
        <v>83.22</v>
      </c>
      <c r="E1287" s="13">
        <v>115313.92</v>
      </c>
      <c r="F1287" s="486">
        <v>1.3856999999999999</v>
      </c>
      <c r="G1287"/>
      <c r="H1287" s="13">
        <v>115313.92</v>
      </c>
      <c r="I1287" s="13">
        <v>1.3856999999999999</v>
      </c>
      <c r="J1287">
        <v>13</v>
      </c>
      <c r="K1287" s="131">
        <v>45688</v>
      </c>
      <c r="M1287">
        <v>570</v>
      </c>
      <c r="N1287" t="s">
        <v>7142</v>
      </c>
    </row>
    <row r="1288" spans="1:14">
      <c r="A1288" t="s">
        <v>1746</v>
      </c>
      <c r="B1288" t="s">
        <v>1748</v>
      </c>
      <c r="C1288" t="s">
        <v>1744</v>
      </c>
      <c r="D1288" s="96">
        <v>83.22</v>
      </c>
      <c r="E1288" s="13">
        <v>115728.44</v>
      </c>
      <c r="F1288" s="486">
        <v>1.3906000000000001</v>
      </c>
      <c r="G1288"/>
      <c r="H1288" s="13">
        <v>115728.44</v>
      </c>
      <c r="I1288" s="13">
        <v>1.3906000000000001</v>
      </c>
      <c r="J1288">
        <v>13</v>
      </c>
      <c r="K1288" s="131">
        <v>45688</v>
      </c>
      <c r="M1288">
        <v>570</v>
      </c>
      <c r="N1288" t="s">
        <v>7143</v>
      </c>
    </row>
    <row r="1289" spans="1:14">
      <c r="A1289" t="s">
        <v>1746</v>
      </c>
      <c r="B1289" t="s">
        <v>1748</v>
      </c>
      <c r="C1289" t="s">
        <v>1744</v>
      </c>
      <c r="D1289" s="96">
        <v>83.22</v>
      </c>
      <c r="E1289" s="13">
        <v>115728.44</v>
      </c>
      <c r="F1289" s="486">
        <v>1.3906000000000001</v>
      </c>
      <c r="G1289"/>
      <c r="H1289" s="13">
        <v>115728.44</v>
      </c>
      <c r="I1289" s="13">
        <v>1.3906000000000001</v>
      </c>
      <c r="J1289">
        <v>13</v>
      </c>
      <c r="K1289" s="131">
        <v>45688</v>
      </c>
      <c r="M1289">
        <v>570</v>
      </c>
      <c r="N1289" t="s">
        <v>7143</v>
      </c>
    </row>
    <row r="1290" spans="1:14">
      <c r="A1290" t="s">
        <v>1746</v>
      </c>
      <c r="B1290" t="s">
        <v>7103</v>
      </c>
      <c r="C1290" t="s">
        <v>1744</v>
      </c>
      <c r="D1290" s="96">
        <v>83.22</v>
      </c>
      <c r="E1290" s="13">
        <v>155996.82</v>
      </c>
      <c r="F1290" s="486">
        <v>1.8745000000000001</v>
      </c>
      <c r="G1290"/>
      <c r="H1290" s="13">
        <v>155996.82</v>
      </c>
      <c r="I1290" s="13">
        <v>1.8745000000000001</v>
      </c>
      <c r="J1290">
        <v>13</v>
      </c>
      <c r="K1290" s="131">
        <v>45688</v>
      </c>
      <c r="M1290">
        <v>570</v>
      </c>
      <c r="N1290" t="s">
        <v>7144</v>
      </c>
    </row>
    <row r="1291" spans="1:14">
      <c r="A1291" t="s">
        <v>1746</v>
      </c>
      <c r="B1291" t="s">
        <v>7103</v>
      </c>
      <c r="C1291" t="s">
        <v>1744</v>
      </c>
      <c r="D1291" s="96">
        <v>83.22</v>
      </c>
      <c r="E1291" s="13">
        <v>156411.34</v>
      </c>
      <c r="F1291" s="486">
        <v>1.8794999999999999</v>
      </c>
      <c r="G1291"/>
      <c r="H1291" s="13">
        <v>156411.34</v>
      </c>
      <c r="I1291" s="13">
        <v>1.8794999999999999</v>
      </c>
      <c r="J1291">
        <v>13</v>
      </c>
      <c r="K1291" s="131">
        <v>45688</v>
      </c>
      <c r="M1291">
        <v>570</v>
      </c>
      <c r="N1291" t="s">
        <v>7145</v>
      </c>
    </row>
    <row r="1292" spans="1:14">
      <c r="A1292" t="s">
        <v>1746</v>
      </c>
      <c r="B1292" t="s">
        <v>6893</v>
      </c>
      <c r="C1292" t="s">
        <v>1744</v>
      </c>
      <c r="D1292" s="96">
        <v>83.78</v>
      </c>
      <c r="E1292" s="13">
        <v>150569.01999999999</v>
      </c>
      <c r="F1292" s="486">
        <v>1.7971999999999999</v>
      </c>
      <c r="G1292"/>
      <c r="H1292" s="13">
        <v>150569.01999999999</v>
      </c>
      <c r="I1292" s="13">
        <v>1.7971999999999999</v>
      </c>
      <c r="J1292">
        <v>13</v>
      </c>
      <c r="K1292" s="131">
        <v>45688</v>
      </c>
      <c r="M1292">
        <v>710</v>
      </c>
      <c r="N1292" t="s">
        <v>7146</v>
      </c>
    </row>
    <row r="1293" spans="1:14">
      <c r="A1293" t="s">
        <v>1746</v>
      </c>
      <c r="B1293" t="s">
        <v>1748</v>
      </c>
      <c r="C1293" t="s">
        <v>1744</v>
      </c>
      <c r="D1293" s="96">
        <v>83.79</v>
      </c>
      <c r="E1293" s="13">
        <v>107879.95</v>
      </c>
      <c r="F1293" s="486">
        <v>1.2875000000000001</v>
      </c>
      <c r="G1293"/>
      <c r="H1293" s="13">
        <v>107879.95</v>
      </c>
      <c r="I1293" s="13">
        <v>1.2875000000000001</v>
      </c>
      <c r="J1293">
        <v>13</v>
      </c>
      <c r="K1293" s="131">
        <v>45688</v>
      </c>
      <c r="M1293">
        <v>570</v>
      </c>
      <c r="N1293" t="s">
        <v>7147</v>
      </c>
    </row>
    <row r="1294" spans="1:14">
      <c r="A1294" t="s">
        <v>1746</v>
      </c>
      <c r="B1294" t="s">
        <v>1748</v>
      </c>
      <c r="C1294" t="s">
        <v>1744</v>
      </c>
      <c r="D1294" s="96">
        <v>83.79</v>
      </c>
      <c r="E1294" s="13">
        <v>107879.95</v>
      </c>
      <c r="F1294" s="486">
        <v>1.2875000000000001</v>
      </c>
      <c r="G1294"/>
      <c r="H1294" s="13">
        <v>107879.95</v>
      </c>
      <c r="I1294" s="13">
        <v>1.2875000000000001</v>
      </c>
      <c r="J1294">
        <v>13</v>
      </c>
      <c r="K1294" s="131">
        <v>45688</v>
      </c>
      <c r="M1294">
        <v>570</v>
      </c>
      <c r="N1294" t="s">
        <v>7147</v>
      </c>
    </row>
    <row r="1295" spans="1:14">
      <c r="A1295" t="s">
        <v>1746</v>
      </c>
      <c r="B1295" t="s">
        <v>1748</v>
      </c>
      <c r="C1295" t="s">
        <v>1744</v>
      </c>
      <c r="D1295" s="96">
        <v>83.79</v>
      </c>
      <c r="E1295" s="13">
        <v>108297.31</v>
      </c>
      <c r="F1295" s="486">
        <v>1.2925</v>
      </c>
      <c r="G1295"/>
      <c r="H1295" s="13">
        <v>108297.31</v>
      </c>
      <c r="I1295" s="13">
        <v>1.2925</v>
      </c>
      <c r="J1295">
        <v>13</v>
      </c>
      <c r="K1295" s="131">
        <v>45688</v>
      </c>
      <c r="M1295">
        <v>570</v>
      </c>
      <c r="N1295" t="s">
        <v>7148</v>
      </c>
    </row>
    <row r="1296" spans="1:14">
      <c r="A1296" t="s">
        <v>1746</v>
      </c>
      <c r="B1296" t="s">
        <v>1748</v>
      </c>
      <c r="C1296" t="s">
        <v>1744</v>
      </c>
      <c r="D1296" s="96">
        <v>83.79</v>
      </c>
      <c r="E1296" s="13">
        <v>108297.31</v>
      </c>
      <c r="F1296" s="486">
        <v>1.2925</v>
      </c>
      <c r="G1296"/>
      <c r="H1296" s="13">
        <v>108297.31</v>
      </c>
      <c r="I1296" s="13">
        <v>1.2925</v>
      </c>
      <c r="J1296">
        <v>13</v>
      </c>
      <c r="K1296" s="131">
        <v>45688</v>
      </c>
      <c r="M1296">
        <v>570</v>
      </c>
      <c r="N1296" t="s">
        <v>7148</v>
      </c>
    </row>
    <row r="1297" spans="1:14">
      <c r="A1297" t="s">
        <v>1746</v>
      </c>
      <c r="B1297" t="s">
        <v>1748</v>
      </c>
      <c r="C1297" t="s">
        <v>1744</v>
      </c>
      <c r="D1297" s="96">
        <v>83.79</v>
      </c>
      <c r="E1297" s="13">
        <v>115838.6</v>
      </c>
      <c r="F1297" s="486">
        <v>1.3825000000000001</v>
      </c>
      <c r="G1297"/>
      <c r="H1297" s="13">
        <v>115838.6</v>
      </c>
      <c r="I1297" s="13">
        <v>1.3825000000000001</v>
      </c>
      <c r="J1297">
        <v>13</v>
      </c>
      <c r="K1297" s="131">
        <v>45688</v>
      </c>
      <c r="M1297">
        <v>570</v>
      </c>
      <c r="N1297" t="s">
        <v>7149</v>
      </c>
    </row>
    <row r="1298" spans="1:14">
      <c r="A1298" t="s">
        <v>1746</v>
      </c>
      <c r="B1298" t="s">
        <v>1748</v>
      </c>
      <c r="C1298" t="s">
        <v>1744</v>
      </c>
      <c r="D1298" s="96">
        <v>83.79</v>
      </c>
      <c r="E1298" s="13">
        <v>116255.97</v>
      </c>
      <c r="F1298" s="486">
        <v>1.3875</v>
      </c>
      <c r="G1298"/>
      <c r="H1298" s="13">
        <v>116255.97</v>
      </c>
      <c r="I1298" s="13">
        <v>1.3875</v>
      </c>
      <c r="J1298">
        <v>13</v>
      </c>
      <c r="K1298" s="131">
        <v>45688</v>
      </c>
      <c r="M1298">
        <v>570</v>
      </c>
      <c r="N1298" t="s">
        <v>7150</v>
      </c>
    </row>
    <row r="1299" spans="1:14">
      <c r="A1299" t="s">
        <v>1746</v>
      </c>
      <c r="B1299" t="s">
        <v>7103</v>
      </c>
      <c r="C1299" t="s">
        <v>1744</v>
      </c>
      <c r="D1299" s="96">
        <v>83.79</v>
      </c>
      <c r="E1299" s="13">
        <v>156521.5</v>
      </c>
      <c r="F1299" s="486">
        <v>1.8680000000000001</v>
      </c>
      <c r="G1299"/>
      <c r="H1299" s="13">
        <v>156521.5</v>
      </c>
      <c r="I1299" s="13">
        <v>1.8680000000000001</v>
      </c>
      <c r="J1299">
        <v>13</v>
      </c>
      <c r="K1299" s="131">
        <v>45688</v>
      </c>
      <c r="M1299">
        <v>570</v>
      </c>
      <c r="N1299" t="s">
        <v>7151</v>
      </c>
    </row>
    <row r="1300" spans="1:14">
      <c r="A1300" t="s">
        <v>1746</v>
      </c>
      <c r="B1300" t="s">
        <v>7103</v>
      </c>
      <c r="C1300" t="s">
        <v>1744</v>
      </c>
      <c r="D1300" s="96">
        <v>83.79</v>
      </c>
      <c r="E1300" s="13">
        <v>156938.85999999999</v>
      </c>
      <c r="F1300" s="486">
        <v>1.873</v>
      </c>
      <c r="G1300"/>
      <c r="H1300" s="13">
        <v>156938.85999999999</v>
      </c>
      <c r="I1300" s="13">
        <v>1.873</v>
      </c>
      <c r="J1300">
        <v>13</v>
      </c>
      <c r="K1300" s="131">
        <v>45688</v>
      </c>
      <c r="M1300">
        <v>570</v>
      </c>
      <c r="N1300" t="s">
        <v>7152</v>
      </c>
    </row>
    <row r="1301" spans="1:14">
      <c r="A1301" t="s">
        <v>1746</v>
      </c>
      <c r="B1301" t="s">
        <v>1748</v>
      </c>
      <c r="C1301" t="s">
        <v>1744</v>
      </c>
      <c r="D1301" s="96">
        <v>84.36</v>
      </c>
      <c r="E1301" s="13">
        <v>108404.63</v>
      </c>
      <c r="F1301" s="486">
        <v>1.2849999999999999</v>
      </c>
      <c r="G1301"/>
      <c r="H1301" s="13">
        <v>108404.63</v>
      </c>
      <c r="I1301" s="13">
        <v>1.2849999999999999</v>
      </c>
      <c r="J1301">
        <v>13</v>
      </c>
      <c r="K1301" s="131">
        <v>45688</v>
      </c>
      <c r="M1301">
        <v>570</v>
      </c>
      <c r="N1301" t="s">
        <v>7153</v>
      </c>
    </row>
    <row r="1302" spans="1:14">
      <c r="A1302" t="s">
        <v>1746</v>
      </c>
      <c r="B1302" t="s">
        <v>1748</v>
      </c>
      <c r="C1302" t="s">
        <v>1744</v>
      </c>
      <c r="D1302" s="96">
        <v>84.36</v>
      </c>
      <c r="E1302" s="13">
        <v>108824.83</v>
      </c>
      <c r="F1302" s="486">
        <v>1.29</v>
      </c>
      <c r="G1302"/>
      <c r="H1302" s="13">
        <v>108824.83</v>
      </c>
      <c r="I1302" s="13">
        <v>1.29</v>
      </c>
      <c r="J1302">
        <v>13</v>
      </c>
      <c r="K1302" s="131">
        <v>45688</v>
      </c>
      <c r="M1302">
        <v>570</v>
      </c>
      <c r="N1302" t="s">
        <v>7154</v>
      </c>
    </row>
    <row r="1303" spans="1:14">
      <c r="A1303" t="s">
        <v>1746</v>
      </c>
      <c r="B1303" t="s">
        <v>1747</v>
      </c>
      <c r="C1303" t="s">
        <v>1744</v>
      </c>
      <c r="D1303" s="96">
        <v>84.36</v>
      </c>
      <c r="E1303" s="13">
        <v>112258.18</v>
      </c>
      <c r="F1303" s="486">
        <v>1.3307</v>
      </c>
      <c r="G1303"/>
      <c r="H1303" s="13">
        <v>112258.18</v>
      </c>
      <c r="I1303" s="13">
        <v>1.3307</v>
      </c>
      <c r="J1303">
        <v>13</v>
      </c>
      <c r="K1303" s="131">
        <v>45688</v>
      </c>
      <c r="M1303">
        <v>570</v>
      </c>
      <c r="N1303" t="s">
        <v>7155</v>
      </c>
    </row>
    <row r="1304" spans="1:14">
      <c r="A1304" t="s">
        <v>1746</v>
      </c>
      <c r="B1304" t="s">
        <v>1747</v>
      </c>
      <c r="C1304" t="s">
        <v>1744</v>
      </c>
      <c r="D1304" s="96">
        <v>84.36</v>
      </c>
      <c r="E1304" s="13">
        <v>112258.18</v>
      </c>
      <c r="F1304" s="486">
        <v>1.3307</v>
      </c>
      <c r="G1304"/>
      <c r="H1304" s="13">
        <v>112258.18</v>
      </c>
      <c r="I1304" s="13">
        <v>1.3307</v>
      </c>
      <c r="J1304">
        <v>13</v>
      </c>
      <c r="K1304" s="131">
        <v>45688</v>
      </c>
      <c r="M1304">
        <v>570</v>
      </c>
      <c r="N1304" t="s">
        <v>7155</v>
      </c>
    </row>
    <row r="1305" spans="1:14">
      <c r="A1305" t="s">
        <v>1746</v>
      </c>
      <c r="B1305" t="s">
        <v>1747</v>
      </c>
      <c r="C1305" t="s">
        <v>1744</v>
      </c>
      <c r="D1305" s="96">
        <v>84.36</v>
      </c>
      <c r="E1305" s="13">
        <v>112678.38</v>
      </c>
      <c r="F1305" s="486">
        <v>1.3357000000000001</v>
      </c>
      <c r="G1305"/>
      <c r="H1305" s="13">
        <v>112678.38</v>
      </c>
      <c r="I1305" s="13">
        <v>1.3357000000000001</v>
      </c>
      <c r="J1305">
        <v>13</v>
      </c>
      <c r="K1305" s="131">
        <v>45688</v>
      </c>
      <c r="M1305">
        <v>570</v>
      </c>
      <c r="N1305" t="s">
        <v>7156</v>
      </c>
    </row>
    <row r="1306" spans="1:14">
      <c r="A1306" t="s">
        <v>1746</v>
      </c>
      <c r="B1306" t="s">
        <v>1747</v>
      </c>
      <c r="C1306" t="s">
        <v>1744</v>
      </c>
      <c r="D1306" s="96">
        <v>84.36</v>
      </c>
      <c r="E1306" s="13">
        <v>112678.38</v>
      </c>
      <c r="F1306" s="486">
        <v>1.3357000000000001</v>
      </c>
      <c r="G1306"/>
      <c r="H1306" s="13">
        <v>112678.38</v>
      </c>
      <c r="I1306" s="13">
        <v>1.3357000000000001</v>
      </c>
      <c r="J1306">
        <v>13</v>
      </c>
      <c r="K1306" s="131">
        <v>45688</v>
      </c>
      <c r="M1306">
        <v>570</v>
      </c>
      <c r="N1306" t="s">
        <v>7156</v>
      </c>
    </row>
    <row r="1307" spans="1:14">
      <c r="A1307" t="s">
        <v>1746</v>
      </c>
      <c r="B1307" t="s">
        <v>7103</v>
      </c>
      <c r="C1307" t="s">
        <v>1744</v>
      </c>
      <c r="D1307" s="96">
        <v>84.36</v>
      </c>
      <c r="E1307" s="13">
        <v>157046.18</v>
      </c>
      <c r="F1307" s="486">
        <v>1.8615999999999999</v>
      </c>
      <c r="G1307"/>
      <c r="H1307" s="13">
        <v>157046.18</v>
      </c>
      <c r="I1307" s="13">
        <v>1.8615999999999999</v>
      </c>
      <c r="J1307">
        <v>13</v>
      </c>
      <c r="K1307" s="131">
        <v>45688</v>
      </c>
      <c r="M1307">
        <v>570</v>
      </c>
      <c r="N1307" t="s">
        <v>7157</v>
      </c>
    </row>
    <row r="1308" spans="1:14">
      <c r="A1308" t="s">
        <v>1746</v>
      </c>
      <c r="B1308" t="s">
        <v>7103</v>
      </c>
      <c r="C1308" t="s">
        <v>1744</v>
      </c>
      <c r="D1308" s="96">
        <v>84.36</v>
      </c>
      <c r="E1308" s="13">
        <v>157466.39000000001</v>
      </c>
      <c r="F1308" s="486">
        <v>1.8666</v>
      </c>
      <c r="G1308"/>
      <c r="H1308" s="13">
        <v>157466.39000000001</v>
      </c>
      <c r="I1308" s="13">
        <v>1.8666</v>
      </c>
      <c r="J1308">
        <v>13</v>
      </c>
      <c r="K1308" s="131">
        <v>45688</v>
      </c>
      <c r="M1308">
        <v>570</v>
      </c>
      <c r="N1308" t="s">
        <v>7158</v>
      </c>
    </row>
    <row r="1309" spans="1:14">
      <c r="A1309" t="s">
        <v>1746</v>
      </c>
      <c r="B1309" t="s">
        <v>6893</v>
      </c>
      <c r="C1309" t="s">
        <v>1744</v>
      </c>
      <c r="D1309" s="96">
        <v>84.49</v>
      </c>
      <c r="E1309" s="13">
        <v>151297.18</v>
      </c>
      <c r="F1309" s="486">
        <v>1.7907</v>
      </c>
      <c r="G1309"/>
      <c r="H1309" s="13">
        <v>151297.18</v>
      </c>
      <c r="I1309" s="13">
        <v>1.7907</v>
      </c>
      <c r="J1309">
        <v>13</v>
      </c>
      <c r="K1309" s="131">
        <v>45688</v>
      </c>
      <c r="M1309">
        <v>710</v>
      </c>
      <c r="N1309" t="s">
        <v>7159</v>
      </c>
    </row>
    <row r="1310" spans="1:14">
      <c r="A1310" t="s">
        <v>1746</v>
      </c>
      <c r="B1310" t="s">
        <v>1747</v>
      </c>
      <c r="C1310" t="s">
        <v>1744</v>
      </c>
      <c r="D1310" s="96">
        <v>84.93</v>
      </c>
      <c r="E1310" s="13">
        <v>113097.45</v>
      </c>
      <c r="F1310" s="486">
        <v>1.3317000000000001</v>
      </c>
      <c r="G1310"/>
      <c r="H1310" s="13">
        <v>113097.45</v>
      </c>
      <c r="I1310" s="13">
        <v>1.3317000000000001</v>
      </c>
      <c r="J1310">
        <v>13</v>
      </c>
      <c r="K1310" s="131">
        <v>45688</v>
      </c>
      <c r="M1310">
        <v>570</v>
      </c>
      <c r="N1310" t="s">
        <v>7160</v>
      </c>
    </row>
    <row r="1311" spans="1:14">
      <c r="A1311" t="s">
        <v>1746</v>
      </c>
      <c r="B1311" t="s">
        <v>1747</v>
      </c>
      <c r="C1311" t="s">
        <v>1744</v>
      </c>
      <c r="D1311" s="96">
        <v>84.93</v>
      </c>
      <c r="E1311" s="13">
        <v>113520.49</v>
      </c>
      <c r="F1311" s="486">
        <v>1.3366</v>
      </c>
      <c r="G1311"/>
      <c r="H1311" s="13">
        <v>113520.49</v>
      </c>
      <c r="I1311" s="13">
        <v>1.3366</v>
      </c>
      <c r="J1311">
        <v>13</v>
      </c>
      <c r="K1311" s="131">
        <v>45688</v>
      </c>
      <c r="M1311">
        <v>570</v>
      </c>
      <c r="N1311" t="s">
        <v>7161</v>
      </c>
    </row>
    <row r="1312" spans="1:14">
      <c r="A1312" t="s">
        <v>1746</v>
      </c>
      <c r="B1312" t="s">
        <v>1748</v>
      </c>
      <c r="C1312" t="s">
        <v>1744</v>
      </c>
      <c r="D1312" s="96">
        <v>84.93</v>
      </c>
      <c r="E1312" s="13">
        <v>117202.55</v>
      </c>
      <c r="F1312" s="486">
        <v>1.38</v>
      </c>
      <c r="G1312"/>
      <c r="H1312" s="13">
        <v>117202.55</v>
      </c>
      <c r="I1312" s="13">
        <v>1.38</v>
      </c>
      <c r="J1312">
        <v>13</v>
      </c>
      <c r="K1312" s="131">
        <v>45688</v>
      </c>
      <c r="M1312">
        <v>570</v>
      </c>
      <c r="N1312" t="s">
        <v>7162</v>
      </c>
    </row>
    <row r="1313" spans="1:14">
      <c r="A1313" t="s">
        <v>1746</v>
      </c>
      <c r="B1313" t="s">
        <v>1748</v>
      </c>
      <c r="C1313" t="s">
        <v>1744</v>
      </c>
      <c r="D1313" s="96">
        <v>84.93</v>
      </c>
      <c r="E1313" s="13">
        <v>117202.55</v>
      </c>
      <c r="F1313" s="486">
        <v>1.38</v>
      </c>
      <c r="G1313"/>
      <c r="H1313" s="13">
        <v>117202.55</v>
      </c>
      <c r="I1313" s="13">
        <v>1.38</v>
      </c>
      <c r="J1313">
        <v>13</v>
      </c>
      <c r="K1313" s="131">
        <v>45688</v>
      </c>
      <c r="M1313">
        <v>570</v>
      </c>
      <c r="N1313" t="s">
        <v>7162</v>
      </c>
    </row>
    <row r="1314" spans="1:14">
      <c r="A1314" t="s">
        <v>1746</v>
      </c>
      <c r="B1314" t="s">
        <v>1748</v>
      </c>
      <c r="C1314" t="s">
        <v>1744</v>
      </c>
      <c r="D1314" s="96">
        <v>84.93</v>
      </c>
      <c r="E1314" s="13">
        <v>117625.60000000001</v>
      </c>
      <c r="F1314" s="486">
        <v>1.385</v>
      </c>
      <c r="G1314"/>
      <c r="H1314" s="13">
        <v>117625.60000000001</v>
      </c>
      <c r="I1314" s="13">
        <v>1.385</v>
      </c>
      <c r="J1314">
        <v>13</v>
      </c>
      <c r="K1314" s="131">
        <v>45688</v>
      </c>
      <c r="M1314">
        <v>570</v>
      </c>
      <c r="N1314" t="s">
        <v>7163</v>
      </c>
    </row>
    <row r="1315" spans="1:14">
      <c r="A1315" t="s">
        <v>1746</v>
      </c>
      <c r="B1315" t="s">
        <v>1748</v>
      </c>
      <c r="C1315" t="s">
        <v>1744</v>
      </c>
      <c r="D1315" s="96">
        <v>84.93</v>
      </c>
      <c r="E1315" s="13">
        <v>117625.60000000001</v>
      </c>
      <c r="F1315" s="486">
        <v>1.385</v>
      </c>
      <c r="G1315"/>
      <c r="H1315" s="13">
        <v>117625.60000000001</v>
      </c>
      <c r="I1315" s="13">
        <v>1.385</v>
      </c>
      <c r="J1315">
        <v>13</v>
      </c>
      <c r="K1315" s="131">
        <v>45688</v>
      </c>
      <c r="M1315">
        <v>570</v>
      </c>
      <c r="N1315" t="s">
        <v>7163</v>
      </c>
    </row>
    <row r="1316" spans="1:14">
      <c r="A1316" t="s">
        <v>1746</v>
      </c>
      <c r="B1316" t="s">
        <v>7164</v>
      </c>
      <c r="C1316" t="s">
        <v>1744</v>
      </c>
      <c r="D1316" s="96">
        <v>84.93</v>
      </c>
      <c r="E1316" s="13">
        <v>159692.03</v>
      </c>
      <c r="F1316" s="486">
        <v>1.8803000000000001</v>
      </c>
      <c r="G1316"/>
      <c r="H1316" s="13">
        <v>159692.03</v>
      </c>
      <c r="I1316" s="13">
        <v>1.8803000000000001</v>
      </c>
      <c r="J1316">
        <v>13</v>
      </c>
      <c r="K1316" s="131">
        <v>45688</v>
      </c>
      <c r="M1316">
        <v>570</v>
      </c>
      <c r="N1316" t="s">
        <v>7165</v>
      </c>
    </row>
    <row r="1317" spans="1:14">
      <c r="A1317" t="s">
        <v>1746</v>
      </c>
      <c r="B1317" t="s">
        <v>7164</v>
      </c>
      <c r="C1317" t="s">
        <v>1744</v>
      </c>
      <c r="D1317" s="96">
        <v>84.93</v>
      </c>
      <c r="E1317" s="13">
        <v>160115.07999999999</v>
      </c>
      <c r="F1317" s="486">
        <v>1.8853</v>
      </c>
      <c r="G1317"/>
      <c r="H1317" s="13">
        <v>160115.07999999999</v>
      </c>
      <c r="I1317" s="13">
        <v>1.8853</v>
      </c>
      <c r="J1317">
        <v>13</v>
      </c>
      <c r="K1317" s="131">
        <v>45688</v>
      </c>
      <c r="M1317">
        <v>570</v>
      </c>
      <c r="N1317" t="s">
        <v>7166</v>
      </c>
    </row>
    <row r="1318" spans="1:14">
      <c r="A1318" t="s">
        <v>1746</v>
      </c>
      <c r="B1318" t="s">
        <v>6893</v>
      </c>
      <c r="C1318" t="s">
        <v>1744</v>
      </c>
      <c r="D1318" s="96">
        <v>85.2</v>
      </c>
      <c r="E1318" s="13">
        <v>152025.34</v>
      </c>
      <c r="F1318" s="486">
        <v>1.7843</v>
      </c>
      <c r="G1318"/>
      <c r="H1318" s="13">
        <v>152025.34</v>
      </c>
      <c r="I1318" s="13">
        <v>1.7843</v>
      </c>
      <c r="J1318">
        <v>13</v>
      </c>
      <c r="K1318" s="131">
        <v>45688</v>
      </c>
      <c r="M1318">
        <v>710</v>
      </c>
      <c r="N1318" t="s">
        <v>7167</v>
      </c>
    </row>
    <row r="1319" spans="1:14">
      <c r="A1319" t="s">
        <v>1746</v>
      </c>
      <c r="B1319" t="s">
        <v>1748</v>
      </c>
      <c r="C1319" t="s">
        <v>1744</v>
      </c>
      <c r="D1319" s="96">
        <v>85.5</v>
      </c>
      <c r="E1319" s="13">
        <v>109768.58</v>
      </c>
      <c r="F1319" s="486">
        <v>1.2838000000000001</v>
      </c>
      <c r="G1319"/>
      <c r="H1319" s="13">
        <v>109768.58</v>
      </c>
      <c r="I1319" s="13">
        <v>1.2838000000000001</v>
      </c>
      <c r="J1319">
        <v>13</v>
      </c>
      <c r="K1319" s="131">
        <v>45688</v>
      </c>
      <c r="M1319">
        <v>570</v>
      </c>
      <c r="N1319" t="s">
        <v>7168</v>
      </c>
    </row>
    <row r="1320" spans="1:14">
      <c r="A1320" t="s">
        <v>1746</v>
      </c>
      <c r="B1320" t="s">
        <v>1748</v>
      </c>
      <c r="C1320" t="s">
        <v>1744</v>
      </c>
      <c r="D1320" s="96">
        <v>85.5</v>
      </c>
      <c r="E1320" s="13">
        <v>109768.58</v>
      </c>
      <c r="F1320" s="486">
        <v>1.2838000000000001</v>
      </c>
      <c r="G1320"/>
      <c r="H1320" s="13">
        <v>109768.58</v>
      </c>
      <c r="I1320" s="13">
        <v>1.2838000000000001</v>
      </c>
      <c r="J1320">
        <v>13</v>
      </c>
      <c r="K1320" s="131">
        <v>45688</v>
      </c>
      <c r="M1320">
        <v>570</v>
      </c>
      <c r="N1320" t="s">
        <v>7168</v>
      </c>
    </row>
    <row r="1321" spans="1:14">
      <c r="A1321" t="s">
        <v>1746</v>
      </c>
      <c r="B1321" t="s">
        <v>1748</v>
      </c>
      <c r="C1321" t="s">
        <v>1744</v>
      </c>
      <c r="D1321" s="96">
        <v>85.5</v>
      </c>
      <c r="E1321" s="13">
        <v>110194.46</v>
      </c>
      <c r="F1321" s="486">
        <v>1.2887999999999999</v>
      </c>
      <c r="G1321"/>
      <c r="H1321" s="13">
        <v>110194.46</v>
      </c>
      <c r="I1321" s="13">
        <v>1.2887999999999999</v>
      </c>
      <c r="J1321">
        <v>13</v>
      </c>
      <c r="K1321" s="131">
        <v>45688</v>
      </c>
      <c r="M1321">
        <v>570</v>
      </c>
      <c r="N1321" t="s">
        <v>7169</v>
      </c>
    </row>
    <row r="1322" spans="1:14">
      <c r="A1322" t="s">
        <v>1746</v>
      </c>
      <c r="B1322" t="s">
        <v>1748</v>
      </c>
      <c r="C1322" t="s">
        <v>1744</v>
      </c>
      <c r="D1322" s="96">
        <v>85.5</v>
      </c>
      <c r="E1322" s="13">
        <v>110194.46</v>
      </c>
      <c r="F1322" s="486">
        <v>1.2887999999999999</v>
      </c>
      <c r="G1322"/>
      <c r="H1322" s="13">
        <v>110194.46</v>
      </c>
      <c r="I1322" s="13">
        <v>1.2887999999999999</v>
      </c>
      <c r="J1322">
        <v>13</v>
      </c>
      <c r="K1322" s="131">
        <v>45688</v>
      </c>
      <c r="M1322">
        <v>570</v>
      </c>
      <c r="N1322" t="s">
        <v>7169</v>
      </c>
    </row>
    <row r="1323" spans="1:14">
      <c r="A1323" t="s">
        <v>1746</v>
      </c>
      <c r="B1323" t="s">
        <v>1748</v>
      </c>
      <c r="C1323" t="s">
        <v>1744</v>
      </c>
      <c r="D1323" s="96">
        <v>85.5</v>
      </c>
      <c r="E1323" s="13">
        <v>117727.24</v>
      </c>
      <c r="F1323" s="486">
        <v>1.3769</v>
      </c>
      <c r="G1323"/>
      <c r="H1323" s="13">
        <v>117727.24</v>
      </c>
      <c r="I1323" s="13">
        <v>1.3769</v>
      </c>
      <c r="J1323">
        <v>13</v>
      </c>
      <c r="K1323" s="131">
        <v>45688</v>
      </c>
      <c r="M1323">
        <v>570</v>
      </c>
      <c r="N1323" t="s">
        <v>7170</v>
      </c>
    </row>
    <row r="1324" spans="1:14">
      <c r="A1324" t="s">
        <v>1746</v>
      </c>
      <c r="B1324" t="s">
        <v>1748</v>
      </c>
      <c r="C1324" t="s">
        <v>1744</v>
      </c>
      <c r="D1324" s="96">
        <v>85.5</v>
      </c>
      <c r="E1324" s="13">
        <v>118153.12</v>
      </c>
      <c r="F1324" s="486">
        <v>1.3818999999999999</v>
      </c>
      <c r="G1324"/>
      <c r="H1324" s="13">
        <v>118153.12</v>
      </c>
      <c r="I1324" s="13">
        <v>1.3818999999999999</v>
      </c>
      <c r="J1324">
        <v>13</v>
      </c>
      <c r="K1324" s="131">
        <v>45688</v>
      </c>
      <c r="M1324">
        <v>570</v>
      </c>
      <c r="N1324" t="s">
        <v>7171</v>
      </c>
    </row>
    <row r="1325" spans="1:14">
      <c r="A1325" t="s">
        <v>1746</v>
      </c>
      <c r="B1325" t="s">
        <v>7164</v>
      </c>
      <c r="C1325" t="s">
        <v>1744</v>
      </c>
      <c r="D1325" s="96">
        <v>85.5</v>
      </c>
      <c r="E1325" s="13">
        <v>160216.72</v>
      </c>
      <c r="F1325" s="486">
        <v>1.8738999999999999</v>
      </c>
      <c r="G1325"/>
      <c r="H1325" s="13">
        <v>160216.72</v>
      </c>
      <c r="I1325" s="13">
        <v>1.8738999999999999</v>
      </c>
      <c r="J1325">
        <v>13</v>
      </c>
      <c r="K1325" s="131">
        <v>45688</v>
      </c>
      <c r="M1325">
        <v>570</v>
      </c>
      <c r="N1325" t="s">
        <v>7172</v>
      </c>
    </row>
    <row r="1326" spans="1:14">
      <c r="A1326" t="s">
        <v>1746</v>
      </c>
      <c r="B1326" t="s">
        <v>7164</v>
      </c>
      <c r="C1326" t="s">
        <v>1744</v>
      </c>
      <c r="D1326" s="96">
        <v>85.5</v>
      </c>
      <c r="E1326" s="13">
        <v>160642.6</v>
      </c>
      <c r="F1326" s="486">
        <v>1.8789</v>
      </c>
      <c r="G1326"/>
      <c r="H1326" s="13">
        <v>160642.6</v>
      </c>
      <c r="I1326" s="13">
        <v>1.8789</v>
      </c>
      <c r="J1326">
        <v>13</v>
      </c>
      <c r="K1326" s="131">
        <v>45688</v>
      </c>
      <c r="M1326">
        <v>570</v>
      </c>
      <c r="N1326" t="s">
        <v>7173</v>
      </c>
    </row>
    <row r="1327" spans="1:14">
      <c r="A1327" t="s">
        <v>1746</v>
      </c>
      <c r="B1327" t="s">
        <v>6893</v>
      </c>
      <c r="C1327" t="s">
        <v>1744</v>
      </c>
      <c r="D1327" s="96">
        <v>85.91</v>
      </c>
      <c r="E1327" s="13">
        <v>154840.88</v>
      </c>
      <c r="F1327" s="486">
        <v>1.8024</v>
      </c>
      <c r="G1327"/>
      <c r="H1327" s="13">
        <v>154840.88</v>
      </c>
      <c r="I1327" s="13">
        <v>1.8024</v>
      </c>
      <c r="J1327">
        <v>13</v>
      </c>
      <c r="K1327" s="131">
        <v>45688</v>
      </c>
      <c r="M1327">
        <v>710</v>
      </c>
      <c r="N1327" t="s">
        <v>7174</v>
      </c>
    </row>
    <row r="1328" spans="1:14">
      <c r="A1328" t="s">
        <v>1746</v>
      </c>
      <c r="B1328" t="s">
        <v>1748</v>
      </c>
      <c r="C1328" t="s">
        <v>1744</v>
      </c>
      <c r="D1328" s="96">
        <v>86.07</v>
      </c>
      <c r="E1328" s="13">
        <v>110293.27</v>
      </c>
      <c r="F1328" s="486">
        <v>1.2814000000000001</v>
      </c>
      <c r="G1328"/>
      <c r="H1328" s="13">
        <v>110293.27</v>
      </c>
      <c r="I1328" s="13">
        <v>1.2814000000000001</v>
      </c>
      <c r="J1328">
        <v>13</v>
      </c>
      <c r="K1328" s="131">
        <v>45688</v>
      </c>
      <c r="M1328">
        <v>570</v>
      </c>
      <c r="N1328" t="s">
        <v>7175</v>
      </c>
    </row>
    <row r="1329" spans="1:14">
      <c r="A1329" t="s">
        <v>1746</v>
      </c>
      <c r="B1329" t="s">
        <v>1748</v>
      </c>
      <c r="C1329" t="s">
        <v>1744</v>
      </c>
      <c r="D1329" s="96">
        <v>86.07</v>
      </c>
      <c r="E1329" s="13">
        <v>110721.99</v>
      </c>
      <c r="F1329" s="486">
        <v>1.2864</v>
      </c>
      <c r="G1329"/>
      <c r="H1329" s="13">
        <v>110721.99</v>
      </c>
      <c r="I1329" s="13">
        <v>1.2864</v>
      </c>
      <c r="J1329">
        <v>13</v>
      </c>
      <c r="K1329" s="131">
        <v>45688</v>
      </c>
      <c r="M1329">
        <v>570</v>
      </c>
      <c r="N1329" t="s">
        <v>7176</v>
      </c>
    </row>
    <row r="1330" spans="1:14">
      <c r="A1330" t="s">
        <v>1746</v>
      </c>
      <c r="B1330" t="s">
        <v>1747</v>
      </c>
      <c r="C1330" t="s">
        <v>1744</v>
      </c>
      <c r="D1330" s="96">
        <v>86.07</v>
      </c>
      <c r="E1330" s="13">
        <v>114146.82</v>
      </c>
      <c r="F1330" s="486">
        <v>1.3262</v>
      </c>
      <c r="G1330"/>
      <c r="H1330" s="13">
        <v>114146.82</v>
      </c>
      <c r="I1330" s="13">
        <v>1.3262</v>
      </c>
      <c r="J1330">
        <v>13</v>
      </c>
      <c r="K1330" s="131">
        <v>45688</v>
      </c>
      <c r="M1330">
        <v>570</v>
      </c>
      <c r="N1330" t="s">
        <v>7177</v>
      </c>
    </row>
    <row r="1331" spans="1:14">
      <c r="A1331" t="s">
        <v>1746</v>
      </c>
      <c r="B1331" t="s">
        <v>1747</v>
      </c>
      <c r="C1331" t="s">
        <v>1744</v>
      </c>
      <c r="D1331" s="96">
        <v>86.07</v>
      </c>
      <c r="E1331" s="13">
        <v>114146.82</v>
      </c>
      <c r="F1331" s="486">
        <v>1.3262</v>
      </c>
      <c r="G1331"/>
      <c r="H1331" s="13">
        <v>114146.82</v>
      </c>
      <c r="I1331" s="13">
        <v>1.3262</v>
      </c>
      <c r="J1331">
        <v>13</v>
      </c>
      <c r="K1331" s="131">
        <v>45688</v>
      </c>
      <c r="M1331">
        <v>570</v>
      </c>
      <c r="N1331" t="s">
        <v>7177</v>
      </c>
    </row>
    <row r="1332" spans="1:14">
      <c r="A1332" t="s">
        <v>1746</v>
      </c>
      <c r="B1332" t="s">
        <v>1747</v>
      </c>
      <c r="C1332" t="s">
        <v>1744</v>
      </c>
      <c r="D1332" s="96">
        <v>86.07</v>
      </c>
      <c r="E1332" s="13">
        <v>114575.54</v>
      </c>
      <c r="F1332" s="486">
        <v>1.3311999999999999</v>
      </c>
      <c r="G1332"/>
      <c r="H1332" s="13">
        <v>114575.54</v>
      </c>
      <c r="I1332" s="13">
        <v>1.3311999999999999</v>
      </c>
      <c r="J1332">
        <v>13</v>
      </c>
      <c r="K1332" s="131">
        <v>45688</v>
      </c>
      <c r="M1332">
        <v>570</v>
      </c>
      <c r="N1332" t="s">
        <v>7178</v>
      </c>
    </row>
    <row r="1333" spans="1:14">
      <c r="A1333" t="s">
        <v>1746</v>
      </c>
      <c r="B1333" t="s">
        <v>1747</v>
      </c>
      <c r="C1333" t="s">
        <v>1744</v>
      </c>
      <c r="D1333" s="96">
        <v>86.07</v>
      </c>
      <c r="E1333" s="13">
        <v>114575.54</v>
      </c>
      <c r="F1333" s="486">
        <v>1.3311999999999999</v>
      </c>
      <c r="G1333"/>
      <c r="H1333" s="13">
        <v>114575.54</v>
      </c>
      <c r="I1333" s="13">
        <v>1.3311999999999999</v>
      </c>
      <c r="J1333">
        <v>13</v>
      </c>
      <c r="K1333" s="131">
        <v>45688</v>
      </c>
      <c r="M1333">
        <v>570</v>
      </c>
      <c r="N1333" t="s">
        <v>7178</v>
      </c>
    </row>
    <row r="1334" spans="1:14">
      <c r="A1334" t="s">
        <v>1746</v>
      </c>
      <c r="B1334" t="s">
        <v>7164</v>
      </c>
      <c r="C1334" t="s">
        <v>1744</v>
      </c>
      <c r="D1334" s="96">
        <v>86.07</v>
      </c>
      <c r="E1334" s="13">
        <v>160741.4</v>
      </c>
      <c r="F1334" s="486">
        <v>1.8675999999999999</v>
      </c>
      <c r="G1334"/>
      <c r="H1334" s="13">
        <v>160741.4</v>
      </c>
      <c r="I1334" s="13">
        <v>1.8675999999999999</v>
      </c>
      <c r="J1334">
        <v>13</v>
      </c>
      <c r="K1334" s="131">
        <v>45688</v>
      </c>
      <c r="M1334">
        <v>570</v>
      </c>
      <c r="N1334" t="s">
        <v>7179</v>
      </c>
    </row>
    <row r="1335" spans="1:14">
      <c r="A1335" t="s">
        <v>1746</v>
      </c>
      <c r="B1335" t="s">
        <v>7164</v>
      </c>
      <c r="C1335" t="s">
        <v>1744</v>
      </c>
      <c r="D1335" s="96">
        <v>86.07</v>
      </c>
      <c r="E1335" s="13">
        <v>161170.12</v>
      </c>
      <c r="F1335" s="486">
        <v>1.8725000000000001</v>
      </c>
      <c r="G1335"/>
      <c r="H1335" s="13">
        <v>161170.12</v>
      </c>
      <c r="I1335" s="13">
        <v>1.8725000000000001</v>
      </c>
      <c r="J1335">
        <v>13</v>
      </c>
      <c r="K1335" s="131">
        <v>45688</v>
      </c>
      <c r="M1335">
        <v>570</v>
      </c>
      <c r="N1335" t="s">
        <v>7180</v>
      </c>
    </row>
    <row r="1336" spans="1:14">
      <c r="A1336" t="s">
        <v>1746</v>
      </c>
      <c r="B1336" t="s">
        <v>6893</v>
      </c>
      <c r="C1336" t="s">
        <v>1744</v>
      </c>
      <c r="D1336" s="96">
        <v>86.62</v>
      </c>
      <c r="E1336" s="13">
        <v>155569.04</v>
      </c>
      <c r="F1336" s="486">
        <v>1.796</v>
      </c>
      <c r="G1336"/>
      <c r="H1336" s="13">
        <v>155569.04</v>
      </c>
      <c r="I1336" s="13">
        <v>1.796</v>
      </c>
      <c r="J1336">
        <v>13</v>
      </c>
      <c r="K1336" s="131">
        <v>45688</v>
      </c>
      <c r="M1336">
        <v>710</v>
      </c>
      <c r="N1336" t="s">
        <v>7181</v>
      </c>
    </row>
    <row r="1337" spans="1:14">
      <c r="A1337" t="s">
        <v>1746</v>
      </c>
      <c r="B1337" t="s">
        <v>1747</v>
      </c>
      <c r="C1337" t="s">
        <v>1744</v>
      </c>
      <c r="D1337" s="96">
        <v>86.64</v>
      </c>
      <c r="E1337" s="13">
        <v>114671.5</v>
      </c>
      <c r="F1337" s="486">
        <v>1.3234999999999999</v>
      </c>
      <c r="G1337"/>
      <c r="H1337" s="13">
        <v>114671.5</v>
      </c>
      <c r="I1337" s="13">
        <v>1.3234999999999999</v>
      </c>
      <c r="J1337">
        <v>13</v>
      </c>
      <c r="K1337" s="131">
        <v>45688</v>
      </c>
      <c r="M1337">
        <v>570</v>
      </c>
      <c r="N1337" t="s">
        <v>7182</v>
      </c>
    </row>
    <row r="1338" spans="1:14">
      <c r="A1338" t="s">
        <v>1746</v>
      </c>
      <c r="B1338" t="s">
        <v>1747</v>
      </c>
      <c r="C1338" t="s">
        <v>1744</v>
      </c>
      <c r="D1338" s="96">
        <v>86.64</v>
      </c>
      <c r="E1338" s="13">
        <v>115103.06</v>
      </c>
      <c r="F1338" s="486">
        <v>1.3285</v>
      </c>
      <c r="G1338"/>
      <c r="H1338" s="13">
        <v>115103.06</v>
      </c>
      <c r="I1338" s="13">
        <v>1.3285</v>
      </c>
      <c r="J1338">
        <v>13</v>
      </c>
      <c r="K1338" s="131">
        <v>45688</v>
      </c>
      <c r="M1338">
        <v>570</v>
      </c>
      <c r="N1338" t="s">
        <v>7183</v>
      </c>
    </row>
    <row r="1339" spans="1:14">
      <c r="A1339" t="s">
        <v>1746</v>
      </c>
      <c r="B1339" t="s">
        <v>1748</v>
      </c>
      <c r="C1339" t="s">
        <v>1744</v>
      </c>
      <c r="D1339" s="96">
        <v>86.64</v>
      </c>
      <c r="E1339" s="13">
        <v>118776.61</v>
      </c>
      <c r="F1339" s="486">
        <v>1.3709</v>
      </c>
      <c r="G1339"/>
      <c r="H1339" s="13">
        <v>118776.61</v>
      </c>
      <c r="I1339" s="13">
        <v>1.3709</v>
      </c>
      <c r="J1339">
        <v>13</v>
      </c>
      <c r="K1339" s="131">
        <v>45688</v>
      </c>
      <c r="M1339">
        <v>570</v>
      </c>
      <c r="N1339" t="s">
        <v>7184</v>
      </c>
    </row>
    <row r="1340" spans="1:14">
      <c r="A1340" t="s">
        <v>1746</v>
      </c>
      <c r="B1340" t="s">
        <v>1748</v>
      </c>
      <c r="C1340" t="s">
        <v>1744</v>
      </c>
      <c r="D1340" s="96">
        <v>86.64</v>
      </c>
      <c r="E1340" s="13">
        <v>118776.61</v>
      </c>
      <c r="F1340" s="486">
        <v>1.3709</v>
      </c>
      <c r="G1340"/>
      <c r="H1340" s="13">
        <v>118776.61</v>
      </c>
      <c r="I1340" s="13">
        <v>1.3709</v>
      </c>
      <c r="J1340">
        <v>13</v>
      </c>
      <c r="K1340" s="131">
        <v>45688</v>
      </c>
      <c r="M1340">
        <v>570</v>
      </c>
      <c r="N1340" t="s">
        <v>7184</v>
      </c>
    </row>
    <row r="1341" spans="1:14">
      <c r="A1341" t="s">
        <v>1746</v>
      </c>
      <c r="B1341" t="s">
        <v>1748</v>
      </c>
      <c r="C1341" t="s">
        <v>1744</v>
      </c>
      <c r="D1341" s="96">
        <v>86.64</v>
      </c>
      <c r="E1341" s="13">
        <v>119208.17</v>
      </c>
      <c r="F1341" s="486">
        <v>1.3758999999999999</v>
      </c>
      <c r="G1341"/>
      <c r="H1341" s="13">
        <v>119208.17</v>
      </c>
      <c r="I1341" s="13">
        <v>1.3758999999999999</v>
      </c>
      <c r="J1341">
        <v>13</v>
      </c>
      <c r="K1341" s="131">
        <v>45688</v>
      </c>
      <c r="M1341">
        <v>570</v>
      </c>
      <c r="N1341" t="s">
        <v>7185</v>
      </c>
    </row>
    <row r="1342" spans="1:14">
      <c r="A1342" t="s">
        <v>1746</v>
      </c>
      <c r="B1342" t="s">
        <v>1748</v>
      </c>
      <c r="C1342" t="s">
        <v>1744</v>
      </c>
      <c r="D1342" s="96">
        <v>86.64</v>
      </c>
      <c r="E1342" s="13">
        <v>119208.17</v>
      </c>
      <c r="F1342" s="486">
        <v>1.3758999999999999</v>
      </c>
      <c r="G1342"/>
      <c r="H1342" s="13">
        <v>119208.17</v>
      </c>
      <c r="I1342" s="13">
        <v>1.3758999999999999</v>
      </c>
      <c r="J1342">
        <v>13</v>
      </c>
      <c r="K1342" s="131">
        <v>45688</v>
      </c>
      <c r="M1342">
        <v>570</v>
      </c>
      <c r="N1342" t="s">
        <v>7185</v>
      </c>
    </row>
    <row r="1343" spans="1:14">
      <c r="A1343" t="s">
        <v>1746</v>
      </c>
      <c r="B1343" t="s">
        <v>7164</v>
      </c>
      <c r="C1343" t="s">
        <v>1744</v>
      </c>
      <c r="D1343" s="96">
        <v>86.64</v>
      </c>
      <c r="E1343" s="13">
        <v>161266.09</v>
      </c>
      <c r="F1343" s="486">
        <v>1.8613</v>
      </c>
      <c r="G1343"/>
      <c r="H1343" s="13">
        <v>161266.09</v>
      </c>
      <c r="I1343" s="13">
        <v>1.8613</v>
      </c>
      <c r="J1343">
        <v>13</v>
      </c>
      <c r="K1343" s="131">
        <v>45688</v>
      </c>
      <c r="M1343">
        <v>570</v>
      </c>
      <c r="N1343" t="s">
        <v>7186</v>
      </c>
    </row>
    <row r="1344" spans="1:14">
      <c r="A1344" t="s">
        <v>1746</v>
      </c>
      <c r="B1344" t="s">
        <v>7164</v>
      </c>
      <c r="C1344" t="s">
        <v>1744</v>
      </c>
      <c r="D1344" s="96">
        <v>86.64</v>
      </c>
      <c r="E1344" s="13">
        <v>161697.65</v>
      </c>
      <c r="F1344" s="486">
        <v>1.8663000000000001</v>
      </c>
      <c r="G1344"/>
      <c r="H1344" s="13">
        <v>161697.65</v>
      </c>
      <c r="I1344" s="13">
        <v>1.8663000000000001</v>
      </c>
      <c r="J1344">
        <v>13</v>
      </c>
      <c r="K1344" s="131">
        <v>45688</v>
      </c>
      <c r="M1344">
        <v>570</v>
      </c>
      <c r="N1344" t="s">
        <v>7187</v>
      </c>
    </row>
    <row r="1345" spans="1:14">
      <c r="A1345" t="s">
        <v>1746</v>
      </c>
      <c r="B1345" t="s">
        <v>1748</v>
      </c>
      <c r="C1345" t="s">
        <v>1744</v>
      </c>
      <c r="D1345" s="96">
        <v>87.21</v>
      </c>
      <c r="E1345" s="13">
        <v>111657.22</v>
      </c>
      <c r="F1345" s="486">
        <v>1.2803</v>
      </c>
      <c r="G1345"/>
      <c r="H1345" s="13">
        <v>111657.22</v>
      </c>
      <c r="I1345" s="13">
        <v>1.2803</v>
      </c>
      <c r="J1345">
        <v>13</v>
      </c>
      <c r="K1345" s="131">
        <v>45688</v>
      </c>
      <c r="M1345">
        <v>570</v>
      </c>
      <c r="N1345" t="s">
        <v>7188</v>
      </c>
    </row>
    <row r="1346" spans="1:14">
      <c r="A1346" t="s">
        <v>1746</v>
      </c>
      <c r="B1346" t="s">
        <v>1748</v>
      </c>
      <c r="C1346" t="s">
        <v>1744</v>
      </c>
      <c r="D1346" s="96">
        <v>87.21</v>
      </c>
      <c r="E1346" s="13">
        <v>111657.22</v>
      </c>
      <c r="F1346" s="486">
        <v>1.2803</v>
      </c>
      <c r="G1346"/>
      <c r="H1346" s="13">
        <v>111657.22</v>
      </c>
      <c r="I1346" s="13">
        <v>1.2803</v>
      </c>
      <c r="J1346">
        <v>13</v>
      </c>
      <c r="K1346" s="131">
        <v>45688</v>
      </c>
      <c r="M1346">
        <v>570</v>
      </c>
      <c r="N1346" t="s">
        <v>7188</v>
      </c>
    </row>
    <row r="1347" spans="1:14">
      <c r="A1347" t="s">
        <v>1746</v>
      </c>
      <c r="B1347" t="s">
        <v>1748</v>
      </c>
      <c r="C1347" t="s">
        <v>1744</v>
      </c>
      <c r="D1347" s="96">
        <v>87.21</v>
      </c>
      <c r="E1347" s="13">
        <v>112091.62</v>
      </c>
      <c r="F1347" s="486">
        <v>1.2853000000000001</v>
      </c>
      <c r="G1347"/>
      <c r="H1347" s="13">
        <v>112091.62</v>
      </c>
      <c r="I1347" s="13">
        <v>1.2853000000000001</v>
      </c>
      <c r="J1347">
        <v>13</v>
      </c>
      <c r="K1347" s="131">
        <v>45688</v>
      </c>
      <c r="M1347">
        <v>570</v>
      </c>
      <c r="N1347" t="s">
        <v>7189</v>
      </c>
    </row>
    <row r="1348" spans="1:14">
      <c r="A1348" t="s">
        <v>1746</v>
      </c>
      <c r="B1348" t="s">
        <v>1748</v>
      </c>
      <c r="C1348" t="s">
        <v>1744</v>
      </c>
      <c r="D1348" s="96">
        <v>87.21</v>
      </c>
      <c r="E1348" s="13">
        <v>112091.62</v>
      </c>
      <c r="F1348" s="486">
        <v>1.2853000000000001</v>
      </c>
      <c r="G1348"/>
      <c r="H1348" s="13">
        <v>112091.62</v>
      </c>
      <c r="I1348" s="13">
        <v>1.2853000000000001</v>
      </c>
      <c r="J1348">
        <v>13</v>
      </c>
      <c r="K1348" s="131">
        <v>45688</v>
      </c>
      <c r="M1348">
        <v>570</v>
      </c>
      <c r="N1348" t="s">
        <v>7189</v>
      </c>
    </row>
    <row r="1349" spans="1:14">
      <c r="A1349" t="s">
        <v>1746</v>
      </c>
      <c r="B1349" t="s">
        <v>1748</v>
      </c>
      <c r="C1349" t="s">
        <v>1744</v>
      </c>
      <c r="D1349" s="96">
        <v>87.21</v>
      </c>
      <c r="E1349" s="13">
        <v>119615.87</v>
      </c>
      <c r="F1349" s="486">
        <v>1.3715999999999999</v>
      </c>
      <c r="G1349"/>
      <c r="H1349" s="13">
        <v>119615.87</v>
      </c>
      <c r="I1349" s="13">
        <v>1.3715999999999999</v>
      </c>
      <c r="J1349">
        <v>13</v>
      </c>
      <c r="K1349" s="131">
        <v>45688</v>
      </c>
      <c r="M1349">
        <v>570</v>
      </c>
      <c r="N1349" t="s">
        <v>7190</v>
      </c>
    </row>
    <row r="1350" spans="1:14">
      <c r="A1350" t="s">
        <v>1746</v>
      </c>
      <c r="B1350" t="s">
        <v>1748</v>
      </c>
      <c r="C1350" t="s">
        <v>1744</v>
      </c>
      <c r="D1350" s="96">
        <v>87.21</v>
      </c>
      <c r="E1350" s="13">
        <v>120050.27</v>
      </c>
      <c r="F1350" s="486">
        <v>1.3766</v>
      </c>
      <c r="G1350"/>
      <c r="H1350" s="13">
        <v>120050.27</v>
      </c>
      <c r="I1350" s="13">
        <v>1.3766</v>
      </c>
      <c r="J1350">
        <v>13</v>
      </c>
      <c r="K1350" s="131">
        <v>45688</v>
      </c>
      <c r="M1350">
        <v>570</v>
      </c>
      <c r="N1350" t="s">
        <v>7191</v>
      </c>
    </row>
    <row r="1351" spans="1:14">
      <c r="A1351" t="s">
        <v>1746</v>
      </c>
      <c r="B1351" t="s">
        <v>7192</v>
      </c>
      <c r="C1351" t="s">
        <v>1744</v>
      </c>
      <c r="D1351" s="96">
        <v>87.21</v>
      </c>
      <c r="E1351" s="13">
        <v>163911.94</v>
      </c>
      <c r="F1351" s="486">
        <v>1.8794999999999999</v>
      </c>
      <c r="G1351"/>
      <c r="H1351" s="13">
        <v>163911.94</v>
      </c>
      <c r="I1351" s="13">
        <v>1.8794999999999999</v>
      </c>
      <c r="J1351">
        <v>13</v>
      </c>
      <c r="K1351" s="131">
        <v>45688</v>
      </c>
      <c r="M1351">
        <v>570</v>
      </c>
      <c r="N1351" t="s">
        <v>7193</v>
      </c>
    </row>
    <row r="1352" spans="1:14">
      <c r="A1352" t="s">
        <v>1746</v>
      </c>
      <c r="B1352" t="s">
        <v>7192</v>
      </c>
      <c r="C1352" t="s">
        <v>1744</v>
      </c>
      <c r="D1352" s="96">
        <v>87.21</v>
      </c>
      <c r="E1352" s="13">
        <v>164346.32999999999</v>
      </c>
      <c r="F1352" s="486">
        <v>1.8845000000000001</v>
      </c>
      <c r="G1352"/>
      <c r="H1352" s="13">
        <v>164346.32999999999</v>
      </c>
      <c r="I1352" s="13">
        <v>1.8845000000000001</v>
      </c>
      <c r="J1352">
        <v>13</v>
      </c>
      <c r="K1352" s="131">
        <v>45688</v>
      </c>
      <c r="M1352">
        <v>570</v>
      </c>
      <c r="N1352" t="s">
        <v>7194</v>
      </c>
    </row>
    <row r="1353" spans="1:14">
      <c r="A1353" t="s">
        <v>1746</v>
      </c>
      <c r="B1353" t="s">
        <v>6893</v>
      </c>
      <c r="C1353" t="s">
        <v>1744</v>
      </c>
      <c r="D1353" s="96">
        <v>87.33</v>
      </c>
      <c r="E1353" s="13">
        <v>156297.20000000001</v>
      </c>
      <c r="F1353" s="486">
        <v>1.7897000000000001</v>
      </c>
      <c r="G1353"/>
      <c r="H1353" s="13">
        <v>156297.20000000001</v>
      </c>
      <c r="I1353" s="13">
        <v>1.7897000000000001</v>
      </c>
      <c r="J1353">
        <v>13</v>
      </c>
      <c r="K1353" s="131">
        <v>45688</v>
      </c>
      <c r="M1353">
        <v>710</v>
      </c>
      <c r="N1353" t="s">
        <v>7195</v>
      </c>
    </row>
    <row r="1354" spans="1:14">
      <c r="A1354" t="s">
        <v>1746</v>
      </c>
      <c r="B1354" t="s">
        <v>1748</v>
      </c>
      <c r="C1354" t="s">
        <v>1744</v>
      </c>
      <c r="D1354" s="96">
        <v>87.78</v>
      </c>
      <c r="E1354" s="13">
        <v>112181.9</v>
      </c>
      <c r="F1354" s="486">
        <v>1.278</v>
      </c>
      <c r="G1354"/>
      <c r="H1354" s="13">
        <v>112181.9</v>
      </c>
      <c r="I1354" s="13">
        <v>1.278</v>
      </c>
      <c r="J1354">
        <v>13</v>
      </c>
      <c r="K1354" s="131">
        <v>45688</v>
      </c>
      <c r="M1354">
        <v>570</v>
      </c>
      <c r="N1354" t="s">
        <v>7196</v>
      </c>
    </row>
    <row r="1355" spans="1:14">
      <c r="A1355" t="s">
        <v>1746</v>
      </c>
      <c r="B1355" t="s">
        <v>1748</v>
      </c>
      <c r="C1355" t="s">
        <v>1744</v>
      </c>
      <c r="D1355" s="96">
        <v>87.78</v>
      </c>
      <c r="E1355" s="13">
        <v>112619.14</v>
      </c>
      <c r="F1355" s="486">
        <v>1.2829999999999999</v>
      </c>
      <c r="G1355"/>
      <c r="H1355" s="13">
        <v>112619.14</v>
      </c>
      <c r="I1355" s="13">
        <v>1.2829999999999999</v>
      </c>
      <c r="J1355">
        <v>13</v>
      </c>
      <c r="K1355" s="131">
        <v>45688</v>
      </c>
      <c r="M1355">
        <v>570</v>
      </c>
      <c r="N1355" t="s">
        <v>7197</v>
      </c>
    </row>
    <row r="1356" spans="1:14">
      <c r="A1356" t="s">
        <v>1746</v>
      </c>
      <c r="B1356" t="s">
        <v>1747</v>
      </c>
      <c r="C1356" t="s">
        <v>1744</v>
      </c>
      <c r="D1356" s="96">
        <v>87.78</v>
      </c>
      <c r="E1356" s="13">
        <v>116035.45</v>
      </c>
      <c r="F1356" s="486">
        <v>1.3219000000000001</v>
      </c>
      <c r="G1356"/>
      <c r="H1356" s="13">
        <v>116035.45</v>
      </c>
      <c r="I1356" s="13">
        <v>1.3219000000000001</v>
      </c>
      <c r="J1356">
        <v>13</v>
      </c>
      <c r="K1356" s="131">
        <v>45688</v>
      </c>
      <c r="M1356">
        <v>570</v>
      </c>
      <c r="N1356" t="s">
        <v>7198</v>
      </c>
    </row>
    <row r="1357" spans="1:14">
      <c r="A1357" t="s">
        <v>1746</v>
      </c>
      <c r="B1357" t="s">
        <v>1747</v>
      </c>
      <c r="C1357" t="s">
        <v>1744</v>
      </c>
      <c r="D1357" s="96">
        <v>87.78</v>
      </c>
      <c r="E1357" s="13">
        <v>116035.45</v>
      </c>
      <c r="F1357" s="486">
        <v>1.3219000000000001</v>
      </c>
      <c r="G1357"/>
      <c r="H1357" s="13">
        <v>116035.45</v>
      </c>
      <c r="I1357" s="13">
        <v>1.3219000000000001</v>
      </c>
      <c r="J1357">
        <v>13</v>
      </c>
      <c r="K1357" s="131">
        <v>45688</v>
      </c>
      <c r="M1357">
        <v>570</v>
      </c>
      <c r="N1357" t="s">
        <v>7198</v>
      </c>
    </row>
    <row r="1358" spans="1:14">
      <c r="A1358" t="s">
        <v>1746</v>
      </c>
      <c r="B1358" t="s">
        <v>1747</v>
      </c>
      <c r="C1358" t="s">
        <v>1744</v>
      </c>
      <c r="D1358" s="96">
        <v>87.78</v>
      </c>
      <c r="E1358" s="13">
        <v>116472.69</v>
      </c>
      <c r="F1358" s="486">
        <v>1.3269</v>
      </c>
      <c r="G1358"/>
      <c r="H1358" s="13">
        <v>116472.69</v>
      </c>
      <c r="I1358" s="13">
        <v>1.3269</v>
      </c>
      <c r="J1358">
        <v>13</v>
      </c>
      <c r="K1358" s="131">
        <v>45688</v>
      </c>
      <c r="M1358">
        <v>570</v>
      </c>
      <c r="N1358" t="s">
        <v>7199</v>
      </c>
    </row>
    <row r="1359" spans="1:14">
      <c r="A1359" t="s">
        <v>1746</v>
      </c>
      <c r="B1359" t="s">
        <v>1747</v>
      </c>
      <c r="C1359" t="s">
        <v>1744</v>
      </c>
      <c r="D1359" s="96">
        <v>87.78</v>
      </c>
      <c r="E1359" s="13">
        <v>116472.69</v>
      </c>
      <c r="F1359" s="486">
        <v>1.3269</v>
      </c>
      <c r="H1359" s="13">
        <v>116472.69</v>
      </c>
      <c r="I1359" s="13">
        <v>1.3269</v>
      </c>
      <c r="J1359">
        <v>13</v>
      </c>
      <c r="K1359" s="131">
        <v>45688</v>
      </c>
      <c r="M1359">
        <v>570</v>
      </c>
      <c r="N1359" t="s">
        <v>7199</v>
      </c>
    </row>
    <row r="1360" spans="1:14">
      <c r="A1360" t="s">
        <v>1746</v>
      </c>
      <c r="B1360" t="s">
        <v>7192</v>
      </c>
      <c r="C1360" t="s">
        <v>1744</v>
      </c>
      <c r="D1360" s="96">
        <v>87.78</v>
      </c>
      <c r="E1360" s="13">
        <v>164436.62</v>
      </c>
      <c r="F1360" s="486">
        <v>1.8733</v>
      </c>
      <c r="G1360"/>
      <c r="H1360" s="13">
        <v>164436.62</v>
      </c>
      <c r="I1360" s="13">
        <v>1.8733</v>
      </c>
      <c r="J1360">
        <v>13</v>
      </c>
      <c r="K1360" s="131">
        <v>45688</v>
      </c>
      <c r="M1360">
        <v>570</v>
      </c>
      <c r="N1360" t="s">
        <v>7200</v>
      </c>
    </row>
    <row r="1361" spans="1:14">
      <c r="A1361" t="s">
        <v>1746</v>
      </c>
      <c r="B1361" t="s">
        <v>7192</v>
      </c>
      <c r="C1361" t="s">
        <v>1744</v>
      </c>
      <c r="D1361" s="96">
        <v>87.78</v>
      </c>
      <c r="E1361" s="13">
        <v>164873.85999999999</v>
      </c>
      <c r="F1361" s="486">
        <v>1.8783000000000001</v>
      </c>
      <c r="G1361"/>
      <c r="H1361" s="13">
        <v>164873.85999999999</v>
      </c>
      <c r="I1361" s="13">
        <v>1.8783000000000001</v>
      </c>
      <c r="J1361">
        <v>13</v>
      </c>
      <c r="K1361" s="131">
        <v>45688</v>
      </c>
      <c r="M1361">
        <v>570</v>
      </c>
      <c r="N1361" t="s">
        <v>7201</v>
      </c>
    </row>
    <row r="1362" spans="1:14">
      <c r="A1362" t="s">
        <v>1746</v>
      </c>
      <c r="B1362" t="s">
        <v>6893</v>
      </c>
      <c r="C1362" t="s">
        <v>1744</v>
      </c>
      <c r="D1362" s="96">
        <v>88.04</v>
      </c>
      <c r="E1362" s="13">
        <v>157025.35999999999</v>
      </c>
      <c r="F1362" s="486">
        <v>1.7836000000000001</v>
      </c>
      <c r="G1362"/>
      <c r="H1362" s="13">
        <v>157025.35999999999</v>
      </c>
      <c r="I1362" s="13">
        <v>1.7836000000000001</v>
      </c>
      <c r="J1362">
        <v>13</v>
      </c>
      <c r="K1362" s="131">
        <v>45688</v>
      </c>
      <c r="M1362">
        <v>710</v>
      </c>
      <c r="N1362" t="s">
        <v>7202</v>
      </c>
    </row>
    <row r="1363" spans="1:14">
      <c r="A1363" t="s">
        <v>1746</v>
      </c>
      <c r="B1363" t="s">
        <v>1747</v>
      </c>
      <c r="C1363" t="s">
        <v>1744</v>
      </c>
      <c r="D1363" s="96">
        <v>88.35</v>
      </c>
      <c r="E1363" s="13">
        <v>116560.14</v>
      </c>
      <c r="F1363" s="486">
        <v>1.3192999999999999</v>
      </c>
      <c r="G1363"/>
      <c r="H1363" s="13">
        <v>116560.14</v>
      </c>
      <c r="I1363" s="13">
        <v>1.3192999999999999</v>
      </c>
      <c r="J1363">
        <v>13</v>
      </c>
      <c r="K1363" s="131">
        <v>45688</v>
      </c>
      <c r="M1363">
        <v>570</v>
      </c>
      <c r="N1363" t="s">
        <v>7203</v>
      </c>
    </row>
    <row r="1364" spans="1:14">
      <c r="A1364" t="s">
        <v>1746</v>
      </c>
      <c r="B1364" t="s">
        <v>1747</v>
      </c>
      <c r="C1364" t="s">
        <v>1744</v>
      </c>
      <c r="D1364" s="96">
        <v>88.35</v>
      </c>
      <c r="E1364" s="13">
        <v>117000.21</v>
      </c>
      <c r="F1364" s="486">
        <v>1.3243</v>
      </c>
      <c r="G1364"/>
      <c r="H1364" s="13">
        <v>117000.21</v>
      </c>
      <c r="I1364" s="13">
        <v>1.3243</v>
      </c>
      <c r="J1364">
        <v>13</v>
      </c>
      <c r="K1364" s="131">
        <v>45688</v>
      </c>
      <c r="M1364">
        <v>570</v>
      </c>
      <c r="N1364" t="s">
        <v>7204</v>
      </c>
    </row>
    <row r="1365" spans="1:14">
      <c r="A1365" t="s">
        <v>1746</v>
      </c>
      <c r="B1365" t="s">
        <v>1748</v>
      </c>
      <c r="C1365" t="s">
        <v>1744</v>
      </c>
      <c r="D1365" s="96">
        <v>88.35</v>
      </c>
      <c r="E1365" s="13">
        <v>120665.24</v>
      </c>
      <c r="F1365" s="486">
        <v>1.3657999999999999</v>
      </c>
      <c r="G1365"/>
      <c r="H1365" s="13">
        <v>120665.24</v>
      </c>
      <c r="I1365" s="13">
        <v>1.3657999999999999</v>
      </c>
      <c r="J1365">
        <v>13</v>
      </c>
      <c r="K1365" s="131">
        <v>45688</v>
      </c>
      <c r="M1365">
        <v>570</v>
      </c>
      <c r="N1365" t="s">
        <v>7205</v>
      </c>
    </row>
    <row r="1366" spans="1:14">
      <c r="A1366" t="s">
        <v>1746</v>
      </c>
      <c r="B1366" t="s">
        <v>1748</v>
      </c>
      <c r="C1366" t="s">
        <v>1744</v>
      </c>
      <c r="D1366" s="96">
        <v>88.35</v>
      </c>
      <c r="E1366" s="13">
        <v>120665.24</v>
      </c>
      <c r="F1366" s="486">
        <v>1.3657999999999999</v>
      </c>
      <c r="G1366"/>
      <c r="H1366" s="13">
        <v>120665.24</v>
      </c>
      <c r="I1366" s="13">
        <v>1.3657999999999999</v>
      </c>
      <c r="J1366">
        <v>13</v>
      </c>
      <c r="K1366" s="131">
        <v>45688</v>
      </c>
      <c r="M1366">
        <v>570</v>
      </c>
      <c r="N1366" t="s">
        <v>7205</v>
      </c>
    </row>
    <row r="1367" spans="1:14">
      <c r="A1367" t="s">
        <v>1746</v>
      </c>
      <c r="B1367" t="s">
        <v>1748</v>
      </c>
      <c r="C1367" t="s">
        <v>1744</v>
      </c>
      <c r="D1367" s="96">
        <v>88.35</v>
      </c>
      <c r="E1367" s="13">
        <v>121105.32</v>
      </c>
      <c r="F1367" s="486">
        <v>1.3707</v>
      </c>
      <c r="G1367"/>
      <c r="H1367" s="13">
        <v>121105.32</v>
      </c>
      <c r="I1367" s="13">
        <v>1.3707</v>
      </c>
      <c r="J1367">
        <v>13</v>
      </c>
      <c r="K1367" s="131">
        <v>45688</v>
      </c>
      <c r="M1367">
        <v>570</v>
      </c>
      <c r="N1367" t="s">
        <v>7206</v>
      </c>
    </row>
    <row r="1368" spans="1:14">
      <c r="A1368" t="s">
        <v>1746</v>
      </c>
      <c r="B1368" t="s">
        <v>1748</v>
      </c>
      <c r="C1368" t="s">
        <v>1744</v>
      </c>
      <c r="D1368" s="96">
        <v>88.35</v>
      </c>
      <c r="E1368" s="13">
        <v>121105.32</v>
      </c>
      <c r="F1368" s="486">
        <v>1.3707</v>
      </c>
      <c r="G1368"/>
      <c r="H1368" s="13">
        <v>121105.32</v>
      </c>
      <c r="I1368" s="13">
        <v>1.3707</v>
      </c>
      <c r="J1368">
        <v>13</v>
      </c>
      <c r="K1368" s="131">
        <v>45688</v>
      </c>
      <c r="M1368">
        <v>570</v>
      </c>
      <c r="N1368" t="s">
        <v>7206</v>
      </c>
    </row>
    <row r="1369" spans="1:14">
      <c r="A1369" t="s">
        <v>1746</v>
      </c>
      <c r="B1369" t="s">
        <v>7192</v>
      </c>
      <c r="C1369" t="s">
        <v>1744</v>
      </c>
      <c r="D1369" s="96">
        <v>88.35</v>
      </c>
      <c r="E1369" s="13">
        <v>164961.31</v>
      </c>
      <c r="F1369" s="486">
        <v>1.8671</v>
      </c>
      <c r="G1369"/>
      <c r="H1369" s="13">
        <v>164961.31</v>
      </c>
      <c r="I1369" s="13">
        <v>1.8671</v>
      </c>
      <c r="J1369">
        <v>13</v>
      </c>
      <c r="K1369" s="131">
        <v>45688</v>
      </c>
      <c r="M1369">
        <v>570</v>
      </c>
      <c r="N1369" t="s">
        <v>7207</v>
      </c>
    </row>
    <row r="1370" spans="1:14">
      <c r="A1370" t="s">
        <v>1746</v>
      </c>
      <c r="B1370" t="s">
        <v>7192</v>
      </c>
      <c r="C1370" t="s">
        <v>1744</v>
      </c>
      <c r="D1370" s="96">
        <v>88.35</v>
      </c>
      <c r="E1370" s="13">
        <v>165401.38</v>
      </c>
      <c r="F1370" s="486">
        <v>1.8721000000000001</v>
      </c>
      <c r="G1370"/>
      <c r="H1370" s="13">
        <v>165401.38</v>
      </c>
      <c r="I1370" s="13">
        <v>1.8721000000000001</v>
      </c>
      <c r="J1370">
        <v>13</v>
      </c>
      <c r="K1370" s="131">
        <v>45688</v>
      </c>
      <c r="M1370">
        <v>570</v>
      </c>
      <c r="N1370" t="s">
        <v>7208</v>
      </c>
    </row>
    <row r="1371" spans="1:14">
      <c r="A1371" t="s">
        <v>1746</v>
      </c>
      <c r="B1371" t="s">
        <v>6965</v>
      </c>
      <c r="C1371" t="s">
        <v>1744</v>
      </c>
      <c r="D1371" s="96">
        <v>88.75</v>
      </c>
      <c r="E1371" s="13">
        <v>159874.69</v>
      </c>
      <c r="F1371" s="486">
        <v>1.8013999999999999</v>
      </c>
      <c r="G1371"/>
      <c r="H1371" s="13">
        <v>159874.69</v>
      </c>
      <c r="I1371" s="13">
        <v>1.8013999999999999</v>
      </c>
      <c r="J1371">
        <v>13</v>
      </c>
      <c r="K1371" s="131">
        <v>45688</v>
      </c>
      <c r="M1371">
        <v>710</v>
      </c>
      <c r="N1371" t="s">
        <v>7209</v>
      </c>
    </row>
    <row r="1372" spans="1:14">
      <c r="A1372" t="s">
        <v>1746</v>
      </c>
      <c r="B1372" t="s">
        <v>1748</v>
      </c>
      <c r="C1372" t="s">
        <v>1744</v>
      </c>
      <c r="D1372" s="96">
        <v>88.92</v>
      </c>
      <c r="E1372" s="13">
        <v>113231.27</v>
      </c>
      <c r="F1372" s="486">
        <v>1.2734000000000001</v>
      </c>
      <c r="G1372"/>
      <c r="H1372" s="13">
        <v>113231.27</v>
      </c>
      <c r="I1372" s="13">
        <v>1.2734000000000001</v>
      </c>
      <c r="J1372">
        <v>13</v>
      </c>
      <c r="K1372" s="131">
        <v>45688</v>
      </c>
      <c r="M1372">
        <v>570</v>
      </c>
      <c r="N1372" t="s">
        <v>7210</v>
      </c>
    </row>
    <row r="1373" spans="1:14">
      <c r="A1373" t="s">
        <v>1746</v>
      </c>
      <c r="B1373" t="s">
        <v>1748</v>
      </c>
      <c r="C1373" t="s">
        <v>1744</v>
      </c>
      <c r="D1373" s="96">
        <v>88.92</v>
      </c>
      <c r="E1373" s="13">
        <v>113231.27</v>
      </c>
      <c r="F1373" s="486">
        <v>1.2734000000000001</v>
      </c>
      <c r="G1373"/>
      <c r="H1373" s="13">
        <v>113231.27</v>
      </c>
      <c r="I1373" s="13">
        <v>1.2734000000000001</v>
      </c>
      <c r="J1373">
        <v>13</v>
      </c>
      <c r="K1373" s="131">
        <v>45688</v>
      </c>
      <c r="M1373">
        <v>570</v>
      </c>
      <c r="N1373" t="s">
        <v>7210</v>
      </c>
    </row>
    <row r="1374" spans="1:14">
      <c r="A1374" t="s">
        <v>1746</v>
      </c>
      <c r="B1374" t="s">
        <v>1748</v>
      </c>
      <c r="C1374" t="s">
        <v>1744</v>
      </c>
      <c r="D1374" s="96">
        <v>88.92</v>
      </c>
      <c r="E1374" s="13">
        <v>113674.19</v>
      </c>
      <c r="F1374" s="486">
        <v>1.2784</v>
      </c>
      <c r="G1374"/>
      <c r="H1374" s="13">
        <v>113674.19</v>
      </c>
      <c r="I1374" s="13">
        <v>1.2784</v>
      </c>
      <c r="J1374">
        <v>13</v>
      </c>
      <c r="K1374" s="131">
        <v>45688</v>
      </c>
      <c r="M1374">
        <v>570</v>
      </c>
      <c r="N1374" t="s">
        <v>7211</v>
      </c>
    </row>
    <row r="1375" spans="1:14">
      <c r="A1375" t="s">
        <v>1746</v>
      </c>
      <c r="B1375" t="s">
        <v>1748</v>
      </c>
      <c r="C1375" t="s">
        <v>1744</v>
      </c>
      <c r="D1375" s="96">
        <v>88.92</v>
      </c>
      <c r="E1375" s="13">
        <v>113674.19</v>
      </c>
      <c r="F1375" s="486">
        <v>1.2784</v>
      </c>
      <c r="G1375"/>
      <c r="H1375" s="13">
        <v>113674.19</v>
      </c>
      <c r="I1375" s="13">
        <v>1.2784</v>
      </c>
      <c r="J1375">
        <v>13</v>
      </c>
      <c r="K1375" s="131">
        <v>45688</v>
      </c>
      <c r="M1375">
        <v>570</v>
      </c>
      <c r="N1375" t="s">
        <v>7211</v>
      </c>
    </row>
    <row r="1376" spans="1:14">
      <c r="A1376" t="s">
        <v>1746</v>
      </c>
      <c r="B1376" t="s">
        <v>1748</v>
      </c>
      <c r="C1376" t="s">
        <v>1744</v>
      </c>
      <c r="D1376" s="96">
        <v>88.92</v>
      </c>
      <c r="E1376" s="13">
        <v>121189.93</v>
      </c>
      <c r="F1376" s="486">
        <v>1.3629</v>
      </c>
      <c r="G1376"/>
      <c r="H1376" s="13">
        <v>121189.93</v>
      </c>
      <c r="I1376" s="13">
        <v>1.3629</v>
      </c>
      <c r="J1376">
        <v>13</v>
      </c>
      <c r="K1376" s="131">
        <v>45688</v>
      </c>
      <c r="M1376">
        <v>570</v>
      </c>
      <c r="N1376" t="s">
        <v>7212</v>
      </c>
    </row>
    <row r="1377" spans="1:14">
      <c r="A1377" t="s">
        <v>1746</v>
      </c>
      <c r="B1377" t="s">
        <v>1748</v>
      </c>
      <c r="C1377" t="s">
        <v>1744</v>
      </c>
      <c r="D1377" s="96">
        <v>88.92</v>
      </c>
      <c r="E1377" s="13">
        <v>121632.84</v>
      </c>
      <c r="F1377" s="486">
        <v>1.3678999999999999</v>
      </c>
      <c r="G1377"/>
      <c r="H1377" s="13">
        <v>121632.84</v>
      </c>
      <c r="I1377" s="13">
        <v>1.3678999999999999</v>
      </c>
      <c r="J1377">
        <v>13</v>
      </c>
      <c r="K1377" s="131">
        <v>45688</v>
      </c>
      <c r="M1377">
        <v>570</v>
      </c>
      <c r="N1377" t="s">
        <v>7213</v>
      </c>
    </row>
    <row r="1378" spans="1:14">
      <c r="A1378" t="s">
        <v>1746</v>
      </c>
      <c r="B1378" t="s">
        <v>7192</v>
      </c>
      <c r="C1378" t="s">
        <v>1744</v>
      </c>
      <c r="D1378" s="96">
        <v>88.92</v>
      </c>
      <c r="E1378" s="13">
        <v>165485.99</v>
      </c>
      <c r="F1378" s="486">
        <v>1.8611</v>
      </c>
      <c r="G1378"/>
      <c r="H1378" s="13">
        <v>165485.99</v>
      </c>
      <c r="I1378" s="13">
        <v>1.8611</v>
      </c>
      <c r="J1378">
        <v>13</v>
      </c>
      <c r="K1378" s="131">
        <v>45688</v>
      </c>
      <c r="M1378">
        <v>570</v>
      </c>
      <c r="N1378" t="s">
        <v>7214</v>
      </c>
    </row>
    <row r="1379" spans="1:14">
      <c r="A1379" t="s">
        <v>1746</v>
      </c>
      <c r="B1379" t="s">
        <v>7192</v>
      </c>
      <c r="C1379" t="s">
        <v>1744</v>
      </c>
      <c r="D1379" s="96">
        <v>88.92</v>
      </c>
      <c r="E1379" s="13">
        <v>165928.9</v>
      </c>
      <c r="F1379" s="486">
        <v>1.8660000000000001</v>
      </c>
      <c r="G1379"/>
      <c r="H1379" s="13">
        <v>165928.9</v>
      </c>
      <c r="I1379" s="13">
        <v>1.8660000000000001</v>
      </c>
      <c r="J1379">
        <v>13</v>
      </c>
      <c r="K1379" s="131">
        <v>45688</v>
      </c>
      <c r="M1379">
        <v>570</v>
      </c>
      <c r="N1379" t="s">
        <v>7215</v>
      </c>
    </row>
    <row r="1380" spans="1:14">
      <c r="A1380" t="s">
        <v>1746</v>
      </c>
      <c r="B1380" t="s">
        <v>6965</v>
      </c>
      <c r="C1380" t="s">
        <v>1744</v>
      </c>
      <c r="D1380" s="96">
        <v>89.46</v>
      </c>
      <c r="E1380" s="13">
        <v>160602.85</v>
      </c>
      <c r="F1380" s="486">
        <v>1.7951999999999999</v>
      </c>
      <c r="G1380"/>
      <c r="H1380" s="13">
        <v>160602.85</v>
      </c>
      <c r="I1380" s="13">
        <v>1.7951999999999999</v>
      </c>
      <c r="J1380">
        <v>13</v>
      </c>
      <c r="K1380" s="131">
        <v>45688</v>
      </c>
      <c r="M1380">
        <v>710</v>
      </c>
      <c r="N1380" t="s">
        <v>7216</v>
      </c>
    </row>
    <row r="1381" spans="1:14">
      <c r="A1381" t="s">
        <v>1746</v>
      </c>
      <c r="B1381" t="s">
        <v>1748</v>
      </c>
      <c r="C1381" t="s">
        <v>1744</v>
      </c>
      <c r="D1381" s="96">
        <v>89.49</v>
      </c>
      <c r="E1381" s="13">
        <v>114070.54</v>
      </c>
      <c r="F1381" s="486">
        <v>1.2746999999999999</v>
      </c>
      <c r="G1381"/>
      <c r="H1381" s="13">
        <v>114070.54</v>
      </c>
      <c r="I1381" s="13">
        <v>1.2746999999999999</v>
      </c>
      <c r="J1381">
        <v>13</v>
      </c>
      <c r="K1381" s="131">
        <v>45688</v>
      </c>
      <c r="M1381">
        <v>570</v>
      </c>
      <c r="N1381" t="s">
        <v>7217</v>
      </c>
    </row>
    <row r="1382" spans="1:14">
      <c r="A1382" t="s">
        <v>1746</v>
      </c>
      <c r="B1382" t="s">
        <v>1748</v>
      </c>
      <c r="C1382" t="s">
        <v>1744</v>
      </c>
      <c r="D1382" s="96">
        <v>89.49</v>
      </c>
      <c r="E1382" s="13">
        <v>114516.29</v>
      </c>
      <c r="F1382" s="486">
        <v>1.2797000000000001</v>
      </c>
      <c r="G1382"/>
      <c r="H1382" s="13">
        <v>114516.29</v>
      </c>
      <c r="I1382" s="13">
        <v>1.2797000000000001</v>
      </c>
      <c r="J1382">
        <v>13</v>
      </c>
      <c r="K1382" s="131">
        <v>45688</v>
      </c>
      <c r="M1382">
        <v>570</v>
      </c>
      <c r="N1382" t="s">
        <v>7218</v>
      </c>
    </row>
    <row r="1383" spans="1:14">
      <c r="A1383" t="s">
        <v>1746</v>
      </c>
      <c r="B1383" t="s">
        <v>1747</v>
      </c>
      <c r="C1383" t="s">
        <v>1744</v>
      </c>
      <c r="D1383" s="96">
        <v>89.49</v>
      </c>
      <c r="E1383" s="13">
        <v>117924.09</v>
      </c>
      <c r="F1383" s="486">
        <v>1.3177000000000001</v>
      </c>
      <c r="G1383"/>
      <c r="H1383" s="13">
        <v>117924.09</v>
      </c>
      <c r="I1383" s="13">
        <v>1.3177000000000001</v>
      </c>
      <c r="J1383">
        <v>13</v>
      </c>
      <c r="K1383" s="131">
        <v>45688</v>
      </c>
      <c r="M1383">
        <v>570</v>
      </c>
      <c r="N1383" t="s">
        <v>7219</v>
      </c>
    </row>
    <row r="1384" spans="1:14">
      <c r="A1384" t="s">
        <v>1746</v>
      </c>
      <c r="B1384" t="s">
        <v>1747</v>
      </c>
      <c r="C1384" t="s">
        <v>1744</v>
      </c>
      <c r="D1384" s="96">
        <v>89.49</v>
      </c>
      <c r="E1384" s="13">
        <v>117924.09</v>
      </c>
      <c r="F1384" s="486">
        <v>1.3177000000000001</v>
      </c>
      <c r="G1384"/>
      <c r="H1384" s="13">
        <v>117924.09</v>
      </c>
      <c r="I1384" s="13">
        <v>1.3177000000000001</v>
      </c>
      <c r="J1384">
        <v>13</v>
      </c>
      <c r="K1384" s="131">
        <v>45688</v>
      </c>
      <c r="M1384">
        <v>570</v>
      </c>
      <c r="N1384" t="s">
        <v>7219</v>
      </c>
    </row>
    <row r="1385" spans="1:14">
      <c r="A1385" t="s">
        <v>1746</v>
      </c>
      <c r="B1385" t="s">
        <v>1747</v>
      </c>
      <c r="C1385" t="s">
        <v>1744</v>
      </c>
      <c r="D1385" s="96">
        <v>89.49</v>
      </c>
      <c r="E1385" s="13">
        <v>118369.84</v>
      </c>
      <c r="F1385" s="486">
        <v>1.3227</v>
      </c>
      <c r="G1385"/>
      <c r="H1385" s="13">
        <v>118369.84</v>
      </c>
      <c r="I1385" s="13">
        <v>1.3227</v>
      </c>
      <c r="J1385">
        <v>13</v>
      </c>
      <c r="K1385" s="131">
        <v>45688</v>
      </c>
      <c r="M1385">
        <v>570</v>
      </c>
      <c r="N1385" t="s">
        <v>7220</v>
      </c>
    </row>
    <row r="1386" spans="1:14">
      <c r="A1386" t="s">
        <v>1746</v>
      </c>
      <c r="B1386" t="s">
        <v>1747</v>
      </c>
      <c r="C1386" t="s">
        <v>1744</v>
      </c>
      <c r="D1386" s="96">
        <v>89.49</v>
      </c>
      <c r="E1386" s="13">
        <v>118369.84</v>
      </c>
      <c r="F1386" s="486">
        <v>1.3227</v>
      </c>
      <c r="G1386"/>
      <c r="H1386" s="13">
        <v>118369.84</v>
      </c>
      <c r="I1386" s="13">
        <v>1.3227</v>
      </c>
      <c r="J1386">
        <v>13</v>
      </c>
      <c r="K1386" s="131">
        <v>45688</v>
      </c>
      <c r="M1386">
        <v>570</v>
      </c>
      <c r="N1386" t="s">
        <v>7220</v>
      </c>
    </row>
    <row r="1387" spans="1:14">
      <c r="A1387" t="s">
        <v>1746</v>
      </c>
      <c r="B1387" t="s">
        <v>7192</v>
      </c>
      <c r="C1387" t="s">
        <v>1744</v>
      </c>
      <c r="D1387" s="96">
        <v>89.49</v>
      </c>
      <c r="E1387" s="13">
        <v>168098.05</v>
      </c>
      <c r="F1387" s="486">
        <v>1.8784000000000001</v>
      </c>
      <c r="G1387"/>
      <c r="H1387" s="13">
        <v>168098.05</v>
      </c>
      <c r="I1387" s="13">
        <v>1.8784000000000001</v>
      </c>
      <c r="J1387">
        <v>13</v>
      </c>
      <c r="K1387" s="131">
        <v>45688</v>
      </c>
      <c r="M1387">
        <v>570</v>
      </c>
      <c r="N1387" t="s">
        <v>7221</v>
      </c>
    </row>
    <row r="1388" spans="1:14">
      <c r="A1388" t="s">
        <v>1746</v>
      </c>
      <c r="B1388" t="s">
        <v>7192</v>
      </c>
      <c r="C1388" t="s">
        <v>1744</v>
      </c>
      <c r="D1388" s="96">
        <v>89.49</v>
      </c>
      <c r="E1388" s="13">
        <v>168543.81</v>
      </c>
      <c r="F1388" s="486">
        <v>1.8834</v>
      </c>
      <c r="G1388"/>
      <c r="H1388" s="13">
        <v>168543.81</v>
      </c>
      <c r="I1388" s="13">
        <v>1.8834</v>
      </c>
      <c r="J1388">
        <v>13</v>
      </c>
      <c r="K1388" s="131">
        <v>45688</v>
      </c>
      <c r="M1388">
        <v>570</v>
      </c>
      <c r="N1388" t="s">
        <v>7222</v>
      </c>
    </row>
    <row r="1389" spans="1:14">
      <c r="A1389" t="s">
        <v>1746</v>
      </c>
      <c r="B1389" t="s">
        <v>1747</v>
      </c>
      <c r="C1389" t="s">
        <v>1744</v>
      </c>
      <c r="D1389" s="96">
        <v>90.06</v>
      </c>
      <c r="E1389" s="13">
        <v>118448.77</v>
      </c>
      <c r="F1389" s="486">
        <v>1.3151999999999999</v>
      </c>
      <c r="G1389"/>
      <c r="H1389" s="13">
        <v>118448.77</v>
      </c>
      <c r="I1389" s="13">
        <v>1.3151999999999999</v>
      </c>
      <c r="J1389">
        <v>13</v>
      </c>
      <c r="K1389" s="131">
        <v>45688</v>
      </c>
      <c r="M1389">
        <v>570</v>
      </c>
      <c r="N1389" t="s">
        <v>7223</v>
      </c>
    </row>
    <row r="1390" spans="1:14">
      <c r="A1390" t="s">
        <v>1746</v>
      </c>
      <c r="B1390" t="s">
        <v>1747</v>
      </c>
      <c r="C1390" t="s">
        <v>1744</v>
      </c>
      <c r="D1390" s="96">
        <v>90.06</v>
      </c>
      <c r="E1390" s="13">
        <v>118897.37</v>
      </c>
      <c r="F1390" s="486">
        <v>1.3202</v>
      </c>
      <c r="G1390"/>
      <c r="H1390" s="13">
        <v>118897.37</v>
      </c>
      <c r="I1390" s="13">
        <v>1.3202</v>
      </c>
      <c r="J1390">
        <v>13</v>
      </c>
      <c r="K1390" s="131">
        <v>45688</v>
      </c>
      <c r="M1390">
        <v>570</v>
      </c>
      <c r="N1390" t="s">
        <v>7224</v>
      </c>
    </row>
    <row r="1391" spans="1:14">
      <c r="A1391" t="s">
        <v>1746</v>
      </c>
      <c r="B1391" t="s">
        <v>1748</v>
      </c>
      <c r="C1391" t="s">
        <v>1744</v>
      </c>
      <c r="D1391" s="96">
        <v>90.06</v>
      </c>
      <c r="E1391" s="13">
        <v>122553.88</v>
      </c>
      <c r="F1391" s="486">
        <v>1.3608</v>
      </c>
      <c r="G1391"/>
      <c r="H1391" s="13">
        <v>122553.88</v>
      </c>
      <c r="I1391" s="13">
        <v>1.3608</v>
      </c>
      <c r="J1391">
        <v>13</v>
      </c>
      <c r="K1391" s="131">
        <v>45688</v>
      </c>
      <c r="M1391">
        <v>570</v>
      </c>
      <c r="N1391" t="s">
        <v>7225</v>
      </c>
    </row>
    <row r="1392" spans="1:14">
      <c r="A1392" t="s">
        <v>1746</v>
      </c>
      <c r="B1392" t="s">
        <v>1748</v>
      </c>
      <c r="C1392" t="s">
        <v>1744</v>
      </c>
      <c r="D1392" s="96">
        <v>90.06</v>
      </c>
      <c r="E1392" s="13">
        <v>122553.88</v>
      </c>
      <c r="F1392" s="486">
        <v>1.3608</v>
      </c>
      <c r="G1392"/>
      <c r="H1392" s="13">
        <v>122553.88</v>
      </c>
      <c r="I1392" s="13">
        <v>1.3608</v>
      </c>
      <c r="J1392">
        <v>13</v>
      </c>
      <c r="K1392" s="131">
        <v>45688</v>
      </c>
      <c r="M1392">
        <v>570</v>
      </c>
      <c r="N1392" t="s">
        <v>7225</v>
      </c>
    </row>
    <row r="1393" spans="1:14">
      <c r="A1393" t="s">
        <v>1746</v>
      </c>
      <c r="B1393" t="s">
        <v>1748</v>
      </c>
      <c r="C1393" t="s">
        <v>1744</v>
      </c>
      <c r="D1393" s="96">
        <v>90.06</v>
      </c>
      <c r="E1393" s="13">
        <v>123002.47</v>
      </c>
      <c r="F1393" s="486">
        <v>1.3657999999999999</v>
      </c>
      <c r="G1393"/>
      <c r="H1393" s="13">
        <v>123002.47</v>
      </c>
      <c r="I1393" s="13">
        <v>1.3657999999999999</v>
      </c>
      <c r="J1393">
        <v>13</v>
      </c>
      <c r="K1393" s="131">
        <v>45688</v>
      </c>
      <c r="M1393">
        <v>570</v>
      </c>
      <c r="N1393" t="s">
        <v>7226</v>
      </c>
    </row>
    <row r="1394" spans="1:14">
      <c r="A1394" t="s">
        <v>1746</v>
      </c>
      <c r="B1394" t="s">
        <v>1748</v>
      </c>
      <c r="C1394" t="s">
        <v>1744</v>
      </c>
      <c r="D1394" s="96">
        <v>90.06</v>
      </c>
      <c r="E1394" s="13">
        <v>123002.47</v>
      </c>
      <c r="F1394" s="486">
        <v>1.3657999999999999</v>
      </c>
      <c r="G1394"/>
      <c r="H1394" s="13">
        <v>123002.47</v>
      </c>
      <c r="I1394" s="13">
        <v>1.3657999999999999</v>
      </c>
      <c r="J1394">
        <v>13</v>
      </c>
      <c r="K1394" s="131">
        <v>45688</v>
      </c>
      <c r="M1394">
        <v>570</v>
      </c>
      <c r="N1394" t="s">
        <v>7226</v>
      </c>
    </row>
    <row r="1395" spans="1:14">
      <c r="A1395" t="s">
        <v>1746</v>
      </c>
      <c r="B1395" t="s">
        <v>7192</v>
      </c>
      <c r="C1395" t="s">
        <v>1744</v>
      </c>
      <c r="D1395" s="96">
        <v>90.06</v>
      </c>
      <c r="E1395" s="13">
        <v>168622.74</v>
      </c>
      <c r="F1395" s="486">
        <v>1.8723000000000001</v>
      </c>
      <c r="G1395"/>
      <c r="H1395" s="13">
        <v>168622.74</v>
      </c>
      <c r="I1395" s="13">
        <v>1.8723000000000001</v>
      </c>
      <c r="J1395">
        <v>13</v>
      </c>
      <c r="K1395" s="131">
        <v>45688</v>
      </c>
      <c r="M1395">
        <v>570</v>
      </c>
      <c r="N1395" t="s">
        <v>7227</v>
      </c>
    </row>
    <row r="1396" spans="1:14">
      <c r="A1396" t="s">
        <v>1746</v>
      </c>
      <c r="B1396" t="s">
        <v>7192</v>
      </c>
      <c r="C1396" t="s">
        <v>1744</v>
      </c>
      <c r="D1396" s="96">
        <v>90.06</v>
      </c>
      <c r="E1396" s="13">
        <v>169071.33</v>
      </c>
      <c r="F1396" s="486">
        <v>1.8773</v>
      </c>
      <c r="G1396"/>
      <c r="H1396" s="13">
        <v>169071.33</v>
      </c>
      <c r="I1396" s="13">
        <v>1.8773</v>
      </c>
      <c r="J1396">
        <v>13</v>
      </c>
      <c r="K1396" s="131">
        <v>45688</v>
      </c>
      <c r="M1396">
        <v>570</v>
      </c>
      <c r="N1396" t="s">
        <v>7228</v>
      </c>
    </row>
    <row r="1397" spans="1:14">
      <c r="A1397" t="s">
        <v>1746</v>
      </c>
      <c r="B1397" t="s">
        <v>6965</v>
      </c>
      <c r="C1397" t="s">
        <v>1744</v>
      </c>
      <c r="D1397" s="96">
        <v>90.17</v>
      </c>
      <c r="E1397" s="13">
        <v>161331.01</v>
      </c>
      <c r="F1397" s="486">
        <v>1.7891999999999999</v>
      </c>
      <c r="G1397"/>
      <c r="H1397" s="13">
        <v>161331.01</v>
      </c>
      <c r="I1397" s="13">
        <v>1.7891999999999999</v>
      </c>
      <c r="J1397">
        <v>13</v>
      </c>
      <c r="K1397" s="131">
        <v>45688</v>
      </c>
      <c r="M1397">
        <v>710</v>
      </c>
      <c r="N1397" t="s">
        <v>7229</v>
      </c>
    </row>
    <row r="1398" spans="1:14">
      <c r="A1398" t="s">
        <v>1746</v>
      </c>
      <c r="B1398" t="s">
        <v>1748</v>
      </c>
      <c r="C1398" t="s">
        <v>1744</v>
      </c>
      <c r="D1398" s="96">
        <v>90.63</v>
      </c>
      <c r="E1398" s="13">
        <v>115119.91</v>
      </c>
      <c r="F1398" s="486">
        <v>1.2702</v>
      </c>
      <c r="G1398"/>
      <c r="H1398" s="13">
        <v>115119.91</v>
      </c>
      <c r="I1398" s="13">
        <v>1.2702</v>
      </c>
      <c r="J1398">
        <v>13</v>
      </c>
      <c r="K1398" s="131">
        <v>45688</v>
      </c>
      <c r="M1398">
        <v>570</v>
      </c>
      <c r="N1398" t="s">
        <v>7230</v>
      </c>
    </row>
    <row r="1399" spans="1:14">
      <c r="A1399" t="s">
        <v>1746</v>
      </c>
      <c r="B1399" t="s">
        <v>1748</v>
      </c>
      <c r="C1399" t="s">
        <v>1744</v>
      </c>
      <c r="D1399" s="96">
        <v>90.63</v>
      </c>
      <c r="E1399" s="13">
        <v>115119.91</v>
      </c>
      <c r="F1399" s="486">
        <v>1.2702</v>
      </c>
      <c r="G1399"/>
      <c r="H1399" s="13">
        <v>115119.91</v>
      </c>
      <c r="I1399" s="13">
        <v>1.2702</v>
      </c>
      <c r="J1399">
        <v>13</v>
      </c>
      <c r="K1399" s="131">
        <v>45688</v>
      </c>
      <c r="M1399">
        <v>570</v>
      </c>
      <c r="N1399" t="s">
        <v>7230</v>
      </c>
    </row>
    <row r="1400" spans="1:14">
      <c r="A1400" t="s">
        <v>1746</v>
      </c>
      <c r="B1400" t="s">
        <v>1748</v>
      </c>
      <c r="C1400" t="s">
        <v>1744</v>
      </c>
      <c r="D1400" s="96">
        <v>90.63</v>
      </c>
      <c r="E1400" s="13">
        <v>115571.34</v>
      </c>
      <c r="F1400" s="486">
        <v>1.2751999999999999</v>
      </c>
      <c r="G1400"/>
      <c r="H1400" s="13">
        <v>115571.34</v>
      </c>
      <c r="I1400" s="13">
        <v>1.2751999999999999</v>
      </c>
      <c r="J1400">
        <v>13</v>
      </c>
      <c r="K1400" s="131">
        <v>45688</v>
      </c>
      <c r="M1400">
        <v>570</v>
      </c>
      <c r="N1400" t="s">
        <v>7231</v>
      </c>
    </row>
    <row r="1401" spans="1:14">
      <c r="A1401" t="s">
        <v>1746</v>
      </c>
      <c r="B1401" t="s">
        <v>1748</v>
      </c>
      <c r="C1401" t="s">
        <v>1744</v>
      </c>
      <c r="D1401" s="96">
        <v>90.63</v>
      </c>
      <c r="E1401" s="13">
        <v>115571.34</v>
      </c>
      <c r="F1401" s="486">
        <v>1.2751999999999999</v>
      </c>
      <c r="G1401"/>
      <c r="H1401" s="13">
        <v>115571.34</v>
      </c>
      <c r="I1401" s="13">
        <v>1.2751999999999999</v>
      </c>
      <c r="J1401">
        <v>13</v>
      </c>
      <c r="K1401" s="131">
        <v>45688</v>
      </c>
      <c r="M1401">
        <v>570</v>
      </c>
      <c r="N1401" t="s">
        <v>7231</v>
      </c>
    </row>
    <row r="1402" spans="1:14">
      <c r="A1402" t="s">
        <v>1746</v>
      </c>
      <c r="B1402" t="s">
        <v>1748</v>
      </c>
      <c r="C1402" t="s">
        <v>1744</v>
      </c>
      <c r="D1402" s="96">
        <v>90.63</v>
      </c>
      <c r="E1402" s="13">
        <v>123078.56</v>
      </c>
      <c r="F1402" s="486">
        <v>1.3580000000000001</v>
      </c>
      <c r="G1402"/>
      <c r="H1402" s="13">
        <v>123078.56</v>
      </c>
      <c r="I1402" s="13">
        <v>1.3580000000000001</v>
      </c>
      <c r="J1402">
        <v>13</v>
      </c>
      <c r="K1402" s="131">
        <v>45688</v>
      </c>
      <c r="M1402">
        <v>570</v>
      </c>
      <c r="N1402" t="s">
        <v>7232</v>
      </c>
    </row>
    <row r="1403" spans="1:14">
      <c r="A1403" t="s">
        <v>1746</v>
      </c>
      <c r="B1403" t="s">
        <v>1748</v>
      </c>
      <c r="C1403" t="s">
        <v>1744</v>
      </c>
      <c r="D1403" s="96">
        <v>90.63</v>
      </c>
      <c r="E1403" s="13">
        <v>123530</v>
      </c>
      <c r="F1403" s="486">
        <v>1.363</v>
      </c>
      <c r="G1403"/>
      <c r="H1403" s="13">
        <v>123530</v>
      </c>
      <c r="I1403" s="13">
        <v>1.363</v>
      </c>
      <c r="J1403">
        <v>13</v>
      </c>
      <c r="K1403" s="131">
        <v>45688</v>
      </c>
      <c r="M1403">
        <v>570</v>
      </c>
      <c r="N1403" t="s">
        <v>7233</v>
      </c>
    </row>
    <row r="1404" spans="1:14">
      <c r="A1404" t="s">
        <v>1746</v>
      </c>
      <c r="B1404" t="s">
        <v>7192</v>
      </c>
      <c r="C1404" t="s">
        <v>1744</v>
      </c>
      <c r="D1404" s="96">
        <v>90.63</v>
      </c>
      <c r="E1404" s="13">
        <v>169147.42</v>
      </c>
      <c r="F1404" s="486">
        <v>1.8664000000000001</v>
      </c>
      <c r="G1404"/>
      <c r="H1404" s="13">
        <v>169147.42</v>
      </c>
      <c r="I1404" s="13">
        <v>1.8664000000000001</v>
      </c>
      <c r="J1404">
        <v>13</v>
      </c>
      <c r="K1404" s="131">
        <v>45688</v>
      </c>
      <c r="M1404">
        <v>570</v>
      </c>
      <c r="N1404" t="s">
        <v>7234</v>
      </c>
    </row>
    <row r="1405" spans="1:14">
      <c r="A1405" t="s">
        <v>1746</v>
      </c>
      <c r="B1405" t="s">
        <v>7192</v>
      </c>
      <c r="C1405" t="s">
        <v>1744</v>
      </c>
      <c r="D1405" s="96">
        <v>90.63</v>
      </c>
      <c r="E1405" s="13">
        <v>169598.85</v>
      </c>
      <c r="F1405" s="486">
        <v>1.8713</v>
      </c>
      <c r="G1405"/>
      <c r="H1405" s="13">
        <v>169598.85</v>
      </c>
      <c r="I1405" s="13">
        <v>1.8713</v>
      </c>
      <c r="J1405">
        <v>13</v>
      </c>
      <c r="K1405" s="131">
        <v>45688</v>
      </c>
      <c r="M1405">
        <v>570</v>
      </c>
      <c r="N1405" t="s">
        <v>7235</v>
      </c>
    </row>
    <row r="1406" spans="1:14">
      <c r="A1406" t="s">
        <v>1746</v>
      </c>
      <c r="B1406" t="s">
        <v>6965</v>
      </c>
      <c r="C1406" t="s">
        <v>1744</v>
      </c>
      <c r="D1406" s="96">
        <v>90.88</v>
      </c>
      <c r="E1406" s="13">
        <v>162059.17000000001</v>
      </c>
      <c r="F1406" s="486">
        <v>1.7831999999999999</v>
      </c>
      <c r="G1406"/>
      <c r="H1406" s="13">
        <v>162059.17000000001</v>
      </c>
      <c r="I1406" s="13">
        <v>1.7831999999999999</v>
      </c>
      <c r="J1406">
        <v>13</v>
      </c>
      <c r="K1406" s="131">
        <v>45688</v>
      </c>
      <c r="M1406">
        <v>710</v>
      </c>
      <c r="N1406" t="s">
        <v>7236</v>
      </c>
    </row>
    <row r="1407" spans="1:14">
      <c r="A1407" t="s">
        <v>1746</v>
      </c>
      <c r="B1407" t="s">
        <v>1748</v>
      </c>
      <c r="C1407" t="s">
        <v>1744</v>
      </c>
      <c r="D1407" s="96">
        <v>91.2</v>
      </c>
      <c r="E1407" s="13">
        <v>115644.59</v>
      </c>
      <c r="F1407" s="486">
        <v>1.268</v>
      </c>
      <c r="G1407"/>
      <c r="H1407" s="13">
        <v>115644.59</v>
      </c>
      <c r="I1407" s="13">
        <v>1.268</v>
      </c>
      <c r="J1407">
        <v>13</v>
      </c>
      <c r="K1407" s="131">
        <v>45688</v>
      </c>
      <c r="M1407">
        <v>570</v>
      </c>
      <c r="N1407" t="s">
        <v>7237</v>
      </c>
    </row>
    <row r="1408" spans="1:14">
      <c r="A1408" t="s">
        <v>1746</v>
      </c>
      <c r="B1408" t="s">
        <v>1748</v>
      </c>
      <c r="C1408" t="s">
        <v>1744</v>
      </c>
      <c r="D1408" s="96">
        <v>91.2</v>
      </c>
      <c r="E1408" s="13">
        <v>116098.86</v>
      </c>
      <c r="F1408" s="486">
        <v>1.2729999999999999</v>
      </c>
      <c r="G1408"/>
      <c r="H1408" s="13">
        <v>116098.86</v>
      </c>
      <c r="I1408" s="13">
        <v>1.2729999999999999</v>
      </c>
      <c r="J1408">
        <v>13</v>
      </c>
      <c r="K1408" s="131">
        <v>45688</v>
      </c>
      <c r="M1408">
        <v>570</v>
      </c>
      <c r="N1408" t="s">
        <v>7238</v>
      </c>
    </row>
    <row r="1409" spans="1:14">
      <c r="A1409" t="s">
        <v>1746</v>
      </c>
      <c r="B1409" t="s">
        <v>1747</v>
      </c>
      <c r="C1409" t="s">
        <v>1744</v>
      </c>
      <c r="D1409" s="96">
        <v>91.2</v>
      </c>
      <c r="E1409" s="13">
        <v>119498.14</v>
      </c>
      <c r="F1409" s="486">
        <v>1.3103</v>
      </c>
      <c r="G1409"/>
      <c r="H1409" s="13">
        <v>119498.14</v>
      </c>
      <c r="I1409" s="13">
        <v>1.3103</v>
      </c>
      <c r="J1409">
        <v>13</v>
      </c>
      <c r="K1409" s="131">
        <v>45688</v>
      </c>
      <c r="M1409">
        <v>570</v>
      </c>
      <c r="N1409" t="s">
        <v>7239</v>
      </c>
    </row>
    <row r="1410" spans="1:14">
      <c r="A1410" t="s">
        <v>1746</v>
      </c>
      <c r="B1410" t="s">
        <v>1747</v>
      </c>
      <c r="C1410" t="s">
        <v>1744</v>
      </c>
      <c r="D1410" s="96">
        <v>91.2</v>
      </c>
      <c r="E1410" s="13">
        <v>119498.14</v>
      </c>
      <c r="F1410" s="486">
        <v>1.3103</v>
      </c>
      <c r="G1410"/>
      <c r="H1410" s="13">
        <v>119498.14</v>
      </c>
      <c r="I1410" s="13">
        <v>1.3103</v>
      </c>
      <c r="J1410">
        <v>13</v>
      </c>
      <c r="K1410" s="131">
        <v>45688</v>
      </c>
      <c r="M1410">
        <v>570</v>
      </c>
      <c r="N1410" t="s">
        <v>7239</v>
      </c>
    </row>
    <row r="1411" spans="1:14">
      <c r="A1411" t="s">
        <v>1746</v>
      </c>
      <c r="B1411" t="s">
        <v>1747</v>
      </c>
      <c r="C1411" t="s">
        <v>1744</v>
      </c>
      <c r="D1411" s="96">
        <v>91.2</v>
      </c>
      <c r="E1411" s="13">
        <v>119952.41</v>
      </c>
      <c r="F1411" s="486">
        <v>1.3152999999999999</v>
      </c>
      <c r="G1411"/>
      <c r="H1411" s="13">
        <v>119952.41</v>
      </c>
      <c r="I1411" s="13">
        <v>1.3152999999999999</v>
      </c>
      <c r="J1411">
        <v>13</v>
      </c>
      <c r="K1411" s="131">
        <v>45688</v>
      </c>
      <c r="M1411">
        <v>570</v>
      </c>
      <c r="N1411" t="s">
        <v>7240</v>
      </c>
    </row>
    <row r="1412" spans="1:14">
      <c r="A1412" t="s">
        <v>1746</v>
      </c>
      <c r="B1412" t="s">
        <v>1747</v>
      </c>
      <c r="C1412" t="s">
        <v>1744</v>
      </c>
      <c r="D1412" s="96">
        <v>91.2</v>
      </c>
      <c r="E1412" s="13">
        <v>119952.41</v>
      </c>
      <c r="F1412" s="486">
        <v>1.3152999999999999</v>
      </c>
      <c r="G1412"/>
      <c r="H1412" s="13">
        <v>119952.41</v>
      </c>
      <c r="I1412" s="13">
        <v>1.3152999999999999</v>
      </c>
      <c r="J1412">
        <v>13</v>
      </c>
      <c r="K1412" s="131">
        <v>45688</v>
      </c>
      <c r="M1412">
        <v>570</v>
      </c>
      <c r="N1412" t="s">
        <v>7240</v>
      </c>
    </row>
    <row r="1413" spans="1:14">
      <c r="A1413" t="s">
        <v>1746</v>
      </c>
      <c r="B1413" t="s">
        <v>7192</v>
      </c>
      <c r="C1413" t="s">
        <v>1744</v>
      </c>
      <c r="D1413" s="96">
        <v>91.2</v>
      </c>
      <c r="E1413" s="13">
        <v>169672.11</v>
      </c>
      <c r="F1413" s="486">
        <v>1.8604000000000001</v>
      </c>
      <c r="G1413"/>
      <c r="H1413" s="13">
        <v>169672.11</v>
      </c>
      <c r="I1413" s="13">
        <v>1.8604000000000001</v>
      </c>
      <c r="J1413">
        <v>13</v>
      </c>
      <c r="K1413" s="131">
        <v>45688</v>
      </c>
      <c r="M1413">
        <v>570</v>
      </c>
      <c r="N1413" t="s">
        <v>7241</v>
      </c>
    </row>
    <row r="1414" spans="1:14">
      <c r="A1414" t="s">
        <v>1746</v>
      </c>
      <c r="B1414" t="s">
        <v>7192</v>
      </c>
      <c r="C1414" t="s">
        <v>1744</v>
      </c>
      <c r="D1414" s="96">
        <v>91.2</v>
      </c>
      <c r="E1414" s="13">
        <v>170126.38</v>
      </c>
      <c r="F1414" s="486">
        <v>1.8653999999999999</v>
      </c>
      <c r="G1414"/>
      <c r="H1414" s="13">
        <v>170126.38</v>
      </c>
      <c r="I1414" s="13">
        <v>1.8653999999999999</v>
      </c>
      <c r="J1414">
        <v>13</v>
      </c>
      <c r="K1414" s="131">
        <v>45688</v>
      </c>
      <c r="M1414">
        <v>570</v>
      </c>
      <c r="N1414" t="s">
        <v>7242</v>
      </c>
    </row>
    <row r="1415" spans="1:14">
      <c r="A1415" t="s">
        <v>1746</v>
      </c>
      <c r="B1415" t="s">
        <v>6999</v>
      </c>
      <c r="C1415" t="s">
        <v>1744</v>
      </c>
      <c r="D1415" s="96">
        <v>91.59</v>
      </c>
      <c r="E1415" s="13">
        <v>164908.5</v>
      </c>
      <c r="F1415" s="486">
        <v>1.8005</v>
      </c>
      <c r="G1415"/>
      <c r="H1415" s="13">
        <v>164908.5</v>
      </c>
      <c r="I1415" s="13">
        <v>1.8005</v>
      </c>
      <c r="J1415">
        <v>13</v>
      </c>
      <c r="K1415" s="131">
        <v>45688</v>
      </c>
      <c r="M1415">
        <v>710</v>
      </c>
      <c r="N1415" t="s">
        <v>7243</v>
      </c>
    </row>
    <row r="1416" spans="1:14">
      <c r="A1416" t="s">
        <v>1746</v>
      </c>
      <c r="B1416" t="s">
        <v>1747</v>
      </c>
      <c r="C1416" t="s">
        <v>1744</v>
      </c>
      <c r="D1416" s="96">
        <v>91.77</v>
      </c>
      <c r="E1416" s="13">
        <v>120337.41</v>
      </c>
      <c r="F1416" s="486">
        <v>1.3112999999999999</v>
      </c>
      <c r="G1416"/>
      <c r="H1416" s="13">
        <v>120337.41</v>
      </c>
      <c r="I1416" s="13">
        <v>1.3112999999999999</v>
      </c>
      <c r="J1416">
        <v>13</v>
      </c>
      <c r="K1416" s="131">
        <v>45688</v>
      </c>
      <c r="M1416">
        <v>570</v>
      </c>
      <c r="N1416" t="s">
        <v>7244</v>
      </c>
    </row>
    <row r="1417" spans="1:14">
      <c r="A1417" t="s">
        <v>1746</v>
      </c>
      <c r="B1417" t="s">
        <v>1747</v>
      </c>
      <c r="C1417" t="s">
        <v>1744</v>
      </c>
      <c r="D1417" s="96">
        <v>91.77</v>
      </c>
      <c r="E1417" s="13">
        <v>120794.52</v>
      </c>
      <c r="F1417" s="486">
        <v>1.3163</v>
      </c>
      <c r="G1417"/>
      <c r="H1417" s="13">
        <v>120794.52</v>
      </c>
      <c r="I1417" s="13">
        <v>1.3163</v>
      </c>
      <c r="J1417">
        <v>13</v>
      </c>
      <c r="K1417" s="131">
        <v>45688</v>
      </c>
      <c r="M1417">
        <v>570</v>
      </c>
      <c r="N1417" t="s">
        <v>7245</v>
      </c>
    </row>
    <row r="1418" spans="1:14">
      <c r="A1418" t="s">
        <v>1746</v>
      </c>
      <c r="B1418" t="s">
        <v>1748</v>
      </c>
      <c r="C1418" t="s">
        <v>1744</v>
      </c>
      <c r="D1418" s="96">
        <v>91.77</v>
      </c>
      <c r="E1418" s="13">
        <v>124442.51</v>
      </c>
      <c r="F1418" s="486">
        <v>1.3560000000000001</v>
      </c>
      <c r="G1418"/>
      <c r="H1418" s="13">
        <v>124442.51</v>
      </c>
      <c r="I1418" s="13">
        <v>1.3560000000000001</v>
      </c>
      <c r="J1418">
        <v>13</v>
      </c>
      <c r="K1418" s="131">
        <v>45688</v>
      </c>
      <c r="M1418">
        <v>570</v>
      </c>
      <c r="N1418" t="s">
        <v>7246</v>
      </c>
    </row>
    <row r="1419" spans="1:14">
      <c r="A1419" t="s">
        <v>1746</v>
      </c>
      <c r="B1419" t="s">
        <v>1748</v>
      </c>
      <c r="C1419" t="s">
        <v>1744</v>
      </c>
      <c r="D1419" s="96">
        <v>91.77</v>
      </c>
      <c r="E1419" s="13">
        <v>124442.51</v>
      </c>
      <c r="F1419" s="486">
        <v>1.3560000000000001</v>
      </c>
      <c r="G1419"/>
      <c r="H1419" s="13">
        <v>124442.51</v>
      </c>
      <c r="I1419" s="13">
        <v>1.3560000000000001</v>
      </c>
      <c r="J1419">
        <v>13</v>
      </c>
      <c r="K1419" s="131">
        <v>45688</v>
      </c>
      <c r="M1419">
        <v>570</v>
      </c>
      <c r="N1419" t="s">
        <v>7246</v>
      </c>
    </row>
    <row r="1420" spans="1:14">
      <c r="A1420" t="s">
        <v>1746</v>
      </c>
      <c r="B1420" t="s">
        <v>1748</v>
      </c>
      <c r="C1420" t="s">
        <v>1744</v>
      </c>
      <c r="D1420" s="96">
        <v>91.77</v>
      </c>
      <c r="E1420" s="13">
        <v>124899.63</v>
      </c>
      <c r="F1420" s="486">
        <v>1.361</v>
      </c>
      <c r="G1420"/>
      <c r="H1420" s="13">
        <v>124899.63</v>
      </c>
      <c r="I1420" s="13">
        <v>1.361</v>
      </c>
      <c r="J1420">
        <v>13</v>
      </c>
      <c r="K1420" s="131">
        <v>45688</v>
      </c>
      <c r="M1420">
        <v>570</v>
      </c>
      <c r="N1420" t="s">
        <v>7247</v>
      </c>
    </row>
    <row r="1421" spans="1:14">
      <c r="A1421" t="s">
        <v>1746</v>
      </c>
      <c r="B1421" t="s">
        <v>1748</v>
      </c>
      <c r="C1421" t="s">
        <v>1744</v>
      </c>
      <c r="D1421" s="96">
        <v>91.77</v>
      </c>
      <c r="E1421" s="13">
        <v>124899.63</v>
      </c>
      <c r="F1421" s="486">
        <v>1.361</v>
      </c>
      <c r="G1421"/>
      <c r="H1421" s="13">
        <v>124899.63</v>
      </c>
      <c r="I1421" s="13">
        <v>1.361</v>
      </c>
      <c r="J1421">
        <v>13</v>
      </c>
      <c r="K1421" s="131">
        <v>45688</v>
      </c>
      <c r="M1421">
        <v>570</v>
      </c>
      <c r="N1421" t="s">
        <v>7247</v>
      </c>
    </row>
    <row r="1422" spans="1:14">
      <c r="A1422" t="s">
        <v>1746</v>
      </c>
      <c r="B1422" t="s">
        <v>7248</v>
      </c>
      <c r="C1422" t="s">
        <v>1744</v>
      </c>
      <c r="D1422" s="96">
        <v>91.77</v>
      </c>
      <c r="E1422" s="13">
        <v>172317.96</v>
      </c>
      <c r="F1422" s="486">
        <v>1.8776999999999999</v>
      </c>
      <c r="G1422"/>
      <c r="H1422" s="13">
        <v>172317.96</v>
      </c>
      <c r="I1422" s="13">
        <v>1.8776999999999999</v>
      </c>
      <c r="J1422">
        <v>13</v>
      </c>
      <c r="K1422" s="131">
        <v>45688</v>
      </c>
      <c r="M1422">
        <v>570</v>
      </c>
      <c r="N1422" t="s">
        <v>7249</v>
      </c>
    </row>
    <row r="1423" spans="1:14">
      <c r="A1423" t="s">
        <v>1746</v>
      </c>
      <c r="B1423" t="s">
        <v>7248</v>
      </c>
      <c r="C1423" t="s">
        <v>1744</v>
      </c>
      <c r="D1423" s="96">
        <v>91.77</v>
      </c>
      <c r="E1423" s="13">
        <v>172775.07</v>
      </c>
      <c r="F1423" s="486">
        <v>1.8827</v>
      </c>
      <c r="G1423"/>
      <c r="H1423" s="13">
        <v>172775.07</v>
      </c>
      <c r="I1423" s="13">
        <v>1.8827</v>
      </c>
      <c r="J1423">
        <v>13</v>
      </c>
      <c r="K1423" s="131">
        <v>45688</v>
      </c>
      <c r="M1423">
        <v>570</v>
      </c>
      <c r="N1423" t="s">
        <v>7250</v>
      </c>
    </row>
    <row r="1424" spans="1:14">
      <c r="A1424" t="s">
        <v>1746</v>
      </c>
      <c r="B1424" t="s">
        <v>6999</v>
      </c>
      <c r="C1424" t="s">
        <v>1744</v>
      </c>
      <c r="D1424" s="96">
        <v>92.3</v>
      </c>
      <c r="E1424" s="13">
        <v>165636.66</v>
      </c>
      <c r="F1424" s="486">
        <v>1.7945</v>
      </c>
      <c r="G1424"/>
      <c r="H1424" s="13">
        <v>165636.66</v>
      </c>
      <c r="I1424" s="13">
        <v>1.7945</v>
      </c>
      <c r="J1424">
        <v>13</v>
      </c>
      <c r="K1424" s="131">
        <v>45688</v>
      </c>
      <c r="M1424">
        <v>710</v>
      </c>
      <c r="N1424" t="s">
        <v>7251</v>
      </c>
    </row>
    <row r="1425" spans="1:14">
      <c r="A1425" t="s">
        <v>1746</v>
      </c>
      <c r="B1425" t="s">
        <v>1748</v>
      </c>
      <c r="C1425" t="s">
        <v>1744</v>
      </c>
      <c r="D1425" s="96">
        <v>92.34</v>
      </c>
      <c r="E1425" s="13">
        <v>117008.54</v>
      </c>
      <c r="F1425" s="486">
        <v>1.2670999999999999</v>
      </c>
      <c r="G1425"/>
      <c r="H1425" s="13">
        <v>117008.54</v>
      </c>
      <c r="I1425" s="13">
        <v>1.2670999999999999</v>
      </c>
      <c r="J1425">
        <v>13</v>
      </c>
      <c r="K1425" s="131">
        <v>45688</v>
      </c>
      <c r="M1425">
        <v>570</v>
      </c>
      <c r="N1425" t="s">
        <v>7252</v>
      </c>
    </row>
    <row r="1426" spans="1:14">
      <c r="A1426" t="s">
        <v>1746</v>
      </c>
      <c r="B1426" t="s">
        <v>1748</v>
      </c>
      <c r="C1426" t="s">
        <v>1744</v>
      </c>
      <c r="D1426" s="96">
        <v>92.34</v>
      </c>
      <c r="E1426" s="13">
        <v>117008.54</v>
      </c>
      <c r="F1426" s="486">
        <v>1.2670999999999999</v>
      </c>
      <c r="G1426"/>
      <c r="H1426" s="13">
        <v>117008.54</v>
      </c>
      <c r="I1426" s="13">
        <v>1.2670999999999999</v>
      </c>
      <c r="J1426">
        <v>13</v>
      </c>
      <c r="K1426" s="131">
        <v>45688</v>
      </c>
      <c r="M1426">
        <v>570</v>
      </c>
      <c r="N1426" t="s">
        <v>7252</v>
      </c>
    </row>
    <row r="1427" spans="1:14">
      <c r="A1427" t="s">
        <v>1746</v>
      </c>
      <c r="B1427" t="s">
        <v>1748</v>
      </c>
      <c r="C1427" t="s">
        <v>1744</v>
      </c>
      <c r="D1427" s="96">
        <v>92.34</v>
      </c>
      <c r="E1427" s="13">
        <v>117468.49</v>
      </c>
      <c r="F1427" s="486">
        <v>1.2721</v>
      </c>
      <c r="G1427"/>
      <c r="H1427" s="13">
        <v>117468.49</v>
      </c>
      <c r="I1427" s="13">
        <v>1.2721</v>
      </c>
      <c r="J1427">
        <v>13</v>
      </c>
      <c r="K1427" s="131">
        <v>45688</v>
      </c>
      <c r="M1427">
        <v>570</v>
      </c>
      <c r="N1427" t="s">
        <v>7253</v>
      </c>
    </row>
    <row r="1428" spans="1:14">
      <c r="A1428" t="s">
        <v>1746</v>
      </c>
      <c r="B1428" t="s">
        <v>1748</v>
      </c>
      <c r="C1428" t="s">
        <v>1744</v>
      </c>
      <c r="D1428" s="96">
        <v>92.34</v>
      </c>
      <c r="E1428" s="13">
        <v>117468.49</v>
      </c>
      <c r="F1428" s="486">
        <v>1.2721</v>
      </c>
      <c r="G1428"/>
      <c r="H1428" s="13">
        <v>117468.49</v>
      </c>
      <c r="I1428" s="13">
        <v>1.2721</v>
      </c>
      <c r="J1428">
        <v>13</v>
      </c>
      <c r="K1428" s="131">
        <v>45688</v>
      </c>
      <c r="M1428">
        <v>570</v>
      </c>
      <c r="N1428" t="s">
        <v>7253</v>
      </c>
    </row>
    <row r="1429" spans="1:14">
      <c r="A1429" t="s">
        <v>1746</v>
      </c>
      <c r="B1429" t="s">
        <v>1748</v>
      </c>
      <c r="C1429" t="s">
        <v>1744</v>
      </c>
      <c r="D1429" s="96">
        <v>92.34</v>
      </c>
      <c r="E1429" s="13">
        <v>124967.2</v>
      </c>
      <c r="F1429" s="486">
        <v>1.3532999999999999</v>
      </c>
      <c r="G1429"/>
      <c r="H1429" s="13">
        <v>124967.2</v>
      </c>
      <c r="I1429" s="13">
        <v>1.3532999999999999</v>
      </c>
      <c r="J1429">
        <v>13</v>
      </c>
      <c r="K1429" s="131">
        <v>45688</v>
      </c>
      <c r="M1429">
        <v>570</v>
      </c>
      <c r="N1429" t="s">
        <v>7254</v>
      </c>
    </row>
    <row r="1430" spans="1:14">
      <c r="A1430" t="s">
        <v>1746</v>
      </c>
      <c r="B1430" t="s">
        <v>1748</v>
      </c>
      <c r="C1430" t="s">
        <v>1744</v>
      </c>
      <c r="D1430" s="96">
        <v>92.34</v>
      </c>
      <c r="E1430" s="13">
        <v>125427.15</v>
      </c>
      <c r="F1430" s="486">
        <v>1.3583000000000001</v>
      </c>
      <c r="G1430"/>
      <c r="H1430" s="13">
        <v>125427.15</v>
      </c>
      <c r="I1430" s="13">
        <v>1.3583000000000001</v>
      </c>
      <c r="J1430">
        <v>13</v>
      </c>
      <c r="K1430" s="131">
        <v>45688</v>
      </c>
      <c r="M1430">
        <v>570</v>
      </c>
      <c r="N1430" t="s">
        <v>7255</v>
      </c>
    </row>
    <row r="1431" spans="1:14">
      <c r="A1431" t="s">
        <v>1746</v>
      </c>
      <c r="B1431" t="s">
        <v>7248</v>
      </c>
      <c r="C1431" t="s">
        <v>1744</v>
      </c>
      <c r="D1431" s="96">
        <v>92.34</v>
      </c>
      <c r="E1431" s="13">
        <v>172842.64</v>
      </c>
      <c r="F1431" s="486">
        <v>1.8717999999999999</v>
      </c>
      <c r="G1431"/>
      <c r="H1431" s="13">
        <v>172842.64</v>
      </c>
      <c r="I1431" s="13">
        <v>1.8717999999999999</v>
      </c>
      <c r="J1431">
        <v>13</v>
      </c>
      <c r="K1431" s="131">
        <v>45688</v>
      </c>
      <c r="M1431">
        <v>570</v>
      </c>
      <c r="N1431" t="s">
        <v>7256</v>
      </c>
    </row>
    <row r="1432" spans="1:14">
      <c r="A1432" t="s">
        <v>1746</v>
      </c>
      <c r="B1432" t="s">
        <v>7248</v>
      </c>
      <c r="C1432" t="s">
        <v>1744</v>
      </c>
      <c r="D1432" s="96">
        <v>92.34</v>
      </c>
      <c r="E1432" s="13">
        <v>173302.59</v>
      </c>
      <c r="F1432" s="486">
        <v>1.8768</v>
      </c>
      <c r="G1432"/>
      <c r="H1432" s="13">
        <v>173302.59</v>
      </c>
      <c r="I1432" s="13">
        <v>1.8768</v>
      </c>
      <c r="J1432">
        <v>13</v>
      </c>
      <c r="K1432" s="131">
        <v>45688</v>
      </c>
      <c r="M1432">
        <v>570</v>
      </c>
      <c r="N1432" t="s">
        <v>7257</v>
      </c>
    </row>
    <row r="1433" spans="1:14">
      <c r="A1433" t="s">
        <v>1746</v>
      </c>
      <c r="B1433" t="s">
        <v>1748</v>
      </c>
      <c r="C1433" t="s">
        <v>1744</v>
      </c>
      <c r="D1433" s="96">
        <v>92.91</v>
      </c>
      <c r="E1433" s="13">
        <v>117533.23</v>
      </c>
      <c r="F1433" s="486">
        <v>1.2649999999999999</v>
      </c>
      <c r="G1433"/>
      <c r="H1433" s="13">
        <v>117533.23</v>
      </c>
      <c r="I1433" s="13">
        <v>1.2649999999999999</v>
      </c>
      <c r="J1433">
        <v>13</v>
      </c>
      <c r="K1433" s="131">
        <v>45688</v>
      </c>
      <c r="M1433">
        <v>570</v>
      </c>
      <c r="N1433" t="s">
        <v>7258</v>
      </c>
    </row>
    <row r="1434" spans="1:14">
      <c r="A1434" t="s">
        <v>1746</v>
      </c>
      <c r="B1434" t="s">
        <v>1748</v>
      </c>
      <c r="C1434" t="s">
        <v>1744</v>
      </c>
      <c r="D1434" s="96">
        <v>92.91</v>
      </c>
      <c r="E1434" s="13">
        <v>117996.02</v>
      </c>
      <c r="F1434" s="486">
        <v>1.27</v>
      </c>
      <c r="G1434"/>
      <c r="H1434" s="13">
        <v>117996.02</v>
      </c>
      <c r="I1434" s="13">
        <v>1.27</v>
      </c>
      <c r="J1434">
        <v>13</v>
      </c>
      <c r="K1434" s="131">
        <v>45688</v>
      </c>
      <c r="M1434">
        <v>570</v>
      </c>
      <c r="N1434" t="s">
        <v>7259</v>
      </c>
    </row>
    <row r="1435" spans="1:14">
      <c r="A1435" t="s">
        <v>1746</v>
      </c>
      <c r="B1435" t="s">
        <v>1747</v>
      </c>
      <c r="C1435" t="s">
        <v>1744</v>
      </c>
      <c r="D1435" s="96">
        <v>92.91</v>
      </c>
      <c r="E1435" s="13">
        <v>121386.78</v>
      </c>
      <c r="F1435" s="486">
        <v>1.3065</v>
      </c>
      <c r="G1435"/>
      <c r="H1435" s="13">
        <v>121386.78</v>
      </c>
      <c r="I1435" s="13">
        <v>1.3065</v>
      </c>
      <c r="J1435">
        <v>13</v>
      </c>
      <c r="K1435" s="131">
        <v>45688</v>
      </c>
      <c r="M1435">
        <v>570</v>
      </c>
      <c r="N1435" t="s">
        <v>7260</v>
      </c>
    </row>
    <row r="1436" spans="1:14">
      <c r="A1436" t="s">
        <v>1746</v>
      </c>
      <c r="B1436" t="s">
        <v>1747</v>
      </c>
      <c r="C1436" t="s">
        <v>1744</v>
      </c>
      <c r="D1436" s="96">
        <v>92.91</v>
      </c>
      <c r="E1436" s="13">
        <v>121386.78</v>
      </c>
      <c r="F1436" s="486">
        <v>1.3065</v>
      </c>
      <c r="G1436"/>
      <c r="H1436" s="13">
        <v>121386.78</v>
      </c>
      <c r="I1436" s="13">
        <v>1.3065</v>
      </c>
      <c r="J1436">
        <v>13</v>
      </c>
      <c r="K1436" s="131">
        <v>45688</v>
      </c>
      <c r="M1436">
        <v>570</v>
      </c>
      <c r="N1436" t="s">
        <v>7260</v>
      </c>
    </row>
    <row r="1437" spans="1:14">
      <c r="A1437" t="s">
        <v>1746</v>
      </c>
      <c r="B1437" t="s">
        <v>1747</v>
      </c>
      <c r="C1437" t="s">
        <v>1744</v>
      </c>
      <c r="D1437" s="96">
        <v>92.91</v>
      </c>
      <c r="E1437" s="13">
        <v>121849.57</v>
      </c>
      <c r="F1437" s="486">
        <v>1.3115000000000001</v>
      </c>
      <c r="G1437"/>
      <c r="H1437" s="13">
        <v>121849.57</v>
      </c>
      <c r="I1437" s="13">
        <v>1.3115000000000001</v>
      </c>
      <c r="J1437">
        <v>13</v>
      </c>
      <c r="K1437" s="131">
        <v>45688</v>
      </c>
      <c r="M1437">
        <v>570</v>
      </c>
      <c r="N1437" t="s">
        <v>7261</v>
      </c>
    </row>
    <row r="1438" spans="1:14">
      <c r="A1438" t="s">
        <v>1746</v>
      </c>
      <c r="B1438" t="s">
        <v>1747</v>
      </c>
      <c r="C1438" t="s">
        <v>1744</v>
      </c>
      <c r="D1438" s="96">
        <v>92.91</v>
      </c>
      <c r="E1438" s="13">
        <v>121849.57</v>
      </c>
      <c r="F1438" s="486">
        <v>1.3115000000000001</v>
      </c>
      <c r="G1438"/>
      <c r="H1438" s="13">
        <v>121849.57</v>
      </c>
      <c r="I1438" s="13">
        <v>1.3115000000000001</v>
      </c>
      <c r="J1438">
        <v>13</v>
      </c>
      <c r="K1438" s="131">
        <v>45688</v>
      </c>
      <c r="M1438">
        <v>570</v>
      </c>
      <c r="N1438" t="s">
        <v>7261</v>
      </c>
    </row>
    <row r="1439" spans="1:14">
      <c r="A1439" t="s">
        <v>1746</v>
      </c>
      <c r="B1439" t="s">
        <v>7248</v>
      </c>
      <c r="C1439" t="s">
        <v>1744</v>
      </c>
      <c r="D1439" s="96">
        <v>92.91</v>
      </c>
      <c r="E1439" s="13">
        <v>173367.33</v>
      </c>
      <c r="F1439" s="486">
        <v>1.8660000000000001</v>
      </c>
      <c r="G1439"/>
      <c r="H1439" s="13">
        <v>173367.33</v>
      </c>
      <c r="I1439" s="13">
        <v>1.8660000000000001</v>
      </c>
      <c r="J1439">
        <v>13</v>
      </c>
      <c r="K1439" s="131">
        <v>45688</v>
      </c>
      <c r="M1439">
        <v>570</v>
      </c>
      <c r="N1439" t="s">
        <v>7262</v>
      </c>
    </row>
    <row r="1440" spans="1:14">
      <c r="A1440" t="s">
        <v>1746</v>
      </c>
      <c r="B1440" t="s">
        <v>7248</v>
      </c>
      <c r="C1440" t="s">
        <v>1744</v>
      </c>
      <c r="D1440" s="96">
        <v>92.91</v>
      </c>
      <c r="E1440" s="13">
        <v>173830.11</v>
      </c>
      <c r="F1440" s="486">
        <v>1.871</v>
      </c>
      <c r="G1440"/>
      <c r="H1440" s="13">
        <v>173830.11</v>
      </c>
      <c r="I1440" s="13">
        <v>1.871</v>
      </c>
      <c r="J1440">
        <v>13</v>
      </c>
      <c r="K1440" s="131">
        <v>45688</v>
      </c>
      <c r="M1440">
        <v>570</v>
      </c>
      <c r="N1440" t="s">
        <v>7263</v>
      </c>
    </row>
    <row r="1441" spans="1:14">
      <c r="A1441" t="s">
        <v>1746</v>
      </c>
      <c r="B1441" t="s">
        <v>6999</v>
      </c>
      <c r="C1441" t="s">
        <v>1744</v>
      </c>
      <c r="D1441" s="96">
        <v>93.01</v>
      </c>
      <c r="E1441" s="13">
        <v>166364.82</v>
      </c>
      <c r="F1441" s="486">
        <v>1.7887</v>
      </c>
      <c r="G1441"/>
      <c r="H1441" s="13">
        <v>166364.82</v>
      </c>
      <c r="I1441" s="13">
        <v>1.7887</v>
      </c>
      <c r="J1441">
        <v>13</v>
      </c>
      <c r="K1441" s="131">
        <v>45688</v>
      </c>
      <c r="M1441">
        <v>710</v>
      </c>
      <c r="N1441" t="s">
        <v>7264</v>
      </c>
    </row>
    <row r="1442" spans="1:14">
      <c r="A1442" t="s">
        <v>1746</v>
      </c>
      <c r="B1442" t="s">
        <v>1747</v>
      </c>
      <c r="C1442" t="s">
        <v>1744</v>
      </c>
      <c r="D1442" s="96">
        <v>93.48</v>
      </c>
      <c r="E1442" s="13">
        <v>121911.46</v>
      </c>
      <c r="F1442" s="486">
        <v>1.3041</v>
      </c>
      <c r="G1442"/>
      <c r="H1442" s="13">
        <v>121911.46</v>
      </c>
      <c r="I1442" s="13">
        <v>1.3041</v>
      </c>
      <c r="J1442">
        <v>13</v>
      </c>
      <c r="K1442" s="131">
        <v>45688</v>
      </c>
      <c r="M1442">
        <v>570</v>
      </c>
      <c r="N1442" t="s">
        <v>7265</v>
      </c>
    </row>
    <row r="1443" spans="1:14">
      <c r="A1443" t="s">
        <v>1746</v>
      </c>
      <c r="B1443" t="s">
        <v>1747</v>
      </c>
      <c r="C1443" t="s">
        <v>1744</v>
      </c>
      <c r="D1443" s="96">
        <v>93.48</v>
      </c>
      <c r="E1443" s="13">
        <v>122377.09</v>
      </c>
      <c r="F1443" s="486">
        <v>1.3090999999999999</v>
      </c>
      <c r="G1443"/>
      <c r="H1443" s="13">
        <v>122377.09</v>
      </c>
      <c r="I1443" s="13">
        <v>1.3090999999999999</v>
      </c>
      <c r="J1443">
        <v>13</v>
      </c>
      <c r="K1443" s="131">
        <v>45688</v>
      </c>
      <c r="M1443">
        <v>570</v>
      </c>
      <c r="N1443" t="s">
        <v>7266</v>
      </c>
    </row>
    <row r="1444" spans="1:14">
      <c r="A1444" t="s">
        <v>1746</v>
      </c>
      <c r="B1444" t="s">
        <v>1748</v>
      </c>
      <c r="C1444" t="s">
        <v>1744</v>
      </c>
      <c r="D1444" s="96">
        <v>93.48</v>
      </c>
      <c r="E1444" s="13">
        <v>126016.57</v>
      </c>
      <c r="F1444" s="486">
        <v>1.3481000000000001</v>
      </c>
      <c r="G1444"/>
      <c r="H1444" s="13">
        <v>126016.57</v>
      </c>
      <c r="I1444" s="13">
        <v>1.3481000000000001</v>
      </c>
      <c r="J1444">
        <v>13</v>
      </c>
      <c r="K1444" s="131">
        <v>45688</v>
      </c>
      <c r="M1444">
        <v>570</v>
      </c>
      <c r="N1444" t="s">
        <v>7267</v>
      </c>
    </row>
    <row r="1445" spans="1:14">
      <c r="A1445" t="s">
        <v>1746</v>
      </c>
      <c r="B1445" t="s">
        <v>1748</v>
      </c>
      <c r="C1445" t="s">
        <v>1744</v>
      </c>
      <c r="D1445" s="96">
        <v>93.48</v>
      </c>
      <c r="E1445" s="13">
        <v>126016.57</v>
      </c>
      <c r="F1445" s="486">
        <v>1.3481000000000001</v>
      </c>
      <c r="G1445"/>
      <c r="H1445" s="13">
        <v>126016.57</v>
      </c>
      <c r="I1445" s="13">
        <v>1.3481000000000001</v>
      </c>
      <c r="J1445">
        <v>13</v>
      </c>
      <c r="K1445" s="131">
        <v>45688</v>
      </c>
      <c r="M1445">
        <v>570</v>
      </c>
      <c r="N1445" t="s">
        <v>7267</v>
      </c>
    </row>
    <row r="1446" spans="1:14">
      <c r="A1446" t="s">
        <v>1746</v>
      </c>
      <c r="B1446" t="s">
        <v>1748</v>
      </c>
      <c r="C1446" t="s">
        <v>1744</v>
      </c>
      <c r="D1446" s="96">
        <v>93.48</v>
      </c>
      <c r="E1446" s="13">
        <v>126482.2</v>
      </c>
      <c r="F1446" s="486">
        <v>1.353</v>
      </c>
      <c r="G1446"/>
      <c r="H1446" s="13">
        <v>126482.2</v>
      </c>
      <c r="I1446" s="13">
        <v>1.353</v>
      </c>
      <c r="J1446">
        <v>13</v>
      </c>
      <c r="K1446" s="131">
        <v>45688</v>
      </c>
      <c r="M1446">
        <v>570</v>
      </c>
      <c r="N1446" t="s">
        <v>7268</v>
      </c>
    </row>
    <row r="1447" spans="1:14">
      <c r="A1447" t="s">
        <v>1746</v>
      </c>
      <c r="B1447" t="s">
        <v>1748</v>
      </c>
      <c r="C1447" t="s">
        <v>1744</v>
      </c>
      <c r="D1447" s="96">
        <v>93.48</v>
      </c>
      <c r="E1447" s="13">
        <v>126482.2</v>
      </c>
      <c r="F1447" s="486">
        <v>1.353</v>
      </c>
      <c r="G1447"/>
      <c r="H1447" s="13">
        <v>126482.2</v>
      </c>
      <c r="I1447" s="13">
        <v>1.353</v>
      </c>
      <c r="J1447">
        <v>13</v>
      </c>
      <c r="K1447" s="131">
        <v>45688</v>
      </c>
      <c r="M1447">
        <v>570</v>
      </c>
      <c r="N1447" t="s">
        <v>7268</v>
      </c>
    </row>
    <row r="1448" spans="1:14">
      <c r="A1448" t="s">
        <v>1746</v>
      </c>
      <c r="B1448" t="s">
        <v>7248</v>
      </c>
      <c r="C1448" t="s">
        <v>1744</v>
      </c>
      <c r="D1448" s="96">
        <v>93.48</v>
      </c>
      <c r="E1448" s="13">
        <v>173892.01</v>
      </c>
      <c r="F1448" s="486">
        <v>1.8602000000000001</v>
      </c>
      <c r="G1448"/>
      <c r="H1448" s="13">
        <v>173892.01</v>
      </c>
      <c r="I1448" s="13">
        <v>1.8602000000000001</v>
      </c>
      <c r="J1448">
        <v>13</v>
      </c>
      <c r="K1448" s="131">
        <v>45688</v>
      </c>
      <c r="M1448">
        <v>570</v>
      </c>
      <c r="N1448" t="s">
        <v>7269</v>
      </c>
    </row>
    <row r="1449" spans="1:14">
      <c r="A1449" t="s">
        <v>1746</v>
      </c>
      <c r="B1449" t="s">
        <v>7248</v>
      </c>
      <c r="C1449" t="s">
        <v>1744</v>
      </c>
      <c r="D1449" s="96">
        <v>93.48</v>
      </c>
      <c r="E1449" s="13">
        <v>174357.64</v>
      </c>
      <c r="F1449" s="486">
        <v>1.8652</v>
      </c>
      <c r="G1449"/>
      <c r="H1449" s="13">
        <v>174357.64</v>
      </c>
      <c r="I1449" s="13">
        <v>1.8652</v>
      </c>
      <c r="J1449">
        <v>13</v>
      </c>
      <c r="K1449" s="131">
        <v>45688</v>
      </c>
      <c r="M1449">
        <v>570</v>
      </c>
      <c r="N1449" t="s">
        <v>7270</v>
      </c>
    </row>
    <row r="1450" spans="1:14">
      <c r="A1450" t="s">
        <v>1746</v>
      </c>
      <c r="B1450" t="s">
        <v>6999</v>
      </c>
      <c r="C1450" t="s">
        <v>1744</v>
      </c>
      <c r="D1450" s="96">
        <v>93.72</v>
      </c>
      <c r="E1450" s="13">
        <v>167092.98000000001</v>
      </c>
      <c r="F1450" s="486">
        <v>1.7828999999999999</v>
      </c>
      <c r="G1450"/>
      <c r="H1450" s="13">
        <v>167092.98000000001</v>
      </c>
      <c r="I1450" s="13">
        <v>1.7828999999999999</v>
      </c>
      <c r="J1450">
        <v>13</v>
      </c>
      <c r="K1450" s="131">
        <v>45688</v>
      </c>
      <c r="M1450">
        <v>710</v>
      </c>
      <c r="N1450" t="s">
        <v>7271</v>
      </c>
    </row>
    <row r="1451" spans="1:14">
      <c r="A1451" t="s">
        <v>1746</v>
      </c>
      <c r="B1451" t="s">
        <v>1748</v>
      </c>
      <c r="C1451" t="s">
        <v>1744</v>
      </c>
      <c r="D1451" s="96">
        <v>94.05</v>
      </c>
      <c r="E1451" s="13">
        <v>118897.18</v>
      </c>
      <c r="F1451" s="486">
        <v>1.2642</v>
      </c>
      <c r="G1451"/>
      <c r="H1451" s="13">
        <v>118897.18</v>
      </c>
      <c r="I1451" s="13">
        <v>1.2642</v>
      </c>
      <c r="J1451">
        <v>13</v>
      </c>
      <c r="K1451" s="131">
        <v>45688</v>
      </c>
      <c r="M1451">
        <v>570</v>
      </c>
      <c r="N1451" t="s">
        <v>7272</v>
      </c>
    </row>
    <row r="1452" spans="1:14">
      <c r="A1452" t="s">
        <v>1746</v>
      </c>
      <c r="B1452" t="s">
        <v>1748</v>
      </c>
      <c r="C1452" t="s">
        <v>1744</v>
      </c>
      <c r="D1452" s="96">
        <v>94.05</v>
      </c>
      <c r="E1452" s="13">
        <v>118897.18</v>
      </c>
      <c r="F1452" s="486">
        <v>1.2642</v>
      </c>
      <c r="G1452"/>
      <c r="H1452" s="13">
        <v>118897.18</v>
      </c>
      <c r="I1452" s="13">
        <v>1.2642</v>
      </c>
      <c r="J1452">
        <v>13</v>
      </c>
      <c r="K1452" s="131">
        <v>45688</v>
      </c>
      <c r="M1452">
        <v>570</v>
      </c>
      <c r="N1452" t="s">
        <v>7272</v>
      </c>
    </row>
    <row r="1453" spans="1:14">
      <c r="A1453" t="s">
        <v>1746</v>
      </c>
      <c r="B1453" t="s">
        <v>1748</v>
      </c>
      <c r="C1453" t="s">
        <v>1744</v>
      </c>
      <c r="D1453" s="96">
        <v>94.05</v>
      </c>
      <c r="E1453" s="13">
        <v>119365.65</v>
      </c>
      <c r="F1453" s="486">
        <v>1.2692000000000001</v>
      </c>
      <c r="G1453"/>
      <c r="H1453" s="13">
        <v>119365.65</v>
      </c>
      <c r="I1453" s="13">
        <v>1.2692000000000001</v>
      </c>
      <c r="J1453">
        <v>13</v>
      </c>
      <c r="K1453" s="131">
        <v>45688</v>
      </c>
      <c r="M1453">
        <v>570</v>
      </c>
      <c r="N1453" t="s">
        <v>7273</v>
      </c>
    </row>
    <row r="1454" spans="1:14">
      <c r="A1454" t="s">
        <v>1746</v>
      </c>
      <c r="B1454" t="s">
        <v>1748</v>
      </c>
      <c r="C1454" t="s">
        <v>1744</v>
      </c>
      <c r="D1454" s="96">
        <v>94.05</v>
      </c>
      <c r="E1454" s="13">
        <v>119365.65</v>
      </c>
      <c r="F1454" s="486">
        <v>1.2692000000000001</v>
      </c>
      <c r="G1454"/>
      <c r="H1454" s="13">
        <v>119365.65</v>
      </c>
      <c r="I1454" s="13">
        <v>1.2692000000000001</v>
      </c>
      <c r="J1454">
        <v>13</v>
      </c>
      <c r="K1454" s="131">
        <v>45688</v>
      </c>
      <c r="M1454">
        <v>570</v>
      </c>
      <c r="N1454" t="s">
        <v>7273</v>
      </c>
    </row>
    <row r="1455" spans="1:14">
      <c r="A1455" t="s">
        <v>1746</v>
      </c>
      <c r="B1455" t="s">
        <v>1748</v>
      </c>
      <c r="C1455" t="s">
        <v>1744</v>
      </c>
      <c r="D1455" s="96">
        <v>94.05</v>
      </c>
      <c r="E1455" s="13">
        <v>126855.83</v>
      </c>
      <c r="F1455" s="486">
        <v>1.3488</v>
      </c>
      <c r="G1455"/>
      <c r="H1455" s="13">
        <v>126855.83</v>
      </c>
      <c r="I1455" s="13">
        <v>1.3488</v>
      </c>
      <c r="J1455">
        <v>13</v>
      </c>
      <c r="K1455" s="131">
        <v>45688</v>
      </c>
      <c r="M1455">
        <v>570</v>
      </c>
      <c r="N1455" t="s">
        <v>7274</v>
      </c>
    </row>
    <row r="1456" spans="1:14">
      <c r="A1456" t="s">
        <v>1746</v>
      </c>
      <c r="B1456" t="s">
        <v>1748</v>
      </c>
      <c r="C1456" t="s">
        <v>1744</v>
      </c>
      <c r="D1456" s="96">
        <v>94.05</v>
      </c>
      <c r="E1456" s="13">
        <v>127324.3</v>
      </c>
      <c r="F1456" s="486">
        <v>1.3537999999999999</v>
      </c>
      <c r="G1456"/>
      <c r="H1456" s="13">
        <v>127324.3</v>
      </c>
      <c r="I1456" s="13">
        <v>1.3537999999999999</v>
      </c>
      <c r="J1456">
        <v>13</v>
      </c>
      <c r="K1456" s="131">
        <v>45688</v>
      </c>
      <c r="M1456">
        <v>570</v>
      </c>
      <c r="N1456" t="s">
        <v>7275</v>
      </c>
    </row>
    <row r="1457" spans="1:14">
      <c r="A1457" t="s">
        <v>1746</v>
      </c>
      <c r="B1457" t="s">
        <v>7276</v>
      </c>
      <c r="C1457" t="s">
        <v>1744</v>
      </c>
      <c r="D1457" s="96">
        <v>94.05</v>
      </c>
      <c r="E1457" s="13">
        <v>176537.86</v>
      </c>
      <c r="F1457" s="486">
        <v>1.8771</v>
      </c>
      <c r="G1457"/>
      <c r="H1457" s="13">
        <v>176537.86</v>
      </c>
      <c r="I1457" s="13">
        <v>1.8771</v>
      </c>
      <c r="J1457">
        <v>13</v>
      </c>
      <c r="K1457" s="131">
        <v>45688</v>
      </c>
      <c r="M1457">
        <v>570</v>
      </c>
      <c r="N1457" t="s">
        <v>7277</v>
      </c>
    </row>
    <row r="1458" spans="1:14">
      <c r="A1458" t="s">
        <v>1746</v>
      </c>
      <c r="B1458" t="s">
        <v>7276</v>
      </c>
      <c r="C1458" t="s">
        <v>1744</v>
      </c>
      <c r="D1458" s="96">
        <v>94.05</v>
      </c>
      <c r="E1458" s="13">
        <v>177006.33</v>
      </c>
      <c r="F1458" s="486">
        <v>1.8819999999999999</v>
      </c>
      <c r="G1458"/>
      <c r="H1458" s="13">
        <v>177006.33</v>
      </c>
      <c r="I1458" s="13">
        <v>1.8819999999999999</v>
      </c>
      <c r="J1458">
        <v>13</v>
      </c>
      <c r="K1458" s="131">
        <v>45688</v>
      </c>
      <c r="M1458">
        <v>570</v>
      </c>
      <c r="N1458" t="s">
        <v>7278</v>
      </c>
    </row>
    <row r="1459" spans="1:14">
      <c r="A1459" t="s">
        <v>1746</v>
      </c>
      <c r="B1459" t="s">
        <v>6999</v>
      </c>
      <c r="C1459" t="s">
        <v>1744</v>
      </c>
      <c r="D1459" s="96">
        <v>94.43</v>
      </c>
      <c r="E1459" s="13">
        <v>169908.52</v>
      </c>
      <c r="F1459" s="486">
        <v>1.7992999999999999</v>
      </c>
      <c r="G1459"/>
      <c r="H1459" s="13">
        <v>169908.52</v>
      </c>
      <c r="I1459" s="13">
        <v>1.7992999999999999</v>
      </c>
      <c r="J1459">
        <v>13</v>
      </c>
      <c r="K1459" s="131">
        <v>45688</v>
      </c>
      <c r="M1459">
        <v>710</v>
      </c>
      <c r="N1459" t="s">
        <v>7279</v>
      </c>
    </row>
    <row r="1460" spans="1:14">
      <c r="A1460" t="s">
        <v>1746</v>
      </c>
      <c r="B1460" t="s">
        <v>1748</v>
      </c>
      <c r="C1460" t="s">
        <v>1744</v>
      </c>
      <c r="D1460" s="96">
        <v>94.62</v>
      </c>
      <c r="E1460" s="13">
        <v>119421.86</v>
      </c>
      <c r="F1460" s="486">
        <v>1.2621</v>
      </c>
      <c r="G1460"/>
      <c r="H1460" s="13">
        <v>119421.86</v>
      </c>
      <c r="I1460" s="13">
        <v>1.2621</v>
      </c>
      <c r="J1460">
        <v>13</v>
      </c>
      <c r="K1460" s="131">
        <v>45688</v>
      </c>
      <c r="M1460">
        <v>570</v>
      </c>
      <c r="N1460" t="s">
        <v>7280</v>
      </c>
    </row>
    <row r="1461" spans="1:14">
      <c r="A1461" t="s">
        <v>1746</v>
      </c>
      <c r="B1461" t="s">
        <v>1748</v>
      </c>
      <c r="C1461" t="s">
        <v>1744</v>
      </c>
      <c r="D1461" s="96">
        <v>94.62</v>
      </c>
      <c r="E1461" s="13">
        <v>119893.17</v>
      </c>
      <c r="F1461" s="486">
        <v>1.2670999999999999</v>
      </c>
      <c r="G1461"/>
      <c r="H1461" s="13">
        <v>119893.17</v>
      </c>
      <c r="I1461" s="13">
        <v>1.2670999999999999</v>
      </c>
      <c r="J1461">
        <v>13</v>
      </c>
      <c r="K1461" s="131">
        <v>45688</v>
      </c>
      <c r="M1461">
        <v>570</v>
      </c>
      <c r="N1461" t="s">
        <v>7281</v>
      </c>
    </row>
    <row r="1462" spans="1:14">
      <c r="A1462" t="s">
        <v>1746</v>
      </c>
      <c r="B1462" t="s">
        <v>1747</v>
      </c>
      <c r="C1462" t="s">
        <v>1744</v>
      </c>
      <c r="D1462" s="96">
        <v>94.62</v>
      </c>
      <c r="E1462" s="13">
        <v>123275.41</v>
      </c>
      <c r="F1462" s="486">
        <v>1.3028</v>
      </c>
      <c r="G1462"/>
      <c r="H1462" s="13">
        <v>123275.41</v>
      </c>
      <c r="I1462" s="13">
        <v>1.3028</v>
      </c>
      <c r="J1462">
        <v>13</v>
      </c>
      <c r="K1462" s="131">
        <v>45688</v>
      </c>
      <c r="M1462">
        <v>570</v>
      </c>
      <c r="N1462" t="s">
        <v>7282</v>
      </c>
    </row>
    <row r="1463" spans="1:14">
      <c r="A1463" t="s">
        <v>1746</v>
      </c>
      <c r="B1463" t="s">
        <v>1747</v>
      </c>
      <c r="C1463" t="s">
        <v>1744</v>
      </c>
      <c r="D1463" s="96">
        <v>94.62</v>
      </c>
      <c r="E1463" s="13">
        <v>123275.41</v>
      </c>
      <c r="F1463" s="486">
        <v>1.3028</v>
      </c>
      <c r="G1463"/>
      <c r="H1463" s="13">
        <v>123275.41</v>
      </c>
      <c r="I1463" s="13">
        <v>1.3028</v>
      </c>
      <c r="J1463">
        <v>13</v>
      </c>
      <c r="K1463" s="131">
        <v>45688</v>
      </c>
      <c r="M1463">
        <v>570</v>
      </c>
      <c r="N1463" t="s">
        <v>7282</v>
      </c>
    </row>
    <row r="1464" spans="1:14">
      <c r="A1464" t="s">
        <v>1746</v>
      </c>
      <c r="B1464" t="s">
        <v>1747</v>
      </c>
      <c r="C1464" t="s">
        <v>1744</v>
      </c>
      <c r="D1464" s="96">
        <v>94.62</v>
      </c>
      <c r="E1464" s="13">
        <v>123746.72</v>
      </c>
      <c r="F1464" s="486">
        <v>1.3078000000000001</v>
      </c>
      <c r="G1464"/>
      <c r="H1464" s="13">
        <v>123746.72</v>
      </c>
      <c r="I1464" s="13">
        <v>1.3078000000000001</v>
      </c>
      <c r="J1464">
        <v>13</v>
      </c>
      <c r="K1464" s="131">
        <v>45688</v>
      </c>
      <c r="M1464">
        <v>570</v>
      </c>
      <c r="N1464" t="s">
        <v>7283</v>
      </c>
    </row>
    <row r="1465" spans="1:14">
      <c r="A1465" t="s">
        <v>1746</v>
      </c>
      <c r="B1465" t="s">
        <v>1747</v>
      </c>
      <c r="C1465" t="s">
        <v>1744</v>
      </c>
      <c r="D1465" s="96">
        <v>94.62</v>
      </c>
      <c r="E1465" s="13">
        <v>123746.72</v>
      </c>
      <c r="F1465" s="486">
        <v>1.3078000000000001</v>
      </c>
      <c r="G1465"/>
      <c r="H1465" s="13">
        <v>123746.72</v>
      </c>
      <c r="I1465" s="13">
        <v>1.3078000000000001</v>
      </c>
      <c r="J1465">
        <v>13</v>
      </c>
      <c r="K1465" s="131">
        <v>45688</v>
      </c>
      <c r="M1465">
        <v>570</v>
      </c>
      <c r="N1465" t="s">
        <v>7283</v>
      </c>
    </row>
    <row r="1466" spans="1:14">
      <c r="A1466" t="s">
        <v>1746</v>
      </c>
      <c r="B1466" t="s">
        <v>7276</v>
      </c>
      <c r="C1466" t="s">
        <v>1744</v>
      </c>
      <c r="D1466" s="96">
        <v>94.62</v>
      </c>
      <c r="E1466" s="13">
        <v>177062.54</v>
      </c>
      <c r="F1466" s="486">
        <v>1.8713</v>
      </c>
      <c r="G1466"/>
      <c r="H1466" s="13">
        <v>177062.54</v>
      </c>
      <c r="I1466" s="13">
        <v>1.8713</v>
      </c>
      <c r="J1466">
        <v>13</v>
      </c>
      <c r="K1466" s="131">
        <v>45688</v>
      </c>
      <c r="M1466">
        <v>570</v>
      </c>
      <c r="N1466" t="s">
        <v>7284</v>
      </c>
    </row>
    <row r="1467" spans="1:14">
      <c r="A1467" t="s">
        <v>1746</v>
      </c>
      <c r="B1467" t="s">
        <v>7276</v>
      </c>
      <c r="C1467" t="s">
        <v>1744</v>
      </c>
      <c r="D1467" s="96">
        <v>94.62</v>
      </c>
      <c r="E1467" s="13">
        <v>177533.85</v>
      </c>
      <c r="F1467" s="486">
        <v>1.8763000000000001</v>
      </c>
      <c r="G1467"/>
      <c r="H1467" s="13">
        <v>177533.85</v>
      </c>
      <c r="I1467" s="13">
        <v>1.8763000000000001</v>
      </c>
      <c r="J1467">
        <v>13</v>
      </c>
      <c r="K1467" s="131">
        <v>45688</v>
      </c>
      <c r="M1467">
        <v>570</v>
      </c>
      <c r="N1467" t="s">
        <v>7285</v>
      </c>
    </row>
    <row r="1468" spans="1:14">
      <c r="A1468" t="s">
        <v>1746</v>
      </c>
      <c r="B1468" t="s">
        <v>6999</v>
      </c>
      <c r="C1468" t="s">
        <v>1744</v>
      </c>
      <c r="D1468" s="96">
        <v>95.14</v>
      </c>
      <c r="E1468" s="13">
        <v>170636.68</v>
      </c>
      <c r="F1468" s="486">
        <v>1.7935000000000001</v>
      </c>
      <c r="G1468"/>
      <c r="H1468" s="13">
        <v>170636.68</v>
      </c>
      <c r="I1468" s="13">
        <v>1.7935000000000001</v>
      </c>
      <c r="J1468">
        <v>13</v>
      </c>
      <c r="K1468" s="131">
        <v>45688</v>
      </c>
      <c r="M1468">
        <v>710</v>
      </c>
      <c r="N1468" t="s">
        <v>7286</v>
      </c>
    </row>
    <row r="1469" spans="1:14">
      <c r="A1469" t="s">
        <v>1746</v>
      </c>
      <c r="B1469" t="s">
        <v>1747</v>
      </c>
      <c r="C1469" t="s">
        <v>1744</v>
      </c>
      <c r="D1469" s="96">
        <v>95.19</v>
      </c>
      <c r="E1469" s="13">
        <v>123800.1</v>
      </c>
      <c r="F1469" s="486">
        <v>1.3006</v>
      </c>
      <c r="G1469"/>
      <c r="H1469" s="13">
        <v>123800.1</v>
      </c>
      <c r="I1469" s="13">
        <v>1.3006</v>
      </c>
      <c r="J1469">
        <v>13</v>
      </c>
      <c r="K1469" s="131">
        <v>45688</v>
      </c>
      <c r="M1469">
        <v>570</v>
      </c>
      <c r="N1469" t="s">
        <v>7287</v>
      </c>
    </row>
    <row r="1470" spans="1:14">
      <c r="A1470" t="s">
        <v>1746</v>
      </c>
      <c r="B1470" t="s">
        <v>1747</v>
      </c>
      <c r="C1470" t="s">
        <v>1744</v>
      </c>
      <c r="D1470" s="96">
        <v>95.19</v>
      </c>
      <c r="E1470" s="13">
        <v>124274.24000000001</v>
      </c>
      <c r="F1470" s="486">
        <v>1.3055000000000001</v>
      </c>
      <c r="G1470"/>
      <c r="H1470" s="13">
        <v>124274.24000000001</v>
      </c>
      <c r="I1470" s="13">
        <v>1.3055000000000001</v>
      </c>
      <c r="J1470">
        <v>13</v>
      </c>
      <c r="K1470" s="131">
        <v>45688</v>
      </c>
      <c r="M1470">
        <v>570</v>
      </c>
      <c r="N1470" t="s">
        <v>7288</v>
      </c>
    </row>
    <row r="1471" spans="1:14">
      <c r="A1471" t="s">
        <v>1746</v>
      </c>
      <c r="B1471" t="s">
        <v>1748</v>
      </c>
      <c r="C1471" t="s">
        <v>1744</v>
      </c>
      <c r="D1471" s="96">
        <v>95.19</v>
      </c>
      <c r="E1471" s="13">
        <v>127905.2</v>
      </c>
      <c r="F1471" s="486">
        <v>1.3436999999999999</v>
      </c>
      <c r="G1471"/>
      <c r="H1471" s="13">
        <v>127905.2</v>
      </c>
      <c r="I1471" s="13">
        <v>1.3436999999999999</v>
      </c>
      <c r="J1471">
        <v>13</v>
      </c>
      <c r="K1471" s="131">
        <v>45688</v>
      </c>
      <c r="M1471">
        <v>570</v>
      </c>
      <c r="N1471" t="s">
        <v>7289</v>
      </c>
    </row>
    <row r="1472" spans="1:14">
      <c r="A1472" t="s">
        <v>1746</v>
      </c>
      <c r="B1472" t="s">
        <v>1748</v>
      </c>
      <c r="C1472" t="s">
        <v>1744</v>
      </c>
      <c r="D1472" s="96">
        <v>95.19</v>
      </c>
      <c r="E1472" s="13">
        <v>127905.2</v>
      </c>
      <c r="F1472" s="486">
        <v>1.3436999999999999</v>
      </c>
      <c r="G1472"/>
      <c r="H1472" s="13">
        <v>127905.2</v>
      </c>
      <c r="I1472" s="13">
        <v>1.3436999999999999</v>
      </c>
      <c r="J1472">
        <v>13</v>
      </c>
      <c r="K1472" s="131">
        <v>45688</v>
      </c>
      <c r="M1472">
        <v>570</v>
      </c>
      <c r="N1472" t="s">
        <v>7289</v>
      </c>
    </row>
    <row r="1473" spans="1:14">
      <c r="A1473" t="s">
        <v>1746</v>
      </c>
      <c r="B1473" t="s">
        <v>1748</v>
      </c>
      <c r="C1473" t="s">
        <v>1744</v>
      </c>
      <c r="D1473" s="96">
        <v>95.19</v>
      </c>
      <c r="E1473" s="13">
        <v>128379.35</v>
      </c>
      <c r="F1473" s="486">
        <v>1.3487</v>
      </c>
      <c r="G1473"/>
      <c r="H1473" s="13">
        <v>128379.35</v>
      </c>
      <c r="I1473" s="13">
        <v>1.3487</v>
      </c>
      <c r="J1473">
        <v>13</v>
      </c>
      <c r="K1473" s="131">
        <v>45688</v>
      </c>
      <c r="M1473">
        <v>570</v>
      </c>
      <c r="N1473" t="s">
        <v>7290</v>
      </c>
    </row>
    <row r="1474" spans="1:14">
      <c r="A1474" t="s">
        <v>1746</v>
      </c>
      <c r="B1474" t="s">
        <v>1748</v>
      </c>
      <c r="C1474" t="s">
        <v>1744</v>
      </c>
      <c r="D1474" s="96">
        <v>95.19</v>
      </c>
      <c r="E1474" s="13">
        <v>128379.35</v>
      </c>
      <c r="F1474" s="486">
        <v>1.3487</v>
      </c>
      <c r="G1474"/>
      <c r="H1474" s="13">
        <v>128379.35</v>
      </c>
      <c r="I1474" s="13">
        <v>1.3487</v>
      </c>
      <c r="J1474">
        <v>13</v>
      </c>
      <c r="K1474" s="131">
        <v>45688</v>
      </c>
      <c r="M1474">
        <v>570</v>
      </c>
      <c r="N1474" t="s">
        <v>7290</v>
      </c>
    </row>
    <row r="1475" spans="1:14">
      <c r="A1475" t="s">
        <v>1746</v>
      </c>
      <c r="B1475" t="s">
        <v>7276</v>
      </c>
      <c r="C1475" t="s">
        <v>1744</v>
      </c>
      <c r="D1475" s="96">
        <v>95.19</v>
      </c>
      <c r="E1475" s="13">
        <v>177587.23</v>
      </c>
      <c r="F1475" s="486">
        <v>1.8655999999999999</v>
      </c>
      <c r="G1475"/>
      <c r="H1475" s="13">
        <v>177587.23</v>
      </c>
      <c r="I1475" s="13">
        <v>1.8655999999999999</v>
      </c>
      <c r="J1475">
        <v>13</v>
      </c>
      <c r="K1475" s="131">
        <v>45688</v>
      </c>
      <c r="M1475">
        <v>570</v>
      </c>
      <c r="N1475" t="s">
        <v>7291</v>
      </c>
    </row>
    <row r="1476" spans="1:14">
      <c r="A1476" t="s">
        <v>1746</v>
      </c>
      <c r="B1476" t="s">
        <v>7276</v>
      </c>
      <c r="C1476" t="s">
        <v>1744</v>
      </c>
      <c r="D1476" s="96">
        <v>95.19</v>
      </c>
      <c r="E1476" s="13">
        <v>178061.37</v>
      </c>
      <c r="F1476" s="486">
        <v>1.8706</v>
      </c>
      <c r="G1476"/>
      <c r="H1476" s="13">
        <v>178061.37</v>
      </c>
      <c r="I1476" s="13">
        <v>1.8706</v>
      </c>
      <c r="J1476">
        <v>13</v>
      </c>
      <c r="K1476" s="131">
        <v>45688</v>
      </c>
      <c r="M1476">
        <v>570</v>
      </c>
      <c r="N1476" t="s">
        <v>7292</v>
      </c>
    </row>
    <row r="1477" spans="1:14">
      <c r="A1477" t="s">
        <v>1746</v>
      </c>
      <c r="B1477" t="s">
        <v>1748</v>
      </c>
      <c r="C1477" t="s">
        <v>1744</v>
      </c>
      <c r="D1477" s="96">
        <v>95.76</v>
      </c>
      <c r="E1477" s="13">
        <v>120471.23</v>
      </c>
      <c r="F1477" s="486">
        <v>1.2581</v>
      </c>
      <c r="G1477"/>
      <c r="H1477" s="13">
        <v>120471.23</v>
      </c>
      <c r="I1477" s="13">
        <v>1.2581</v>
      </c>
      <c r="J1477">
        <v>13</v>
      </c>
      <c r="K1477" s="131">
        <v>45688</v>
      </c>
      <c r="M1477">
        <v>570</v>
      </c>
      <c r="N1477" t="s">
        <v>7293</v>
      </c>
    </row>
    <row r="1478" spans="1:14">
      <c r="A1478" t="s">
        <v>1746</v>
      </c>
      <c r="B1478" t="s">
        <v>1748</v>
      </c>
      <c r="C1478" t="s">
        <v>1744</v>
      </c>
      <c r="D1478" s="96">
        <v>95.76</v>
      </c>
      <c r="E1478" s="13">
        <v>120471.23</v>
      </c>
      <c r="F1478" s="486">
        <v>1.2581</v>
      </c>
      <c r="G1478"/>
      <c r="H1478" s="13">
        <v>120471.23</v>
      </c>
      <c r="I1478" s="13">
        <v>1.2581</v>
      </c>
      <c r="J1478">
        <v>13</v>
      </c>
      <c r="K1478" s="131">
        <v>45688</v>
      </c>
      <c r="M1478">
        <v>570</v>
      </c>
      <c r="N1478" t="s">
        <v>7293</v>
      </c>
    </row>
    <row r="1479" spans="1:14">
      <c r="A1479" t="s">
        <v>1746</v>
      </c>
      <c r="B1479" t="s">
        <v>1748</v>
      </c>
      <c r="C1479" t="s">
        <v>1744</v>
      </c>
      <c r="D1479" s="96">
        <v>95.76</v>
      </c>
      <c r="E1479" s="13">
        <v>120948.22</v>
      </c>
      <c r="F1479" s="486">
        <v>1.2629999999999999</v>
      </c>
      <c r="G1479"/>
      <c r="H1479" s="13">
        <v>120948.22</v>
      </c>
      <c r="I1479" s="13">
        <v>1.2629999999999999</v>
      </c>
      <c r="J1479">
        <v>13</v>
      </c>
      <c r="K1479" s="131">
        <v>45688</v>
      </c>
      <c r="M1479">
        <v>570</v>
      </c>
      <c r="N1479" t="s">
        <v>7294</v>
      </c>
    </row>
    <row r="1480" spans="1:14">
      <c r="A1480" t="s">
        <v>1746</v>
      </c>
      <c r="B1480" t="s">
        <v>1748</v>
      </c>
      <c r="C1480" t="s">
        <v>1744</v>
      </c>
      <c r="D1480" s="96">
        <v>95.76</v>
      </c>
      <c r="E1480" s="13">
        <v>120948.22</v>
      </c>
      <c r="F1480" s="486">
        <v>1.2629999999999999</v>
      </c>
      <c r="G1480"/>
      <c r="H1480" s="13">
        <v>120948.22</v>
      </c>
      <c r="I1480" s="13">
        <v>1.2629999999999999</v>
      </c>
      <c r="J1480">
        <v>13</v>
      </c>
      <c r="K1480" s="131">
        <v>45688</v>
      </c>
      <c r="M1480">
        <v>570</v>
      </c>
      <c r="N1480" t="s">
        <v>7294</v>
      </c>
    </row>
    <row r="1481" spans="1:14">
      <c r="A1481" t="s">
        <v>1746</v>
      </c>
      <c r="B1481" t="s">
        <v>1748</v>
      </c>
      <c r="C1481" t="s">
        <v>1744</v>
      </c>
      <c r="D1481" s="96">
        <v>95.76</v>
      </c>
      <c r="E1481" s="13">
        <v>128429.89</v>
      </c>
      <c r="F1481" s="486">
        <v>1.3411999999999999</v>
      </c>
      <c r="G1481"/>
      <c r="H1481" s="13">
        <v>128429.89</v>
      </c>
      <c r="I1481" s="13">
        <v>1.3411999999999999</v>
      </c>
      <c r="J1481">
        <v>13</v>
      </c>
      <c r="K1481" s="131">
        <v>45688</v>
      </c>
      <c r="M1481">
        <v>570</v>
      </c>
      <c r="N1481" t="s">
        <v>7295</v>
      </c>
    </row>
    <row r="1482" spans="1:14">
      <c r="A1482" t="s">
        <v>1746</v>
      </c>
      <c r="B1482" t="s">
        <v>1748</v>
      </c>
      <c r="C1482" t="s">
        <v>1744</v>
      </c>
      <c r="D1482" s="96">
        <v>95.76</v>
      </c>
      <c r="E1482" s="13">
        <v>128906.87</v>
      </c>
      <c r="F1482" s="486">
        <v>1.3461000000000001</v>
      </c>
      <c r="G1482"/>
      <c r="H1482" s="13">
        <v>128906.87</v>
      </c>
      <c r="I1482" s="13">
        <v>1.3461000000000001</v>
      </c>
      <c r="J1482">
        <v>13</v>
      </c>
      <c r="K1482" s="131">
        <v>45688</v>
      </c>
      <c r="M1482">
        <v>570</v>
      </c>
      <c r="N1482" t="s">
        <v>7296</v>
      </c>
    </row>
    <row r="1483" spans="1:14">
      <c r="A1483" t="s">
        <v>1746</v>
      </c>
      <c r="B1483" t="s">
        <v>7276</v>
      </c>
      <c r="C1483" t="s">
        <v>1744</v>
      </c>
      <c r="D1483" s="96">
        <v>95.76</v>
      </c>
      <c r="E1483" s="13">
        <v>178111.91</v>
      </c>
      <c r="F1483" s="486">
        <v>1.86</v>
      </c>
      <c r="G1483"/>
      <c r="H1483" s="13">
        <v>178111.91</v>
      </c>
      <c r="I1483" s="13">
        <v>1.86</v>
      </c>
      <c r="J1483">
        <v>13</v>
      </c>
      <c r="K1483" s="131">
        <v>45688</v>
      </c>
      <c r="M1483">
        <v>570</v>
      </c>
      <c r="N1483" t="s">
        <v>7297</v>
      </c>
    </row>
    <row r="1484" spans="1:14">
      <c r="A1484" t="s">
        <v>1746</v>
      </c>
      <c r="B1484" t="s">
        <v>7276</v>
      </c>
      <c r="C1484" t="s">
        <v>1744</v>
      </c>
      <c r="D1484" s="96">
        <v>95.76</v>
      </c>
      <c r="E1484" s="13">
        <v>178588.9</v>
      </c>
      <c r="F1484" s="486">
        <v>1.865</v>
      </c>
      <c r="G1484"/>
      <c r="H1484" s="13">
        <v>178588.9</v>
      </c>
      <c r="I1484" s="13">
        <v>1.865</v>
      </c>
      <c r="J1484">
        <v>13</v>
      </c>
      <c r="K1484" s="131">
        <v>45688</v>
      </c>
      <c r="M1484">
        <v>570</v>
      </c>
      <c r="N1484" t="s">
        <v>7298</v>
      </c>
    </row>
    <row r="1485" spans="1:14">
      <c r="A1485" t="s">
        <v>1746</v>
      </c>
      <c r="B1485" t="s">
        <v>6999</v>
      </c>
      <c r="C1485" t="s">
        <v>1744</v>
      </c>
      <c r="D1485" s="96">
        <v>95.85</v>
      </c>
      <c r="E1485" s="13">
        <v>171364.84</v>
      </c>
      <c r="F1485" s="486">
        <v>1.7878000000000001</v>
      </c>
      <c r="G1485"/>
      <c r="H1485" s="13">
        <v>171364.84</v>
      </c>
      <c r="I1485" s="13">
        <v>1.7878000000000001</v>
      </c>
      <c r="J1485">
        <v>13</v>
      </c>
      <c r="K1485" s="131">
        <v>45688</v>
      </c>
      <c r="M1485">
        <v>710</v>
      </c>
      <c r="N1485" t="s">
        <v>7299</v>
      </c>
    </row>
    <row r="1486" spans="1:14">
      <c r="A1486" t="s">
        <v>1746</v>
      </c>
      <c r="B1486" t="s">
        <v>1748</v>
      </c>
      <c r="C1486" t="s">
        <v>1744</v>
      </c>
      <c r="D1486" s="96">
        <v>96.33</v>
      </c>
      <c r="E1486" s="13">
        <v>121310.5</v>
      </c>
      <c r="F1486" s="486">
        <v>1.2593000000000001</v>
      </c>
      <c r="G1486"/>
      <c r="H1486" s="13">
        <v>121310.5</v>
      </c>
      <c r="I1486" s="13">
        <v>1.2593000000000001</v>
      </c>
      <c r="J1486">
        <v>13</v>
      </c>
      <c r="K1486" s="131">
        <v>45688</v>
      </c>
      <c r="M1486">
        <v>570</v>
      </c>
      <c r="N1486" t="s">
        <v>7300</v>
      </c>
    </row>
    <row r="1487" spans="1:14">
      <c r="A1487" t="s">
        <v>1746</v>
      </c>
      <c r="B1487" t="s">
        <v>1748</v>
      </c>
      <c r="C1487" t="s">
        <v>1744</v>
      </c>
      <c r="D1487" s="96">
        <v>96.33</v>
      </c>
      <c r="E1487" s="13">
        <v>121790.32</v>
      </c>
      <c r="F1487" s="486">
        <v>1.2643</v>
      </c>
      <c r="G1487"/>
      <c r="H1487" s="13">
        <v>121790.32</v>
      </c>
      <c r="I1487" s="13">
        <v>1.2643</v>
      </c>
      <c r="J1487">
        <v>13</v>
      </c>
      <c r="K1487" s="131">
        <v>45688</v>
      </c>
      <c r="M1487">
        <v>570</v>
      </c>
      <c r="N1487" t="s">
        <v>7301</v>
      </c>
    </row>
    <row r="1488" spans="1:14">
      <c r="A1488" t="s">
        <v>1746</v>
      </c>
      <c r="B1488" t="s">
        <v>1747</v>
      </c>
      <c r="C1488" t="s">
        <v>1744</v>
      </c>
      <c r="D1488" s="96">
        <v>96.33</v>
      </c>
      <c r="E1488" s="13">
        <v>125164.05</v>
      </c>
      <c r="F1488" s="486">
        <v>1.2992999999999999</v>
      </c>
      <c r="G1488"/>
      <c r="H1488" s="13">
        <v>125164.05</v>
      </c>
      <c r="I1488" s="13">
        <v>1.2992999999999999</v>
      </c>
      <c r="J1488">
        <v>13</v>
      </c>
      <c r="K1488" s="131">
        <v>45688</v>
      </c>
      <c r="M1488">
        <v>570</v>
      </c>
      <c r="N1488" t="s">
        <v>7302</v>
      </c>
    </row>
    <row r="1489" spans="1:14">
      <c r="A1489" t="s">
        <v>1746</v>
      </c>
      <c r="B1489" t="s">
        <v>1747</v>
      </c>
      <c r="C1489" t="s">
        <v>1744</v>
      </c>
      <c r="D1489" s="96">
        <v>96.33</v>
      </c>
      <c r="E1489" s="13">
        <v>125164.05</v>
      </c>
      <c r="F1489" s="486">
        <v>1.2992999999999999</v>
      </c>
      <c r="G1489"/>
      <c r="H1489" s="13">
        <v>125164.05</v>
      </c>
      <c r="I1489" s="13">
        <v>1.2992999999999999</v>
      </c>
      <c r="J1489">
        <v>13</v>
      </c>
      <c r="K1489" s="131">
        <v>45688</v>
      </c>
      <c r="M1489">
        <v>570</v>
      </c>
      <c r="N1489" t="s">
        <v>7302</v>
      </c>
    </row>
    <row r="1490" spans="1:14">
      <c r="A1490" t="s">
        <v>1746</v>
      </c>
      <c r="B1490" t="s">
        <v>1747</v>
      </c>
      <c r="C1490" t="s">
        <v>1744</v>
      </c>
      <c r="D1490" s="96">
        <v>96.33</v>
      </c>
      <c r="E1490" s="13">
        <v>125643.87</v>
      </c>
      <c r="F1490" s="486">
        <v>1.3043</v>
      </c>
      <c r="G1490"/>
      <c r="H1490" s="13">
        <v>125643.87</v>
      </c>
      <c r="I1490" s="13">
        <v>1.3043</v>
      </c>
      <c r="J1490">
        <v>13</v>
      </c>
      <c r="K1490" s="131">
        <v>45688</v>
      </c>
      <c r="M1490">
        <v>570</v>
      </c>
      <c r="N1490" t="s">
        <v>7303</v>
      </c>
    </row>
    <row r="1491" spans="1:14">
      <c r="A1491" t="s">
        <v>1746</v>
      </c>
      <c r="B1491" t="s">
        <v>1747</v>
      </c>
      <c r="C1491" t="s">
        <v>1744</v>
      </c>
      <c r="D1491" s="96">
        <v>96.33</v>
      </c>
      <c r="E1491" s="13">
        <v>125643.87</v>
      </c>
      <c r="F1491" s="486">
        <v>1.3043</v>
      </c>
      <c r="G1491"/>
      <c r="H1491" s="13">
        <v>125643.87</v>
      </c>
      <c r="I1491" s="13">
        <v>1.3043</v>
      </c>
      <c r="J1491">
        <v>13</v>
      </c>
      <c r="K1491" s="131">
        <v>45688</v>
      </c>
      <c r="M1491">
        <v>570</v>
      </c>
      <c r="N1491" t="s">
        <v>7303</v>
      </c>
    </row>
    <row r="1492" spans="1:14">
      <c r="A1492" t="s">
        <v>1746</v>
      </c>
      <c r="B1492" t="s">
        <v>7276</v>
      </c>
      <c r="C1492" t="s">
        <v>1744</v>
      </c>
      <c r="D1492" s="96">
        <v>96.33</v>
      </c>
      <c r="E1492" s="13">
        <v>180723.98</v>
      </c>
      <c r="F1492" s="486">
        <v>1.8761000000000001</v>
      </c>
      <c r="G1492"/>
      <c r="H1492" s="13">
        <v>180723.98</v>
      </c>
      <c r="I1492" s="13">
        <v>1.8761000000000001</v>
      </c>
      <c r="J1492">
        <v>13</v>
      </c>
      <c r="K1492" s="131">
        <v>45688</v>
      </c>
      <c r="M1492">
        <v>570</v>
      </c>
      <c r="N1492" t="s">
        <v>7304</v>
      </c>
    </row>
    <row r="1493" spans="1:14">
      <c r="A1493" t="s">
        <v>1746</v>
      </c>
      <c r="B1493" t="s">
        <v>7276</v>
      </c>
      <c r="C1493" t="s">
        <v>1744</v>
      </c>
      <c r="D1493" s="96">
        <v>96.33</v>
      </c>
      <c r="E1493" s="13">
        <v>181203.8</v>
      </c>
      <c r="F1493" s="486">
        <v>1.8811</v>
      </c>
      <c r="G1493"/>
      <c r="H1493" s="13">
        <v>181203.8</v>
      </c>
      <c r="I1493" s="13">
        <v>1.8811</v>
      </c>
      <c r="J1493">
        <v>13</v>
      </c>
      <c r="K1493" s="131">
        <v>45688</v>
      </c>
      <c r="M1493">
        <v>570</v>
      </c>
      <c r="N1493" t="s">
        <v>7305</v>
      </c>
    </row>
    <row r="1494" spans="1:14">
      <c r="A1494" t="s">
        <v>1746</v>
      </c>
      <c r="B1494" t="s">
        <v>6999</v>
      </c>
      <c r="C1494" t="s">
        <v>1744</v>
      </c>
      <c r="D1494" s="96">
        <v>96.56</v>
      </c>
      <c r="E1494" s="13">
        <v>172093</v>
      </c>
      <c r="F1494" s="486">
        <v>1.7822</v>
      </c>
      <c r="G1494"/>
      <c r="H1494" s="13">
        <v>172093</v>
      </c>
      <c r="I1494" s="13">
        <v>1.7822</v>
      </c>
      <c r="J1494">
        <v>13</v>
      </c>
      <c r="K1494" s="131">
        <v>45688</v>
      </c>
      <c r="M1494">
        <v>710</v>
      </c>
      <c r="N1494" t="s">
        <v>7306</v>
      </c>
    </row>
    <row r="1495" spans="1:14">
      <c r="A1495" t="s">
        <v>1746</v>
      </c>
      <c r="B1495" t="s">
        <v>1747</v>
      </c>
      <c r="C1495" t="s">
        <v>1744</v>
      </c>
      <c r="D1495" s="96">
        <v>96.9</v>
      </c>
      <c r="E1495" s="13">
        <v>125688.73</v>
      </c>
      <c r="F1495" s="486">
        <v>1.2970999999999999</v>
      </c>
      <c r="G1495"/>
      <c r="H1495" s="13">
        <v>125688.73</v>
      </c>
      <c r="I1495" s="13">
        <v>1.2970999999999999</v>
      </c>
      <c r="J1495">
        <v>13</v>
      </c>
      <c r="K1495" s="131">
        <v>45688</v>
      </c>
      <c r="M1495">
        <v>570</v>
      </c>
      <c r="N1495" t="s">
        <v>7307</v>
      </c>
    </row>
    <row r="1496" spans="1:14">
      <c r="A1496" t="s">
        <v>1746</v>
      </c>
      <c r="B1496" t="s">
        <v>1747</v>
      </c>
      <c r="C1496" t="s">
        <v>1744</v>
      </c>
      <c r="D1496" s="96">
        <v>96.9</v>
      </c>
      <c r="E1496" s="13">
        <v>126171.4</v>
      </c>
      <c r="F1496" s="486">
        <v>1.3021</v>
      </c>
      <c r="G1496"/>
      <c r="H1496" s="13">
        <v>126171.4</v>
      </c>
      <c r="I1496" s="13">
        <v>1.3021</v>
      </c>
      <c r="J1496">
        <v>13</v>
      </c>
      <c r="K1496" s="131">
        <v>45688</v>
      </c>
      <c r="M1496">
        <v>570</v>
      </c>
      <c r="N1496" t="s">
        <v>7308</v>
      </c>
    </row>
    <row r="1497" spans="1:14">
      <c r="A1497" t="s">
        <v>1746</v>
      </c>
      <c r="B1497" t="s">
        <v>7276</v>
      </c>
      <c r="C1497" t="s">
        <v>1744</v>
      </c>
      <c r="D1497" s="96">
        <v>96.9</v>
      </c>
      <c r="E1497" s="13">
        <v>181248.66</v>
      </c>
      <c r="F1497" s="486">
        <v>1.8705000000000001</v>
      </c>
      <c r="G1497"/>
      <c r="H1497" s="13">
        <v>181248.66</v>
      </c>
      <c r="I1497" s="13">
        <v>1.8705000000000001</v>
      </c>
      <c r="J1497">
        <v>13</v>
      </c>
      <c r="K1497" s="131">
        <v>45688</v>
      </c>
      <c r="M1497">
        <v>570</v>
      </c>
      <c r="N1497" t="s">
        <v>7309</v>
      </c>
    </row>
    <row r="1498" spans="1:14">
      <c r="A1498" t="s">
        <v>1746</v>
      </c>
      <c r="B1498" t="s">
        <v>7276</v>
      </c>
      <c r="C1498" t="s">
        <v>1744</v>
      </c>
      <c r="D1498" s="96">
        <v>96.9</v>
      </c>
      <c r="E1498" s="13">
        <v>181731.32</v>
      </c>
      <c r="F1498" s="486">
        <v>1.8754999999999999</v>
      </c>
      <c r="G1498"/>
      <c r="H1498" s="13">
        <v>181731.32</v>
      </c>
      <c r="I1498" s="13">
        <v>1.8754999999999999</v>
      </c>
      <c r="J1498">
        <v>13</v>
      </c>
      <c r="K1498" s="131">
        <v>45688</v>
      </c>
      <c r="M1498">
        <v>570</v>
      </c>
      <c r="N1498" t="s">
        <v>7310</v>
      </c>
    </row>
    <row r="1499" spans="1:14">
      <c r="A1499" t="s">
        <v>1746</v>
      </c>
      <c r="B1499" t="s">
        <v>7066</v>
      </c>
      <c r="C1499" t="s">
        <v>1744</v>
      </c>
      <c r="D1499" s="96">
        <v>97.27</v>
      </c>
      <c r="E1499" s="13">
        <v>174942.32</v>
      </c>
      <c r="F1499" s="486">
        <v>1.7985</v>
      </c>
      <c r="G1499"/>
      <c r="H1499" s="13">
        <v>174942.32</v>
      </c>
      <c r="I1499" s="13">
        <v>1.7985</v>
      </c>
      <c r="J1499">
        <v>13</v>
      </c>
      <c r="K1499" s="131">
        <v>45688</v>
      </c>
      <c r="M1499">
        <v>710</v>
      </c>
      <c r="N1499" t="s">
        <v>7311</v>
      </c>
    </row>
    <row r="1500" spans="1:14">
      <c r="A1500" t="s">
        <v>1746</v>
      </c>
      <c r="B1500" t="s">
        <v>1748</v>
      </c>
      <c r="C1500" t="s">
        <v>1744</v>
      </c>
      <c r="D1500" s="96">
        <v>97.47</v>
      </c>
      <c r="E1500" s="13">
        <v>122359.87</v>
      </c>
      <c r="F1500" s="486">
        <v>1.2554000000000001</v>
      </c>
      <c r="G1500"/>
      <c r="H1500" s="13">
        <v>122359.87</v>
      </c>
      <c r="I1500" s="13">
        <v>1.2554000000000001</v>
      </c>
      <c r="J1500">
        <v>13</v>
      </c>
      <c r="K1500" s="131">
        <v>45688</v>
      </c>
      <c r="M1500">
        <v>570</v>
      </c>
      <c r="N1500" t="s">
        <v>7312</v>
      </c>
    </row>
    <row r="1501" spans="1:14">
      <c r="A1501" t="s">
        <v>1746</v>
      </c>
      <c r="B1501" t="s">
        <v>1748</v>
      </c>
      <c r="C1501" t="s">
        <v>1744</v>
      </c>
      <c r="D1501" s="96">
        <v>97.47</v>
      </c>
      <c r="E1501" s="13">
        <v>122359.87</v>
      </c>
      <c r="F1501" s="486">
        <v>1.2554000000000001</v>
      </c>
      <c r="G1501"/>
      <c r="H1501" s="13">
        <v>122359.87</v>
      </c>
      <c r="I1501" s="13">
        <v>1.2554000000000001</v>
      </c>
      <c r="J1501">
        <v>13</v>
      </c>
      <c r="K1501" s="131">
        <v>45688</v>
      </c>
      <c r="M1501">
        <v>570</v>
      </c>
      <c r="N1501" t="s">
        <v>7312</v>
      </c>
    </row>
    <row r="1502" spans="1:14">
      <c r="A1502" t="s">
        <v>1746</v>
      </c>
      <c r="B1502" t="s">
        <v>1748</v>
      </c>
      <c r="C1502" t="s">
        <v>1744</v>
      </c>
      <c r="D1502" s="96">
        <v>97.47</v>
      </c>
      <c r="E1502" s="13">
        <v>122845.37</v>
      </c>
      <c r="F1502" s="486">
        <v>1.2603</v>
      </c>
      <c r="G1502"/>
      <c r="H1502" s="13">
        <v>122845.37</v>
      </c>
      <c r="I1502" s="13">
        <v>1.2603</v>
      </c>
      <c r="J1502">
        <v>13</v>
      </c>
      <c r="K1502" s="131">
        <v>45688</v>
      </c>
      <c r="M1502">
        <v>570</v>
      </c>
      <c r="N1502" t="s">
        <v>7313</v>
      </c>
    </row>
    <row r="1503" spans="1:14">
      <c r="A1503" t="s">
        <v>1746</v>
      </c>
      <c r="B1503" t="s">
        <v>1748</v>
      </c>
      <c r="C1503" t="s">
        <v>1744</v>
      </c>
      <c r="D1503" s="96">
        <v>97.47</v>
      </c>
      <c r="E1503" s="13">
        <v>122845.37</v>
      </c>
      <c r="F1503" s="486">
        <v>1.2603</v>
      </c>
      <c r="G1503"/>
      <c r="H1503" s="13">
        <v>122845.37</v>
      </c>
      <c r="I1503" s="13">
        <v>1.2603</v>
      </c>
      <c r="J1503">
        <v>13</v>
      </c>
      <c r="K1503" s="131">
        <v>45688</v>
      </c>
      <c r="M1503">
        <v>570</v>
      </c>
      <c r="N1503" t="s">
        <v>7313</v>
      </c>
    </row>
    <row r="1504" spans="1:14">
      <c r="A1504" t="s">
        <v>1746</v>
      </c>
      <c r="B1504" t="s">
        <v>7276</v>
      </c>
      <c r="C1504" t="s">
        <v>1744</v>
      </c>
      <c r="D1504" s="96">
        <v>97.47</v>
      </c>
      <c r="E1504" s="13">
        <v>181773.34</v>
      </c>
      <c r="F1504" s="486">
        <v>1.8649</v>
      </c>
      <c r="G1504"/>
      <c r="H1504" s="13">
        <v>181773.34</v>
      </c>
      <c r="I1504" s="13">
        <v>1.8649</v>
      </c>
      <c r="J1504">
        <v>13</v>
      </c>
      <c r="K1504" s="131">
        <v>45688</v>
      </c>
      <c r="M1504">
        <v>570</v>
      </c>
      <c r="N1504" t="s">
        <v>7314</v>
      </c>
    </row>
    <row r="1505" spans="1:14">
      <c r="A1505" t="s">
        <v>1746</v>
      </c>
      <c r="B1505" t="s">
        <v>7276</v>
      </c>
      <c r="C1505" t="s">
        <v>1744</v>
      </c>
      <c r="D1505" s="96">
        <v>97.47</v>
      </c>
      <c r="E1505" s="13">
        <v>182258.85</v>
      </c>
      <c r="F1505" s="486">
        <v>1.8698999999999999</v>
      </c>
      <c r="G1505"/>
      <c r="H1505" s="13">
        <v>182258.85</v>
      </c>
      <c r="I1505" s="13">
        <v>1.8698999999999999</v>
      </c>
      <c r="J1505">
        <v>13</v>
      </c>
      <c r="K1505" s="131">
        <v>45688</v>
      </c>
      <c r="M1505">
        <v>570</v>
      </c>
      <c r="N1505" t="s">
        <v>7315</v>
      </c>
    </row>
    <row r="1506" spans="1:14">
      <c r="A1506" t="s">
        <v>1746</v>
      </c>
      <c r="B1506" t="s">
        <v>7066</v>
      </c>
      <c r="C1506" t="s">
        <v>1744</v>
      </c>
      <c r="D1506" s="96">
        <v>97.98</v>
      </c>
      <c r="E1506" s="13">
        <v>175670.48</v>
      </c>
      <c r="F1506" s="486">
        <v>1.7928999999999999</v>
      </c>
      <c r="G1506"/>
      <c r="H1506" s="13">
        <v>175670.48</v>
      </c>
      <c r="I1506" s="13">
        <v>1.7928999999999999</v>
      </c>
      <c r="J1506">
        <v>13</v>
      </c>
      <c r="K1506" s="131">
        <v>45688</v>
      </c>
      <c r="M1506">
        <v>710</v>
      </c>
      <c r="N1506" t="s">
        <v>7316</v>
      </c>
    </row>
    <row r="1507" spans="1:14">
      <c r="A1507" t="s">
        <v>1746</v>
      </c>
      <c r="B1507" t="s">
        <v>1748</v>
      </c>
      <c r="C1507" t="s">
        <v>1744</v>
      </c>
      <c r="D1507" s="96">
        <v>98.04</v>
      </c>
      <c r="E1507" s="13">
        <v>122884.55</v>
      </c>
      <c r="F1507" s="486">
        <v>1.2534000000000001</v>
      </c>
      <c r="G1507"/>
      <c r="H1507" s="13">
        <v>122884.55</v>
      </c>
      <c r="I1507" s="13">
        <v>1.2534000000000001</v>
      </c>
      <c r="J1507">
        <v>13</v>
      </c>
      <c r="K1507" s="131">
        <v>45688</v>
      </c>
      <c r="M1507">
        <v>570</v>
      </c>
      <c r="N1507" t="s">
        <v>7317</v>
      </c>
    </row>
    <row r="1508" spans="1:14">
      <c r="A1508" t="s">
        <v>1746</v>
      </c>
      <c r="B1508" t="s">
        <v>1748</v>
      </c>
      <c r="C1508" t="s">
        <v>1744</v>
      </c>
      <c r="D1508" s="96">
        <v>98.04</v>
      </c>
      <c r="E1508" s="13">
        <v>123372.89</v>
      </c>
      <c r="F1508" s="486">
        <v>1.2584</v>
      </c>
      <c r="G1508"/>
      <c r="H1508" s="13">
        <v>123372.89</v>
      </c>
      <c r="I1508" s="13">
        <v>1.2584</v>
      </c>
      <c r="J1508">
        <v>13</v>
      </c>
      <c r="K1508" s="131">
        <v>45688</v>
      </c>
      <c r="M1508">
        <v>570</v>
      </c>
      <c r="N1508" t="s">
        <v>7318</v>
      </c>
    </row>
    <row r="1509" spans="1:14">
      <c r="A1509" t="s">
        <v>1746</v>
      </c>
      <c r="B1509" t="s">
        <v>1747</v>
      </c>
      <c r="C1509" t="s">
        <v>1744</v>
      </c>
      <c r="D1509" s="96">
        <v>98.04</v>
      </c>
      <c r="E1509" s="13">
        <v>126738.1</v>
      </c>
      <c r="F1509" s="486">
        <v>1.2927</v>
      </c>
      <c r="G1509"/>
      <c r="H1509" s="13">
        <v>126738.1</v>
      </c>
      <c r="I1509" s="13">
        <v>1.2927</v>
      </c>
      <c r="J1509">
        <v>13</v>
      </c>
      <c r="K1509" s="131">
        <v>45688</v>
      </c>
      <c r="M1509">
        <v>570</v>
      </c>
      <c r="N1509" t="s">
        <v>7319</v>
      </c>
    </row>
    <row r="1510" spans="1:14">
      <c r="A1510" t="s">
        <v>1746</v>
      </c>
      <c r="B1510" t="s">
        <v>1747</v>
      </c>
      <c r="C1510" t="s">
        <v>1744</v>
      </c>
      <c r="D1510" s="96">
        <v>98.04</v>
      </c>
      <c r="E1510" s="13">
        <v>126738.1</v>
      </c>
      <c r="F1510" s="486">
        <v>1.2927</v>
      </c>
      <c r="G1510"/>
      <c r="H1510" s="13">
        <v>126738.1</v>
      </c>
      <c r="I1510" s="13">
        <v>1.2927</v>
      </c>
      <c r="J1510">
        <v>13</v>
      </c>
      <c r="K1510" s="131">
        <v>45688</v>
      </c>
      <c r="M1510">
        <v>570</v>
      </c>
      <c r="N1510" t="s">
        <v>7319</v>
      </c>
    </row>
    <row r="1511" spans="1:14">
      <c r="A1511" t="s">
        <v>1746</v>
      </c>
      <c r="B1511" t="s">
        <v>1747</v>
      </c>
      <c r="C1511" t="s">
        <v>1744</v>
      </c>
      <c r="D1511" s="96">
        <v>98.04</v>
      </c>
      <c r="E1511" s="13">
        <v>127226.44</v>
      </c>
      <c r="F1511" s="486">
        <v>1.2977000000000001</v>
      </c>
      <c r="G1511"/>
      <c r="H1511" s="13">
        <v>127226.44</v>
      </c>
      <c r="I1511" s="13">
        <v>1.2977000000000001</v>
      </c>
      <c r="J1511">
        <v>13</v>
      </c>
      <c r="K1511" s="131">
        <v>45688</v>
      </c>
      <c r="M1511">
        <v>570</v>
      </c>
      <c r="N1511" t="s">
        <v>7320</v>
      </c>
    </row>
    <row r="1512" spans="1:14">
      <c r="A1512" t="s">
        <v>1746</v>
      </c>
      <c r="B1512" t="s">
        <v>1747</v>
      </c>
      <c r="C1512" t="s">
        <v>1744</v>
      </c>
      <c r="D1512" s="96">
        <v>98.04</v>
      </c>
      <c r="E1512" s="13">
        <v>127226.44</v>
      </c>
      <c r="F1512" s="486">
        <v>1.2977000000000001</v>
      </c>
      <c r="G1512"/>
      <c r="H1512" s="13">
        <v>127226.44</v>
      </c>
      <c r="I1512" s="13">
        <v>1.2977000000000001</v>
      </c>
      <c r="J1512">
        <v>13</v>
      </c>
      <c r="K1512" s="131">
        <v>45688</v>
      </c>
      <c r="M1512">
        <v>570</v>
      </c>
      <c r="N1512" t="s">
        <v>7320</v>
      </c>
    </row>
    <row r="1513" spans="1:14">
      <c r="A1513" t="s">
        <v>1746</v>
      </c>
      <c r="B1513" t="s">
        <v>7276</v>
      </c>
      <c r="C1513" t="s">
        <v>1744</v>
      </c>
      <c r="D1513" s="96">
        <v>98.04</v>
      </c>
      <c r="E1513" s="13">
        <v>182298.03</v>
      </c>
      <c r="F1513" s="486">
        <v>1.8593999999999999</v>
      </c>
      <c r="G1513"/>
      <c r="H1513" s="13">
        <v>182298.03</v>
      </c>
      <c r="I1513" s="13">
        <v>1.8593999999999999</v>
      </c>
      <c r="J1513">
        <v>13</v>
      </c>
      <c r="K1513" s="131">
        <v>45688</v>
      </c>
      <c r="M1513">
        <v>570</v>
      </c>
      <c r="N1513" t="s">
        <v>7321</v>
      </c>
    </row>
    <row r="1514" spans="1:14">
      <c r="A1514" t="s">
        <v>1746</v>
      </c>
      <c r="B1514" t="s">
        <v>7276</v>
      </c>
      <c r="C1514" t="s">
        <v>1744</v>
      </c>
      <c r="D1514" s="96">
        <v>98.04</v>
      </c>
      <c r="E1514" s="13">
        <v>182786.37</v>
      </c>
      <c r="F1514" s="486">
        <v>1.8644000000000001</v>
      </c>
      <c r="G1514"/>
      <c r="H1514" s="13">
        <v>182786.37</v>
      </c>
      <c r="I1514" s="13">
        <v>1.8644000000000001</v>
      </c>
      <c r="J1514">
        <v>13</v>
      </c>
      <c r="K1514" s="131">
        <v>45688</v>
      </c>
      <c r="M1514">
        <v>570</v>
      </c>
      <c r="N1514" t="s">
        <v>7322</v>
      </c>
    </row>
    <row r="1515" spans="1:14">
      <c r="A1515" t="s">
        <v>1746</v>
      </c>
      <c r="B1515" t="s">
        <v>1747</v>
      </c>
      <c r="C1515" t="s">
        <v>1744</v>
      </c>
      <c r="D1515" s="96">
        <v>98.61</v>
      </c>
      <c r="E1515" s="13">
        <v>127577.37</v>
      </c>
      <c r="F1515" s="486">
        <v>1.2938000000000001</v>
      </c>
      <c r="G1515"/>
      <c r="H1515" s="13">
        <v>127577.37</v>
      </c>
      <c r="I1515" s="13">
        <v>1.2938000000000001</v>
      </c>
      <c r="J1515">
        <v>13</v>
      </c>
      <c r="K1515" s="131">
        <v>45688</v>
      </c>
      <c r="M1515">
        <v>570</v>
      </c>
      <c r="N1515" t="s">
        <v>7323</v>
      </c>
    </row>
    <row r="1516" spans="1:14">
      <c r="A1516" t="s">
        <v>1746</v>
      </c>
      <c r="B1516" t="s">
        <v>1747</v>
      </c>
      <c r="C1516" t="s">
        <v>1744</v>
      </c>
      <c r="D1516" s="96">
        <v>98.61</v>
      </c>
      <c r="E1516" s="13">
        <v>127577.37</v>
      </c>
      <c r="F1516" s="486">
        <v>1.2938000000000001</v>
      </c>
      <c r="G1516"/>
      <c r="H1516" s="13">
        <v>127577.37</v>
      </c>
      <c r="I1516" s="13">
        <v>1.2938000000000001</v>
      </c>
      <c r="J1516">
        <v>13</v>
      </c>
      <c r="K1516" s="131">
        <v>45688</v>
      </c>
      <c r="M1516">
        <v>570</v>
      </c>
      <c r="N1516" t="s">
        <v>7323</v>
      </c>
    </row>
    <row r="1517" spans="1:14">
      <c r="A1517" t="s">
        <v>1746</v>
      </c>
      <c r="B1517" t="s">
        <v>1747</v>
      </c>
      <c r="C1517" t="s">
        <v>1744</v>
      </c>
      <c r="D1517" s="96">
        <v>98.61</v>
      </c>
      <c r="E1517" s="13">
        <v>128068.55</v>
      </c>
      <c r="F1517" s="486">
        <v>1.2987</v>
      </c>
      <c r="G1517"/>
      <c r="H1517" s="13">
        <v>128068.55</v>
      </c>
      <c r="I1517" s="13">
        <v>1.2987</v>
      </c>
      <c r="J1517">
        <v>13</v>
      </c>
      <c r="K1517" s="131">
        <v>45688</v>
      </c>
      <c r="M1517">
        <v>570</v>
      </c>
      <c r="N1517" t="s">
        <v>7324</v>
      </c>
    </row>
    <row r="1518" spans="1:14">
      <c r="A1518" t="s">
        <v>1746</v>
      </c>
      <c r="B1518" t="s">
        <v>1747</v>
      </c>
      <c r="C1518" t="s">
        <v>1744</v>
      </c>
      <c r="D1518" s="96">
        <v>98.61</v>
      </c>
      <c r="E1518" s="13">
        <v>128068.55</v>
      </c>
      <c r="F1518" s="486">
        <v>1.2987</v>
      </c>
      <c r="G1518"/>
      <c r="H1518" s="13">
        <v>128068.55</v>
      </c>
      <c r="I1518" s="13">
        <v>1.2987</v>
      </c>
      <c r="J1518">
        <v>13</v>
      </c>
      <c r="K1518" s="131">
        <v>45688</v>
      </c>
      <c r="M1518">
        <v>570</v>
      </c>
      <c r="N1518" t="s">
        <v>7324</v>
      </c>
    </row>
    <row r="1519" spans="1:14">
      <c r="A1519" t="s">
        <v>1746</v>
      </c>
      <c r="B1519" t="s">
        <v>7325</v>
      </c>
      <c r="C1519" t="s">
        <v>1744</v>
      </c>
      <c r="D1519" s="96">
        <v>98.61</v>
      </c>
      <c r="E1519" s="13">
        <v>184943.88</v>
      </c>
      <c r="F1519" s="486">
        <v>1.8754999999999999</v>
      </c>
      <c r="G1519"/>
      <c r="H1519" s="13">
        <v>184943.88</v>
      </c>
      <c r="I1519" s="13">
        <v>1.8754999999999999</v>
      </c>
      <c r="J1519">
        <v>13</v>
      </c>
      <c r="K1519" s="131">
        <v>45688</v>
      </c>
      <c r="M1519">
        <v>570</v>
      </c>
      <c r="N1519" t="s">
        <v>7326</v>
      </c>
    </row>
    <row r="1520" spans="1:14">
      <c r="A1520" t="s">
        <v>1746</v>
      </c>
      <c r="B1520" t="s">
        <v>7325</v>
      </c>
      <c r="C1520" t="s">
        <v>1744</v>
      </c>
      <c r="D1520" s="96">
        <v>98.61</v>
      </c>
      <c r="E1520" s="13">
        <v>185435.06</v>
      </c>
      <c r="F1520" s="486">
        <v>1.8805000000000001</v>
      </c>
      <c r="G1520"/>
      <c r="H1520" s="13">
        <v>185435.06</v>
      </c>
      <c r="I1520" s="13">
        <v>1.8805000000000001</v>
      </c>
      <c r="J1520">
        <v>13</v>
      </c>
      <c r="K1520" s="131">
        <v>45688</v>
      </c>
      <c r="M1520">
        <v>570</v>
      </c>
      <c r="N1520" t="s">
        <v>7327</v>
      </c>
    </row>
    <row r="1521" spans="1:14">
      <c r="A1521" t="s">
        <v>1746</v>
      </c>
      <c r="B1521" t="s">
        <v>7066</v>
      </c>
      <c r="C1521" t="s">
        <v>1744</v>
      </c>
      <c r="D1521" s="96">
        <v>98.69</v>
      </c>
      <c r="E1521" s="13">
        <v>176398.64</v>
      </c>
      <c r="F1521" s="486">
        <v>1.7874000000000001</v>
      </c>
      <c r="G1521"/>
      <c r="H1521" s="13">
        <v>176398.64</v>
      </c>
      <c r="I1521" s="13">
        <v>1.7874000000000001</v>
      </c>
      <c r="J1521">
        <v>13</v>
      </c>
      <c r="K1521" s="131">
        <v>45688</v>
      </c>
      <c r="M1521">
        <v>710</v>
      </c>
      <c r="N1521" t="s">
        <v>7328</v>
      </c>
    </row>
    <row r="1522" spans="1:14">
      <c r="A1522" t="s">
        <v>1746</v>
      </c>
      <c r="B1522" t="s">
        <v>1748</v>
      </c>
      <c r="C1522" t="s">
        <v>1744</v>
      </c>
      <c r="D1522" s="96">
        <v>99.18</v>
      </c>
      <c r="E1522" s="13">
        <v>124248.5</v>
      </c>
      <c r="F1522" s="486">
        <v>1.2527999999999999</v>
      </c>
      <c r="G1522"/>
      <c r="H1522" s="13">
        <v>124248.5</v>
      </c>
      <c r="I1522" s="13">
        <v>1.2527999999999999</v>
      </c>
      <c r="J1522">
        <v>13</v>
      </c>
      <c r="K1522" s="131">
        <v>45688</v>
      </c>
      <c r="M1522">
        <v>570</v>
      </c>
      <c r="N1522" t="s">
        <v>7329</v>
      </c>
    </row>
    <row r="1523" spans="1:14">
      <c r="A1523" t="s">
        <v>1746</v>
      </c>
      <c r="B1523" t="s">
        <v>1748</v>
      </c>
      <c r="C1523" t="s">
        <v>1744</v>
      </c>
      <c r="D1523" s="96">
        <v>99.18</v>
      </c>
      <c r="E1523" s="13">
        <v>124742.52</v>
      </c>
      <c r="F1523" s="486">
        <v>1.2577</v>
      </c>
      <c r="G1523"/>
      <c r="H1523" s="13">
        <v>124742.52</v>
      </c>
      <c r="I1523" s="13">
        <v>1.2577</v>
      </c>
      <c r="J1523">
        <v>13</v>
      </c>
      <c r="K1523" s="131">
        <v>45688</v>
      </c>
      <c r="M1523">
        <v>570</v>
      </c>
      <c r="N1523" t="s">
        <v>7330</v>
      </c>
    </row>
    <row r="1524" spans="1:14">
      <c r="A1524" t="s">
        <v>1746</v>
      </c>
      <c r="B1524" t="s">
        <v>1747</v>
      </c>
      <c r="C1524" t="s">
        <v>1744</v>
      </c>
      <c r="D1524" s="96">
        <v>99.18</v>
      </c>
      <c r="E1524" s="13">
        <v>128102.05</v>
      </c>
      <c r="F1524" s="486">
        <v>1.2916000000000001</v>
      </c>
      <c r="G1524"/>
      <c r="H1524" s="13">
        <v>128102.05</v>
      </c>
      <c r="I1524" s="13">
        <v>1.2916000000000001</v>
      </c>
      <c r="J1524">
        <v>13</v>
      </c>
      <c r="K1524" s="131">
        <v>45688</v>
      </c>
      <c r="M1524">
        <v>570</v>
      </c>
      <c r="N1524" t="s">
        <v>7331</v>
      </c>
    </row>
    <row r="1525" spans="1:14">
      <c r="A1525" t="s">
        <v>1746</v>
      </c>
      <c r="B1525" t="s">
        <v>1747</v>
      </c>
      <c r="C1525" t="s">
        <v>1744</v>
      </c>
      <c r="D1525" s="96">
        <v>99.18</v>
      </c>
      <c r="E1525" s="13">
        <v>128596.07</v>
      </c>
      <c r="F1525" s="486">
        <v>1.2966</v>
      </c>
      <c r="G1525"/>
      <c r="H1525" s="13">
        <v>128596.07</v>
      </c>
      <c r="I1525" s="13">
        <v>1.2966</v>
      </c>
      <c r="J1525">
        <v>13</v>
      </c>
      <c r="K1525" s="131">
        <v>45688</v>
      </c>
      <c r="M1525">
        <v>570</v>
      </c>
      <c r="N1525" t="s">
        <v>7332</v>
      </c>
    </row>
    <row r="1526" spans="1:14">
      <c r="A1526" t="s">
        <v>1746</v>
      </c>
      <c r="B1526" t="s">
        <v>7325</v>
      </c>
      <c r="C1526" t="s">
        <v>1744</v>
      </c>
      <c r="D1526" s="96">
        <v>99.18</v>
      </c>
      <c r="E1526" s="13">
        <v>185468.56</v>
      </c>
      <c r="F1526" s="486">
        <v>1.87</v>
      </c>
      <c r="G1526"/>
      <c r="H1526" s="13">
        <v>185468.56</v>
      </c>
      <c r="I1526" s="13">
        <v>1.87</v>
      </c>
      <c r="J1526">
        <v>13</v>
      </c>
      <c r="K1526" s="131">
        <v>45688</v>
      </c>
      <c r="M1526">
        <v>570</v>
      </c>
      <c r="N1526" t="s">
        <v>7333</v>
      </c>
    </row>
    <row r="1527" spans="1:14">
      <c r="A1527" t="s">
        <v>1746</v>
      </c>
      <c r="B1527" t="s">
        <v>7325</v>
      </c>
      <c r="C1527" t="s">
        <v>1744</v>
      </c>
      <c r="D1527" s="96">
        <v>99.18</v>
      </c>
      <c r="E1527" s="13">
        <v>185962.58</v>
      </c>
      <c r="F1527" s="486">
        <v>1.875</v>
      </c>
      <c r="G1527"/>
      <c r="H1527" s="13">
        <v>185962.58</v>
      </c>
      <c r="I1527" s="13">
        <v>1.875</v>
      </c>
      <c r="J1527">
        <v>13</v>
      </c>
      <c r="K1527" s="131">
        <v>45688</v>
      </c>
      <c r="M1527">
        <v>570</v>
      </c>
      <c r="N1527" t="s">
        <v>7334</v>
      </c>
    </row>
    <row r="1528" spans="1:14">
      <c r="A1528" t="s">
        <v>1746</v>
      </c>
      <c r="B1528" t="s">
        <v>7066</v>
      </c>
      <c r="C1528" t="s">
        <v>1744</v>
      </c>
      <c r="D1528" s="96">
        <v>99.4</v>
      </c>
      <c r="E1528" s="13">
        <v>177126.8</v>
      </c>
      <c r="F1528" s="486">
        <v>1.782</v>
      </c>
      <c r="G1528"/>
      <c r="H1528" s="13">
        <v>177126.8</v>
      </c>
      <c r="I1528" s="13">
        <v>1.782</v>
      </c>
      <c r="J1528">
        <v>13</v>
      </c>
      <c r="K1528" s="131">
        <v>45688</v>
      </c>
      <c r="M1528">
        <v>710</v>
      </c>
      <c r="N1528" t="s">
        <v>7335</v>
      </c>
    </row>
    <row r="1529" spans="1:14">
      <c r="A1529" t="s">
        <v>1746</v>
      </c>
      <c r="B1529" t="s">
        <v>1748</v>
      </c>
      <c r="C1529" t="s">
        <v>1744</v>
      </c>
      <c r="D1529" s="96">
        <v>99.75</v>
      </c>
      <c r="E1529" s="13">
        <v>124773.19</v>
      </c>
      <c r="F1529" s="486">
        <v>1.2508999999999999</v>
      </c>
      <c r="G1529"/>
      <c r="H1529" s="13">
        <v>124773.19</v>
      </c>
      <c r="I1529" s="13">
        <v>1.2508999999999999</v>
      </c>
      <c r="J1529">
        <v>13</v>
      </c>
      <c r="K1529" s="131">
        <v>45688</v>
      </c>
      <c r="M1529">
        <v>570</v>
      </c>
      <c r="N1529" t="s">
        <v>7336</v>
      </c>
    </row>
    <row r="1530" spans="1:14">
      <c r="A1530" t="s">
        <v>1746</v>
      </c>
      <c r="B1530" t="s">
        <v>1748</v>
      </c>
      <c r="C1530" t="s">
        <v>1744</v>
      </c>
      <c r="D1530" s="96">
        <v>99.75</v>
      </c>
      <c r="E1530" s="13">
        <v>125270.05</v>
      </c>
      <c r="F1530" s="486">
        <v>1.2558</v>
      </c>
      <c r="G1530"/>
      <c r="H1530" s="13">
        <v>125270.05</v>
      </c>
      <c r="I1530" s="13">
        <v>1.2558</v>
      </c>
      <c r="J1530">
        <v>13</v>
      </c>
      <c r="K1530" s="131">
        <v>45688</v>
      </c>
      <c r="M1530">
        <v>570</v>
      </c>
      <c r="N1530" t="s">
        <v>7337</v>
      </c>
    </row>
    <row r="1531" spans="1:14">
      <c r="A1531" t="s">
        <v>1746</v>
      </c>
      <c r="B1531" t="s">
        <v>1747</v>
      </c>
      <c r="C1531" t="s">
        <v>1744</v>
      </c>
      <c r="D1531" s="96">
        <v>99.75</v>
      </c>
      <c r="E1531" s="13">
        <v>128626.74</v>
      </c>
      <c r="F1531" s="486">
        <v>1.2895000000000001</v>
      </c>
      <c r="G1531"/>
      <c r="H1531" s="13">
        <v>128626.74</v>
      </c>
      <c r="I1531" s="13">
        <v>1.2895000000000001</v>
      </c>
      <c r="J1531">
        <v>13</v>
      </c>
      <c r="K1531" s="131">
        <v>45688</v>
      </c>
      <c r="M1531">
        <v>570</v>
      </c>
      <c r="N1531" t="s">
        <v>7338</v>
      </c>
    </row>
    <row r="1532" spans="1:14">
      <c r="A1532" t="s">
        <v>1746</v>
      </c>
      <c r="B1532" t="s">
        <v>1747</v>
      </c>
      <c r="C1532" t="s">
        <v>1744</v>
      </c>
      <c r="D1532" s="96">
        <v>99.75</v>
      </c>
      <c r="E1532" s="13">
        <v>128626.74</v>
      </c>
      <c r="F1532" s="486">
        <v>1.2895000000000001</v>
      </c>
      <c r="G1532"/>
      <c r="H1532" s="13">
        <v>128626.74</v>
      </c>
      <c r="I1532" s="13">
        <v>1.2895000000000001</v>
      </c>
      <c r="J1532">
        <v>13</v>
      </c>
      <c r="K1532" s="131">
        <v>45688</v>
      </c>
      <c r="M1532">
        <v>570</v>
      </c>
      <c r="N1532" t="s">
        <v>7338</v>
      </c>
    </row>
    <row r="1533" spans="1:14">
      <c r="A1533" t="s">
        <v>1746</v>
      </c>
      <c r="B1533" t="s">
        <v>1747</v>
      </c>
      <c r="C1533" t="s">
        <v>1744</v>
      </c>
      <c r="D1533" s="96">
        <v>99.75</v>
      </c>
      <c r="E1533" s="13">
        <v>129123.6</v>
      </c>
      <c r="F1533" s="486">
        <v>1.2945</v>
      </c>
      <c r="G1533"/>
      <c r="H1533" s="13">
        <v>129123.6</v>
      </c>
      <c r="I1533" s="13">
        <v>1.2945</v>
      </c>
      <c r="J1533">
        <v>13</v>
      </c>
      <c r="K1533" s="131">
        <v>45688</v>
      </c>
      <c r="M1533">
        <v>570</v>
      </c>
      <c r="N1533" t="s">
        <v>7339</v>
      </c>
    </row>
    <row r="1534" spans="1:14">
      <c r="A1534" t="s">
        <v>1746</v>
      </c>
      <c r="B1534" t="s">
        <v>1747</v>
      </c>
      <c r="C1534" t="s">
        <v>1744</v>
      </c>
      <c r="D1534" s="96">
        <v>99.75</v>
      </c>
      <c r="E1534" s="13">
        <v>129123.6</v>
      </c>
      <c r="F1534" s="486">
        <v>1.2945</v>
      </c>
      <c r="G1534"/>
      <c r="H1534" s="13">
        <v>129123.6</v>
      </c>
      <c r="I1534" s="13">
        <v>1.2945</v>
      </c>
      <c r="J1534">
        <v>13</v>
      </c>
      <c r="K1534" s="131">
        <v>45688</v>
      </c>
      <c r="M1534">
        <v>570</v>
      </c>
      <c r="N1534" t="s">
        <v>7339</v>
      </c>
    </row>
    <row r="1535" spans="1:14">
      <c r="A1535" t="s">
        <v>1746</v>
      </c>
      <c r="B1535" t="s">
        <v>7325</v>
      </c>
      <c r="C1535" t="s">
        <v>1744</v>
      </c>
      <c r="D1535" s="96">
        <v>99.75</v>
      </c>
      <c r="E1535" s="13">
        <v>185993.25</v>
      </c>
      <c r="F1535" s="486">
        <v>1.8646</v>
      </c>
      <c r="G1535"/>
      <c r="H1535" s="13">
        <v>185993.25</v>
      </c>
      <c r="I1535" s="13">
        <v>1.8646</v>
      </c>
      <c r="J1535">
        <v>13</v>
      </c>
      <c r="K1535" s="131">
        <v>45688</v>
      </c>
      <c r="M1535">
        <v>570</v>
      </c>
      <c r="N1535" t="s">
        <v>7340</v>
      </c>
    </row>
    <row r="1536" spans="1:14">
      <c r="A1536" t="s">
        <v>1746</v>
      </c>
      <c r="B1536" t="s">
        <v>7325</v>
      </c>
      <c r="C1536" t="s">
        <v>1744</v>
      </c>
      <c r="D1536" s="96">
        <v>99.75</v>
      </c>
      <c r="E1536" s="13">
        <v>186490.11</v>
      </c>
      <c r="F1536" s="486">
        <v>1.8695999999999999</v>
      </c>
      <c r="G1536"/>
      <c r="H1536" s="13">
        <v>186490.11</v>
      </c>
      <c r="I1536" s="13">
        <v>1.8695999999999999</v>
      </c>
      <c r="J1536">
        <v>13</v>
      </c>
      <c r="K1536" s="131">
        <v>45688</v>
      </c>
      <c r="M1536">
        <v>570</v>
      </c>
      <c r="N1536" t="s">
        <v>7341</v>
      </c>
    </row>
    <row r="1537" spans="1:14">
      <c r="A1537" t="s">
        <v>1746</v>
      </c>
      <c r="B1537" t="s">
        <v>7103</v>
      </c>
      <c r="C1537" t="s">
        <v>1744</v>
      </c>
      <c r="D1537" s="96">
        <v>100.11</v>
      </c>
      <c r="E1537" s="13">
        <v>179976.13</v>
      </c>
      <c r="F1537" s="486">
        <v>1.7978000000000001</v>
      </c>
      <c r="G1537"/>
      <c r="H1537" s="13">
        <v>179976.13</v>
      </c>
      <c r="I1537" s="13">
        <v>1.7978000000000001</v>
      </c>
      <c r="J1537">
        <v>13</v>
      </c>
      <c r="K1537" s="131">
        <v>45688</v>
      </c>
      <c r="M1537">
        <v>710</v>
      </c>
      <c r="N1537" t="s">
        <v>7342</v>
      </c>
    </row>
    <row r="1538" spans="1:14">
      <c r="A1538" t="s">
        <v>1746</v>
      </c>
      <c r="B1538" t="s">
        <v>1747</v>
      </c>
      <c r="C1538" t="s">
        <v>1744</v>
      </c>
      <c r="D1538" s="96">
        <v>100.32</v>
      </c>
      <c r="E1538" s="13">
        <v>129151.42</v>
      </c>
      <c r="F1538" s="486">
        <v>1.2874000000000001</v>
      </c>
      <c r="G1538"/>
      <c r="H1538" s="13">
        <v>129151.42</v>
      </c>
      <c r="I1538" s="13">
        <v>1.2874000000000001</v>
      </c>
      <c r="J1538">
        <v>13</v>
      </c>
      <c r="K1538" s="131">
        <v>45688</v>
      </c>
      <c r="M1538">
        <v>570</v>
      </c>
      <c r="N1538" t="s">
        <v>7343</v>
      </c>
    </row>
    <row r="1539" spans="1:14">
      <c r="A1539" t="s">
        <v>1746</v>
      </c>
      <c r="B1539" t="s">
        <v>1747</v>
      </c>
      <c r="C1539" t="s">
        <v>1744</v>
      </c>
      <c r="D1539" s="96">
        <v>100.32</v>
      </c>
      <c r="E1539" s="13">
        <v>129151.42</v>
      </c>
      <c r="F1539" s="486">
        <v>1.2874000000000001</v>
      </c>
      <c r="G1539"/>
      <c r="H1539" s="13">
        <v>129151.42</v>
      </c>
      <c r="I1539" s="13">
        <v>1.2874000000000001</v>
      </c>
      <c r="J1539">
        <v>13</v>
      </c>
      <c r="K1539" s="131">
        <v>45688</v>
      </c>
      <c r="M1539">
        <v>570</v>
      </c>
      <c r="N1539" t="s">
        <v>7343</v>
      </c>
    </row>
    <row r="1540" spans="1:14">
      <c r="A1540" t="s">
        <v>1746</v>
      </c>
      <c r="B1540" t="s">
        <v>1747</v>
      </c>
      <c r="C1540" t="s">
        <v>1744</v>
      </c>
      <c r="D1540" s="96">
        <v>100.32</v>
      </c>
      <c r="E1540" s="13">
        <v>129651.12</v>
      </c>
      <c r="F1540" s="486">
        <v>1.2924</v>
      </c>
      <c r="G1540"/>
      <c r="H1540" s="13">
        <v>129651.12</v>
      </c>
      <c r="I1540" s="13">
        <v>1.2924</v>
      </c>
      <c r="J1540">
        <v>13</v>
      </c>
      <c r="K1540" s="131">
        <v>45688</v>
      </c>
      <c r="M1540">
        <v>570</v>
      </c>
      <c r="N1540" t="s">
        <v>7344</v>
      </c>
    </row>
    <row r="1541" spans="1:14">
      <c r="A1541" t="s">
        <v>1746</v>
      </c>
      <c r="B1541" t="s">
        <v>1747</v>
      </c>
      <c r="C1541" t="s">
        <v>1744</v>
      </c>
      <c r="D1541" s="96">
        <v>100.32</v>
      </c>
      <c r="E1541" s="13">
        <v>129651.12</v>
      </c>
      <c r="F1541" s="486">
        <v>1.2924</v>
      </c>
      <c r="G1541"/>
      <c r="H1541" s="13">
        <v>129651.12</v>
      </c>
      <c r="I1541" s="13">
        <v>1.2924</v>
      </c>
      <c r="J1541">
        <v>13</v>
      </c>
      <c r="K1541" s="131">
        <v>45688</v>
      </c>
      <c r="M1541">
        <v>570</v>
      </c>
      <c r="N1541" t="s">
        <v>7344</v>
      </c>
    </row>
    <row r="1542" spans="1:14">
      <c r="A1542" t="s">
        <v>1746</v>
      </c>
      <c r="B1542" t="s">
        <v>7325</v>
      </c>
      <c r="C1542" t="s">
        <v>1744</v>
      </c>
      <c r="D1542" s="96">
        <v>100.32</v>
      </c>
      <c r="E1542" s="13">
        <v>186517.93</v>
      </c>
      <c r="F1542" s="486">
        <v>1.8592</v>
      </c>
      <c r="G1542"/>
      <c r="H1542" s="13">
        <v>186517.93</v>
      </c>
      <c r="I1542" s="13">
        <v>1.8592</v>
      </c>
      <c r="J1542">
        <v>13</v>
      </c>
      <c r="K1542" s="131">
        <v>45688</v>
      </c>
      <c r="M1542">
        <v>570</v>
      </c>
      <c r="N1542" t="s">
        <v>7345</v>
      </c>
    </row>
    <row r="1543" spans="1:14">
      <c r="A1543" t="s">
        <v>1746</v>
      </c>
      <c r="B1543" t="s">
        <v>7325</v>
      </c>
      <c r="C1543" t="s">
        <v>1744</v>
      </c>
      <c r="D1543" s="96">
        <v>100.32</v>
      </c>
      <c r="E1543" s="13">
        <v>187017.63</v>
      </c>
      <c r="F1543" s="486">
        <v>1.8642000000000001</v>
      </c>
      <c r="G1543"/>
      <c r="H1543" s="13">
        <v>187017.63</v>
      </c>
      <c r="I1543" s="13">
        <v>1.8642000000000001</v>
      </c>
      <c r="J1543">
        <v>13</v>
      </c>
      <c r="K1543" s="131">
        <v>45688</v>
      </c>
      <c r="M1543">
        <v>570</v>
      </c>
      <c r="N1543" t="s">
        <v>7346</v>
      </c>
    </row>
    <row r="1544" spans="1:14">
      <c r="A1544" t="s">
        <v>1746</v>
      </c>
      <c r="B1544" t="s">
        <v>7103</v>
      </c>
      <c r="C1544" t="s">
        <v>1744</v>
      </c>
      <c r="D1544" s="96">
        <v>100.82</v>
      </c>
      <c r="E1544" s="13">
        <v>180704.29</v>
      </c>
      <c r="F1544" s="486">
        <v>1.7923</v>
      </c>
      <c r="G1544"/>
      <c r="H1544" s="13">
        <v>180704.29</v>
      </c>
      <c r="I1544" s="13">
        <v>1.7923</v>
      </c>
      <c r="J1544">
        <v>13</v>
      </c>
      <c r="K1544" s="131">
        <v>45688</v>
      </c>
      <c r="M1544">
        <v>710</v>
      </c>
      <c r="N1544" t="s">
        <v>7347</v>
      </c>
    </row>
    <row r="1545" spans="1:14">
      <c r="A1545" t="s">
        <v>1746</v>
      </c>
      <c r="B1545" t="s">
        <v>1748</v>
      </c>
      <c r="C1545" t="s">
        <v>1744</v>
      </c>
      <c r="D1545" s="96">
        <v>100.89</v>
      </c>
      <c r="E1545" s="13">
        <v>126137.14</v>
      </c>
      <c r="F1545" s="486">
        <v>1.2502</v>
      </c>
      <c r="G1545"/>
      <c r="H1545" s="13">
        <v>126137.14</v>
      </c>
      <c r="I1545" s="13">
        <v>1.2502</v>
      </c>
      <c r="J1545">
        <v>13</v>
      </c>
      <c r="K1545" s="131">
        <v>45688</v>
      </c>
      <c r="M1545">
        <v>570</v>
      </c>
      <c r="N1545" t="s">
        <v>7348</v>
      </c>
    </row>
    <row r="1546" spans="1:14">
      <c r="A1546" t="s">
        <v>1746</v>
      </c>
      <c r="B1546" t="s">
        <v>1748</v>
      </c>
      <c r="C1546" t="s">
        <v>1744</v>
      </c>
      <c r="D1546" s="96">
        <v>100.89</v>
      </c>
      <c r="E1546" s="13">
        <v>126639.67999999999</v>
      </c>
      <c r="F1546" s="486">
        <v>1.2552000000000001</v>
      </c>
      <c r="G1546"/>
      <c r="H1546" s="13">
        <v>126639.67999999999</v>
      </c>
      <c r="I1546" s="13">
        <v>1.2552000000000001</v>
      </c>
      <c r="J1546">
        <v>13</v>
      </c>
      <c r="K1546" s="131">
        <v>45688</v>
      </c>
      <c r="M1546">
        <v>570</v>
      </c>
      <c r="N1546" t="s">
        <v>7349</v>
      </c>
    </row>
    <row r="1547" spans="1:14">
      <c r="A1547" t="s">
        <v>1746</v>
      </c>
      <c r="B1547" t="s">
        <v>1747</v>
      </c>
      <c r="C1547" t="s">
        <v>1744</v>
      </c>
      <c r="D1547" s="96">
        <v>100.89</v>
      </c>
      <c r="E1547" s="13">
        <v>129990.69</v>
      </c>
      <c r="F1547" s="486">
        <v>1.2884</v>
      </c>
      <c r="G1547"/>
      <c r="H1547" s="13">
        <v>129990.69</v>
      </c>
      <c r="I1547" s="13">
        <v>1.2884</v>
      </c>
      <c r="J1547">
        <v>13</v>
      </c>
      <c r="K1547" s="131">
        <v>45688</v>
      </c>
      <c r="M1547">
        <v>570</v>
      </c>
      <c r="N1547" t="s">
        <v>7350</v>
      </c>
    </row>
    <row r="1548" spans="1:14">
      <c r="A1548" t="s">
        <v>1746</v>
      </c>
      <c r="B1548" t="s">
        <v>1747</v>
      </c>
      <c r="C1548" t="s">
        <v>1744</v>
      </c>
      <c r="D1548" s="96">
        <v>100.89</v>
      </c>
      <c r="E1548" s="13">
        <v>130493.23</v>
      </c>
      <c r="F1548" s="486">
        <v>1.2934000000000001</v>
      </c>
      <c r="G1548"/>
      <c r="H1548" s="13">
        <v>130493.23</v>
      </c>
      <c r="I1548" s="13">
        <v>1.2934000000000001</v>
      </c>
      <c r="J1548">
        <v>13</v>
      </c>
      <c r="K1548" s="131">
        <v>45688</v>
      </c>
      <c r="M1548">
        <v>570</v>
      </c>
      <c r="N1548" t="s">
        <v>7351</v>
      </c>
    </row>
    <row r="1549" spans="1:14">
      <c r="A1549" t="s">
        <v>1746</v>
      </c>
      <c r="B1549" t="s">
        <v>7352</v>
      </c>
      <c r="C1549" t="s">
        <v>1744</v>
      </c>
      <c r="D1549" s="96">
        <v>100.89</v>
      </c>
      <c r="E1549" s="13">
        <v>189163.78</v>
      </c>
      <c r="F1549" s="486">
        <v>1.875</v>
      </c>
      <c r="G1549"/>
      <c r="H1549" s="13">
        <v>189163.78</v>
      </c>
      <c r="I1549" s="13">
        <v>1.875</v>
      </c>
      <c r="J1549">
        <v>13</v>
      </c>
      <c r="K1549" s="131">
        <v>45688</v>
      </c>
      <c r="M1549">
        <v>570</v>
      </c>
      <c r="N1549" t="s">
        <v>7353</v>
      </c>
    </row>
    <row r="1550" spans="1:14">
      <c r="A1550" t="s">
        <v>1746</v>
      </c>
      <c r="B1550" t="s">
        <v>7352</v>
      </c>
      <c r="C1550" t="s">
        <v>1744</v>
      </c>
      <c r="D1550" s="96">
        <v>100.89</v>
      </c>
      <c r="E1550" s="13">
        <v>189666.32</v>
      </c>
      <c r="F1550" s="486">
        <v>1.8798999999999999</v>
      </c>
      <c r="G1550"/>
      <c r="H1550" s="13">
        <v>189666.32</v>
      </c>
      <c r="I1550" s="13">
        <v>1.8798999999999999</v>
      </c>
      <c r="J1550">
        <v>13</v>
      </c>
      <c r="K1550" s="131">
        <v>45688</v>
      </c>
      <c r="M1550">
        <v>570</v>
      </c>
      <c r="N1550" t="s">
        <v>7354</v>
      </c>
    </row>
    <row r="1551" spans="1:14">
      <c r="A1551" t="s">
        <v>1746</v>
      </c>
      <c r="B1551" t="s">
        <v>1748</v>
      </c>
      <c r="C1551" t="s">
        <v>1744</v>
      </c>
      <c r="D1551" s="96">
        <v>101.46</v>
      </c>
      <c r="E1551" s="13">
        <v>126661.82</v>
      </c>
      <c r="F1551" s="486">
        <v>1.2484</v>
      </c>
      <c r="G1551"/>
      <c r="H1551" s="13">
        <v>126661.82</v>
      </c>
      <c r="I1551" s="13">
        <v>1.2484</v>
      </c>
      <c r="J1551">
        <v>13</v>
      </c>
      <c r="K1551" s="131">
        <v>45688</v>
      </c>
      <c r="M1551">
        <v>570</v>
      </c>
      <c r="N1551" t="s">
        <v>7355</v>
      </c>
    </row>
    <row r="1552" spans="1:14">
      <c r="A1552" t="s">
        <v>1746</v>
      </c>
      <c r="B1552" t="s">
        <v>1748</v>
      </c>
      <c r="C1552" t="s">
        <v>1744</v>
      </c>
      <c r="D1552" s="96">
        <v>101.46</v>
      </c>
      <c r="E1552" s="13">
        <v>127167.2</v>
      </c>
      <c r="F1552" s="486">
        <v>1.2534000000000001</v>
      </c>
      <c r="G1552"/>
      <c r="H1552" s="13">
        <v>127167.2</v>
      </c>
      <c r="I1552" s="13">
        <v>1.2534000000000001</v>
      </c>
      <c r="J1552">
        <v>13</v>
      </c>
      <c r="K1552" s="131">
        <v>45688</v>
      </c>
      <c r="M1552">
        <v>570</v>
      </c>
      <c r="N1552" t="s">
        <v>7356</v>
      </c>
    </row>
    <row r="1553" spans="1:14">
      <c r="A1553" t="s">
        <v>1746</v>
      </c>
      <c r="B1553" t="s">
        <v>1747</v>
      </c>
      <c r="C1553" t="s">
        <v>1744</v>
      </c>
      <c r="D1553" s="96">
        <v>101.46</v>
      </c>
      <c r="E1553" s="13">
        <v>130515.37</v>
      </c>
      <c r="F1553" s="486">
        <v>1.2864</v>
      </c>
      <c r="G1553"/>
      <c r="H1553" s="13">
        <v>130515.37</v>
      </c>
      <c r="I1553" s="13">
        <v>1.2864</v>
      </c>
      <c r="J1553">
        <v>13</v>
      </c>
      <c r="K1553" s="131">
        <v>45688</v>
      </c>
      <c r="M1553">
        <v>570</v>
      </c>
      <c r="N1553" t="s">
        <v>7357</v>
      </c>
    </row>
    <row r="1554" spans="1:14">
      <c r="A1554" t="s">
        <v>1746</v>
      </c>
      <c r="B1554" t="s">
        <v>1747</v>
      </c>
      <c r="C1554" t="s">
        <v>1744</v>
      </c>
      <c r="D1554" s="96">
        <v>101.46</v>
      </c>
      <c r="E1554" s="13">
        <v>130515.37</v>
      </c>
      <c r="F1554" s="486">
        <v>1.2864</v>
      </c>
      <c r="G1554"/>
      <c r="H1554" s="13">
        <v>130515.37</v>
      </c>
      <c r="I1554" s="13">
        <v>1.2864</v>
      </c>
      <c r="J1554">
        <v>13</v>
      </c>
      <c r="K1554" s="131">
        <v>45688</v>
      </c>
      <c r="M1554">
        <v>570</v>
      </c>
      <c r="N1554" t="s">
        <v>7357</v>
      </c>
    </row>
    <row r="1555" spans="1:14">
      <c r="A1555" t="s">
        <v>1746</v>
      </c>
      <c r="B1555" t="s">
        <v>1747</v>
      </c>
      <c r="C1555" t="s">
        <v>1744</v>
      </c>
      <c r="D1555" s="96">
        <v>101.46</v>
      </c>
      <c r="E1555" s="13">
        <v>131020.75</v>
      </c>
      <c r="F1555" s="486">
        <v>1.2914000000000001</v>
      </c>
      <c r="G1555"/>
      <c r="H1555" s="13">
        <v>131020.75</v>
      </c>
      <c r="I1555" s="13">
        <v>1.2914000000000001</v>
      </c>
      <c r="J1555">
        <v>13</v>
      </c>
      <c r="K1555" s="131">
        <v>45688</v>
      </c>
      <c r="M1555">
        <v>570</v>
      </c>
      <c r="N1555" t="s">
        <v>7358</v>
      </c>
    </row>
    <row r="1556" spans="1:14">
      <c r="A1556" t="s">
        <v>1746</v>
      </c>
      <c r="B1556" t="s">
        <v>1747</v>
      </c>
      <c r="C1556" t="s">
        <v>1744</v>
      </c>
      <c r="D1556" s="96">
        <v>101.46</v>
      </c>
      <c r="E1556" s="13">
        <v>131020.75</v>
      </c>
      <c r="F1556" s="486">
        <v>1.2914000000000001</v>
      </c>
      <c r="G1556"/>
      <c r="H1556" s="13">
        <v>131020.75</v>
      </c>
      <c r="I1556" s="13">
        <v>1.2914000000000001</v>
      </c>
      <c r="J1556">
        <v>13</v>
      </c>
      <c r="K1556" s="131">
        <v>45688</v>
      </c>
      <c r="M1556">
        <v>570</v>
      </c>
      <c r="N1556" t="s">
        <v>7358</v>
      </c>
    </row>
    <row r="1557" spans="1:14">
      <c r="A1557" t="s">
        <v>1746</v>
      </c>
      <c r="B1557" t="s">
        <v>7352</v>
      </c>
      <c r="C1557" t="s">
        <v>1744</v>
      </c>
      <c r="D1557" s="96">
        <v>101.46</v>
      </c>
      <c r="E1557" s="13">
        <v>189688.47</v>
      </c>
      <c r="F1557" s="486">
        <v>1.8695999999999999</v>
      </c>
      <c r="G1557"/>
      <c r="H1557" s="13">
        <v>189688.47</v>
      </c>
      <c r="I1557" s="13">
        <v>1.8695999999999999</v>
      </c>
      <c r="J1557">
        <v>13</v>
      </c>
      <c r="K1557" s="131">
        <v>45688</v>
      </c>
      <c r="M1557">
        <v>570</v>
      </c>
      <c r="N1557" t="s">
        <v>7359</v>
      </c>
    </row>
    <row r="1558" spans="1:14">
      <c r="A1558" t="s">
        <v>1746</v>
      </c>
      <c r="B1558" t="s">
        <v>7352</v>
      </c>
      <c r="C1558" t="s">
        <v>1744</v>
      </c>
      <c r="D1558" s="96">
        <v>101.46</v>
      </c>
      <c r="E1558" s="13">
        <v>190193.84</v>
      </c>
      <c r="F1558" s="486">
        <v>1.8746</v>
      </c>
      <c r="G1558"/>
      <c r="H1558" s="13">
        <v>190193.84</v>
      </c>
      <c r="I1558" s="13">
        <v>1.8746</v>
      </c>
      <c r="J1558">
        <v>13</v>
      </c>
      <c r="K1558" s="131">
        <v>45688</v>
      </c>
      <c r="M1558">
        <v>570</v>
      </c>
      <c r="N1558" t="s">
        <v>7360</v>
      </c>
    </row>
    <row r="1559" spans="1:14">
      <c r="A1559" t="s">
        <v>1746</v>
      </c>
      <c r="B1559" t="s">
        <v>7103</v>
      </c>
      <c r="C1559" t="s">
        <v>1744</v>
      </c>
      <c r="D1559" s="96">
        <v>101.53</v>
      </c>
      <c r="E1559" s="13">
        <v>181432.45</v>
      </c>
      <c r="F1559" s="486">
        <v>1.7869999999999999</v>
      </c>
      <c r="G1559"/>
      <c r="H1559" s="13">
        <v>181432.45</v>
      </c>
      <c r="I1559" s="13">
        <v>1.7869999999999999</v>
      </c>
      <c r="J1559">
        <v>13</v>
      </c>
      <c r="K1559" s="131">
        <v>45688</v>
      </c>
      <c r="M1559">
        <v>710</v>
      </c>
      <c r="N1559" t="s">
        <v>7361</v>
      </c>
    </row>
    <row r="1560" spans="1:14">
      <c r="A1560" t="s">
        <v>1746</v>
      </c>
      <c r="B1560" t="s">
        <v>1747</v>
      </c>
      <c r="C1560" t="s">
        <v>1744</v>
      </c>
      <c r="D1560" s="96">
        <v>102.03</v>
      </c>
      <c r="E1560" s="13">
        <v>131040.06</v>
      </c>
      <c r="F1560" s="486">
        <v>1.2843</v>
      </c>
      <c r="G1560"/>
      <c r="H1560" s="13">
        <v>131040.06</v>
      </c>
      <c r="I1560" s="13">
        <v>1.2843</v>
      </c>
      <c r="J1560">
        <v>13</v>
      </c>
      <c r="K1560" s="131">
        <v>45688</v>
      </c>
      <c r="M1560">
        <v>570</v>
      </c>
      <c r="N1560" t="s">
        <v>7362</v>
      </c>
    </row>
    <row r="1561" spans="1:14">
      <c r="A1561" t="s">
        <v>1746</v>
      </c>
      <c r="B1561" t="s">
        <v>1747</v>
      </c>
      <c r="C1561" t="s">
        <v>1744</v>
      </c>
      <c r="D1561" s="96">
        <v>102.03</v>
      </c>
      <c r="E1561" s="13">
        <v>131040.06</v>
      </c>
      <c r="F1561" s="486">
        <v>1.2843</v>
      </c>
      <c r="G1561"/>
      <c r="H1561" s="13">
        <v>131040.06</v>
      </c>
      <c r="I1561" s="13">
        <v>1.2843</v>
      </c>
      <c r="J1561">
        <v>13</v>
      </c>
      <c r="K1561" s="131">
        <v>45688</v>
      </c>
      <c r="M1561">
        <v>570</v>
      </c>
      <c r="N1561" t="s">
        <v>7362</v>
      </c>
    </row>
    <row r="1562" spans="1:14">
      <c r="A1562" t="s">
        <v>1746</v>
      </c>
      <c r="B1562" t="s">
        <v>1747</v>
      </c>
      <c r="C1562" t="s">
        <v>1744</v>
      </c>
      <c r="D1562" s="96">
        <v>102.03</v>
      </c>
      <c r="E1562" s="13">
        <v>131548.28</v>
      </c>
      <c r="F1562" s="486">
        <v>1.2892999999999999</v>
      </c>
      <c r="G1562"/>
      <c r="H1562" s="13">
        <v>131548.28</v>
      </c>
      <c r="I1562" s="13">
        <v>1.2892999999999999</v>
      </c>
      <c r="J1562">
        <v>13</v>
      </c>
      <c r="K1562" s="131">
        <v>45688</v>
      </c>
      <c r="M1562">
        <v>570</v>
      </c>
      <c r="N1562" t="s">
        <v>7363</v>
      </c>
    </row>
    <row r="1563" spans="1:14">
      <c r="A1563" t="s">
        <v>1746</v>
      </c>
      <c r="B1563" t="s">
        <v>1747</v>
      </c>
      <c r="C1563" t="s">
        <v>1744</v>
      </c>
      <c r="D1563" s="96">
        <v>102.03</v>
      </c>
      <c r="E1563" s="13">
        <v>131548.28</v>
      </c>
      <c r="F1563" s="486">
        <v>1.2892999999999999</v>
      </c>
      <c r="G1563"/>
      <c r="H1563" s="13">
        <v>131548.28</v>
      </c>
      <c r="I1563" s="13">
        <v>1.2892999999999999</v>
      </c>
      <c r="J1563">
        <v>13</v>
      </c>
      <c r="K1563" s="131">
        <v>45688</v>
      </c>
      <c r="M1563">
        <v>570</v>
      </c>
      <c r="N1563" t="s">
        <v>7363</v>
      </c>
    </row>
    <row r="1564" spans="1:14">
      <c r="A1564" t="s">
        <v>1746</v>
      </c>
      <c r="B1564" t="s">
        <v>7352</v>
      </c>
      <c r="C1564" t="s">
        <v>1744</v>
      </c>
      <c r="D1564" s="96">
        <v>102.03</v>
      </c>
      <c r="E1564" s="13">
        <v>190213.15</v>
      </c>
      <c r="F1564" s="486">
        <v>1.8643000000000001</v>
      </c>
      <c r="G1564"/>
      <c r="H1564" s="13">
        <v>190213.15</v>
      </c>
      <c r="I1564" s="13">
        <v>1.8643000000000001</v>
      </c>
      <c r="J1564">
        <v>13</v>
      </c>
      <c r="K1564" s="131">
        <v>45688</v>
      </c>
      <c r="M1564">
        <v>570</v>
      </c>
      <c r="N1564" t="s">
        <v>7364</v>
      </c>
    </row>
    <row r="1565" spans="1:14">
      <c r="A1565" t="s">
        <v>1746</v>
      </c>
      <c r="B1565" t="s">
        <v>7352</v>
      </c>
      <c r="C1565" t="s">
        <v>1744</v>
      </c>
      <c r="D1565" s="96">
        <v>102.03</v>
      </c>
      <c r="E1565" s="13">
        <v>190721.37</v>
      </c>
      <c r="F1565" s="486">
        <v>1.8693</v>
      </c>
      <c r="G1565"/>
      <c r="H1565" s="13">
        <v>190721.37</v>
      </c>
      <c r="I1565" s="13">
        <v>1.8693</v>
      </c>
      <c r="J1565">
        <v>13</v>
      </c>
      <c r="K1565" s="131">
        <v>45688</v>
      </c>
      <c r="M1565">
        <v>570</v>
      </c>
      <c r="N1565" t="s">
        <v>7365</v>
      </c>
    </row>
    <row r="1566" spans="1:14">
      <c r="A1566" t="s">
        <v>1746</v>
      </c>
      <c r="B1566" t="s">
        <v>7103</v>
      </c>
      <c r="C1566" t="s">
        <v>1744</v>
      </c>
      <c r="D1566" s="96">
        <v>102.24</v>
      </c>
      <c r="E1566" s="13">
        <v>182160.61</v>
      </c>
      <c r="F1566" s="486">
        <v>1.7817000000000001</v>
      </c>
      <c r="G1566"/>
      <c r="H1566" s="13">
        <v>182160.61</v>
      </c>
      <c r="I1566" s="13">
        <v>1.7817000000000001</v>
      </c>
      <c r="J1566">
        <v>13</v>
      </c>
      <c r="K1566" s="131">
        <v>45688</v>
      </c>
      <c r="M1566">
        <v>710</v>
      </c>
      <c r="N1566" t="s">
        <v>7366</v>
      </c>
    </row>
    <row r="1567" spans="1:14">
      <c r="A1567" t="s">
        <v>1746</v>
      </c>
      <c r="B1567" t="s">
        <v>1748</v>
      </c>
      <c r="C1567" t="s">
        <v>1744</v>
      </c>
      <c r="D1567" s="96">
        <v>102.6</v>
      </c>
      <c r="E1567" s="13">
        <v>127711.19</v>
      </c>
      <c r="F1567" s="486">
        <v>1.2446999999999999</v>
      </c>
      <c r="G1567"/>
      <c r="H1567" s="13">
        <v>127711.19</v>
      </c>
      <c r="I1567" s="13">
        <v>1.2446999999999999</v>
      </c>
      <c r="J1567">
        <v>13</v>
      </c>
      <c r="K1567" s="131">
        <v>45688</v>
      </c>
      <c r="M1567">
        <v>570</v>
      </c>
      <c r="N1567" t="s">
        <v>7367</v>
      </c>
    </row>
    <row r="1568" spans="1:14">
      <c r="A1568" t="s">
        <v>1746</v>
      </c>
      <c r="B1568" t="s">
        <v>1748</v>
      </c>
      <c r="C1568" t="s">
        <v>1744</v>
      </c>
      <c r="D1568" s="96">
        <v>102.6</v>
      </c>
      <c r="E1568" s="13">
        <v>128222.25</v>
      </c>
      <c r="F1568" s="486">
        <v>1.2497</v>
      </c>
      <c r="G1568"/>
      <c r="H1568" s="13">
        <v>128222.25</v>
      </c>
      <c r="I1568" s="13">
        <v>1.2497</v>
      </c>
      <c r="J1568">
        <v>13</v>
      </c>
      <c r="K1568" s="131">
        <v>45688</v>
      </c>
      <c r="M1568">
        <v>570</v>
      </c>
      <c r="N1568" t="s">
        <v>7368</v>
      </c>
    </row>
    <row r="1569" spans="1:14">
      <c r="A1569" t="s">
        <v>1746</v>
      </c>
      <c r="B1569" t="s">
        <v>1747</v>
      </c>
      <c r="C1569" t="s">
        <v>1744</v>
      </c>
      <c r="D1569" s="96">
        <v>102.6</v>
      </c>
      <c r="E1569" s="13">
        <v>131564.74</v>
      </c>
      <c r="F1569" s="486">
        <v>1.2823</v>
      </c>
      <c r="G1569"/>
      <c r="H1569" s="13">
        <v>131564.74</v>
      </c>
      <c r="I1569" s="13">
        <v>1.2823</v>
      </c>
      <c r="J1569">
        <v>13</v>
      </c>
      <c r="K1569" s="131">
        <v>45688</v>
      </c>
      <c r="M1569">
        <v>570</v>
      </c>
      <c r="N1569" t="s">
        <v>7369</v>
      </c>
    </row>
    <row r="1570" spans="1:14">
      <c r="A1570" t="s">
        <v>1746</v>
      </c>
      <c r="B1570" t="s">
        <v>1747</v>
      </c>
      <c r="C1570" t="s">
        <v>1744</v>
      </c>
      <c r="D1570" s="96">
        <v>102.6</v>
      </c>
      <c r="E1570" s="13">
        <v>132075.79999999999</v>
      </c>
      <c r="F1570" s="486">
        <v>1.2873000000000001</v>
      </c>
      <c r="G1570"/>
      <c r="H1570" s="13">
        <v>132075.79999999999</v>
      </c>
      <c r="I1570" s="13">
        <v>1.2873000000000001</v>
      </c>
      <c r="J1570">
        <v>13</v>
      </c>
      <c r="K1570" s="131">
        <v>45688</v>
      </c>
      <c r="M1570">
        <v>570</v>
      </c>
      <c r="N1570" t="s">
        <v>7370</v>
      </c>
    </row>
    <row r="1571" spans="1:14">
      <c r="A1571" t="s">
        <v>1746</v>
      </c>
      <c r="B1571" t="s">
        <v>7352</v>
      </c>
      <c r="C1571" t="s">
        <v>1744</v>
      </c>
      <c r="D1571" s="96">
        <v>102.6</v>
      </c>
      <c r="E1571" s="13">
        <v>190737.83</v>
      </c>
      <c r="F1571" s="486">
        <v>1.859</v>
      </c>
      <c r="G1571"/>
      <c r="H1571" s="13">
        <v>190737.83</v>
      </c>
      <c r="I1571" s="13">
        <v>1.859</v>
      </c>
      <c r="J1571">
        <v>13</v>
      </c>
      <c r="K1571" s="131">
        <v>45688</v>
      </c>
      <c r="M1571">
        <v>570</v>
      </c>
      <c r="N1571" t="s">
        <v>7371</v>
      </c>
    </row>
    <row r="1572" spans="1:14">
      <c r="A1572" t="s">
        <v>1746</v>
      </c>
      <c r="B1572" t="s">
        <v>7352</v>
      </c>
      <c r="C1572" t="s">
        <v>1744</v>
      </c>
      <c r="D1572" s="96">
        <v>102.6</v>
      </c>
      <c r="E1572" s="13">
        <v>191248.89</v>
      </c>
      <c r="F1572" s="486">
        <v>1.8640000000000001</v>
      </c>
      <c r="G1572"/>
      <c r="H1572" s="13">
        <v>191248.89</v>
      </c>
      <c r="I1572" s="13">
        <v>1.8640000000000001</v>
      </c>
      <c r="J1572">
        <v>13</v>
      </c>
      <c r="K1572" s="131">
        <v>45688</v>
      </c>
      <c r="M1572">
        <v>570</v>
      </c>
      <c r="N1572" t="s">
        <v>7372</v>
      </c>
    </row>
    <row r="1573" spans="1:14">
      <c r="A1573" t="s">
        <v>1746</v>
      </c>
      <c r="B1573" t="s">
        <v>7103</v>
      </c>
      <c r="C1573" t="s">
        <v>1744</v>
      </c>
      <c r="D1573" s="96">
        <v>102.95</v>
      </c>
      <c r="E1573" s="13">
        <v>184976.15</v>
      </c>
      <c r="F1573" s="486">
        <v>1.7968</v>
      </c>
      <c r="G1573"/>
      <c r="H1573" s="13">
        <v>184976.15</v>
      </c>
      <c r="I1573" s="13">
        <v>1.7968</v>
      </c>
      <c r="J1573">
        <v>13</v>
      </c>
      <c r="K1573" s="131">
        <v>45688</v>
      </c>
      <c r="M1573">
        <v>710</v>
      </c>
      <c r="N1573" t="s">
        <v>7373</v>
      </c>
    </row>
    <row r="1574" spans="1:14">
      <c r="A1574" t="s">
        <v>1746</v>
      </c>
      <c r="B1574" t="s">
        <v>1748</v>
      </c>
      <c r="C1574" t="s">
        <v>1744</v>
      </c>
      <c r="D1574" s="96">
        <v>103.17</v>
      </c>
      <c r="E1574" s="13">
        <v>128550.46</v>
      </c>
      <c r="F1574" s="486">
        <v>1.246</v>
      </c>
      <c r="G1574"/>
      <c r="H1574" s="13">
        <v>128550.46</v>
      </c>
      <c r="I1574" s="13">
        <v>1.246</v>
      </c>
      <c r="J1574">
        <v>13</v>
      </c>
      <c r="K1574" s="131">
        <v>45688</v>
      </c>
      <c r="M1574">
        <v>570</v>
      </c>
      <c r="N1574" t="s">
        <v>7374</v>
      </c>
    </row>
    <row r="1575" spans="1:14">
      <c r="A1575" t="s">
        <v>1746</v>
      </c>
      <c r="B1575" t="s">
        <v>1748</v>
      </c>
      <c r="C1575" t="s">
        <v>1744</v>
      </c>
      <c r="D1575" s="96">
        <v>103.17</v>
      </c>
      <c r="E1575" s="13">
        <v>129064.35</v>
      </c>
      <c r="F1575" s="486">
        <v>1.2509999999999999</v>
      </c>
      <c r="G1575"/>
      <c r="H1575" s="13">
        <v>129064.35</v>
      </c>
      <c r="I1575" s="13">
        <v>1.2509999999999999</v>
      </c>
      <c r="J1575">
        <v>13</v>
      </c>
      <c r="K1575" s="131">
        <v>45688</v>
      </c>
      <c r="M1575">
        <v>570</v>
      </c>
      <c r="N1575" t="s">
        <v>7375</v>
      </c>
    </row>
    <row r="1576" spans="1:14">
      <c r="A1576" t="s">
        <v>1746</v>
      </c>
      <c r="B1576" t="s">
        <v>1747</v>
      </c>
      <c r="C1576" t="s">
        <v>1744</v>
      </c>
      <c r="D1576" s="96">
        <v>103.17</v>
      </c>
      <c r="E1576" s="13">
        <v>132404.01</v>
      </c>
      <c r="F1576" s="486">
        <v>1.2834000000000001</v>
      </c>
      <c r="G1576"/>
      <c r="H1576" s="13">
        <v>132404.01</v>
      </c>
      <c r="I1576" s="13">
        <v>1.2834000000000001</v>
      </c>
      <c r="J1576">
        <v>13</v>
      </c>
      <c r="K1576" s="131">
        <v>45688</v>
      </c>
      <c r="M1576">
        <v>570</v>
      </c>
      <c r="N1576" t="s">
        <v>7376</v>
      </c>
    </row>
    <row r="1577" spans="1:14">
      <c r="A1577" t="s">
        <v>1746</v>
      </c>
      <c r="B1577" t="s">
        <v>1747</v>
      </c>
      <c r="C1577" t="s">
        <v>1744</v>
      </c>
      <c r="D1577" s="96">
        <v>103.17</v>
      </c>
      <c r="E1577" s="13">
        <v>132404.01</v>
      </c>
      <c r="F1577" s="486">
        <v>1.2834000000000001</v>
      </c>
      <c r="G1577"/>
      <c r="H1577" s="13">
        <v>132404.01</v>
      </c>
      <c r="I1577" s="13">
        <v>1.2834000000000001</v>
      </c>
      <c r="J1577">
        <v>13</v>
      </c>
      <c r="K1577" s="131">
        <v>45688</v>
      </c>
      <c r="M1577">
        <v>570</v>
      </c>
      <c r="N1577" t="s">
        <v>7376</v>
      </c>
    </row>
    <row r="1578" spans="1:14">
      <c r="A1578" t="s">
        <v>1746</v>
      </c>
      <c r="B1578" t="s">
        <v>1747</v>
      </c>
      <c r="C1578" t="s">
        <v>1744</v>
      </c>
      <c r="D1578" s="96">
        <v>103.17</v>
      </c>
      <c r="E1578" s="13">
        <v>132917.91</v>
      </c>
      <c r="F1578" s="486">
        <v>1.2883</v>
      </c>
      <c r="G1578"/>
      <c r="H1578" s="13">
        <v>132917.91</v>
      </c>
      <c r="I1578" s="13">
        <v>1.2883</v>
      </c>
      <c r="J1578">
        <v>13</v>
      </c>
      <c r="K1578" s="131">
        <v>45688</v>
      </c>
      <c r="M1578">
        <v>570</v>
      </c>
      <c r="N1578" t="s">
        <v>7377</v>
      </c>
    </row>
    <row r="1579" spans="1:14">
      <c r="A1579" t="s">
        <v>1746</v>
      </c>
      <c r="B1579" t="s">
        <v>1747</v>
      </c>
      <c r="C1579" t="s">
        <v>1744</v>
      </c>
      <c r="D1579" s="96">
        <v>103.17</v>
      </c>
      <c r="E1579" s="13">
        <v>132917.91</v>
      </c>
      <c r="F1579" s="486">
        <v>1.2883</v>
      </c>
      <c r="G1579"/>
      <c r="H1579" s="13">
        <v>132917.91</v>
      </c>
      <c r="I1579" s="13">
        <v>1.2883</v>
      </c>
      <c r="J1579">
        <v>13</v>
      </c>
      <c r="K1579" s="131">
        <v>45688</v>
      </c>
      <c r="M1579">
        <v>570</v>
      </c>
      <c r="N1579" t="s">
        <v>7377</v>
      </c>
    </row>
    <row r="1580" spans="1:14">
      <c r="A1580" t="s">
        <v>1746</v>
      </c>
      <c r="B1580" t="s">
        <v>7352</v>
      </c>
      <c r="C1580" t="s">
        <v>1744</v>
      </c>
      <c r="D1580" s="96">
        <v>103.17</v>
      </c>
      <c r="E1580" s="13">
        <v>193349.9</v>
      </c>
      <c r="F1580" s="486">
        <v>1.8741000000000001</v>
      </c>
      <c r="G1580"/>
      <c r="H1580" s="13">
        <v>193349.9</v>
      </c>
      <c r="I1580" s="13">
        <v>1.8741000000000001</v>
      </c>
      <c r="J1580">
        <v>13</v>
      </c>
      <c r="K1580" s="131">
        <v>45688</v>
      </c>
      <c r="M1580">
        <v>570</v>
      </c>
      <c r="N1580" t="s">
        <v>7378</v>
      </c>
    </row>
    <row r="1581" spans="1:14">
      <c r="A1581" t="s">
        <v>1746</v>
      </c>
      <c r="B1581" t="s">
        <v>7352</v>
      </c>
      <c r="C1581" t="s">
        <v>1744</v>
      </c>
      <c r="D1581" s="96">
        <v>103.17</v>
      </c>
      <c r="E1581" s="13">
        <v>193863.79</v>
      </c>
      <c r="F1581" s="486">
        <v>1.8791</v>
      </c>
      <c r="G1581"/>
      <c r="H1581" s="13">
        <v>193863.79</v>
      </c>
      <c r="I1581" s="13">
        <v>1.8791</v>
      </c>
      <c r="J1581">
        <v>13</v>
      </c>
      <c r="K1581" s="131">
        <v>45688</v>
      </c>
      <c r="M1581">
        <v>570</v>
      </c>
      <c r="N1581" t="s">
        <v>7379</v>
      </c>
    </row>
    <row r="1582" spans="1:14">
      <c r="A1582" t="s">
        <v>1746</v>
      </c>
      <c r="B1582" t="s">
        <v>7103</v>
      </c>
      <c r="C1582" t="s">
        <v>1744</v>
      </c>
      <c r="D1582" s="96">
        <v>103.66</v>
      </c>
      <c r="E1582" s="13">
        <v>185704.31</v>
      </c>
      <c r="F1582" s="486">
        <v>1.7915000000000001</v>
      </c>
      <c r="G1582"/>
      <c r="H1582" s="13">
        <v>185704.31</v>
      </c>
      <c r="I1582" s="13">
        <v>1.7915000000000001</v>
      </c>
      <c r="J1582">
        <v>13</v>
      </c>
      <c r="K1582" s="131">
        <v>45688</v>
      </c>
      <c r="M1582">
        <v>710</v>
      </c>
      <c r="N1582" t="s">
        <v>7380</v>
      </c>
    </row>
    <row r="1583" spans="1:14">
      <c r="A1583" t="s">
        <v>1746</v>
      </c>
      <c r="B1583" t="s">
        <v>1747</v>
      </c>
      <c r="C1583" t="s">
        <v>1744</v>
      </c>
      <c r="D1583" s="96">
        <v>103.74</v>
      </c>
      <c r="E1583" s="13">
        <v>132928.69</v>
      </c>
      <c r="F1583" s="486">
        <v>1.2814000000000001</v>
      </c>
      <c r="G1583"/>
      <c r="H1583" s="13">
        <v>132928.69</v>
      </c>
      <c r="I1583" s="13">
        <v>1.2814000000000001</v>
      </c>
      <c r="J1583">
        <v>13</v>
      </c>
      <c r="K1583" s="131">
        <v>45688</v>
      </c>
      <c r="M1583">
        <v>570</v>
      </c>
      <c r="N1583" t="s">
        <v>7381</v>
      </c>
    </row>
    <row r="1584" spans="1:14">
      <c r="A1584" t="s">
        <v>1746</v>
      </c>
      <c r="B1584" t="s">
        <v>1747</v>
      </c>
      <c r="C1584" t="s">
        <v>1744</v>
      </c>
      <c r="D1584" s="96">
        <v>103.74</v>
      </c>
      <c r="E1584" s="13">
        <v>132928.69</v>
      </c>
      <c r="F1584" s="486">
        <v>1.2814000000000001</v>
      </c>
      <c r="G1584"/>
      <c r="H1584" s="13">
        <v>132928.69</v>
      </c>
      <c r="I1584" s="13">
        <v>1.2814000000000001</v>
      </c>
      <c r="J1584">
        <v>13</v>
      </c>
      <c r="K1584" s="131">
        <v>45688</v>
      </c>
      <c r="M1584">
        <v>570</v>
      </c>
      <c r="N1584" t="s">
        <v>7381</v>
      </c>
    </row>
    <row r="1585" spans="1:14">
      <c r="A1585" t="s">
        <v>1746</v>
      </c>
      <c r="B1585" t="s">
        <v>1747</v>
      </c>
      <c r="C1585" t="s">
        <v>1744</v>
      </c>
      <c r="D1585" s="96">
        <v>103.74</v>
      </c>
      <c r="E1585" s="13">
        <v>133445.43</v>
      </c>
      <c r="F1585" s="486">
        <v>1.2863</v>
      </c>
      <c r="G1585"/>
      <c r="H1585" s="13">
        <v>133445.43</v>
      </c>
      <c r="I1585" s="13">
        <v>1.2863</v>
      </c>
      <c r="J1585">
        <v>13</v>
      </c>
      <c r="K1585" s="131">
        <v>45688</v>
      </c>
      <c r="M1585">
        <v>570</v>
      </c>
      <c r="N1585" t="s">
        <v>7382</v>
      </c>
    </row>
    <row r="1586" spans="1:14">
      <c r="A1586" t="s">
        <v>1746</v>
      </c>
      <c r="B1586" t="s">
        <v>1747</v>
      </c>
      <c r="C1586" t="s">
        <v>1744</v>
      </c>
      <c r="D1586" s="96">
        <v>103.74</v>
      </c>
      <c r="E1586" s="13">
        <v>133445.43</v>
      </c>
      <c r="F1586" s="486">
        <v>1.2863</v>
      </c>
      <c r="G1586"/>
      <c r="H1586" s="13">
        <v>133445.43</v>
      </c>
      <c r="I1586" s="13">
        <v>1.2863</v>
      </c>
      <c r="J1586">
        <v>13</v>
      </c>
      <c r="K1586" s="131">
        <v>45688</v>
      </c>
      <c r="M1586">
        <v>570</v>
      </c>
      <c r="N1586" t="s">
        <v>7382</v>
      </c>
    </row>
    <row r="1587" spans="1:14">
      <c r="A1587" t="s">
        <v>1746</v>
      </c>
      <c r="B1587" t="s">
        <v>7352</v>
      </c>
      <c r="C1587" t="s">
        <v>1744</v>
      </c>
      <c r="D1587" s="96">
        <v>103.74</v>
      </c>
      <c r="E1587" s="13">
        <v>193874.58</v>
      </c>
      <c r="F1587" s="486">
        <v>1.8689</v>
      </c>
      <c r="G1587"/>
      <c r="H1587" s="13">
        <v>193874.58</v>
      </c>
      <c r="I1587" s="13">
        <v>1.8689</v>
      </c>
      <c r="J1587">
        <v>13</v>
      </c>
      <c r="K1587" s="131">
        <v>45688</v>
      </c>
      <c r="M1587">
        <v>570</v>
      </c>
      <c r="N1587" t="s">
        <v>7383</v>
      </c>
    </row>
    <row r="1588" spans="1:14">
      <c r="A1588" t="s">
        <v>1746</v>
      </c>
      <c r="B1588" t="s">
        <v>7352</v>
      </c>
      <c r="C1588" t="s">
        <v>1744</v>
      </c>
      <c r="D1588" s="96">
        <v>103.74</v>
      </c>
      <c r="E1588" s="13">
        <v>194391.32</v>
      </c>
      <c r="F1588" s="486">
        <v>1.8737999999999999</v>
      </c>
      <c r="G1588"/>
      <c r="H1588" s="13">
        <v>194391.32</v>
      </c>
      <c r="I1588" s="13">
        <v>1.8737999999999999</v>
      </c>
      <c r="J1588">
        <v>13</v>
      </c>
      <c r="K1588" s="131">
        <v>45688</v>
      </c>
      <c r="M1588">
        <v>570</v>
      </c>
      <c r="N1588" t="s">
        <v>7384</v>
      </c>
    </row>
    <row r="1589" spans="1:14">
      <c r="A1589" t="s">
        <v>1746</v>
      </c>
      <c r="B1589" t="s">
        <v>1748</v>
      </c>
      <c r="C1589" t="s">
        <v>1744</v>
      </c>
      <c r="D1589" s="96">
        <v>104.31</v>
      </c>
      <c r="E1589" s="13">
        <v>129599.83</v>
      </c>
      <c r="F1589" s="486">
        <v>1.2423999999999999</v>
      </c>
      <c r="G1589"/>
      <c r="H1589" s="13">
        <v>129599.83</v>
      </c>
      <c r="I1589" s="13">
        <v>1.2423999999999999</v>
      </c>
      <c r="J1589">
        <v>13</v>
      </c>
      <c r="K1589" s="131">
        <v>45688</v>
      </c>
      <c r="M1589">
        <v>570</v>
      </c>
      <c r="N1589" t="s">
        <v>7385</v>
      </c>
    </row>
    <row r="1590" spans="1:14">
      <c r="A1590" t="s">
        <v>1746</v>
      </c>
      <c r="B1590" t="s">
        <v>1748</v>
      </c>
      <c r="C1590" t="s">
        <v>1744</v>
      </c>
      <c r="D1590" s="96">
        <v>104.31</v>
      </c>
      <c r="E1590" s="13">
        <v>130119.4</v>
      </c>
      <c r="F1590" s="486">
        <v>1.2474000000000001</v>
      </c>
      <c r="G1590"/>
      <c r="H1590" s="13">
        <v>130119.4</v>
      </c>
      <c r="I1590" s="13">
        <v>1.2474000000000001</v>
      </c>
      <c r="J1590">
        <v>13</v>
      </c>
      <c r="K1590" s="131">
        <v>45688</v>
      </c>
      <c r="M1590">
        <v>570</v>
      </c>
      <c r="N1590" t="s">
        <v>7386</v>
      </c>
    </row>
    <row r="1591" spans="1:14">
      <c r="A1591" t="s">
        <v>1746</v>
      </c>
      <c r="B1591" t="s">
        <v>1747</v>
      </c>
      <c r="C1591" t="s">
        <v>1744</v>
      </c>
      <c r="D1591" s="96">
        <v>104.31</v>
      </c>
      <c r="E1591" s="13">
        <v>133453.38</v>
      </c>
      <c r="F1591" s="486">
        <v>1.2794000000000001</v>
      </c>
      <c r="G1591"/>
      <c r="H1591" s="13">
        <v>133453.38</v>
      </c>
      <c r="I1591" s="13">
        <v>1.2794000000000001</v>
      </c>
      <c r="J1591">
        <v>13</v>
      </c>
      <c r="K1591" s="131">
        <v>45688</v>
      </c>
      <c r="M1591">
        <v>570</v>
      </c>
      <c r="N1591" t="s">
        <v>7387</v>
      </c>
    </row>
    <row r="1592" spans="1:14">
      <c r="A1592" t="s">
        <v>1746</v>
      </c>
      <c r="B1592" t="s">
        <v>1747</v>
      </c>
      <c r="C1592" t="s">
        <v>1744</v>
      </c>
      <c r="D1592" s="96">
        <v>104.31</v>
      </c>
      <c r="E1592" s="13">
        <v>133972.95000000001</v>
      </c>
      <c r="F1592" s="486">
        <v>1.2844</v>
      </c>
      <c r="G1592"/>
      <c r="H1592" s="13">
        <v>133972.95000000001</v>
      </c>
      <c r="I1592" s="13">
        <v>1.2844</v>
      </c>
      <c r="J1592">
        <v>13</v>
      </c>
      <c r="K1592" s="131">
        <v>45688</v>
      </c>
      <c r="M1592">
        <v>570</v>
      </c>
      <c r="N1592" t="s">
        <v>7388</v>
      </c>
    </row>
    <row r="1593" spans="1:14">
      <c r="A1593" t="s">
        <v>1746</v>
      </c>
      <c r="B1593" t="s">
        <v>7352</v>
      </c>
      <c r="C1593" t="s">
        <v>1744</v>
      </c>
      <c r="D1593" s="96">
        <v>104.31</v>
      </c>
      <c r="E1593" s="13">
        <v>194399.27</v>
      </c>
      <c r="F1593" s="486">
        <v>1.8636999999999999</v>
      </c>
      <c r="G1593"/>
      <c r="H1593" s="13">
        <v>194399.27</v>
      </c>
      <c r="I1593" s="13">
        <v>1.8636999999999999</v>
      </c>
      <c r="J1593">
        <v>13</v>
      </c>
      <c r="K1593" s="131">
        <v>45688</v>
      </c>
      <c r="M1593">
        <v>570</v>
      </c>
      <c r="N1593" t="s">
        <v>7389</v>
      </c>
    </row>
    <row r="1594" spans="1:14">
      <c r="A1594" t="s">
        <v>1746</v>
      </c>
      <c r="B1594" t="s">
        <v>7352</v>
      </c>
      <c r="C1594" t="s">
        <v>1744</v>
      </c>
      <c r="D1594" s="96">
        <v>104.31</v>
      </c>
      <c r="E1594" s="13">
        <v>194918.84</v>
      </c>
      <c r="F1594" s="486">
        <v>1.8686</v>
      </c>
      <c r="G1594"/>
      <c r="H1594" s="13">
        <v>194918.84</v>
      </c>
      <c r="I1594" s="13">
        <v>1.8686</v>
      </c>
      <c r="J1594">
        <v>13</v>
      </c>
      <c r="K1594" s="131">
        <v>45688</v>
      </c>
      <c r="M1594">
        <v>570</v>
      </c>
      <c r="N1594" t="s">
        <v>7390</v>
      </c>
    </row>
    <row r="1595" spans="1:14">
      <c r="A1595" t="s">
        <v>1746</v>
      </c>
      <c r="B1595" t="s">
        <v>7103</v>
      </c>
      <c r="C1595" t="s">
        <v>1744</v>
      </c>
      <c r="D1595" s="96">
        <v>104.37</v>
      </c>
      <c r="E1595" s="13">
        <v>186432.47</v>
      </c>
      <c r="F1595" s="486">
        <v>1.7863</v>
      </c>
      <c r="G1595"/>
      <c r="H1595" s="13">
        <v>186432.47</v>
      </c>
      <c r="I1595" s="13">
        <v>1.7863</v>
      </c>
      <c r="J1595">
        <v>13</v>
      </c>
      <c r="K1595" s="131">
        <v>45688</v>
      </c>
      <c r="M1595">
        <v>710</v>
      </c>
      <c r="N1595" t="s">
        <v>7391</v>
      </c>
    </row>
    <row r="1596" spans="1:14">
      <c r="A1596" t="s">
        <v>1746</v>
      </c>
      <c r="B1596" t="s">
        <v>1748</v>
      </c>
      <c r="C1596" t="s">
        <v>1744</v>
      </c>
      <c r="D1596" s="96">
        <v>104.88</v>
      </c>
      <c r="E1596" s="13">
        <v>130124.51</v>
      </c>
      <c r="F1596" s="486">
        <v>1.2406999999999999</v>
      </c>
      <c r="G1596"/>
      <c r="H1596" s="13">
        <v>130124.51</v>
      </c>
      <c r="I1596" s="13">
        <v>1.2406999999999999</v>
      </c>
      <c r="J1596">
        <v>13</v>
      </c>
      <c r="K1596" s="131">
        <v>45688</v>
      </c>
      <c r="M1596">
        <v>570</v>
      </c>
      <c r="N1596" t="s">
        <v>7392</v>
      </c>
    </row>
    <row r="1597" spans="1:14">
      <c r="A1597" t="s">
        <v>1746</v>
      </c>
      <c r="B1597" t="s">
        <v>1748</v>
      </c>
      <c r="C1597" t="s">
        <v>1744</v>
      </c>
      <c r="D1597" s="96">
        <v>104.88</v>
      </c>
      <c r="E1597" s="13">
        <v>130646.92</v>
      </c>
      <c r="F1597" s="486">
        <v>1.2457</v>
      </c>
      <c r="G1597"/>
      <c r="H1597" s="13">
        <v>130646.92</v>
      </c>
      <c r="I1597" s="13">
        <v>1.2457</v>
      </c>
      <c r="J1597">
        <v>13</v>
      </c>
      <c r="K1597" s="131">
        <v>45688</v>
      </c>
      <c r="M1597">
        <v>570</v>
      </c>
      <c r="N1597" t="s">
        <v>7393</v>
      </c>
    </row>
    <row r="1598" spans="1:14">
      <c r="A1598" t="s">
        <v>1746</v>
      </c>
      <c r="B1598" t="s">
        <v>1747</v>
      </c>
      <c r="C1598" t="s">
        <v>1744</v>
      </c>
      <c r="D1598" s="96">
        <v>104.88</v>
      </c>
      <c r="E1598" s="13">
        <v>133978.06</v>
      </c>
      <c r="F1598" s="486">
        <v>1.2774000000000001</v>
      </c>
      <c r="G1598"/>
      <c r="H1598" s="13">
        <v>133978.06</v>
      </c>
      <c r="I1598" s="13">
        <v>1.2774000000000001</v>
      </c>
      <c r="J1598">
        <v>13</v>
      </c>
      <c r="K1598" s="131">
        <v>45688</v>
      </c>
      <c r="M1598">
        <v>570</v>
      </c>
      <c r="N1598" t="s">
        <v>7394</v>
      </c>
    </row>
    <row r="1599" spans="1:14">
      <c r="A1599" t="s">
        <v>1746</v>
      </c>
      <c r="B1599" t="s">
        <v>1747</v>
      </c>
      <c r="C1599" t="s">
        <v>1744</v>
      </c>
      <c r="D1599" s="96">
        <v>104.88</v>
      </c>
      <c r="E1599" s="13">
        <v>133978.06</v>
      </c>
      <c r="F1599" s="486">
        <v>1.2774000000000001</v>
      </c>
      <c r="G1599"/>
      <c r="H1599" s="13">
        <v>133978.06</v>
      </c>
      <c r="I1599" s="13">
        <v>1.2774000000000001</v>
      </c>
      <c r="J1599">
        <v>13</v>
      </c>
      <c r="K1599" s="131">
        <v>45688</v>
      </c>
      <c r="M1599">
        <v>570</v>
      </c>
      <c r="N1599" t="s">
        <v>7394</v>
      </c>
    </row>
    <row r="1600" spans="1:14">
      <c r="A1600" t="s">
        <v>1746</v>
      </c>
      <c r="B1600" t="s">
        <v>1747</v>
      </c>
      <c r="C1600" t="s">
        <v>1744</v>
      </c>
      <c r="D1600" s="96">
        <v>104.88</v>
      </c>
      <c r="E1600" s="13">
        <v>134500.48000000001</v>
      </c>
      <c r="F1600" s="486">
        <v>1.2824</v>
      </c>
      <c r="G1600"/>
      <c r="H1600" s="13">
        <v>134500.48000000001</v>
      </c>
      <c r="I1600" s="13">
        <v>1.2824</v>
      </c>
      <c r="J1600">
        <v>13</v>
      </c>
      <c r="K1600" s="131">
        <v>45688</v>
      </c>
      <c r="M1600">
        <v>570</v>
      </c>
      <c r="N1600" t="s">
        <v>7395</v>
      </c>
    </row>
    <row r="1601" spans="1:14">
      <c r="A1601" t="s">
        <v>1746</v>
      </c>
      <c r="B1601" t="s">
        <v>1747</v>
      </c>
      <c r="C1601" t="s">
        <v>1744</v>
      </c>
      <c r="D1601" s="96">
        <v>104.88</v>
      </c>
      <c r="E1601" s="13">
        <v>134500.48000000001</v>
      </c>
      <c r="F1601" s="486">
        <v>1.2824</v>
      </c>
      <c r="G1601"/>
      <c r="H1601" s="13">
        <v>134500.48000000001</v>
      </c>
      <c r="I1601" s="13">
        <v>1.2824</v>
      </c>
      <c r="J1601">
        <v>13</v>
      </c>
      <c r="K1601" s="131">
        <v>45688</v>
      </c>
      <c r="M1601">
        <v>570</v>
      </c>
      <c r="N1601" t="s">
        <v>7395</v>
      </c>
    </row>
    <row r="1602" spans="1:14">
      <c r="A1602" t="s">
        <v>1746</v>
      </c>
      <c r="B1602" t="s">
        <v>7352</v>
      </c>
      <c r="C1602" t="s">
        <v>1744</v>
      </c>
      <c r="D1602" s="96">
        <v>104.88</v>
      </c>
      <c r="E1602" s="13">
        <v>194923.95</v>
      </c>
      <c r="F1602" s="486">
        <v>1.8585</v>
      </c>
      <c r="G1602"/>
      <c r="H1602" s="13">
        <v>194923.95</v>
      </c>
      <c r="I1602" s="13">
        <v>1.8585</v>
      </c>
      <c r="J1602">
        <v>13</v>
      </c>
      <c r="K1602" s="131">
        <v>45688</v>
      </c>
      <c r="M1602">
        <v>570</v>
      </c>
      <c r="N1602" t="s">
        <v>7396</v>
      </c>
    </row>
    <row r="1603" spans="1:14">
      <c r="A1603" t="s">
        <v>1746</v>
      </c>
      <c r="B1603" t="s">
        <v>7352</v>
      </c>
      <c r="C1603" t="s">
        <v>1744</v>
      </c>
      <c r="D1603" s="96">
        <v>104.88</v>
      </c>
      <c r="E1603" s="13">
        <v>195446.36</v>
      </c>
      <c r="F1603" s="486">
        <v>1.8634999999999999</v>
      </c>
      <c r="G1603"/>
      <c r="H1603" s="13">
        <v>195446.36</v>
      </c>
      <c r="I1603" s="13">
        <v>1.8634999999999999</v>
      </c>
      <c r="J1603">
        <v>13</v>
      </c>
      <c r="K1603" s="131">
        <v>45688</v>
      </c>
      <c r="M1603">
        <v>570</v>
      </c>
      <c r="N1603" t="s">
        <v>7397</v>
      </c>
    </row>
    <row r="1604" spans="1:14">
      <c r="A1604" t="s">
        <v>1746</v>
      </c>
      <c r="B1604" t="s">
        <v>7103</v>
      </c>
      <c r="C1604" t="s">
        <v>1744</v>
      </c>
      <c r="D1604" s="96">
        <v>105.08</v>
      </c>
      <c r="E1604" s="13">
        <v>187160.63</v>
      </c>
      <c r="F1604" s="486">
        <v>1.7810999999999999</v>
      </c>
      <c r="G1604"/>
      <c r="H1604" s="13">
        <v>187160.63</v>
      </c>
      <c r="I1604" s="13">
        <v>1.7810999999999999</v>
      </c>
      <c r="J1604">
        <v>13</v>
      </c>
      <c r="K1604" s="131">
        <v>45688</v>
      </c>
      <c r="M1604">
        <v>710</v>
      </c>
      <c r="N1604" t="s">
        <v>7398</v>
      </c>
    </row>
    <row r="1605" spans="1:14">
      <c r="A1605" t="s">
        <v>1746</v>
      </c>
      <c r="B1605" t="s">
        <v>1747</v>
      </c>
      <c r="C1605" t="s">
        <v>1744</v>
      </c>
      <c r="D1605" s="96">
        <v>105.45</v>
      </c>
      <c r="E1605" s="13">
        <v>134817.32999999999</v>
      </c>
      <c r="F1605" s="486">
        <v>1.2785</v>
      </c>
      <c r="G1605"/>
      <c r="H1605" s="13">
        <v>134817.32999999999</v>
      </c>
      <c r="I1605" s="13">
        <v>1.2785</v>
      </c>
      <c r="J1605">
        <v>13</v>
      </c>
      <c r="K1605" s="131">
        <v>45688</v>
      </c>
      <c r="M1605">
        <v>570</v>
      </c>
      <c r="N1605" t="s">
        <v>7399</v>
      </c>
    </row>
    <row r="1606" spans="1:14">
      <c r="A1606" t="s">
        <v>1746</v>
      </c>
      <c r="B1606" t="s">
        <v>1747</v>
      </c>
      <c r="C1606" t="s">
        <v>1744</v>
      </c>
      <c r="D1606" s="96">
        <v>105.45</v>
      </c>
      <c r="E1606" s="13">
        <v>134817.32999999999</v>
      </c>
      <c r="F1606" s="486">
        <v>1.2785</v>
      </c>
      <c r="G1606"/>
      <c r="H1606" s="13">
        <v>134817.32999999999</v>
      </c>
      <c r="I1606" s="13">
        <v>1.2785</v>
      </c>
      <c r="J1606">
        <v>13</v>
      </c>
      <c r="K1606" s="131">
        <v>45688</v>
      </c>
      <c r="M1606">
        <v>570</v>
      </c>
      <c r="N1606" t="s">
        <v>7399</v>
      </c>
    </row>
    <row r="1607" spans="1:14">
      <c r="A1607" t="s">
        <v>1746</v>
      </c>
      <c r="B1607" t="s">
        <v>1747</v>
      </c>
      <c r="C1607" t="s">
        <v>1744</v>
      </c>
      <c r="D1607" s="96">
        <v>105.45</v>
      </c>
      <c r="E1607" s="13">
        <v>135342.57999999999</v>
      </c>
      <c r="F1607" s="486">
        <v>1.2835000000000001</v>
      </c>
      <c r="G1607"/>
      <c r="H1607" s="13">
        <v>135342.57999999999</v>
      </c>
      <c r="I1607" s="13">
        <v>1.2835000000000001</v>
      </c>
      <c r="J1607">
        <v>13</v>
      </c>
      <c r="K1607" s="131">
        <v>45688</v>
      </c>
      <c r="M1607">
        <v>570</v>
      </c>
      <c r="N1607" t="s">
        <v>7400</v>
      </c>
    </row>
    <row r="1608" spans="1:14">
      <c r="A1608" t="s">
        <v>1746</v>
      </c>
      <c r="B1608" t="s">
        <v>1747</v>
      </c>
      <c r="C1608" t="s">
        <v>1744</v>
      </c>
      <c r="D1608" s="96">
        <v>105.45</v>
      </c>
      <c r="E1608" s="13">
        <v>135342.57999999999</v>
      </c>
      <c r="F1608" s="486">
        <v>1.2835000000000001</v>
      </c>
      <c r="G1608"/>
      <c r="H1608" s="13">
        <v>135342.57999999999</v>
      </c>
      <c r="I1608" s="13">
        <v>1.2835000000000001</v>
      </c>
      <c r="J1608">
        <v>13</v>
      </c>
      <c r="K1608" s="131">
        <v>45688</v>
      </c>
      <c r="M1608">
        <v>570</v>
      </c>
      <c r="N1608" t="s">
        <v>7400</v>
      </c>
    </row>
    <row r="1609" spans="1:14">
      <c r="A1609" t="s">
        <v>1746</v>
      </c>
      <c r="B1609" t="s">
        <v>7401</v>
      </c>
      <c r="C1609" t="s">
        <v>1744</v>
      </c>
      <c r="D1609" s="96">
        <v>105.45</v>
      </c>
      <c r="E1609" s="13">
        <v>197569.8</v>
      </c>
      <c r="F1609" s="486">
        <v>1.8735999999999999</v>
      </c>
      <c r="G1609"/>
      <c r="H1609" s="13">
        <v>197569.8</v>
      </c>
      <c r="I1609" s="13">
        <v>1.8735999999999999</v>
      </c>
      <c r="J1609">
        <v>13</v>
      </c>
      <c r="K1609" s="131">
        <v>45688</v>
      </c>
      <c r="M1609">
        <v>570</v>
      </c>
      <c r="N1609" t="s">
        <v>7402</v>
      </c>
    </row>
    <row r="1610" spans="1:14">
      <c r="A1610" t="s">
        <v>1746</v>
      </c>
      <c r="B1610" t="s">
        <v>7401</v>
      </c>
      <c r="C1610" t="s">
        <v>1744</v>
      </c>
      <c r="D1610" s="96">
        <v>105.45</v>
      </c>
      <c r="E1610" s="13">
        <v>198095.05</v>
      </c>
      <c r="F1610" s="486">
        <v>1.8786</v>
      </c>
      <c r="G1610"/>
      <c r="H1610" s="13">
        <v>198095.05</v>
      </c>
      <c r="I1610" s="13">
        <v>1.8786</v>
      </c>
      <c r="J1610">
        <v>13</v>
      </c>
      <c r="K1610" s="131">
        <v>45688</v>
      </c>
      <c r="M1610">
        <v>570</v>
      </c>
      <c r="N1610" t="s">
        <v>7403</v>
      </c>
    </row>
    <row r="1611" spans="1:14">
      <c r="A1611" t="s">
        <v>1746</v>
      </c>
      <c r="B1611" t="s">
        <v>7164</v>
      </c>
      <c r="C1611" t="s">
        <v>1744</v>
      </c>
      <c r="D1611" s="96">
        <v>105.79</v>
      </c>
      <c r="E1611" s="13">
        <v>190009.96</v>
      </c>
      <c r="F1611" s="486">
        <v>1.7961</v>
      </c>
      <c r="G1611"/>
      <c r="H1611" s="13">
        <v>190009.96</v>
      </c>
      <c r="I1611" s="13">
        <v>1.7961</v>
      </c>
      <c r="J1611">
        <v>13</v>
      </c>
      <c r="K1611" s="131">
        <v>45688</v>
      </c>
      <c r="M1611">
        <v>710</v>
      </c>
      <c r="N1611" t="s">
        <v>7404</v>
      </c>
    </row>
    <row r="1612" spans="1:14">
      <c r="A1612" t="s">
        <v>1746</v>
      </c>
      <c r="B1612" t="s">
        <v>1747</v>
      </c>
      <c r="C1612" t="s">
        <v>1744</v>
      </c>
      <c r="D1612" s="96">
        <v>106.02</v>
      </c>
      <c r="E1612" s="13">
        <v>135342.01</v>
      </c>
      <c r="F1612" s="486">
        <v>1.2766</v>
      </c>
      <c r="G1612"/>
      <c r="H1612" s="13">
        <v>135342.01</v>
      </c>
      <c r="I1612" s="13">
        <v>1.2766</v>
      </c>
      <c r="J1612">
        <v>13</v>
      </c>
      <c r="K1612" s="131">
        <v>45688</v>
      </c>
      <c r="M1612">
        <v>570</v>
      </c>
      <c r="N1612" t="s">
        <v>7405</v>
      </c>
    </row>
    <row r="1613" spans="1:14">
      <c r="A1613" t="s">
        <v>1746</v>
      </c>
      <c r="B1613" t="s">
        <v>1747</v>
      </c>
      <c r="C1613" t="s">
        <v>1744</v>
      </c>
      <c r="D1613" s="96">
        <v>106.02</v>
      </c>
      <c r="E1613" s="13">
        <v>135870.10999999999</v>
      </c>
      <c r="F1613" s="486">
        <v>1.2816000000000001</v>
      </c>
      <c r="G1613"/>
      <c r="H1613" s="13">
        <v>135870.10999999999</v>
      </c>
      <c r="I1613" s="13">
        <v>1.2816000000000001</v>
      </c>
      <c r="J1613">
        <v>13</v>
      </c>
      <c r="K1613" s="131">
        <v>45688</v>
      </c>
      <c r="M1613">
        <v>570</v>
      </c>
      <c r="N1613" t="s">
        <v>7406</v>
      </c>
    </row>
    <row r="1614" spans="1:14">
      <c r="A1614" t="s">
        <v>1746</v>
      </c>
      <c r="B1614" t="s">
        <v>7401</v>
      </c>
      <c r="C1614" t="s">
        <v>1744</v>
      </c>
      <c r="D1614" s="96">
        <v>106.02</v>
      </c>
      <c r="E1614" s="13">
        <v>198094.49</v>
      </c>
      <c r="F1614" s="486">
        <v>1.8685</v>
      </c>
      <c r="G1614"/>
      <c r="H1614" s="13">
        <v>198094.49</v>
      </c>
      <c r="I1614" s="13">
        <v>1.8685</v>
      </c>
      <c r="J1614">
        <v>13</v>
      </c>
      <c r="K1614" s="131">
        <v>45688</v>
      </c>
      <c r="M1614">
        <v>570</v>
      </c>
      <c r="N1614" t="s">
        <v>7407</v>
      </c>
    </row>
    <row r="1615" spans="1:14">
      <c r="A1615" t="s">
        <v>1746</v>
      </c>
      <c r="B1615" t="s">
        <v>7401</v>
      </c>
      <c r="C1615" t="s">
        <v>1744</v>
      </c>
      <c r="D1615" s="96">
        <v>106.02</v>
      </c>
      <c r="E1615" s="13">
        <v>198622.58</v>
      </c>
      <c r="F1615" s="486">
        <v>1.8734</v>
      </c>
      <c r="G1615"/>
      <c r="H1615" s="13">
        <v>198622.58</v>
      </c>
      <c r="I1615" s="13">
        <v>1.8734</v>
      </c>
      <c r="J1615">
        <v>13</v>
      </c>
      <c r="K1615" s="131">
        <v>45688</v>
      </c>
      <c r="M1615">
        <v>570</v>
      </c>
      <c r="N1615" t="s">
        <v>7408</v>
      </c>
    </row>
    <row r="1616" spans="1:14">
      <c r="A1616" t="s">
        <v>1746</v>
      </c>
      <c r="B1616" t="s">
        <v>7164</v>
      </c>
      <c r="C1616" t="s">
        <v>1744</v>
      </c>
      <c r="D1616" s="96">
        <v>106.5</v>
      </c>
      <c r="E1616" s="13">
        <v>190738.12</v>
      </c>
      <c r="F1616" s="486">
        <v>1.7909999999999999</v>
      </c>
      <c r="G1616"/>
      <c r="H1616" s="13">
        <v>190738.12</v>
      </c>
      <c r="I1616" s="13">
        <v>1.7909999999999999</v>
      </c>
      <c r="J1616">
        <v>13</v>
      </c>
      <c r="K1616" s="131">
        <v>45688</v>
      </c>
      <c r="M1616">
        <v>710</v>
      </c>
      <c r="N1616" t="s">
        <v>7409</v>
      </c>
    </row>
    <row r="1617" spans="1:14">
      <c r="A1617" t="s">
        <v>1746</v>
      </c>
      <c r="B1617" t="s">
        <v>1748</v>
      </c>
      <c r="C1617" t="s">
        <v>1744</v>
      </c>
      <c r="D1617" s="96">
        <v>106.59</v>
      </c>
      <c r="E1617" s="13">
        <v>132013.15</v>
      </c>
      <c r="F1617" s="486">
        <v>1.2384999999999999</v>
      </c>
      <c r="G1617"/>
      <c r="H1617" s="13">
        <v>132013.15</v>
      </c>
      <c r="I1617" s="13">
        <v>1.2384999999999999</v>
      </c>
      <c r="J1617">
        <v>13</v>
      </c>
      <c r="K1617" s="131">
        <v>45688</v>
      </c>
      <c r="M1617">
        <v>570</v>
      </c>
      <c r="N1617" t="s">
        <v>7410</v>
      </c>
    </row>
    <row r="1618" spans="1:14">
      <c r="A1618" t="s">
        <v>1746</v>
      </c>
      <c r="B1618" t="s">
        <v>1748</v>
      </c>
      <c r="C1618" t="s">
        <v>1744</v>
      </c>
      <c r="D1618" s="96">
        <v>106.59</v>
      </c>
      <c r="E1618" s="13">
        <v>132544.07999999999</v>
      </c>
      <c r="F1618" s="486">
        <v>1.2435</v>
      </c>
      <c r="G1618"/>
      <c r="H1618" s="13">
        <v>132544.07999999999</v>
      </c>
      <c r="I1618" s="13">
        <v>1.2435</v>
      </c>
      <c r="J1618">
        <v>13</v>
      </c>
      <c r="K1618" s="131">
        <v>45688</v>
      </c>
      <c r="M1618">
        <v>570</v>
      </c>
      <c r="N1618" t="s">
        <v>7411</v>
      </c>
    </row>
    <row r="1619" spans="1:14">
      <c r="A1619" t="s">
        <v>1746</v>
      </c>
      <c r="B1619" t="s">
        <v>1747</v>
      </c>
      <c r="C1619" t="s">
        <v>1744</v>
      </c>
      <c r="D1619" s="96">
        <v>106.59</v>
      </c>
      <c r="E1619" s="13">
        <v>135866.70000000001</v>
      </c>
      <c r="F1619" s="486">
        <v>1.2746999999999999</v>
      </c>
      <c r="G1619"/>
      <c r="H1619" s="13">
        <v>135866.70000000001</v>
      </c>
      <c r="I1619" s="13">
        <v>1.2746999999999999</v>
      </c>
      <c r="J1619">
        <v>13</v>
      </c>
      <c r="K1619" s="131">
        <v>45688</v>
      </c>
      <c r="M1619">
        <v>570</v>
      </c>
      <c r="N1619" t="s">
        <v>7412</v>
      </c>
    </row>
    <row r="1620" spans="1:14">
      <c r="A1620" t="s">
        <v>1746</v>
      </c>
      <c r="B1620" t="s">
        <v>1747</v>
      </c>
      <c r="C1620" t="s">
        <v>1744</v>
      </c>
      <c r="D1620" s="96">
        <v>106.59</v>
      </c>
      <c r="E1620" s="13">
        <v>136397.63</v>
      </c>
      <c r="F1620" s="486">
        <v>1.2796000000000001</v>
      </c>
      <c r="G1620"/>
      <c r="H1620" s="13">
        <v>136397.63</v>
      </c>
      <c r="I1620" s="13">
        <v>1.2796000000000001</v>
      </c>
      <c r="J1620">
        <v>13</v>
      </c>
      <c r="K1620" s="131">
        <v>45688</v>
      </c>
      <c r="M1620">
        <v>570</v>
      </c>
      <c r="N1620" t="s">
        <v>7413</v>
      </c>
    </row>
    <row r="1621" spans="1:14">
      <c r="A1621" t="s">
        <v>1746</v>
      </c>
      <c r="B1621" t="s">
        <v>7401</v>
      </c>
      <c r="C1621" t="s">
        <v>1744</v>
      </c>
      <c r="D1621" s="96">
        <v>106.59</v>
      </c>
      <c r="E1621" s="13">
        <v>198619.17</v>
      </c>
      <c r="F1621" s="486">
        <v>1.8633999999999999</v>
      </c>
      <c r="G1621"/>
      <c r="H1621" s="13">
        <v>198619.17</v>
      </c>
      <c r="I1621" s="13">
        <v>1.8633999999999999</v>
      </c>
      <c r="J1621">
        <v>13</v>
      </c>
      <c r="K1621" s="131">
        <v>45688</v>
      </c>
      <c r="M1621">
        <v>570</v>
      </c>
      <c r="N1621" t="s">
        <v>7414</v>
      </c>
    </row>
    <row r="1622" spans="1:14">
      <c r="A1622" t="s">
        <v>1746</v>
      </c>
      <c r="B1622" t="s">
        <v>7401</v>
      </c>
      <c r="C1622" t="s">
        <v>1744</v>
      </c>
      <c r="D1622" s="96">
        <v>106.59</v>
      </c>
      <c r="E1622" s="13">
        <v>199150.1</v>
      </c>
      <c r="F1622" s="486">
        <v>1.8684000000000001</v>
      </c>
      <c r="G1622"/>
      <c r="H1622" s="13">
        <v>199150.1</v>
      </c>
      <c r="I1622" s="13">
        <v>1.8684000000000001</v>
      </c>
      <c r="J1622">
        <v>13</v>
      </c>
      <c r="K1622" s="131">
        <v>45688</v>
      </c>
      <c r="M1622">
        <v>570</v>
      </c>
      <c r="N1622" t="s">
        <v>7415</v>
      </c>
    </row>
    <row r="1623" spans="1:14">
      <c r="A1623" t="s">
        <v>1746</v>
      </c>
      <c r="B1623" t="s">
        <v>1747</v>
      </c>
      <c r="C1623" t="s">
        <v>1744</v>
      </c>
      <c r="D1623" s="96">
        <v>107.16</v>
      </c>
      <c r="E1623" s="13">
        <v>136391.38</v>
      </c>
      <c r="F1623" s="486">
        <v>1.2727999999999999</v>
      </c>
      <c r="G1623"/>
      <c r="H1623" s="13">
        <v>136391.38</v>
      </c>
      <c r="I1623" s="13">
        <v>1.2727999999999999</v>
      </c>
      <c r="J1623">
        <v>13</v>
      </c>
      <c r="K1623" s="131">
        <v>45688</v>
      </c>
      <c r="M1623">
        <v>570</v>
      </c>
      <c r="N1623" t="s">
        <v>7416</v>
      </c>
    </row>
    <row r="1624" spans="1:14">
      <c r="A1624" t="s">
        <v>1746</v>
      </c>
      <c r="B1624" t="s">
        <v>1747</v>
      </c>
      <c r="C1624" t="s">
        <v>1744</v>
      </c>
      <c r="D1624" s="96">
        <v>107.16</v>
      </c>
      <c r="E1624" s="13">
        <v>136391.38</v>
      </c>
      <c r="F1624" s="486">
        <v>1.2727999999999999</v>
      </c>
      <c r="G1624"/>
      <c r="H1624" s="13">
        <v>136391.38</v>
      </c>
      <c r="I1624" s="13">
        <v>1.2727999999999999</v>
      </c>
      <c r="J1624">
        <v>13</v>
      </c>
      <c r="K1624" s="131">
        <v>45688</v>
      </c>
      <c r="M1624">
        <v>570</v>
      </c>
      <c r="N1624" t="s">
        <v>7416</v>
      </c>
    </row>
    <row r="1625" spans="1:14">
      <c r="A1625" t="s">
        <v>1746</v>
      </c>
      <c r="B1625" t="s">
        <v>1747</v>
      </c>
      <c r="C1625" t="s">
        <v>1744</v>
      </c>
      <c r="D1625" s="96">
        <v>107.16</v>
      </c>
      <c r="E1625" s="13">
        <v>136925.15</v>
      </c>
      <c r="F1625" s="486">
        <v>1.2778</v>
      </c>
      <c r="G1625"/>
      <c r="H1625" s="13">
        <v>136925.15</v>
      </c>
      <c r="I1625" s="13">
        <v>1.2778</v>
      </c>
      <c r="J1625">
        <v>13</v>
      </c>
      <c r="K1625" s="131">
        <v>45688</v>
      </c>
      <c r="M1625">
        <v>570</v>
      </c>
      <c r="N1625" t="s">
        <v>7417</v>
      </c>
    </row>
    <row r="1626" spans="1:14">
      <c r="A1626" t="s">
        <v>1746</v>
      </c>
      <c r="B1626" t="s">
        <v>1747</v>
      </c>
      <c r="C1626" t="s">
        <v>1744</v>
      </c>
      <c r="D1626" s="96">
        <v>107.16</v>
      </c>
      <c r="E1626" s="13">
        <v>136925.15</v>
      </c>
      <c r="F1626" s="486">
        <v>1.2778</v>
      </c>
      <c r="G1626"/>
      <c r="H1626" s="13">
        <v>136925.15</v>
      </c>
      <c r="I1626" s="13">
        <v>1.2778</v>
      </c>
      <c r="J1626">
        <v>13</v>
      </c>
      <c r="K1626" s="131">
        <v>45688</v>
      </c>
      <c r="M1626">
        <v>570</v>
      </c>
      <c r="N1626" t="s">
        <v>7417</v>
      </c>
    </row>
    <row r="1627" spans="1:14">
      <c r="A1627" t="s">
        <v>1746</v>
      </c>
      <c r="B1627" t="s">
        <v>7401</v>
      </c>
      <c r="C1627" t="s">
        <v>1744</v>
      </c>
      <c r="D1627" s="96">
        <v>107.16</v>
      </c>
      <c r="E1627" s="13">
        <v>199143.85</v>
      </c>
      <c r="F1627" s="486">
        <v>1.8584000000000001</v>
      </c>
      <c r="G1627"/>
      <c r="H1627" s="13">
        <v>199143.85</v>
      </c>
      <c r="I1627" s="13">
        <v>1.8584000000000001</v>
      </c>
      <c r="J1627">
        <v>13</v>
      </c>
      <c r="K1627" s="131">
        <v>45688</v>
      </c>
      <c r="M1627">
        <v>570</v>
      </c>
      <c r="N1627" t="s">
        <v>7418</v>
      </c>
    </row>
    <row r="1628" spans="1:14">
      <c r="A1628" t="s">
        <v>1746</v>
      </c>
      <c r="B1628" t="s">
        <v>7401</v>
      </c>
      <c r="C1628" t="s">
        <v>1744</v>
      </c>
      <c r="D1628" s="96">
        <v>107.16</v>
      </c>
      <c r="E1628" s="13">
        <v>199677.62</v>
      </c>
      <c r="F1628" s="486">
        <v>1.8633999999999999</v>
      </c>
      <c r="G1628"/>
      <c r="H1628" s="13">
        <v>199677.62</v>
      </c>
      <c r="I1628" s="13">
        <v>1.8633999999999999</v>
      </c>
      <c r="J1628">
        <v>13</v>
      </c>
      <c r="K1628" s="131">
        <v>45688</v>
      </c>
      <c r="M1628">
        <v>570</v>
      </c>
      <c r="N1628" t="s">
        <v>7419</v>
      </c>
    </row>
    <row r="1629" spans="1:14">
      <c r="A1629" t="s">
        <v>1746</v>
      </c>
      <c r="B1629" t="s">
        <v>7164</v>
      </c>
      <c r="C1629" t="s">
        <v>1744</v>
      </c>
      <c r="D1629" s="96">
        <v>107.21</v>
      </c>
      <c r="E1629" s="13">
        <v>191466.28</v>
      </c>
      <c r="F1629" s="486">
        <v>1.7859</v>
      </c>
      <c r="G1629"/>
      <c r="H1629" s="13">
        <v>191466.28</v>
      </c>
      <c r="I1629" s="13">
        <v>1.7859</v>
      </c>
      <c r="J1629">
        <v>13</v>
      </c>
      <c r="K1629" s="131">
        <v>45688</v>
      </c>
      <c r="M1629">
        <v>710</v>
      </c>
      <c r="N1629" t="s">
        <v>7420</v>
      </c>
    </row>
    <row r="1630" spans="1:14">
      <c r="A1630" t="s">
        <v>1746</v>
      </c>
      <c r="B1630" t="s">
        <v>1747</v>
      </c>
      <c r="C1630" t="s">
        <v>1744</v>
      </c>
      <c r="D1630" s="96">
        <v>107.73</v>
      </c>
      <c r="E1630" s="13">
        <v>137230.65</v>
      </c>
      <c r="F1630" s="486">
        <v>1.2738</v>
      </c>
      <c r="G1630"/>
      <c r="H1630" s="13">
        <v>137230.65</v>
      </c>
      <c r="I1630" s="13">
        <v>1.2738</v>
      </c>
      <c r="J1630">
        <v>13</v>
      </c>
      <c r="K1630" s="131">
        <v>45688</v>
      </c>
      <c r="M1630">
        <v>570</v>
      </c>
      <c r="N1630" t="s">
        <v>7421</v>
      </c>
    </row>
    <row r="1631" spans="1:14">
      <c r="A1631" t="s">
        <v>1746</v>
      </c>
      <c r="B1631" t="s">
        <v>1747</v>
      </c>
      <c r="C1631" t="s">
        <v>1744</v>
      </c>
      <c r="D1631" s="96">
        <v>107.73</v>
      </c>
      <c r="E1631" s="13">
        <v>137767.26</v>
      </c>
      <c r="F1631" s="486">
        <v>1.2787999999999999</v>
      </c>
      <c r="G1631"/>
      <c r="H1631" s="13">
        <v>137767.26</v>
      </c>
      <c r="I1631" s="13">
        <v>1.2787999999999999</v>
      </c>
      <c r="J1631">
        <v>13</v>
      </c>
      <c r="K1631" s="131">
        <v>45688</v>
      </c>
      <c r="M1631">
        <v>570</v>
      </c>
      <c r="N1631" t="s">
        <v>7422</v>
      </c>
    </row>
    <row r="1632" spans="1:14">
      <c r="A1632" t="s">
        <v>1746</v>
      </c>
      <c r="B1632" t="s">
        <v>7423</v>
      </c>
      <c r="C1632" t="s">
        <v>1744</v>
      </c>
      <c r="D1632" s="96">
        <v>107.73</v>
      </c>
      <c r="E1632" s="13">
        <v>201789.7</v>
      </c>
      <c r="F1632" s="486">
        <v>1.8731</v>
      </c>
      <c r="G1632"/>
      <c r="H1632" s="13">
        <v>201789.7</v>
      </c>
      <c r="I1632" s="13">
        <v>1.8731</v>
      </c>
      <c r="J1632">
        <v>13</v>
      </c>
      <c r="K1632" s="131">
        <v>45688</v>
      </c>
      <c r="M1632">
        <v>570</v>
      </c>
      <c r="N1632" t="s">
        <v>7424</v>
      </c>
    </row>
    <row r="1633" spans="1:14">
      <c r="A1633" t="s">
        <v>1746</v>
      </c>
      <c r="B1633" t="s">
        <v>7423</v>
      </c>
      <c r="C1633" t="s">
        <v>1744</v>
      </c>
      <c r="D1633" s="96">
        <v>107.73</v>
      </c>
      <c r="E1633" s="13">
        <v>202326.31</v>
      </c>
      <c r="F1633" s="486">
        <v>1.8781000000000001</v>
      </c>
      <c r="G1633"/>
      <c r="H1633" s="13">
        <v>202326.31</v>
      </c>
      <c r="I1633" s="13">
        <v>1.8781000000000001</v>
      </c>
      <c r="J1633">
        <v>13</v>
      </c>
      <c r="K1633" s="131">
        <v>45688</v>
      </c>
      <c r="M1633">
        <v>570</v>
      </c>
      <c r="N1633" t="s">
        <v>7425</v>
      </c>
    </row>
    <row r="1634" spans="1:14">
      <c r="A1634" t="s">
        <v>1746</v>
      </c>
      <c r="B1634" t="s">
        <v>7164</v>
      </c>
      <c r="C1634" t="s">
        <v>1744</v>
      </c>
      <c r="D1634" s="96">
        <v>107.92</v>
      </c>
      <c r="E1634" s="13">
        <v>192194.44</v>
      </c>
      <c r="F1634" s="486">
        <v>1.7808999999999999</v>
      </c>
      <c r="G1634"/>
      <c r="H1634" s="13">
        <v>192194.44</v>
      </c>
      <c r="I1634" s="13">
        <v>1.7808999999999999</v>
      </c>
      <c r="J1634">
        <v>13</v>
      </c>
      <c r="K1634" s="131">
        <v>45688</v>
      </c>
      <c r="M1634">
        <v>710</v>
      </c>
      <c r="N1634" t="s">
        <v>7426</v>
      </c>
    </row>
    <row r="1635" spans="1:14">
      <c r="A1635" t="s">
        <v>1746</v>
      </c>
      <c r="B1635" t="s">
        <v>1748</v>
      </c>
      <c r="C1635" t="s">
        <v>1744</v>
      </c>
      <c r="D1635" s="96">
        <v>108.3</v>
      </c>
      <c r="E1635" s="13">
        <v>133901.78</v>
      </c>
      <c r="F1635" s="486">
        <v>1.2363999999999999</v>
      </c>
      <c r="G1635"/>
      <c r="H1635" s="13">
        <v>133901.78</v>
      </c>
      <c r="I1635" s="13">
        <v>1.2363999999999999</v>
      </c>
      <c r="J1635">
        <v>13</v>
      </c>
      <c r="K1635" s="131">
        <v>45688</v>
      </c>
      <c r="M1635">
        <v>570</v>
      </c>
      <c r="N1635" t="s">
        <v>7427</v>
      </c>
    </row>
    <row r="1636" spans="1:14">
      <c r="A1636" t="s">
        <v>1746</v>
      </c>
      <c r="B1636" t="s">
        <v>1748</v>
      </c>
      <c r="C1636" t="s">
        <v>1744</v>
      </c>
      <c r="D1636" s="96">
        <v>108.3</v>
      </c>
      <c r="E1636" s="13">
        <v>134441.23000000001</v>
      </c>
      <c r="F1636" s="486">
        <v>1.2414000000000001</v>
      </c>
      <c r="G1636"/>
      <c r="H1636" s="13">
        <v>134441.23000000001</v>
      </c>
      <c r="I1636" s="13">
        <v>1.2414000000000001</v>
      </c>
      <c r="J1636">
        <v>13</v>
      </c>
      <c r="K1636" s="131">
        <v>45688</v>
      </c>
      <c r="M1636">
        <v>570</v>
      </c>
      <c r="N1636" t="s">
        <v>7428</v>
      </c>
    </row>
    <row r="1637" spans="1:14">
      <c r="A1637" t="s">
        <v>1746</v>
      </c>
      <c r="B1637" t="s">
        <v>1747</v>
      </c>
      <c r="C1637" t="s">
        <v>1744</v>
      </c>
      <c r="D1637" s="96">
        <v>108.3</v>
      </c>
      <c r="E1637" s="13">
        <v>137755.32999999999</v>
      </c>
      <c r="F1637" s="486">
        <v>1.272</v>
      </c>
      <c r="G1637"/>
      <c r="H1637" s="13">
        <v>137755.32999999999</v>
      </c>
      <c r="I1637" s="13">
        <v>1.272</v>
      </c>
      <c r="J1637">
        <v>13</v>
      </c>
      <c r="K1637" s="131">
        <v>45688</v>
      </c>
      <c r="M1637">
        <v>570</v>
      </c>
      <c r="N1637" t="s">
        <v>7429</v>
      </c>
    </row>
    <row r="1638" spans="1:14">
      <c r="A1638" t="s">
        <v>1746</v>
      </c>
      <c r="B1638" t="s">
        <v>1747</v>
      </c>
      <c r="C1638" t="s">
        <v>1744</v>
      </c>
      <c r="D1638" s="96">
        <v>108.3</v>
      </c>
      <c r="E1638" s="13">
        <v>138294.78</v>
      </c>
      <c r="F1638" s="486">
        <v>1.2769999999999999</v>
      </c>
      <c r="G1638"/>
      <c r="H1638" s="13">
        <v>138294.78</v>
      </c>
      <c r="I1638" s="13">
        <v>1.2769999999999999</v>
      </c>
      <c r="J1638">
        <v>13</v>
      </c>
      <c r="K1638" s="131">
        <v>45688</v>
      </c>
      <c r="M1638">
        <v>570</v>
      </c>
      <c r="N1638" t="s">
        <v>7430</v>
      </c>
    </row>
    <row r="1639" spans="1:14">
      <c r="A1639" t="s">
        <v>1746</v>
      </c>
      <c r="B1639" t="s">
        <v>7423</v>
      </c>
      <c r="C1639" t="s">
        <v>1744</v>
      </c>
      <c r="D1639" s="96">
        <v>108.3</v>
      </c>
      <c r="E1639" s="13">
        <v>202314.39</v>
      </c>
      <c r="F1639" s="486">
        <v>1.8681000000000001</v>
      </c>
      <c r="G1639"/>
      <c r="H1639" s="13">
        <v>202314.39</v>
      </c>
      <c r="I1639" s="13">
        <v>1.8681000000000001</v>
      </c>
      <c r="J1639">
        <v>13</v>
      </c>
      <c r="K1639" s="131">
        <v>45688</v>
      </c>
      <c r="M1639">
        <v>570</v>
      </c>
      <c r="N1639" t="s">
        <v>7431</v>
      </c>
    </row>
    <row r="1640" spans="1:14">
      <c r="A1640" t="s">
        <v>1746</v>
      </c>
      <c r="B1640" t="s">
        <v>7423</v>
      </c>
      <c r="C1640" t="s">
        <v>1744</v>
      </c>
      <c r="D1640" s="96">
        <v>108.3</v>
      </c>
      <c r="E1640" s="13">
        <v>202853.84</v>
      </c>
      <c r="F1640" s="486">
        <v>1.8731</v>
      </c>
      <c r="G1640"/>
      <c r="H1640" s="13">
        <v>202853.84</v>
      </c>
      <c r="I1640" s="13">
        <v>1.8731</v>
      </c>
      <c r="J1640">
        <v>13</v>
      </c>
      <c r="K1640" s="131">
        <v>45688</v>
      </c>
      <c r="M1640">
        <v>570</v>
      </c>
      <c r="N1640" t="s">
        <v>7432</v>
      </c>
    </row>
    <row r="1641" spans="1:14">
      <c r="A1641" t="s">
        <v>1746</v>
      </c>
      <c r="B1641" t="s">
        <v>7192</v>
      </c>
      <c r="C1641" t="s">
        <v>1744</v>
      </c>
      <c r="D1641" s="96">
        <v>108.63</v>
      </c>
      <c r="E1641" s="13">
        <v>195043.77</v>
      </c>
      <c r="F1641" s="486">
        <v>1.7955000000000001</v>
      </c>
      <c r="G1641"/>
      <c r="H1641" s="13">
        <v>195043.77</v>
      </c>
      <c r="I1641" s="13">
        <v>1.7955000000000001</v>
      </c>
      <c r="J1641">
        <v>13</v>
      </c>
      <c r="K1641" s="131">
        <v>45688</v>
      </c>
      <c r="M1641">
        <v>710</v>
      </c>
      <c r="N1641" t="s">
        <v>7433</v>
      </c>
    </row>
    <row r="1642" spans="1:14">
      <c r="A1642" t="s">
        <v>1746</v>
      </c>
      <c r="B1642" t="s">
        <v>1747</v>
      </c>
      <c r="C1642" t="s">
        <v>1744</v>
      </c>
      <c r="D1642" s="96">
        <v>108.87</v>
      </c>
      <c r="E1642" s="13">
        <v>138280.01999999999</v>
      </c>
      <c r="F1642" s="486">
        <v>1.2701</v>
      </c>
      <c r="G1642"/>
      <c r="H1642" s="13">
        <v>138280.01999999999</v>
      </c>
      <c r="I1642" s="13">
        <v>1.2701</v>
      </c>
      <c r="J1642">
        <v>13</v>
      </c>
      <c r="K1642" s="131">
        <v>45688</v>
      </c>
      <c r="M1642">
        <v>570</v>
      </c>
      <c r="N1642" t="s">
        <v>7434</v>
      </c>
    </row>
    <row r="1643" spans="1:14">
      <c r="A1643" t="s">
        <v>1746</v>
      </c>
      <c r="B1643" t="s">
        <v>1747</v>
      </c>
      <c r="C1643" t="s">
        <v>1744</v>
      </c>
      <c r="D1643" s="96">
        <v>108.87</v>
      </c>
      <c r="E1643" s="13">
        <v>138280.01999999999</v>
      </c>
      <c r="F1643" s="486">
        <v>1.2701</v>
      </c>
      <c r="G1643"/>
      <c r="H1643" s="13">
        <v>138280.01999999999</v>
      </c>
      <c r="I1643" s="13">
        <v>1.2701</v>
      </c>
      <c r="J1643">
        <v>13</v>
      </c>
      <c r="K1643" s="131">
        <v>45688</v>
      </c>
      <c r="M1643">
        <v>570</v>
      </c>
      <c r="N1643" t="s">
        <v>7434</v>
      </c>
    </row>
    <row r="1644" spans="1:14">
      <c r="A1644" t="s">
        <v>1746</v>
      </c>
      <c r="B1644" t="s">
        <v>1747</v>
      </c>
      <c r="C1644" t="s">
        <v>1744</v>
      </c>
      <c r="D1644" s="96">
        <v>108.87</v>
      </c>
      <c r="E1644" s="13">
        <v>138822.31</v>
      </c>
      <c r="F1644" s="486">
        <v>1.2750999999999999</v>
      </c>
      <c r="G1644"/>
      <c r="H1644" s="13">
        <v>138822.31</v>
      </c>
      <c r="I1644" s="13">
        <v>1.2750999999999999</v>
      </c>
      <c r="J1644">
        <v>13</v>
      </c>
      <c r="K1644" s="131">
        <v>45688</v>
      </c>
      <c r="M1644">
        <v>570</v>
      </c>
      <c r="N1644" t="s">
        <v>7435</v>
      </c>
    </row>
    <row r="1645" spans="1:14">
      <c r="A1645" t="s">
        <v>1746</v>
      </c>
      <c r="B1645" t="s">
        <v>1747</v>
      </c>
      <c r="C1645" t="s">
        <v>1744</v>
      </c>
      <c r="D1645" s="96">
        <v>108.87</v>
      </c>
      <c r="E1645" s="13">
        <v>138822.31</v>
      </c>
      <c r="F1645" s="486">
        <v>1.2750999999999999</v>
      </c>
      <c r="G1645"/>
      <c r="H1645" s="13">
        <v>138822.31</v>
      </c>
      <c r="I1645" s="13">
        <v>1.2750999999999999</v>
      </c>
      <c r="J1645">
        <v>13</v>
      </c>
      <c r="K1645" s="131">
        <v>45688</v>
      </c>
      <c r="M1645">
        <v>570</v>
      </c>
      <c r="N1645" t="s">
        <v>7435</v>
      </c>
    </row>
    <row r="1646" spans="1:14">
      <c r="A1646" t="s">
        <v>1746</v>
      </c>
      <c r="B1646" t="s">
        <v>7423</v>
      </c>
      <c r="C1646" t="s">
        <v>1744</v>
      </c>
      <c r="D1646" s="96">
        <v>108.87</v>
      </c>
      <c r="E1646" s="13">
        <v>202839.07</v>
      </c>
      <c r="F1646" s="486">
        <v>1.8631</v>
      </c>
      <c r="G1646"/>
      <c r="H1646" s="13">
        <v>202839.07</v>
      </c>
      <c r="I1646" s="13">
        <v>1.8631</v>
      </c>
      <c r="J1646">
        <v>13</v>
      </c>
      <c r="K1646" s="131">
        <v>45688</v>
      </c>
      <c r="M1646">
        <v>570</v>
      </c>
      <c r="N1646" t="s">
        <v>7436</v>
      </c>
    </row>
    <row r="1647" spans="1:14">
      <c r="A1647" t="s">
        <v>1746</v>
      </c>
      <c r="B1647" t="s">
        <v>7423</v>
      </c>
      <c r="C1647" t="s">
        <v>1744</v>
      </c>
      <c r="D1647" s="96">
        <v>108.87</v>
      </c>
      <c r="E1647" s="13">
        <v>203381.36</v>
      </c>
      <c r="F1647" s="486">
        <v>1.8681000000000001</v>
      </c>
      <c r="G1647"/>
      <c r="H1647" s="13">
        <v>203381.36</v>
      </c>
      <c r="I1647" s="13">
        <v>1.8681000000000001</v>
      </c>
      <c r="J1647">
        <v>13</v>
      </c>
      <c r="K1647" s="131">
        <v>45688</v>
      </c>
      <c r="M1647">
        <v>570</v>
      </c>
      <c r="N1647" t="s">
        <v>7437</v>
      </c>
    </row>
    <row r="1648" spans="1:14">
      <c r="A1648" t="s">
        <v>1746</v>
      </c>
      <c r="B1648" t="s">
        <v>7192</v>
      </c>
      <c r="C1648" t="s">
        <v>1744</v>
      </c>
      <c r="D1648" s="96">
        <v>109.34</v>
      </c>
      <c r="E1648" s="13">
        <v>195771.93</v>
      </c>
      <c r="F1648" s="486">
        <v>1.7905</v>
      </c>
      <c r="G1648"/>
      <c r="H1648" s="13">
        <v>195771.93</v>
      </c>
      <c r="I1648" s="13">
        <v>1.7905</v>
      </c>
      <c r="J1648">
        <v>13</v>
      </c>
      <c r="K1648" s="131">
        <v>45688</v>
      </c>
      <c r="M1648">
        <v>710</v>
      </c>
      <c r="N1648" t="s">
        <v>7438</v>
      </c>
    </row>
    <row r="1649" spans="1:14">
      <c r="A1649" t="s">
        <v>1746</v>
      </c>
      <c r="B1649" t="s">
        <v>1747</v>
      </c>
      <c r="C1649" t="s">
        <v>1744</v>
      </c>
      <c r="D1649" s="96">
        <v>109.44</v>
      </c>
      <c r="E1649" s="13">
        <v>138804.70000000001</v>
      </c>
      <c r="F1649" s="486">
        <v>1.2683</v>
      </c>
      <c r="G1649"/>
      <c r="H1649" s="13">
        <v>138804.70000000001</v>
      </c>
      <c r="I1649" s="13">
        <v>1.2683</v>
      </c>
      <c r="J1649">
        <v>13</v>
      </c>
      <c r="K1649" s="131">
        <v>45688</v>
      </c>
      <c r="M1649">
        <v>570</v>
      </c>
      <c r="N1649" t="s">
        <v>7439</v>
      </c>
    </row>
    <row r="1650" spans="1:14">
      <c r="A1650" t="s">
        <v>1746</v>
      </c>
      <c r="B1650" t="s">
        <v>1747</v>
      </c>
      <c r="C1650" t="s">
        <v>1744</v>
      </c>
      <c r="D1650" s="96">
        <v>109.44</v>
      </c>
      <c r="E1650" s="13">
        <v>139349.82999999999</v>
      </c>
      <c r="F1650" s="486">
        <v>1.2733000000000001</v>
      </c>
      <c r="G1650"/>
      <c r="H1650" s="13">
        <v>139349.82999999999</v>
      </c>
      <c r="I1650" s="13">
        <v>1.2733000000000001</v>
      </c>
      <c r="J1650">
        <v>13</v>
      </c>
      <c r="K1650" s="131">
        <v>45688</v>
      </c>
      <c r="M1650">
        <v>570</v>
      </c>
      <c r="N1650" t="s">
        <v>7440</v>
      </c>
    </row>
    <row r="1651" spans="1:14">
      <c r="A1651" t="s">
        <v>1746</v>
      </c>
      <c r="B1651" t="s">
        <v>7423</v>
      </c>
      <c r="C1651" t="s">
        <v>1744</v>
      </c>
      <c r="D1651" s="96">
        <v>109.44</v>
      </c>
      <c r="E1651" s="13">
        <v>203363.76</v>
      </c>
      <c r="F1651" s="486">
        <v>1.8582000000000001</v>
      </c>
      <c r="G1651"/>
      <c r="H1651" s="13">
        <v>203363.76</v>
      </c>
      <c r="I1651" s="13">
        <v>1.8582000000000001</v>
      </c>
      <c r="J1651">
        <v>13</v>
      </c>
      <c r="K1651" s="131">
        <v>45688</v>
      </c>
      <c r="M1651">
        <v>570</v>
      </c>
      <c r="N1651" t="s">
        <v>7441</v>
      </c>
    </row>
    <row r="1652" spans="1:14">
      <c r="A1652" t="s">
        <v>1746</v>
      </c>
      <c r="B1652" t="s">
        <v>7423</v>
      </c>
      <c r="C1652" t="s">
        <v>1744</v>
      </c>
      <c r="D1652" s="96">
        <v>109.44</v>
      </c>
      <c r="E1652" s="13">
        <v>203908.88</v>
      </c>
      <c r="F1652" s="486">
        <v>1.8632</v>
      </c>
      <c r="G1652"/>
      <c r="H1652" s="13">
        <v>203908.88</v>
      </c>
      <c r="I1652" s="13">
        <v>1.8632</v>
      </c>
      <c r="J1652">
        <v>13</v>
      </c>
      <c r="K1652" s="131">
        <v>45688</v>
      </c>
      <c r="M1652">
        <v>570</v>
      </c>
      <c r="N1652" t="s">
        <v>7442</v>
      </c>
    </row>
    <row r="1653" spans="1:14">
      <c r="A1653" t="s">
        <v>1746</v>
      </c>
      <c r="B1653" t="s">
        <v>1748</v>
      </c>
      <c r="C1653" t="s">
        <v>1744</v>
      </c>
      <c r="D1653" s="96">
        <v>110.01</v>
      </c>
      <c r="E1653" s="13">
        <v>135790.42000000001</v>
      </c>
      <c r="F1653" s="486">
        <v>1.2343</v>
      </c>
      <c r="G1653"/>
      <c r="H1653" s="13">
        <v>135790.42000000001</v>
      </c>
      <c r="I1653" s="13">
        <v>1.2343</v>
      </c>
      <c r="J1653">
        <v>13</v>
      </c>
      <c r="K1653" s="131">
        <v>45688</v>
      </c>
      <c r="M1653">
        <v>570</v>
      </c>
      <c r="N1653" t="s">
        <v>7443</v>
      </c>
    </row>
    <row r="1654" spans="1:14">
      <c r="A1654" t="s">
        <v>1746</v>
      </c>
      <c r="B1654" t="s">
        <v>1748</v>
      </c>
      <c r="C1654" t="s">
        <v>1744</v>
      </c>
      <c r="D1654" s="96">
        <v>110.01</v>
      </c>
      <c r="E1654" s="13">
        <v>136338.38</v>
      </c>
      <c r="F1654" s="486">
        <v>1.2393000000000001</v>
      </c>
      <c r="G1654"/>
      <c r="H1654" s="13">
        <v>136338.38</v>
      </c>
      <c r="I1654" s="13">
        <v>1.2393000000000001</v>
      </c>
      <c r="J1654">
        <v>13</v>
      </c>
      <c r="K1654" s="131">
        <v>45688</v>
      </c>
      <c r="M1654">
        <v>570</v>
      </c>
      <c r="N1654" t="s">
        <v>7444</v>
      </c>
    </row>
    <row r="1655" spans="1:14">
      <c r="A1655" t="s">
        <v>1746</v>
      </c>
      <c r="B1655" t="s">
        <v>1747</v>
      </c>
      <c r="C1655" t="s">
        <v>1744</v>
      </c>
      <c r="D1655" s="96">
        <v>110.01</v>
      </c>
      <c r="E1655" s="13">
        <v>139643.97</v>
      </c>
      <c r="F1655" s="486">
        <v>1.2694000000000001</v>
      </c>
      <c r="G1655"/>
      <c r="H1655" s="13">
        <v>139643.97</v>
      </c>
      <c r="I1655" s="13">
        <v>1.2694000000000001</v>
      </c>
      <c r="J1655">
        <v>13</v>
      </c>
      <c r="K1655" s="131">
        <v>45688</v>
      </c>
      <c r="M1655">
        <v>570</v>
      </c>
      <c r="N1655" t="s">
        <v>7445</v>
      </c>
    </row>
    <row r="1656" spans="1:14">
      <c r="A1656" t="s">
        <v>1746</v>
      </c>
      <c r="B1656" t="s">
        <v>1747</v>
      </c>
      <c r="C1656" t="s">
        <v>1744</v>
      </c>
      <c r="D1656" s="96">
        <v>110.01</v>
      </c>
      <c r="E1656" s="13">
        <v>140191.94</v>
      </c>
      <c r="F1656" s="486">
        <v>1.2744</v>
      </c>
      <c r="G1656"/>
      <c r="H1656" s="13">
        <v>140191.94</v>
      </c>
      <c r="I1656" s="13">
        <v>1.2744</v>
      </c>
      <c r="J1656">
        <v>13</v>
      </c>
      <c r="K1656" s="131">
        <v>45688</v>
      </c>
      <c r="M1656">
        <v>570</v>
      </c>
      <c r="N1656" t="s">
        <v>7446</v>
      </c>
    </row>
    <row r="1657" spans="1:14">
      <c r="A1657" t="s">
        <v>1746</v>
      </c>
      <c r="B1657" t="s">
        <v>7423</v>
      </c>
      <c r="C1657" t="s">
        <v>1744</v>
      </c>
      <c r="D1657" s="96">
        <v>110.01</v>
      </c>
      <c r="E1657" s="13">
        <v>205975.82</v>
      </c>
      <c r="F1657" s="486">
        <v>1.8723000000000001</v>
      </c>
      <c r="G1657"/>
      <c r="H1657" s="13">
        <v>205975.82</v>
      </c>
      <c r="I1657" s="13">
        <v>1.8723000000000001</v>
      </c>
      <c r="J1657">
        <v>13</v>
      </c>
      <c r="K1657" s="131">
        <v>45688</v>
      </c>
      <c r="M1657">
        <v>570</v>
      </c>
      <c r="N1657" t="s">
        <v>7447</v>
      </c>
    </row>
    <row r="1658" spans="1:14">
      <c r="A1658" t="s">
        <v>1746</v>
      </c>
      <c r="B1658" t="s">
        <v>7423</v>
      </c>
      <c r="C1658" t="s">
        <v>1744</v>
      </c>
      <c r="D1658" s="96">
        <v>110.01</v>
      </c>
      <c r="E1658" s="13">
        <v>206523.79</v>
      </c>
      <c r="F1658" s="486">
        <v>1.8773</v>
      </c>
      <c r="G1658"/>
      <c r="H1658" s="13">
        <v>206523.79</v>
      </c>
      <c r="I1658" s="13">
        <v>1.8773</v>
      </c>
      <c r="J1658">
        <v>13</v>
      </c>
      <c r="K1658" s="131">
        <v>45688</v>
      </c>
      <c r="M1658">
        <v>570</v>
      </c>
      <c r="N1658" t="s">
        <v>7448</v>
      </c>
    </row>
    <row r="1659" spans="1:14">
      <c r="A1659" t="s">
        <v>1746</v>
      </c>
      <c r="B1659" t="s">
        <v>7192</v>
      </c>
      <c r="C1659" t="s">
        <v>1744</v>
      </c>
      <c r="D1659" s="96">
        <v>110.05</v>
      </c>
      <c r="E1659" s="13">
        <v>196500.09</v>
      </c>
      <c r="F1659" s="486">
        <v>1.7856000000000001</v>
      </c>
      <c r="G1659"/>
      <c r="H1659" s="13">
        <v>196500.09</v>
      </c>
      <c r="I1659" s="13">
        <v>1.7856000000000001</v>
      </c>
      <c r="J1659">
        <v>13</v>
      </c>
      <c r="K1659" s="131">
        <v>45688</v>
      </c>
      <c r="M1659">
        <v>710</v>
      </c>
      <c r="N1659" t="s">
        <v>7449</v>
      </c>
    </row>
    <row r="1660" spans="1:14">
      <c r="A1660" t="s">
        <v>1746</v>
      </c>
      <c r="B1660" t="s">
        <v>1747</v>
      </c>
      <c r="C1660" t="s">
        <v>1744</v>
      </c>
      <c r="D1660" s="96">
        <v>110.58</v>
      </c>
      <c r="E1660" s="13">
        <v>140168.65</v>
      </c>
      <c r="F1660" s="486">
        <v>1.2676000000000001</v>
      </c>
      <c r="G1660"/>
      <c r="H1660" s="13">
        <v>140168.65</v>
      </c>
      <c r="I1660" s="13">
        <v>1.2676000000000001</v>
      </c>
      <c r="J1660">
        <v>13</v>
      </c>
      <c r="K1660" s="131">
        <v>45688</v>
      </c>
      <c r="M1660">
        <v>570</v>
      </c>
      <c r="N1660" t="s">
        <v>7450</v>
      </c>
    </row>
    <row r="1661" spans="1:14">
      <c r="A1661" t="s">
        <v>1746</v>
      </c>
      <c r="B1661" t="s">
        <v>1747</v>
      </c>
      <c r="C1661" t="s">
        <v>1744</v>
      </c>
      <c r="D1661" s="96">
        <v>110.58</v>
      </c>
      <c r="E1661" s="13">
        <v>140168.65</v>
      </c>
      <c r="F1661" s="486">
        <v>1.2676000000000001</v>
      </c>
      <c r="G1661"/>
      <c r="H1661" s="13">
        <v>140168.65</v>
      </c>
      <c r="I1661" s="13">
        <v>1.2676000000000001</v>
      </c>
      <c r="J1661">
        <v>13</v>
      </c>
      <c r="K1661" s="131">
        <v>45688</v>
      </c>
      <c r="M1661">
        <v>570</v>
      </c>
      <c r="N1661" t="s">
        <v>7450</v>
      </c>
    </row>
    <row r="1662" spans="1:14">
      <c r="A1662" t="s">
        <v>1746</v>
      </c>
      <c r="B1662" t="s">
        <v>1747</v>
      </c>
      <c r="C1662" t="s">
        <v>1744</v>
      </c>
      <c r="D1662" s="96">
        <v>110.58</v>
      </c>
      <c r="E1662" s="13">
        <v>140719.46</v>
      </c>
      <c r="F1662" s="486">
        <v>1.2726</v>
      </c>
      <c r="G1662"/>
      <c r="H1662" s="13">
        <v>140719.46</v>
      </c>
      <c r="I1662" s="13">
        <v>1.2726</v>
      </c>
      <c r="J1662">
        <v>13</v>
      </c>
      <c r="K1662" s="131">
        <v>45688</v>
      </c>
      <c r="M1662">
        <v>570</v>
      </c>
      <c r="N1662" t="s">
        <v>7451</v>
      </c>
    </row>
    <row r="1663" spans="1:14">
      <c r="A1663" t="s">
        <v>1746</v>
      </c>
      <c r="B1663" t="s">
        <v>1747</v>
      </c>
      <c r="C1663" t="s">
        <v>1744</v>
      </c>
      <c r="D1663" s="96">
        <v>110.58</v>
      </c>
      <c r="E1663" s="13">
        <v>140719.46</v>
      </c>
      <c r="F1663" s="486">
        <v>1.2726</v>
      </c>
      <c r="G1663"/>
      <c r="H1663" s="13">
        <v>140719.46</v>
      </c>
      <c r="I1663" s="13">
        <v>1.2726</v>
      </c>
      <c r="J1663">
        <v>13</v>
      </c>
      <c r="K1663" s="131">
        <v>45688</v>
      </c>
      <c r="M1663">
        <v>570</v>
      </c>
      <c r="N1663" t="s">
        <v>7451</v>
      </c>
    </row>
    <row r="1664" spans="1:14">
      <c r="A1664" t="s">
        <v>1746</v>
      </c>
      <c r="B1664" t="s">
        <v>7423</v>
      </c>
      <c r="C1664" t="s">
        <v>1744</v>
      </c>
      <c r="D1664" s="96">
        <v>110.58</v>
      </c>
      <c r="E1664" s="13">
        <v>206500.51</v>
      </c>
      <c r="F1664" s="486">
        <v>1.8673999999999999</v>
      </c>
      <c r="G1664"/>
      <c r="H1664" s="13">
        <v>206500.51</v>
      </c>
      <c r="I1664" s="13">
        <v>1.8673999999999999</v>
      </c>
      <c r="J1664">
        <v>13</v>
      </c>
      <c r="K1664" s="131">
        <v>45688</v>
      </c>
      <c r="M1664">
        <v>570</v>
      </c>
      <c r="N1664" t="s">
        <v>7452</v>
      </c>
    </row>
    <row r="1665" spans="1:14">
      <c r="A1665" t="s">
        <v>1746</v>
      </c>
      <c r="B1665" t="s">
        <v>7423</v>
      </c>
      <c r="C1665" t="s">
        <v>1744</v>
      </c>
      <c r="D1665" s="96">
        <v>110.58</v>
      </c>
      <c r="E1665" s="13">
        <v>207051.31</v>
      </c>
      <c r="F1665" s="486">
        <v>1.8724000000000001</v>
      </c>
      <c r="G1665"/>
      <c r="H1665" s="13">
        <v>207051.31</v>
      </c>
      <c r="I1665" s="13">
        <v>1.8724000000000001</v>
      </c>
      <c r="J1665">
        <v>13</v>
      </c>
      <c r="K1665" s="131">
        <v>45688</v>
      </c>
      <c r="M1665">
        <v>570</v>
      </c>
      <c r="N1665" t="s">
        <v>7453</v>
      </c>
    </row>
    <row r="1666" spans="1:14">
      <c r="A1666" t="s">
        <v>1746</v>
      </c>
      <c r="B1666" t="s">
        <v>7192</v>
      </c>
      <c r="C1666" t="s">
        <v>1744</v>
      </c>
      <c r="D1666" s="96">
        <v>110.76</v>
      </c>
      <c r="E1666" s="13">
        <v>197228.25</v>
      </c>
      <c r="F1666" s="486">
        <v>1.7806999999999999</v>
      </c>
      <c r="G1666"/>
      <c r="H1666" s="13">
        <v>197228.25</v>
      </c>
      <c r="I1666" s="13">
        <v>1.7806999999999999</v>
      </c>
      <c r="J1666">
        <v>13</v>
      </c>
      <c r="K1666" s="131">
        <v>45688</v>
      </c>
      <c r="M1666">
        <v>710</v>
      </c>
      <c r="N1666" t="s">
        <v>7454</v>
      </c>
    </row>
    <row r="1667" spans="1:14">
      <c r="A1667" t="s">
        <v>1746</v>
      </c>
      <c r="B1667" t="s">
        <v>1747</v>
      </c>
      <c r="C1667" t="s">
        <v>1744</v>
      </c>
      <c r="D1667" s="96">
        <v>111.15</v>
      </c>
      <c r="E1667" s="13">
        <v>140693.34</v>
      </c>
      <c r="F1667" s="486">
        <v>1.2658</v>
      </c>
      <c r="G1667"/>
      <c r="H1667" s="13">
        <v>140693.34</v>
      </c>
      <c r="I1667" s="13">
        <v>1.2658</v>
      </c>
      <c r="J1667">
        <v>13</v>
      </c>
      <c r="K1667" s="131">
        <v>45688</v>
      </c>
      <c r="M1667">
        <v>570</v>
      </c>
      <c r="N1667" t="s">
        <v>7455</v>
      </c>
    </row>
    <row r="1668" spans="1:14">
      <c r="A1668" t="s">
        <v>1746</v>
      </c>
      <c r="B1668" t="s">
        <v>1747</v>
      </c>
      <c r="C1668" t="s">
        <v>1744</v>
      </c>
      <c r="D1668" s="96">
        <v>111.15</v>
      </c>
      <c r="E1668" s="13">
        <v>141246.98000000001</v>
      </c>
      <c r="F1668" s="486">
        <v>1.2707999999999999</v>
      </c>
      <c r="G1668"/>
      <c r="H1668" s="13">
        <v>141246.98000000001</v>
      </c>
      <c r="I1668" s="13">
        <v>1.2707999999999999</v>
      </c>
      <c r="J1668">
        <v>13</v>
      </c>
      <c r="K1668" s="131">
        <v>45688</v>
      </c>
      <c r="M1668">
        <v>570</v>
      </c>
      <c r="N1668" t="s">
        <v>7456</v>
      </c>
    </row>
    <row r="1669" spans="1:14">
      <c r="A1669" t="s">
        <v>1746</v>
      </c>
      <c r="B1669" t="s">
        <v>7423</v>
      </c>
      <c r="C1669" t="s">
        <v>1744</v>
      </c>
      <c r="D1669" s="96">
        <v>111.15</v>
      </c>
      <c r="E1669" s="13">
        <v>207025.19</v>
      </c>
      <c r="F1669" s="486">
        <v>1.8626</v>
      </c>
      <c r="G1669"/>
      <c r="H1669" s="13">
        <v>207025.19</v>
      </c>
      <c r="I1669" s="13">
        <v>1.8626</v>
      </c>
      <c r="J1669">
        <v>13</v>
      </c>
      <c r="K1669" s="131">
        <v>45688</v>
      </c>
      <c r="M1669">
        <v>570</v>
      </c>
      <c r="N1669" t="s">
        <v>7457</v>
      </c>
    </row>
    <row r="1670" spans="1:14">
      <c r="A1670" t="s">
        <v>1746</v>
      </c>
      <c r="B1670" t="s">
        <v>7423</v>
      </c>
      <c r="C1670" t="s">
        <v>1744</v>
      </c>
      <c r="D1670" s="96">
        <v>111.15</v>
      </c>
      <c r="E1670" s="13">
        <v>207578.83</v>
      </c>
      <c r="F1670" s="486">
        <v>1.8675999999999999</v>
      </c>
      <c r="G1670"/>
      <c r="H1670" s="13">
        <v>207578.83</v>
      </c>
      <c r="I1670" s="13">
        <v>1.8675999999999999</v>
      </c>
      <c r="J1670">
        <v>13</v>
      </c>
      <c r="K1670" s="131">
        <v>45688</v>
      </c>
      <c r="M1670">
        <v>570</v>
      </c>
      <c r="N1670" t="s">
        <v>7458</v>
      </c>
    </row>
    <row r="1671" spans="1:14">
      <c r="A1671" t="s">
        <v>1746</v>
      </c>
      <c r="B1671" t="s">
        <v>7192</v>
      </c>
      <c r="C1671" t="s">
        <v>1744</v>
      </c>
      <c r="D1671" s="96">
        <v>111.47</v>
      </c>
      <c r="E1671" s="13">
        <v>200043.79</v>
      </c>
      <c r="F1671" s="486">
        <v>1.7946</v>
      </c>
      <c r="G1671"/>
      <c r="H1671" s="13">
        <v>200043.79</v>
      </c>
      <c r="I1671" s="13">
        <v>1.7946</v>
      </c>
      <c r="J1671">
        <v>13</v>
      </c>
      <c r="K1671" s="131">
        <v>45688</v>
      </c>
      <c r="M1671">
        <v>710</v>
      </c>
      <c r="N1671" t="s">
        <v>7459</v>
      </c>
    </row>
    <row r="1672" spans="1:14">
      <c r="A1672" t="s">
        <v>1746</v>
      </c>
      <c r="B1672" t="s">
        <v>1748</v>
      </c>
      <c r="C1672" t="s">
        <v>1744</v>
      </c>
      <c r="D1672" s="96">
        <v>111.72</v>
      </c>
      <c r="E1672" s="13">
        <v>137364.47</v>
      </c>
      <c r="F1672" s="486">
        <v>1.2295</v>
      </c>
      <c r="G1672"/>
      <c r="H1672" s="13">
        <v>137364.47</v>
      </c>
      <c r="I1672" s="13">
        <v>1.2295</v>
      </c>
      <c r="J1672">
        <v>13</v>
      </c>
      <c r="K1672" s="131">
        <v>45688</v>
      </c>
      <c r="M1672">
        <v>570</v>
      </c>
      <c r="N1672" t="s">
        <v>7460</v>
      </c>
    </row>
    <row r="1673" spans="1:14">
      <c r="A1673" t="s">
        <v>1746</v>
      </c>
      <c r="B1673" t="s">
        <v>1748</v>
      </c>
      <c r="C1673" t="s">
        <v>1744</v>
      </c>
      <c r="D1673" s="96">
        <v>111.72</v>
      </c>
      <c r="E1673" s="13">
        <v>137920.95000000001</v>
      </c>
      <c r="F1673" s="486">
        <v>1.2344999999999999</v>
      </c>
      <c r="G1673"/>
      <c r="H1673" s="13">
        <v>137920.95000000001</v>
      </c>
      <c r="I1673" s="13">
        <v>1.2344999999999999</v>
      </c>
      <c r="J1673">
        <v>13</v>
      </c>
      <c r="K1673" s="131">
        <v>45688</v>
      </c>
      <c r="M1673">
        <v>570</v>
      </c>
      <c r="N1673" t="s">
        <v>7461</v>
      </c>
    </row>
    <row r="1674" spans="1:14">
      <c r="A1674" t="s">
        <v>1746</v>
      </c>
      <c r="B1674" t="s">
        <v>1747</v>
      </c>
      <c r="C1674" t="s">
        <v>1744</v>
      </c>
      <c r="D1674" s="96">
        <v>111.72</v>
      </c>
      <c r="E1674" s="13">
        <v>141218.01999999999</v>
      </c>
      <c r="F1674" s="486">
        <v>1.264</v>
      </c>
      <c r="G1674"/>
      <c r="H1674" s="13">
        <v>141218.01999999999</v>
      </c>
      <c r="I1674" s="13">
        <v>1.264</v>
      </c>
      <c r="J1674">
        <v>13</v>
      </c>
      <c r="K1674" s="131">
        <v>45688</v>
      </c>
      <c r="M1674">
        <v>570</v>
      </c>
      <c r="N1674" t="s">
        <v>7462</v>
      </c>
    </row>
    <row r="1675" spans="1:14">
      <c r="A1675" t="s">
        <v>1746</v>
      </c>
      <c r="B1675" t="s">
        <v>1747</v>
      </c>
      <c r="C1675" t="s">
        <v>1744</v>
      </c>
      <c r="D1675" s="96">
        <v>111.72</v>
      </c>
      <c r="E1675" s="13">
        <v>141774.51</v>
      </c>
      <c r="F1675" s="486">
        <v>1.2689999999999999</v>
      </c>
      <c r="G1675"/>
      <c r="H1675" s="13">
        <v>141774.51</v>
      </c>
      <c r="I1675" s="13">
        <v>1.2689999999999999</v>
      </c>
      <c r="J1675">
        <v>13</v>
      </c>
      <c r="K1675" s="131">
        <v>45688</v>
      </c>
      <c r="M1675">
        <v>570</v>
      </c>
      <c r="N1675" t="s">
        <v>7463</v>
      </c>
    </row>
    <row r="1676" spans="1:14">
      <c r="A1676" t="s">
        <v>1746</v>
      </c>
      <c r="B1676" t="s">
        <v>7423</v>
      </c>
      <c r="C1676" t="s">
        <v>1744</v>
      </c>
      <c r="D1676" s="96">
        <v>111.72</v>
      </c>
      <c r="E1676" s="13">
        <v>207549.87</v>
      </c>
      <c r="F1676" s="486">
        <v>1.8577999999999999</v>
      </c>
      <c r="G1676"/>
      <c r="H1676" s="13">
        <v>207549.87</v>
      </c>
      <c r="I1676" s="13">
        <v>1.8577999999999999</v>
      </c>
      <c r="J1676">
        <v>13</v>
      </c>
      <c r="K1676" s="131">
        <v>45688</v>
      </c>
      <c r="M1676">
        <v>570</v>
      </c>
      <c r="N1676" t="s">
        <v>7464</v>
      </c>
    </row>
    <row r="1677" spans="1:14">
      <c r="A1677" t="s">
        <v>1746</v>
      </c>
      <c r="B1677" t="s">
        <v>7423</v>
      </c>
      <c r="C1677" t="s">
        <v>1744</v>
      </c>
      <c r="D1677" s="96">
        <v>111.72</v>
      </c>
      <c r="E1677" s="13">
        <v>208106.36</v>
      </c>
      <c r="F1677" s="486">
        <v>1.8627</v>
      </c>
      <c r="G1677"/>
      <c r="H1677" s="13">
        <v>208106.36</v>
      </c>
      <c r="I1677" s="13">
        <v>1.8627</v>
      </c>
      <c r="J1677">
        <v>13</v>
      </c>
      <c r="K1677" s="131">
        <v>45688</v>
      </c>
      <c r="M1677">
        <v>570</v>
      </c>
      <c r="N1677" t="s">
        <v>7465</v>
      </c>
    </row>
    <row r="1678" spans="1:14">
      <c r="A1678" t="s">
        <v>1746</v>
      </c>
      <c r="B1678" t="s">
        <v>7192</v>
      </c>
      <c r="C1678" t="s">
        <v>1744</v>
      </c>
      <c r="D1678" s="96">
        <v>112.18</v>
      </c>
      <c r="E1678" s="13">
        <v>200771.95</v>
      </c>
      <c r="F1678" s="486">
        <v>1.7897000000000001</v>
      </c>
      <c r="G1678"/>
      <c r="H1678" s="13">
        <v>200771.95</v>
      </c>
      <c r="I1678" s="13">
        <v>1.7897000000000001</v>
      </c>
      <c r="J1678">
        <v>13</v>
      </c>
      <c r="K1678" s="131">
        <v>45688</v>
      </c>
      <c r="M1678">
        <v>710</v>
      </c>
      <c r="N1678" t="s">
        <v>7466</v>
      </c>
    </row>
    <row r="1679" spans="1:14">
      <c r="A1679" t="s">
        <v>1746</v>
      </c>
      <c r="B1679" t="s">
        <v>1747</v>
      </c>
      <c r="C1679" t="s">
        <v>1744</v>
      </c>
      <c r="D1679" s="96">
        <v>112.29</v>
      </c>
      <c r="E1679" s="13">
        <v>142057.29</v>
      </c>
      <c r="F1679" s="486">
        <v>1.2650999999999999</v>
      </c>
      <c r="G1679"/>
      <c r="H1679" s="13">
        <v>142057.29</v>
      </c>
      <c r="I1679" s="13">
        <v>1.2650999999999999</v>
      </c>
      <c r="J1679">
        <v>13</v>
      </c>
      <c r="K1679" s="131">
        <v>45688</v>
      </c>
      <c r="M1679">
        <v>570</v>
      </c>
      <c r="N1679" t="s">
        <v>7467</v>
      </c>
    </row>
    <row r="1680" spans="1:14">
      <c r="A1680" t="s">
        <v>1746</v>
      </c>
      <c r="B1680" t="s">
        <v>1747</v>
      </c>
      <c r="C1680" t="s">
        <v>1744</v>
      </c>
      <c r="D1680" s="96">
        <v>112.29</v>
      </c>
      <c r="E1680" s="13">
        <v>142057.29</v>
      </c>
      <c r="F1680" s="486">
        <v>1.2650999999999999</v>
      </c>
      <c r="G1680"/>
      <c r="H1680" s="13">
        <v>142057.29</v>
      </c>
      <c r="I1680" s="13">
        <v>1.2650999999999999</v>
      </c>
      <c r="J1680">
        <v>13</v>
      </c>
      <c r="K1680" s="131">
        <v>45688</v>
      </c>
      <c r="M1680">
        <v>570</v>
      </c>
      <c r="N1680" t="s">
        <v>7467</v>
      </c>
    </row>
    <row r="1681" spans="1:14">
      <c r="A1681" t="s">
        <v>1746</v>
      </c>
      <c r="B1681" t="s">
        <v>1747</v>
      </c>
      <c r="C1681" t="s">
        <v>1744</v>
      </c>
      <c r="D1681" s="96">
        <v>112.29</v>
      </c>
      <c r="E1681" s="13">
        <v>142616.60999999999</v>
      </c>
      <c r="F1681" s="486">
        <v>1.2701</v>
      </c>
      <c r="G1681"/>
      <c r="H1681" s="13">
        <v>142616.60999999999</v>
      </c>
      <c r="I1681" s="13">
        <v>1.2701</v>
      </c>
      <c r="J1681">
        <v>13</v>
      </c>
      <c r="K1681" s="131">
        <v>45688</v>
      </c>
      <c r="M1681">
        <v>570</v>
      </c>
      <c r="N1681" t="s">
        <v>7468</v>
      </c>
    </row>
    <row r="1682" spans="1:14">
      <c r="A1682" t="s">
        <v>1746</v>
      </c>
      <c r="B1682" t="s">
        <v>1747</v>
      </c>
      <c r="C1682" t="s">
        <v>1744</v>
      </c>
      <c r="D1682" s="96">
        <v>112.29</v>
      </c>
      <c r="E1682" s="13">
        <v>142616.60999999999</v>
      </c>
      <c r="F1682" s="486">
        <v>1.2701</v>
      </c>
      <c r="G1682"/>
      <c r="H1682" s="13">
        <v>142616.60999999999</v>
      </c>
      <c r="I1682" s="13">
        <v>1.2701</v>
      </c>
      <c r="J1682">
        <v>13</v>
      </c>
      <c r="K1682" s="131">
        <v>45688</v>
      </c>
      <c r="M1682">
        <v>570</v>
      </c>
      <c r="N1682" t="s">
        <v>7468</v>
      </c>
    </row>
    <row r="1683" spans="1:14">
      <c r="A1683" t="s">
        <v>1746</v>
      </c>
      <c r="B1683" t="s">
        <v>7469</v>
      </c>
      <c r="C1683" t="s">
        <v>1744</v>
      </c>
      <c r="D1683" s="96">
        <v>112.29</v>
      </c>
      <c r="E1683" s="13">
        <v>210195.72</v>
      </c>
      <c r="F1683" s="486">
        <v>1.8718999999999999</v>
      </c>
      <c r="G1683"/>
      <c r="H1683" s="13">
        <v>210195.72</v>
      </c>
      <c r="I1683" s="13">
        <v>1.8718999999999999</v>
      </c>
      <c r="J1683">
        <v>13</v>
      </c>
      <c r="K1683" s="131">
        <v>45688</v>
      </c>
      <c r="M1683">
        <v>570</v>
      </c>
      <c r="N1683" t="s">
        <v>7470</v>
      </c>
    </row>
    <row r="1684" spans="1:14">
      <c r="A1684" t="s">
        <v>1746</v>
      </c>
      <c r="B1684" t="s">
        <v>7469</v>
      </c>
      <c r="C1684" t="s">
        <v>1744</v>
      </c>
      <c r="D1684" s="96">
        <v>112.29</v>
      </c>
      <c r="E1684" s="13">
        <v>210755.05</v>
      </c>
      <c r="F1684" s="486">
        <v>1.8769</v>
      </c>
      <c r="G1684"/>
      <c r="H1684" s="13">
        <v>210755.05</v>
      </c>
      <c r="I1684" s="13">
        <v>1.8769</v>
      </c>
      <c r="J1684">
        <v>13</v>
      </c>
      <c r="K1684" s="131">
        <v>45688</v>
      </c>
      <c r="M1684">
        <v>570</v>
      </c>
      <c r="N1684" t="s">
        <v>7471</v>
      </c>
    </row>
    <row r="1685" spans="1:14">
      <c r="A1685" t="s">
        <v>1746</v>
      </c>
      <c r="B1685" t="s">
        <v>1747</v>
      </c>
      <c r="C1685" t="s">
        <v>1744</v>
      </c>
      <c r="D1685" s="96">
        <v>112.86</v>
      </c>
      <c r="E1685" s="13">
        <v>142581.97</v>
      </c>
      <c r="F1685" s="486">
        <v>1.2634000000000001</v>
      </c>
      <c r="G1685"/>
      <c r="H1685" s="13">
        <v>142581.97</v>
      </c>
      <c r="I1685" s="13">
        <v>1.2634000000000001</v>
      </c>
      <c r="J1685">
        <v>13</v>
      </c>
      <c r="K1685" s="131">
        <v>45688</v>
      </c>
      <c r="M1685">
        <v>570</v>
      </c>
      <c r="N1685" t="s">
        <v>7472</v>
      </c>
    </row>
    <row r="1686" spans="1:14">
      <c r="A1686" t="s">
        <v>1746</v>
      </c>
      <c r="B1686" t="s">
        <v>1747</v>
      </c>
      <c r="C1686" t="s">
        <v>1744</v>
      </c>
      <c r="D1686" s="96">
        <v>112.86</v>
      </c>
      <c r="E1686" s="13">
        <v>143144.14000000001</v>
      </c>
      <c r="F1686" s="486">
        <v>1.2683</v>
      </c>
      <c r="G1686"/>
      <c r="H1686" s="13">
        <v>143144.14000000001</v>
      </c>
      <c r="I1686" s="13">
        <v>1.2683</v>
      </c>
      <c r="J1686">
        <v>13</v>
      </c>
      <c r="K1686" s="131">
        <v>45688</v>
      </c>
      <c r="M1686">
        <v>570</v>
      </c>
      <c r="N1686" t="s">
        <v>7473</v>
      </c>
    </row>
    <row r="1687" spans="1:14">
      <c r="A1687" t="s">
        <v>1746</v>
      </c>
      <c r="B1687" t="s">
        <v>7469</v>
      </c>
      <c r="C1687" t="s">
        <v>1744</v>
      </c>
      <c r="D1687" s="96">
        <v>112.86</v>
      </c>
      <c r="E1687" s="13">
        <v>210720.41</v>
      </c>
      <c r="F1687" s="486">
        <v>1.8671</v>
      </c>
      <c r="G1687"/>
      <c r="H1687" s="13">
        <v>210720.41</v>
      </c>
      <c r="I1687" s="13">
        <v>1.8671</v>
      </c>
      <c r="J1687">
        <v>13</v>
      </c>
      <c r="K1687" s="131">
        <v>45688</v>
      </c>
      <c r="M1687">
        <v>570</v>
      </c>
      <c r="N1687" t="s">
        <v>7474</v>
      </c>
    </row>
    <row r="1688" spans="1:14">
      <c r="A1688" t="s">
        <v>1746</v>
      </c>
      <c r="B1688" t="s">
        <v>7469</v>
      </c>
      <c r="C1688" t="s">
        <v>1744</v>
      </c>
      <c r="D1688" s="96">
        <v>112.86</v>
      </c>
      <c r="E1688" s="13">
        <v>211282.57</v>
      </c>
      <c r="F1688" s="486">
        <v>1.8721000000000001</v>
      </c>
      <c r="G1688"/>
      <c r="H1688" s="13">
        <v>211282.57</v>
      </c>
      <c r="I1688" s="13">
        <v>1.8721000000000001</v>
      </c>
      <c r="J1688">
        <v>13</v>
      </c>
      <c r="K1688" s="131">
        <v>45688</v>
      </c>
      <c r="M1688">
        <v>570</v>
      </c>
      <c r="N1688" t="s">
        <v>7475</v>
      </c>
    </row>
    <row r="1689" spans="1:14">
      <c r="A1689" t="s">
        <v>1746</v>
      </c>
      <c r="B1689" t="s">
        <v>7192</v>
      </c>
      <c r="C1689" t="s">
        <v>1744</v>
      </c>
      <c r="D1689" s="96">
        <v>112.89</v>
      </c>
      <c r="E1689" s="13">
        <v>201500.11</v>
      </c>
      <c r="F1689" s="486">
        <v>1.7848999999999999</v>
      </c>
      <c r="G1689"/>
      <c r="H1689" s="13">
        <v>201500.11</v>
      </c>
      <c r="I1689" s="13">
        <v>1.7848999999999999</v>
      </c>
      <c r="J1689">
        <v>13</v>
      </c>
      <c r="K1689" s="131">
        <v>45688</v>
      </c>
      <c r="M1689">
        <v>710</v>
      </c>
      <c r="N1689" t="s">
        <v>7476</v>
      </c>
    </row>
    <row r="1690" spans="1:14">
      <c r="A1690" t="s">
        <v>1746</v>
      </c>
      <c r="B1690" t="s">
        <v>1747</v>
      </c>
      <c r="C1690" t="s">
        <v>1744</v>
      </c>
      <c r="D1690" s="96">
        <v>113.43</v>
      </c>
      <c r="E1690" s="13">
        <v>143106.66</v>
      </c>
      <c r="F1690" s="486">
        <v>1.2616000000000001</v>
      </c>
      <c r="G1690"/>
      <c r="H1690" s="13">
        <v>143106.66</v>
      </c>
      <c r="I1690" s="13">
        <v>1.2616000000000001</v>
      </c>
      <c r="J1690">
        <v>13</v>
      </c>
      <c r="K1690" s="131">
        <v>45688</v>
      </c>
      <c r="M1690">
        <v>570</v>
      </c>
      <c r="N1690" t="s">
        <v>7477</v>
      </c>
    </row>
    <row r="1691" spans="1:14">
      <c r="A1691" t="s">
        <v>1746</v>
      </c>
      <c r="B1691" t="s">
        <v>1747</v>
      </c>
      <c r="C1691" t="s">
        <v>1744</v>
      </c>
      <c r="D1691" s="96">
        <v>113.43</v>
      </c>
      <c r="E1691" s="13">
        <v>143671.66</v>
      </c>
      <c r="F1691" s="486">
        <v>1.2665999999999999</v>
      </c>
      <c r="G1691"/>
      <c r="H1691" s="13">
        <v>143671.66</v>
      </c>
      <c r="I1691" s="13">
        <v>1.2665999999999999</v>
      </c>
      <c r="J1691">
        <v>13</v>
      </c>
      <c r="K1691" s="131">
        <v>45688</v>
      </c>
      <c r="M1691">
        <v>570</v>
      </c>
      <c r="N1691" t="s">
        <v>7478</v>
      </c>
    </row>
    <row r="1692" spans="1:14">
      <c r="A1692" t="s">
        <v>1746</v>
      </c>
      <c r="B1692" t="s">
        <v>7469</v>
      </c>
      <c r="C1692" t="s">
        <v>1744</v>
      </c>
      <c r="D1692" s="96">
        <v>113.43</v>
      </c>
      <c r="E1692" s="13">
        <v>211245.09</v>
      </c>
      <c r="F1692" s="486">
        <v>1.8623000000000001</v>
      </c>
      <c r="G1692"/>
      <c r="H1692" s="13">
        <v>211245.09</v>
      </c>
      <c r="I1692" s="13">
        <v>1.8623000000000001</v>
      </c>
      <c r="J1692">
        <v>13</v>
      </c>
      <c r="K1692" s="131">
        <v>45688</v>
      </c>
      <c r="M1692">
        <v>570</v>
      </c>
      <c r="N1692" t="s">
        <v>7479</v>
      </c>
    </row>
    <row r="1693" spans="1:14">
      <c r="A1693" t="s">
        <v>1746</v>
      </c>
      <c r="B1693" t="s">
        <v>7469</v>
      </c>
      <c r="C1693" t="s">
        <v>1744</v>
      </c>
      <c r="D1693" s="96">
        <v>113.43</v>
      </c>
      <c r="E1693" s="13">
        <v>211810.09</v>
      </c>
      <c r="F1693" s="486">
        <v>1.8673</v>
      </c>
      <c r="G1693"/>
      <c r="H1693" s="13">
        <v>211810.09</v>
      </c>
      <c r="I1693" s="13">
        <v>1.8673</v>
      </c>
      <c r="J1693">
        <v>13</v>
      </c>
      <c r="K1693" s="131">
        <v>45688</v>
      </c>
      <c r="M1693">
        <v>570</v>
      </c>
      <c r="N1693" t="s">
        <v>7480</v>
      </c>
    </row>
    <row r="1694" spans="1:14">
      <c r="A1694" t="s">
        <v>1746</v>
      </c>
      <c r="B1694" t="s">
        <v>7192</v>
      </c>
      <c r="C1694" t="s">
        <v>1744</v>
      </c>
      <c r="D1694" s="96">
        <v>113.6</v>
      </c>
      <c r="E1694" s="13">
        <v>202228.27</v>
      </c>
      <c r="F1694" s="486">
        <v>1.7802</v>
      </c>
      <c r="G1694"/>
      <c r="H1694" s="13">
        <v>202228.27</v>
      </c>
      <c r="I1694" s="13">
        <v>1.7802</v>
      </c>
      <c r="J1694">
        <v>13</v>
      </c>
      <c r="K1694" s="131">
        <v>45688</v>
      </c>
      <c r="M1694">
        <v>710</v>
      </c>
      <c r="N1694" t="s">
        <v>7481</v>
      </c>
    </row>
    <row r="1695" spans="1:14">
      <c r="A1695" t="s">
        <v>1746</v>
      </c>
      <c r="B1695" t="s">
        <v>7469</v>
      </c>
      <c r="C1695" t="s">
        <v>1744</v>
      </c>
      <c r="D1695" s="96">
        <v>114</v>
      </c>
      <c r="E1695" s="13">
        <v>211769.78</v>
      </c>
      <c r="F1695" s="486">
        <v>1.8575999999999999</v>
      </c>
      <c r="G1695"/>
      <c r="H1695" s="13">
        <v>211769.78</v>
      </c>
      <c r="I1695" s="13">
        <v>1.8575999999999999</v>
      </c>
      <c r="J1695">
        <v>13</v>
      </c>
      <c r="K1695" s="131">
        <v>45688</v>
      </c>
      <c r="M1695">
        <v>570</v>
      </c>
      <c r="N1695" t="s">
        <v>7482</v>
      </c>
    </row>
    <row r="1696" spans="1:14">
      <c r="A1696" t="s">
        <v>1746</v>
      </c>
      <c r="B1696" t="s">
        <v>7469</v>
      </c>
      <c r="C1696" t="s">
        <v>1744</v>
      </c>
      <c r="D1696" s="96">
        <v>114</v>
      </c>
      <c r="E1696" s="13">
        <v>212337.62</v>
      </c>
      <c r="F1696" s="486">
        <v>1.8626</v>
      </c>
      <c r="G1696"/>
      <c r="H1696" s="13">
        <v>212337.62</v>
      </c>
      <c r="I1696" s="13">
        <v>1.8626</v>
      </c>
      <c r="J1696">
        <v>13</v>
      </c>
      <c r="K1696" s="131">
        <v>45688</v>
      </c>
      <c r="M1696">
        <v>570</v>
      </c>
      <c r="N1696" t="s">
        <v>7483</v>
      </c>
    </row>
    <row r="1697" spans="1:14">
      <c r="A1697" t="s">
        <v>1746</v>
      </c>
      <c r="B1697" t="s">
        <v>7248</v>
      </c>
      <c r="C1697" t="s">
        <v>1744</v>
      </c>
      <c r="D1697" s="96">
        <v>114.31</v>
      </c>
      <c r="E1697" s="13">
        <v>205077.59</v>
      </c>
      <c r="F1697" s="486">
        <v>1.794</v>
      </c>
      <c r="G1697"/>
      <c r="H1697" s="13">
        <v>205077.59</v>
      </c>
      <c r="I1697" s="13">
        <v>1.794</v>
      </c>
      <c r="J1697">
        <v>13</v>
      </c>
      <c r="K1697" s="131">
        <v>45688</v>
      </c>
      <c r="M1697">
        <v>710</v>
      </c>
      <c r="N1697" t="s">
        <v>7484</v>
      </c>
    </row>
    <row r="1698" spans="1:14">
      <c r="A1698" t="s">
        <v>1746</v>
      </c>
      <c r="B1698" t="s">
        <v>7248</v>
      </c>
      <c r="C1698" t="s">
        <v>1744</v>
      </c>
      <c r="D1698" s="96">
        <v>115.02</v>
      </c>
      <c r="E1698" s="13">
        <v>205805.75</v>
      </c>
      <c r="F1698" s="486">
        <v>1.7892999999999999</v>
      </c>
      <c r="G1698"/>
      <c r="H1698" s="13">
        <v>205805.75</v>
      </c>
      <c r="I1698" s="13">
        <v>1.7892999999999999</v>
      </c>
      <c r="J1698">
        <v>13</v>
      </c>
      <c r="K1698" s="131">
        <v>45688</v>
      </c>
      <c r="M1698">
        <v>710</v>
      </c>
      <c r="N1698" t="s">
        <v>7485</v>
      </c>
    </row>
    <row r="1699" spans="1:14">
      <c r="A1699" t="s">
        <v>1746</v>
      </c>
      <c r="B1699" t="s">
        <v>7248</v>
      </c>
      <c r="C1699" t="s">
        <v>1744</v>
      </c>
      <c r="D1699" s="96">
        <v>115.73</v>
      </c>
      <c r="E1699" s="13">
        <v>206533.91</v>
      </c>
      <c r="F1699" s="486">
        <v>1.7846</v>
      </c>
      <c r="G1699"/>
      <c r="H1699" s="13">
        <v>206533.91</v>
      </c>
      <c r="I1699" s="13">
        <v>1.7846</v>
      </c>
      <c r="J1699">
        <v>13</v>
      </c>
      <c r="K1699" s="131">
        <v>45688</v>
      </c>
      <c r="M1699">
        <v>710</v>
      </c>
      <c r="N1699" t="s">
        <v>7486</v>
      </c>
    </row>
    <row r="1700" spans="1:14">
      <c r="A1700" t="s">
        <v>1746</v>
      </c>
      <c r="B1700" t="s">
        <v>7248</v>
      </c>
      <c r="C1700" t="s">
        <v>1744</v>
      </c>
      <c r="D1700" s="96">
        <v>116.44</v>
      </c>
      <c r="E1700" s="13">
        <v>207262.07</v>
      </c>
      <c r="F1700" s="486">
        <v>1.78</v>
      </c>
      <c r="G1700"/>
      <c r="H1700" s="13">
        <v>207262.07</v>
      </c>
      <c r="I1700" s="13">
        <v>1.78</v>
      </c>
      <c r="J1700">
        <v>13</v>
      </c>
      <c r="K1700" s="131">
        <v>45688</v>
      </c>
      <c r="M1700">
        <v>710</v>
      </c>
      <c r="N1700" t="s">
        <v>7487</v>
      </c>
    </row>
    <row r="1701" spans="1:14">
      <c r="A1701" t="s">
        <v>1746</v>
      </c>
      <c r="B1701" t="s">
        <v>7276</v>
      </c>
      <c r="C1701" t="s">
        <v>1744</v>
      </c>
      <c r="D1701" s="96">
        <v>117.15</v>
      </c>
      <c r="E1701" s="13">
        <v>210111.4</v>
      </c>
      <c r="F1701" s="486">
        <v>1.7935000000000001</v>
      </c>
      <c r="G1701"/>
      <c r="H1701" s="13">
        <v>210111.4</v>
      </c>
      <c r="I1701" s="13">
        <v>1.7935000000000001</v>
      </c>
      <c r="J1701">
        <v>13</v>
      </c>
      <c r="K1701" s="131">
        <v>45688</v>
      </c>
      <c r="M1701">
        <v>710</v>
      </c>
      <c r="N1701" t="s">
        <v>7488</v>
      </c>
    </row>
    <row r="1702" spans="1:14">
      <c r="A1702" t="s">
        <v>1746</v>
      </c>
      <c r="B1702" t="s">
        <v>7276</v>
      </c>
      <c r="C1702" t="s">
        <v>1744</v>
      </c>
      <c r="D1702" s="96">
        <v>117.86</v>
      </c>
      <c r="E1702" s="13">
        <v>210839.56</v>
      </c>
      <c r="F1702" s="486">
        <v>1.7888999999999999</v>
      </c>
      <c r="G1702"/>
      <c r="H1702" s="13">
        <v>210839.56</v>
      </c>
      <c r="I1702" s="13">
        <v>1.7888999999999999</v>
      </c>
      <c r="J1702">
        <v>13</v>
      </c>
      <c r="K1702" s="131">
        <v>45688</v>
      </c>
      <c r="M1702">
        <v>710</v>
      </c>
      <c r="N1702" t="s">
        <v>7489</v>
      </c>
    </row>
    <row r="1703" spans="1:14">
      <c r="A1703" t="s">
        <v>1746</v>
      </c>
      <c r="B1703" t="s">
        <v>7276</v>
      </c>
      <c r="C1703" t="s">
        <v>1744</v>
      </c>
      <c r="D1703" s="96">
        <v>118.57</v>
      </c>
      <c r="E1703" s="13">
        <v>211567.72</v>
      </c>
      <c r="F1703" s="486">
        <v>1.7843</v>
      </c>
      <c r="G1703"/>
      <c r="H1703" s="13">
        <v>211567.72</v>
      </c>
      <c r="I1703" s="13">
        <v>1.7843</v>
      </c>
      <c r="J1703">
        <v>13</v>
      </c>
      <c r="K1703" s="131">
        <v>45688</v>
      </c>
      <c r="M1703">
        <v>710</v>
      </c>
      <c r="N1703" t="s">
        <v>7490</v>
      </c>
    </row>
    <row r="1704" spans="1:14">
      <c r="A1704" t="s">
        <v>1746</v>
      </c>
      <c r="B1704" t="s">
        <v>7276</v>
      </c>
      <c r="C1704" t="s">
        <v>1744</v>
      </c>
      <c r="D1704" s="96">
        <v>119.28</v>
      </c>
      <c r="E1704" s="13">
        <v>212295.88</v>
      </c>
      <c r="F1704" s="486">
        <v>1.7798</v>
      </c>
      <c r="G1704"/>
      <c r="H1704" s="13">
        <v>212295.88</v>
      </c>
      <c r="I1704" s="13">
        <v>1.7798</v>
      </c>
      <c r="J1704">
        <v>13</v>
      </c>
      <c r="K1704" s="131">
        <v>45688</v>
      </c>
      <c r="M1704">
        <v>710</v>
      </c>
      <c r="N1704" t="s">
        <v>7491</v>
      </c>
    </row>
    <row r="1705" spans="1:14">
      <c r="A1705" t="s">
        <v>1746</v>
      </c>
      <c r="B1705" t="s">
        <v>7276</v>
      </c>
      <c r="C1705" t="s">
        <v>1744</v>
      </c>
      <c r="D1705" s="96">
        <v>119.99</v>
      </c>
      <c r="E1705" s="13">
        <v>215111.42</v>
      </c>
      <c r="F1705" s="486">
        <v>1.7927</v>
      </c>
      <c r="G1705"/>
      <c r="H1705" s="13">
        <v>215111.42</v>
      </c>
      <c r="I1705" s="13">
        <v>1.7927</v>
      </c>
      <c r="J1705">
        <v>13</v>
      </c>
      <c r="K1705" s="131">
        <v>45688</v>
      </c>
      <c r="M1705">
        <v>710</v>
      </c>
      <c r="N1705" t="s">
        <v>7492</v>
      </c>
    </row>
    <row r="1706" spans="1:14">
      <c r="A1706" t="s">
        <v>1746</v>
      </c>
      <c r="B1706" t="s">
        <v>7276</v>
      </c>
      <c r="C1706" t="s">
        <v>1744</v>
      </c>
      <c r="D1706" s="96">
        <v>120.7</v>
      </c>
      <c r="E1706" s="13">
        <v>215839.58</v>
      </c>
      <c r="F1706" s="486">
        <v>1.7882</v>
      </c>
      <c r="G1706"/>
      <c r="H1706" s="13">
        <v>215839.58</v>
      </c>
      <c r="I1706" s="13">
        <v>1.7882</v>
      </c>
      <c r="J1706">
        <v>13</v>
      </c>
      <c r="K1706" s="131">
        <v>45688</v>
      </c>
      <c r="M1706">
        <v>710</v>
      </c>
      <c r="N1706" t="s">
        <v>7493</v>
      </c>
    </row>
    <row r="1707" spans="1:14">
      <c r="A1707" t="s">
        <v>1746</v>
      </c>
      <c r="B1707" t="s">
        <v>7276</v>
      </c>
      <c r="C1707" t="s">
        <v>1744</v>
      </c>
      <c r="D1707" s="96">
        <v>121.41</v>
      </c>
      <c r="E1707" s="13">
        <v>216567.74</v>
      </c>
      <c r="F1707" s="486">
        <v>1.7838000000000001</v>
      </c>
      <c r="G1707"/>
      <c r="H1707" s="13">
        <v>216567.74</v>
      </c>
      <c r="I1707" s="13">
        <v>1.7838000000000001</v>
      </c>
      <c r="J1707">
        <v>13</v>
      </c>
      <c r="K1707" s="131">
        <v>45688</v>
      </c>
      <c r="M1707">
        <v>710</v>
      </c>
      <c r="N1707" t="s">
        <v>7494</v>
      </c>
    </row>
    <row r="1708" spans="1:14">
      <c r="A1708" t="s">
        <v>1746</v>
      </c>
      <c r="B1708" t="s">
        <v>7276</v>
      </c>
      <c r="C1708" t="s">
        <v>1744</v>
      </c>
      <c r="D1708" s="96">
        <v>122.12</v>
      </c>
      <c r="E1708" s="13">
        <v>217295.9</v>
      </c>
      <c r="F1708" s="486">
        <v>1.7794000000000001</v>
      </c>
      <c r="G1708"/>
      <c r="H1708" s="13">
        <v>217295.9</v>
      </c>
      <c r="I1708" s="13">
        <v>1.7794000000000001</v>
      </c>
      <c r="J1708">
        <v>13</v>
      </c>
      <c r="K1708" s="131">
        <v>45688</v>
      </c>
      <c r="M1708">
        <v>710</v>
      </c>
      <c r="N1708" t="s">
        <v>7495</v>
      </c>
    </row>
    <row r="1709" spans="1:14">
      <c r="A1709" t="s">
        <v>1746</v>
      </c>
      <c r="B1709" t="s">
        <v>7325</v>
      </c>
      <c r="C1709" t="s">
        <v>1744</v>
      </c>
      <c r="D1709" s="96">
        <v>122.83</v>
      </c>
      <c r="E1709" s="13">
        <v>220145.23</v>
      </c>
      <c r="F1709" s="486">
        <v>1.7923</v>
      </c>
      <c r="G1709"/>
      <c r="H1709" s="13">
        <v>220145.23</v>
      </c>
      <c r="I1709" s="13">
        <v>1.7923</v>
      </c>
      <c r="J1709">
        <v>13</v>
      </c>
      <c r="K1709" s="131">
        <v>45688</v>
      </c>
      <c r="M1709">
        <v>710</v>
      </c>
      <c r="N1709" t="s">
        <v>7496</v>
      </c>
    </row>
    <row r="1710" spans="1:14">
      <c r="A1710" t="s">
        <v>1746</v>
      </c>
      <c r="B1710" t="s">
        <v>7325</v>
      </c>
      <c r="C1710" t="s">
        <v>1744</v>
      </c>
      <c r="D1710" s="96">
        <v>123.54</v>
      </c>
      <c r="E1710" s="13">
        <v>220873.39</v>
      </c>
      <c r="F1710" s="486">
        <v>1.7879</v>
      </c>
      <c r="G1710"/>
      <c r="H1710" s="13">
        <v>220873.39</v>
      </c>
      <c r="I1710" s="13">
        <v>1.7879</v>
      </c>
      <c r="J1710">
        <v>13</v>
      </c>
      <c r="K1710" s="131">
        <v>45688</v>
      </c>
      <c r="M1710">
        <v>710</v>
      </c>
      <c r="N1710" t="s">
        <v>7497</v>
      </c>
    </row>
    <row r="1711" spans="1:14">
      <c r="A1711" t="s">
        <v>1746</v>
      </c>
      <c r="B1711" t="s">
        <v>7325</v>
      </c>
      <c r="C1711" t="s">
        <v>1744</v>
      </c>
      <c r="D1711" s="96">
        <v>124.25</v>
      </c>
      <c r="E1711" s="13">
        <v>221601.55</v>
      </c>
      <c r="F1711" s="486">
        <v>1.7835000000000001</v>
      </c>
      <c r="G1711"/>
      <c r="H1711" s="13">
        <v>221601.55</v>
      </c>
      <c r="I1711" s="13">
        <v>1.7835000000000001</v>
      </c>
      <c r="J1711">
        <v>13</v>
      </c>
      <c r="K1711" s="131">
        <v>45688</v>
      </c>
      <c r="M1711">
        <v>710</v>
      </c>
      <c r="N1711" t="s">
        <v>7498</v>
      </c>
    </row>
    <row r="1712" spans="1:14">
      <c r="A1712" t="s">
        <v>1746</v>
      </c>
      <c r="B1712" t="s">
        <v>7325</v>
      </c>
      <c r="C1712" t="s">
        <v>1744</v>
      </c>
      <c r="D1712" s="96">
        <v>124.96</v>
      </c>
      <c r="E1712" s="13">
        <v>222329.71</v>
      </c>
      <c r="F1712" s="486">
        <v>1.7791999999999999</v>
      </c>
      <c r="G1712"/>
      <c r="H1712" s="13">
        <v>222329.71</v>
      </c>
      <c r="I1712" s="13">
        <v>1.7791999999999999</v>
      </c>
      <c r="J1712">
        <v>13</v>
      </c>
      <c r="K1712" s="131">
        <v>45688</v>
      </c>
      <c r="M1712">
        <v>710</v>
      </c>
      <c r="N1712" t="s">
        <v>7499</v>
      </c>
    </row>
    <row r="1713" spans="1:14">
      <c r="A1713" t="s">
        <v>1746</v>
      </c>
      <c r="B1713" t="s">
        <v>7352</v>
      </c>
      <c r="C1713" t="s">
        <v>1744</v>
      </c>
      <c r="D1713" s="96">
        <v>125.67</v>
      </c>
      <c r="E1713" s="13">
        <v>225179.03</v>
      </c>
      <c r="F1713" s="486">
        <v>1.7918000000000001</v>
      </c>
      <c r="G1713"/>
      <c r="H1713" s="13">
        <v>225179.03</v>
      </c>
      <c r="I1713" s="13">
        <v>1.7918000000000001</v>
      </c>
      <c r="J1713">
        <v>13</v>
      </c>
      <c r="K1713" s="131">
        <v>45688</v>
      </c>
      <c r="M1713">
        <v>710</v>
      </c>
      <c r="N1713" t="s">
        <v>7500</v>
      </c>
    </row>
    <row r="1714" spans="1:14">
      <c r="A1714" t="s">
        <v>1746</v>
      </c>
      <c r="B1714" t="s">
        <v>7352</v>
      </c>
      <c r="C1714" t="s">
        <v>1744</v>
      </c>
      <c r="D1714" s="96">
        <v>126.38</v>
      </c>
      <c r="E1714" s="13">
        <v>225907.19</v>
      </c>
      <c r="F1714" s="486">
        <v>1.7875000000000001</v>
      </c>
      <c r="G1714"/>
      <c r="H1714" s="13">
        <v>225907.19</v>
      </c>
      <c r="I1714" s="13">
        <v>1.7875000000000001</v>
      </c>
      <c r="J1714">
        <v>13</v>
      </c>
      <c r="K1714" s="131">
        <v>45688</v>
      </c>
      <c r="M1714">
        <v>710</v>
      </c>
      <c r="N1714" t="s">
        <v>7501</v>
      </c>
    </row>
    <row r="1715" spans="1:14">
      <c r="A1715" t="s">
        <v>1746</v>
      </c>
      <c r="B1715" t="s">
        <v>7352</v>
      </c>
      <c r="C1715" t="s">
        <v>1744</v>
      </c>
      <c r="D1715" s="96">
        <v>127.09</v>
      </c>
      <c r="E1715" s="13">
        <v>226635.35</v>
      </c>
      <c r="F1715" s="486">
        <v>1.7833000000000001</v>
      </c>
      <c r="G1715"/>
      <c r="H1715" s="13">
        <v>226635.35</v>
      </c>
      <c r="I1715" s="13">
        <v>1.7833000000000001</v>
      </c>
      <c r="J1715">
        <v>13</v>
      </c>
      <c r="K1715" s="131">
        <v>45688</v>
      </c>
      <c r="M1715">
        <v>710</v>
      </c>
      <c r="N1715" t="s">
        <v>7502</v>
      </c>
    </row>
    <row r="1716" spans="1:14">
      <c r="A1716" t="s">
        <v>1746</v>
      </c>
      <c r="B1716" t="s">
        <v>7352</v>
      </c>
      <c r="C1716" t="s">
        <v>1744</v>
      </c>
      <c r="D1716" s="96">
        <v>127.8</v>
      </c>
      <c r="E1716" s="13">
        <v>227363.51</v>
      </c>
      <c r="F1716" s="486">
        <v>1.7790999999999999</v>
      </c>
      <c r="G1716"/>
      <c r="H1716" s="13">
        <v>227363.51</v>
      </c>
      <c r="I1716" s="13">
        <v>1.7790999999999999</v>
      </c>
      <c r="J1716">
        <v>13</v>
      </c>
      <c r="K1716" s="131">
        <v>45688</v>
      </c>
      <c r="M1716">
        <v>710</v>
      </c>
      <c r="N1716" t="s">
        <v>7503</v>
      </c>
    </row>
    <row r="1717" spans="1:14">
      <c r="A1717" t="s">
        <v>1746</v>
      </c>
      <c r="B1717" t="s">
        <v>7352</v>
      </c>
      <c r="C1717" t="s">
        <v>1744</v>
      </c>
      <c r="D1717" s="96">
        <v>128.51</v>
      </c>
      <c r="E1717" s="13">
        <v>230179.05</v>
      </c>
      <c r="F1717" s="486">
        <v>1.7910999999999999</v>
      </c>
      <c r="G1717"/>
      <c r="H1717" s="13">
        <v>230179.05</v>
      </c>
      <c r="I1717" s="13">
        <v>1.7910999999999999</v>
      </c>
      <c r="J1717">
        <v>13</v>
      </c>
      <c r="K1717" s="131">
        <v>45688</v>
      </c>
      <c r="M1717">
        <v>710</v>
      </c>
      <c r="N1717" t="s">
        <v>7504</v>
      </c>
    </row>
    <row r="1718" spans="1:14">
      <c r="A1718" t="s">
        <v>1746</v>
      </c>
      <c r="B1718" t="s">
        <v>7352</v>
      </c>
      <c r="C1718" t="s">
        <v>1744</v>
      </c>
      <c r="D1718" s="96">
        <v>129.22</v>
      </c>
      <c r="E1718" s="13">
        <v>230907.21</v>
      </c>
      <c r="F1718" s="486">
        <v>1.7868999999999999</v>
      </c>
      <c r="G1718"/>
      <c r="H1718" s="13">
        <v>230907.21</v>
      </c>
      <c r="I1718" s="13">
        <v>1.7868999999999999</v>
      </c>
      <c r="J1718">
        <v>13</v>
      </c>
      <c r="K1718" s="131">
        <v>45688</v>
      </c>
      <c r="M1718">
        <v>710</v>
      </c>
      <c r="N1718" t="s">
        <v>7505</v>
      </c>
    </row>
    <row r="1719" spans="1:14">
      <c r="A1719" t="s">
        <v>1746</v>
      </c>
      <c r="B1719" t="s">
        <v>7352</v>
      </c>
      <c r="C1719" t="s">
        <v>1744</v>
      </c>
      <c r="D1719" s="96">
        <v>129.93</v>
      </c>
      <c r="E1719" s="13">
        <v>231635.37</v>
      </c>
      <c r="F1719" s="486">
        <v>1.7827999999999999</v>
      </c>
      <c r="G1719"/>
      <c r="H1719" s="13">
        <v>231635.37</v>
      </c>
      <c r="I1719" s="13">
        <v>1.7827999999999999</v>
      </c>
      <c r="J1719">
        <v>13</v>
      </c>
      <c r="K1719" s="131">
        <v>45688</v>
      </c>
      <c r="M1719">
        <v>710</v>
      </c>
      <c r="N1719" t="s">
        <v>7506</v>
      </c>
    </row>
    <row r="1720" spans="1:14">
      <c r="A1720" t="s">
        <v>1746</v>
      </c>
      <c r="B1720" t="s">
        <v>7352</v>
      </c>
      <c r="C1720" t="s">
        <v>1744</v>
      </c>
      <c r="D1720" s="96">
        <v>130.63999999999999</v>
      </c>
      <c r="E1720" s="13">
        <v>232363.54</v>
      </c>
      <c r="F1720" s="486">
        <v>1.7786999999999999</v>
      </c>
      <c r="G1720"/>
      <c r="H1720" s="13">
        <v>232363.54</v>
      </c>
      <c r="I1720" s="13">
        <v>1.7786999999999999</v>
      </c>
      <c r="J1720">
        <v>13</v>
      </c>
      <c r="K1720" s="131">
        <v>45688</v>
      </c>
      <c r="M1720">
        <v>710</v>
      </c>
      <c r="N1720" t="s">
        <v>7507</v>
      </c>
    </row>
    <row r="1721" spans="1:14">
      <c r="A1721" t="s">
        <v>1746</v>
      </c>
      <c r="B1721" t="s">
        <v>7401</v>
      </c>
      <c r="C1721" t="s">
        <v>1744</v>
      </c>
      <c r="D1721" s="96">
        <v>131.35</v>
      </c>
      <c r="E1721" s="13">
        <v>235212.86</v>
      </c>
      <c r="F1721" s="486">
        <v>1.7907</v>
      </c>
      <c r="G1721"/>
      <c r="H1721" s="13">
        <v>235212.86</v>
      </c>
      <c r="I1721" s="13">
        <v>1.7907</v>
      </c>
      <c r="J1721">
        <v>13</v>
      </c>
      <c r="K1721" s="131">
        <v>45688</v>
      </c>
      <c r="M1721">
        <v>710</v>
      </c>
      <c r="N1721" t="s">
        <v>7508</v>
      </c>
    </row>
    <row r="1722" spans="1:14">
      <c r="A1722" t="s">
        <v>1746</v>
      </c>
      <c r="B1722" t="s">
        <v>7401</v>
      </c>
      <c r="C1722" t="s">
        <v>1744</v>
      </c>
      <c r="D1722" s="96">
        <v>132.06</v>
      </c>
      <c r="E1722" s="13">
        <v>235941.02</v>
      </c>
      <c r="F1722" s="486">
        <v>1.7866</v>
      </c>
      <c r="G1722"/>
      <c r="H1722" s="13">
        <v>235941.02</v>
      </c>
      <c r="I1722" s="13">
        <v>1.7866</v>
      </c>
      <c r="J1722">
        <v>13</v>
      </c>
      <c r="K1722" s="131">
        <v>45688</v>
      </c>
      <c r="M1722">
        <v>710</v>
      </c>
      <c r="N1722" t="s">
        <v>7509</v>
      </c>
    </row>
    <row r="1723" spans="1:14">
      <c r="A1723" t="s">
        <v>1746</v>
      </c>
      <c r="B1723" t="s">
        <v>7401</v>
      </c>
      <c r="C1723" t="s">
        <v>1744</v>
      </c>
      <c r="D1723" s="96">
        <v>132.77000000000001</v>
      </c>
      <c r="E1723" s="13">
        <v>236669.18</v>
      </c>
      <c r="F1723" s="486">
        <v>1.7826</v>
      </c>
      <c r="G1723"/>
      <c r="H1723" s="13">
        <v>236669.18</v>
      </c>
      <c r="I1723" s="13">
        <v>1.7826</v>
      </c>
      <c r="J1723">
        <v>13</v>
      </c>
      <c r="K1723" s="131">
        <v>45688</v>
      </c>
      <c r="M1723">
        <v>710</v>
      </c>
      <c r="N1723" t="s">
        <v>7510</v>
      </c>
    </row>
    <row r="1724" spans="1:14">
      <c r="A1724" t="s">
        <v>1746</v>
      </c>
      <c r="B1724" t="s">
        <v>7401</v>
      </c>
      <c r="C1724" t="s">
        <v>1744</v>
      </c>
      <c r="D1724" s="96">
        <v>133.47999999999999</v>
      </c>
      <c r="E1724" s="13">
        <v>237397.34</v>
      </c>
      <c r="F1724" s="486">
        <v>1.7785</v>
      </c>
      <c r="G1724"/>
      <c r="H1724" s="13">
        <v>237397.34</v>
      </c>
      <c r="I1724" s="13">
        <v>1.7785</v>
      </c>
      <c r="J1724">
        <v>13</v>
      </c>
      <c r="K1724" s="131">
        <v>45688</v>
      </c>
      <c r="M1724">
        <v>710</v>
      </c>
      <c r="N1724" t="s">
        <v>7511</v>
      </c>
    </row>
    <row r="1725" spans="1:14">
      <c r="A1725" t="s">
        <v>1746</v>
      </c>
      <c r="B1725" t="s">
        <v>7423</v>
      </c>
      <c r="C1725" t="s">
        <v>1744</v>
      </c>
      <c r="D1725" s="96">
        <v>134.19</v>
      </c>
      <c r="E1725" s="13">
        <v>240246.67</v>
      </c>
      <c r="F1725" s="486">
        <v>1.7903</v>
      </c>
      <c r="G1725"/>
      <c r="H1725" s="13">
        <v>240246.67</v>
      </c>
      <c r="I1725" s="13">
        <v>1.7903</v>
      </c>
      <c r="J1725">
        <v>13</v>
      </c>
      <c r="K1725" s="131">
        <v>45688</v>
      </c>
      <c r="M1725">
        <v>710</v>
      </c>
      <c r="N1725" t="s">
        <v>7512</v>
      </c>
    </row>
    <row r="1726" spans="1:14">
      <c r="A1726" t="s">
        <v>1746</v>
      </c>
      <c r="B1726" t="s">
        <v>7423</v>
      </c>
      <c r="C1726" t="s">
        <v>1744</v>
      </c>
      <c r="D1726" s="96">
        <v>134.9</v>
      </c>
      <c r="E1726" s="13">
        <v>240974.83</v>
      </c>
      <c r="F1726" s="486">
        <v>1.7863</v>
      </c>
      <c r="G1726"/>
      <c r="H1726" s="13">
        <v>240974.83</v>
      </c>
      <c r="I1726" s="13">
        <v>1.7863</v>
      </c>
      <c r="J1726">
        <v>13</v>
      </c>
      <c r="K1726" s="131">
        <v>45688</v>
      </c>
      <c r="M1726">
        <v>710</v>
      </c>
      <c r="N1726" t="s">
        <v>7513</v>
      </c>
    </row>
    <row r="1727" spans="1:14">
      <c r="A1727" t="s">
        <v>1746</v>
      </c>
      <c r="B1727" t="s">
        <v>7423</v>
      </c>
      <c r="C1727" t="s">
        <v>1744</v>
      </c>
      <c r="D1727" s="96">
        <v>135.61000000000001</v>
      </c>
      <c r="E1727" s="13">
        <v>241702.99</v>
      </c>
      <c r="F1727" s="486">
        <v>1.7823</v>
      </c>
      <c r="G1727"/>
      <c r="H1727" s="13">
        <v>241702.99</v>
      </c>
      <c r="I1727" s="13">
        <v>1.7823</v>
      </c>
      <c r="J1727">
        <v>13</v>
      </c>
      <c r="K1727" s="131">
        <v>45688</v>
      </c>
      <c r="M1727">
        <v>710</v>
      </c>
      <c r="N1727" t="s">
        <v>7514</v>
      </c>
    </row>
    <row r="1728" spans="1:14">
      <c r="A1728" t="s">
        <v>1746</v>
      </c>
      <c r="B1728" t="s">
        <v>7423</v>
      </c>
      <c r="C1728" t="s">
        <v>1744</v>
      </c>
      <c r="D1728" s="96">
        <v>136.32</v>
      </c>
      <c r="E1728" s="13">
        <v>242431.15</v>
      </c>
      <c r="F1728" s="486">
        <v>1.7784</v>
      </c>
      <c r="G1728"/>
      <c r="H1728" s="13">
        <v>242431.15</v>
      </c>
      <c r="I1728" s="13">
        <v>1.7784</v>
      </c>
      <c r="J1728">
        <v>13</v>
      </c>
      <c r="K1728" s="131">
        <v>45688</v>
      </c>
      <c r="M1728">
        <v>710</v>
      </c>
      <c r="N1728" t="s">
        <v>7515</v>
      </c>
    </row>
    <row r="1729" spans="1:14">
      <c r="A1729" t="s">
        <v>1746</v>
      </c>
      <c r="B1729" t="s">
        <v>7423</v>
      </c>
      <c r="C1729" t="s">
        <v>1744</v>
      </c>
      <c r="D1729" s="96">
        <v>137.03</v>
      </c>
      <c r="E1729" s="13">
        <v>245246.69</v>
      </c>
      <c r="F1729" s="486">
        <v>1.7897000000000001</v>
      </c>
      <c r="G1729"/>
      <c r="H1729" s="13">
        <v>245246.69</v>
      </c>
      <c r="I1729" s="13">
        <v>1.7897000000000001</v>
      </c>
      <c r="J1729">
        <v>13</v>
      </c>
      <c r="K1729" s="131">
        <v>45688</v>
      </c>
      <c r="M1729">
        <v>710</v>
      </c>
      <c r="N1729" t="s">
        <v>7516</v>
      </c>
    </row>
    <row r="1730" spans="1:14">
      <c r="A1730" t="s">
        <v>1746</v>
      </c>
      <c r="B1730" t="s">
        <v>7423</v>
      </c>
      <c r="C1730" t="s">
        <v>1744</v>
      </c>
      <c r="D1730" s="96">
        <v>137.74</v>
      </c>
      <c r="E1730" s="13">
        <v>245974.85</v>
      </c>
      <c r="F1730" s="486">
        <v>1.7858000000000001</v>
      </c>
      <c r="G1730"/>
      <c r="H1730" s="13">
        <v>245974.85</v>
      </c>
      <c r="I1730" s="13">
        <v>1.7858000000000001</v>
      </c>
      <c r="J1730">
        <v>13</v>
      </c>
      <c r="K1730" s="131">
        <v>45688</v>
      </c>
      <c r="M1730">
        <v>710</v>
      </c>
      <c r="N1730" t="s">
        <v>7517</v>
      </c>
    </row>
    <row r="1731" spans="1:14">
      <c r="A1731" t="s">
        <v>1746</v>
      </c>
      <c r="B1731" t="s">
        <v>7423</v>
      </c>
      <c r="C1731" t="s">
        <v>1744</v>
      </c>
      <c r="D1731" s="96">
        <v>138.44999999999999</v>
      </c>
      <c r="E1731" s="13">
        <v>246703.01</v>
      </c>
      <c r="F1731" s="486">
        <v>1.7819</v>
      </c>
      <c r="G1731"/>
      <c r="H1731" s="13">
        <v>246703.01</v>
      </c>
      <c r="I1731" s="13">
        <v>1.7819</v>
      </c>
      <c r="J1731">
        <v>13</v>
      </c>
      <c r="K1731" s="131">
        <v>45688</v>
      </c>
      <c r="M1731">
        <v>710</v>
      </c>
      <c r="N1731" t="s">
        <v>7518</v>
      </c>
    </row>
    <row r="1732" spans="1:14">
      <c r="A1732" t="s">
        <v>1746</v>
      </c>
      <c r="B1732" t="s">
        <v>7423</v>
      </c>
      <c r="C1732" t="s">
        <v>1744</v>
      </c>
      <c r="D1732" s="96">
        <v>139.16</v>
      </c>
      <c r="E1732" s="13">
        <v>247431.17</v>
      </c>
      <c r="F1732" s="486">
        <v>1.778</v>
      </c>
      <c r="G1732"/>
      <c r="H1732" s="13">
        <v>247431.17</v>
      </c>
      <c r="I1732" s="13">
        <v>1.778</v>
      </c>
      <c r="J1732">
        <v>13</v>
      </c>
      <c r="K1732" s="131">
        <v>45688</v>
      </c>
      <c r="M1732">
        <v>710</v>
      </c>
      <c r="N1732" t="s">
        <v>7519</v>
      </c>
    </row>
    <row r="1733" spans="1:14">
      <c r="A1733" t="s">
        <v>1746</v>
      </c>
      <c r="B1733" t="s">
        <v>7469</v>
      </c>
      <c r="C1733" t="s">
        <v>1744</v>
      </c>
      <c r="D1733" s="96">
        <v>139.87</v>
      </c>
      <c r="E1733" s="13">
        <v>250280.5</v>
      </c>
      <c r="F1733" s="486">
        <v>1.7894000000000001</v>
      </c>
      <c r="G1733"/>
      <c r="H1733" s="13">
        <v>250280.5</v>
      </c>
      <c r="I1733" s="13">
        <v>1.7894000000000001</v>
      </c>
      <c r="J1733">
        <v>13</v>
      </c>
      <c r="K1733" s="131">
        <v>45688</v>
      </c>
      <c r="M1733">
        <v>710</v>
      </c>
      <c r="N1733" t="s">
        <v>7520</v>
      </c>
    </row>
    <row r="1734" spans="1:14">
      <c r="A1734" t="s">
        <v>1746</v>
      </c>
      <c r="B1734" t="s">
        <v>7469</v>
      </c>
      <c r="C1734" t="s">
        <v>1744</v>
      </c>
      <c r="D1734" s="96">
        <v>140.58000000000001</v>
      </c>
      <c r="E1734" s="13">
        <v>251008.66</v>
      </c>
      <c r="F1734" s="486">
        <v>1.7855000000000001</v>
      </c>
      <c r="G1734"/>
      <c r="H1734" s="13">
        <v>251008.66</v>
      </c>
      <c r="I1734" s="13">
        <v>1.7855000000000001</v>
      </c>
      <c r="J1734">
        <v>13</v>
      </c>
      <c r="K1734" s="131">
        <v>45688</v>
      </c>
      <c r="M1734">
        <v>710</v>
      </c>
      <c r="N1734" t="s">
        <v>7521</v>
      </c>
    </row>
    <row r="1735" spans="1:14">
      <c r="A1735" t="s">
        <v>1746</v>
      </c>
      <c r="B1735" t="s">
        <v>7469</v>
      </c>
      <c r="C1735" t="s">
        <v>1744</v>
      </c>
      <c r="D1735" s="96">
        <v>141.29</v>
      </c>
      <c r="E1735" s="13">
        <v>251736.82</v>
      </c>
      <c r="F1735" s="486">
        <v>1.7817000000000001</v>
      </c>
      <c r="G1735"/>
      <c r="H1735" s="13">
        <v>251736.82</v>
      </c>
      <c r="I1735" s="13">
        <v>1.7817000000000001</v>
      </c>
      <c r="J1735">
        <v>13</v>
      </c>
      <c r="K1735" s="131">
        <v>45688</v>
      </c>
      <c r="M1735">
        <v>710</v>
      </c>
      <c r="N1735" t="s">
        <v>7522</v>
      </c>
    </row>
    <row r="1736" spans="1:14">
      <c r="A1736" t="s">
        <v>1746</v>
      </c>
      <c r="B1736" t="s">
        <v>7469</v>
      </c>
      <c r="C1736" t="s">
        <v>1744</v>
      </c>
      <c r="D1736" s="96">
        <v>142</v>
      </c>
      <c r="E1736" s="13">
        <v>252464.98</v>
      </c>
      <c r="F1736" s="486">
        <v>1.7779</v>
      </c>
      <c r="G1736"/>
      <c r="H1736" s="13">
        <v>252464.98</v>
      </c>
      <c r="I1736" s="13">
        <v>1.7779</v>
      </c>
      <c r="J1736">
        <v>13</v>
      </c>
      <c r="K1736" s="131">
        <v>45688</v>
      </c>
      <c r="M1736">
        <v>710</v>
      </c>
      <c r="N1736" t="s">
        <v>7523</v>
      </c>
    </row>
  </sheetData>
  <sheetProtection formatRows="0"/>
  <phoneticPr fontId="2" type="noConversion"/>
  <conditionalFormatting sqref="K1:K1048576">
    <cfRule type="expression" dxfId="69" priority="3">
      <formula>$K1&lt;TODAY()</formula>
    </cfRule>
  </conditionalFormatting>
  <pageMargins left="0.511811024" right="0.511811024" top="0.78740157499999996" bottom="0.78740157499999996" header="0.31496062000000002" footer="0.31496062000000002"/>
  <pageSetup paperSize="9"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1" operator="equal" id="{1D45C729-2853-48F9-805B-2BC19122B56D}">
            <xm:f>Simulação!$M$17</xm:f>
            <x14:dxf>
              <font>
                <color rgb="FFFFFF00"/>
              </font>
              <fill>
                <patternFill>
                  <bgColor theme="9"/>
                </patternFill>
              </fill>
            </x14:dxf>
          </x14:cfRule>
          <x14:cfRule type="cellIs" priority="2" operator="between" id="{192A8D0E-7186-4CEB-A8E7-A9D66F022ECC}">
            <xm:f>Simulação!$M$17*0.95</xm:f>
            <xm:f>Simulação!$M$17*1.05</xm:f>
            <x14:dxf>
              <font>
                <color rgb="FF0070C0"/>
              </font>
              <fill>
                <patternFill>
                  <bgColor theme="8" tint="0.79998168889431442"/>
                </patternFill>
              </fill>
            </x14:dxf>
          </x14:cfRule>
          <xm:sqref>D3:D1736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C6505-345F-4E3A-A6BF-49AF8DAE8DF9}">
  <sheetPr codeName="Planilha6"/>
  <dimension ref="A1:FL232"/>
  <sheetViews>
    <sheetView topLeftCell="ZZ2222" zoomScale="85" zoomScaleNormal="85" workbookViewId="0"/>
  </sheetViews>
  <sheetFormatPr defaultRowHeight="15"/>
  <cols>
    <col min="1" max="1" width="12.85546875" bestFit="1" customWidth="1"/>
    <col min="2" max="2" width="28.7109375" customWidth="1"/>
    <col min="3" max="3" width="51.7109375" bestFit="1" customWidth="1"/>
    <col min="4" max="5" width="15.28515625" customWidth="1"/>
    <col min="6" max="6" width="14.7109375" customWidth="1"/>
    <col min="7" max="7" width="8.42578125" customWidth="1"/>
    <col min="8" max="8" width="29.85546875" customWidth="1"/>
    <col min="9" max="9" width="20.5703125" bestFit="1" customWidth="1"/>
    <col min="10" max="10" width="16.28515625" bestFit="1" customWidth="1"/>
    <col min="11" max="11" width="26.42578125" customWidth="1"/>
    <col min="12" max="12" width="15.5703125" customWidth="1"/>
    <col min="13" max="13" width="18.7109375" customWidth="1"/>
    <col min="14" max="14" width="19" customWidth="1"/>
    <col min="15" max="15" width="15.140625" customWidth="1"/>
    <col min="16" max="16" width="13" customWidth="1"/>
    <col min="17" max="17" width="13.7109375" customWidth="1"/>
    <col min="19" max="19" width="1.7109375" customWidth="1"/>
    <col min="20" max="20" width="13" bestFit="1" customWidth="1"/>
    <col min="31" max="31" width="9.140625" bestFit="1" customWidth="1"/>
    <col min="34" max="34" width="10.140625" customWidth="1"/>
    <col min="35" max="35" width="9.7109375" customWidth="1"/>
    <col min="40" max="40" width="21.5703125" bestFit="1" customWidth="1"/>
    <col min="41" max="41" width="14.140625" customWidth="1"/>
    <col min="42" max="42" width="14" customWidth="1"/>
    <col min="43" max="43" width="11.85546875" bestFit="1" customWidth="1"/>
    <col min="44" max="44" width="12.28515625" customWidth="1"/>
    <col min="45" max="45" width="8.85546875" customWidth="1"/>
    <col min="47" max="47" width="8.85546875" style="322"/>
    <col min="49" max="49" width="18.140625" bestFit="1" customWidth="1"/>
    <col min="50" max="50" width="8.85546875" style="322"/>
    <col min="52" max="52" width="18.7109375" bestFit="1" customWidth="1"/>
    <col min="53" max="55" width="18.7109375" customWidth="1"/>
    <col min="56" max="56" width="8.85546875" style="322"/>
    <col min="58" max="58" width="19.5703125" customWidth="1"/>
    <col min="62" max="62" width="8.85546875" style="322"/>
    <col min="63" max="63" width="28.85546875" customWidth="1"/>
    <col min="64" max="64" width="3" customWidth="1"/>
    <col min="65" max="65" width="40.28515625" bestFit="1" customWidth="1"/>
    <col min="66" max="66" width="8.85546875" style="322"/>
    <col min="68" max="68" width="23.42578125" bestFit="1" customWidth="1"/>
    <col min="70" max="70" width="38.85546875" bestFit="1" customWidth="1"/>
    <col min="72" max="72" width="17.42578125" bestFit="1" customWidth="1"/>
    <col min="73" max="73" width="10" bestFit="1" customWidth="1"/>
    <col min="74" max="74" width="8.42578125" bestFit="1" customWidth="1"/>
    <col min="75" max="75" width="14.7109375" bestFit="1" customWidth="1"/>
    <col min="76" max="76" width="13.42578125" bestFit="1" customWidth="1"/>
    <col min="77" max="77" width="12.85546875" bestFit="1" customWidth="1"/>
    <col min="78" max="78" width="14.7109375" customWidth="1"/>
    <col min="92" max="92" width="10.42578125" bestFit="1" customWidth="1"/>
    <col min="93" max="93" width="11" bestFit="1" customWidth="1"/>
    <col min="94" max="94" width="41" bestFit="1" customWidth="1"/>
    <col min="95" max="96" width="10.42578125" bestFit="1" customWidth="1"/>
  </cols>
  <sheetData>
    <row r="1" spans="1:168">
      <c r="A1" s="444"/>
      <c r="C1" t="str">
        <f>"Sistema Simulado de "&amp;TEXT(Resumo!E189,"0,00 kWp")</f>
        <v>Sistema Simulado de 8,19 kWp</v>
      </c>
      <c r="D1" t="str">
        <f>IF(INDEX(KIT_FV[Kit],MATCH("x",KIT_FV[Escolhido],0))=Resumo!E189,"","VERIFICAR")</f>
        <v>VERIFICAR</v>
      </c>
      <c r="E1" s="690" t="s">
        <v>1761</v>
      </c>
      <c r="H1" t="s">
        <v>1728</v>
      </c>
      <c r="I1" s="17">
        <f ca="1">Resumo!$E$367</f>
        <v>2.2472488191573019</v>
      </c>
      <c r="J1" t="s">
        <v>1729</v>
      </c>
      <c r="K1" s="14">
        <f ca="1">Resumo!$E$379</f>
        <v>1099.4440330811947</v>
      </c>
      <c r="L1" t="s">
        <v>1731</v>
      </c>
      <c r="M1" s="14">
        <f ca="1">SUM(Financeiro!$J$173:$J$182)</f>
        <v>147766.39538526747</v>
      </c>
      <c r="O1" s="429">
        <f ca="1">SUM(Financeiro!$AQ$173:$AQ$182)</f>
        <v>152379.35165878615</v>
      </c>
      <c r="W1" t="s">
        <v>1762</v>
      </c>
      <c r="AV1" t="s">
        <v>1763</v>
      </c>
      <c r="AY1" t="s">
        <v>1764</v>
      </c>
      <c r="BE1" t="s">
        <v>1765</v>
      </c>
      <c r="BP1" s="434" t="s">
        <v>1766</v>
      </c>
      <c r="CL1" s="445"/>
      <c r="CM1" s="445"/>
      <c r="CN1" s="445"/>
      <c r="CO1" s="445"/>
      <c r="CP1" s="445"/>
      <c r="CQ1" s="445"/>
      <c r="CR1" s="445"/>
      <c r="CS1" s="445"/>
      <c r="CT1" s="445"/>
      <c r="CU1" s="445"/>
      <c r="CV1" s="445"/>
      <c r="CW1" s="445"/>
      <c r="CX1" s="445"/>
      <c r="CY1" s="445"/>
      <c r="CZ1" s="445"/>
      <c r="DA1" s="445"/>
      <c r="DB1" s="445"/>
      <c r="DC1" s="445"/>
      <c r="DD1" s="445"/>
      <c r="DE1" s="445"/>
      <c r="DF1" s="445"/>
      <c r="DG1" s="445"/>
      <c r="DH1" s="445"/>
      <c r="DI1" s="445"/>
      <c r="DJ1" s="445"/>
      <c r="DK1" s="445"/>
      <c r="DL1" s="445"/>
      <c r="DM1" s="445"/>
      <c r="DN1" s="445"/>
      <c r="DO1" s="445"/>
      <c r="DP1" s="445"/>
      <c r="DQ1" s="445"/>
      <c r="DR1" s="445"/>
      <c r="DS1" s="445"/>
      <c r="DT1" s="445"/>
      <c r="DU1" s="445"/>
      <c r="DV1" s="445"/>
      <c r="DW1" s="445"/>
      <c r="DX1" s="445"/>
      <c r="DY1" s="445"/>
      <c r="DZ1" s="445"/>
      <c r="EA1" s="445"/>
      <c r="EB1" s="445"/>
      <c r="EC1" s="445"/>
      <c r="ED1" s="445"/>
      <c r="EE1" s="445"/>
      <c r="EF1" s="445"/>
      <c r="EG1" s="445"/>
      <c r="EH1" s="445"/>
      <c r="EI1" s="445"/>
      <c r="EJ1" s="445"/>
      <c r="EK1" s="445"/>
      <c r="EL1" s="445"/>
      <c r="EM1" s="445"/>
      <c r="EN1" s="445"/>
      <c r="EO1" s="445"/>
      <c r="EP1" s="445"/>
      <c r="EQ1" s="445"/>
      <c r="ER1" s="445"/>
      <c r="ES1" s="445"/>
      <c r="ET1" s="445"/>
      <c r="EU1" s="445"/>
      <c r="EV1" s="445"/>
      <c r="EW1" s="445"/>
      <c r="EX1" s="445"/>
      <c r="EY1" s="445"/>
      <c r="EZ1" s="445"/>
      <c r="FA1" s="445"/>
      <c r="FB1" s="445"/>
      <c r="FC1" s="445"/>
      <c r="FD1" s="445"/>
      <c r="FE1" s="445"/>
      <c r="FF1" s="445"/>
      <c r="FG1" s="445"/>
      <c r="FH1" s="445"/>
      <c r="FI1" s="445"/>
      <c r="FJ1" s="445"/>
      <c r="FK1" s="445"/>
      <c r="FL1" s="445"/>
    </row>
    <row r="2" spans="1:168">
      <c r="A2" s="444"/>
      <c r="C2" t="str">
        <f>"Pré Orçamento - Kit "&amp;INDEX(KIT_FV[Inversor],MATCH("x",KIT_FV[Escolhido],0))&amp;" - "&amp;TEXT(INDEX(KIT_FV[Kit],MATCH("x",KIT_FV[Escolhido],0)),"0,00 kWp")</f>
        <v>Pré Orçamento - Kit SOLIS - 8,55 kWp</v>
      </c>
      <c r="I2" s="28" t="str">
        <f ca="1">Resumo!$F$367</f>
        <v>2 anos e 2 meses</v>
      </c>
      <c r="J2" t="s">
        <v>1730</v>
      </c>
      <c r="K2" s="14">
        <f ca="1">Resumo!$E$380</f>
        <v>190.3498353829211</v>
      </c>
      <c r="L2" t="s">
        <v>1732</v>
      </c>
      <c r="M2" s="14">
        <f ca="1">SUM(Financeiro!$J$173:$J$197)</f>
        <v>456366.36409468192</v>
      </c>
      <c r="O2" s="429">
        <f ca="1">SUM(Financeiro!$AQ$173:$AQ$197)</f>
        <v>483460.00223133207</v>
      </c>
      <c r="X2" t="s">
        <v>1767</v>
      </c>
      <c r="AE2" t="s">
        <v>1768</v>
      </c>
      <c r="AF2" t="s">
        <v>1768</v>
      </c>
      <c r="AG2" t="s">
        <v>1768</v>
      </c>
      <c r="AH2" t="s">
        <v>1768</v>
      </c>
      <c r="AI2" t="s">
        <v>1768</v>
      </c>
      <c r="BW2" t="s">
        <v>1769</v>
      </c>
      <c r="CN2" s="3" t="s">
        <v>1770</v>
      </c>
      <c r="CO2" s="4" t="s">
        <v>1771</v>
      </c>
      <c r="CP2" s="4" t="s">
        <v>1772</v>
      </c>
      <c r="CQ2" s="4" t="s">
        <v>1773</v>
      </c>
      <c r="CR2" s="5" t="s">
        <v>1774</v>
      </c>
      <c r="CT2" t="s">
        <v>1775</v>
      </c>
    </row>
    <row r="3" spans="1:168">
      <c r="A3" s="444"/>
      <c r="H3" s="430" t="s">
        <v>1776</v>
      </c>
      <c r="I3" s="431">
        <f ca="1">Financeiro!$AN$175</f>
        <v>2.2944597985193642</v>
      </c>
      <c r="L3" s="130" t="s">
        <v>1733</v>
      </c>
      <c r="M3" s="365">
        <f ca="1">SUM(Financeiro!$D$173:$D$182)</f>
        <v>191152.4332391007</v>
      </c>
      <c r="O3" s="430" t="s">
        <v>1777</v>
      </c>
      <c r="X3" s="319">
        <v>2</v>
      </c>
      <c r="Y3" s="319">
        <v>4</v>
      </c>
      <c r="Z3" s="319">
        <v>8</v>
      </c>
      <c r="AA3" s="319">
        <v>12</v>
      </c>
      <c r="AB3" s="319">
        <v>30</v>
      </c>
      <c r="AC3" s="319">
        <v>50</v>
      </c>
      <c r="AD3" s="319">
        <v>75</v>
      </c>
      <c r="AE3" s="319">
        <v>75</v>
      </c>
      <c r="AF3" s="319">
        <v>150</v>
      </c>
      <c r="AG3" s="319">
        <v>300</v>
      </c>
      <c r="AH3" s="319">
        <v>500</v>
      </c>
      <c r="AI3" s="319">
        <v>1000</v>
      </c>
      <c r="AJ3" s="319"/>
      <c r="AW3" s="301" t="s">
        <v>1778</v>
      </c>
      <c r="AY3" t="s">
        <v>284</v>
      </c>
      <c r="AZ3" t="s">
        <v>1779</v>
      </c>
      <c r="BA3" t="s">
        <v>1780</v>
      </c>
      <c r="BB3" t="s">
        <v>1555</v>
      </c>
      <c r="BC3" t="s">
        <v>1781</v>
      </c>
      <c r="BE3" s="417" t="s">
        <v>1782</v>
      </c>
      <c r="BF3" s="418" t="s">
        <v>1783</v>
      </c>
      <c r="BG3" t="s">
        <v>1784</v>
      </c>
      <c r="BH3" t="s">
        <v>1785</v>
      </c>
      <c r="BV3" s="3"/>
      <c r="BW3" s="4" t="s">
        <v>1720</v>
      </c>
      <c r="BX3" s="4"/>
      <c r="BY3" s="4"/>
      <c r="BZ3" s="4"/>
      <c r="CA3" s="4"/>
      <c r="CB3" s="4"/>
      <c r="CC3" s="4"/>
      <c r="CD3" s="4"/>
      <c r="CE3" s="4"/>
      <c r="CF3" s="4"/>
      <c r="CG3" s="4"/>
      <c r="CH3" s="5"/>
      <c r="CN3" s="6" t="s">
        <v>1786</v>
      </c>
      <c r="CO3" t="s">
        <v>1787</v>
      </c>
      <c r="CP3" t="s">
        <v>1788</v>
      </c>
      <c r="CQ3">
        <v>1800</v>
      </c>
      <c r="CR3" s="7"/>
      <c r="CT3" t="s">
        <v>1771</v>
      </c>
      <c r="CU3" t="s">
        <v>1772</v>
      </c>
      <c r="CV3" t="s">
        <v>1789</v>
      </c>
    </row>
    <row r="4" spans="1:168">
      <c r="A4" s="444"/>
      <c r="B4" t="s">
        <v>1790</v>
      </c>
      <c r="C4" s="14"/>
      <c r="H4" s="291" t="s">
        <v>1791</v>
      </c>
      <c r="I4" s="5" t="s">
        <v>4413</v>
      </c>
      <c r="O4" s="787" t="s">
        <v>1793</v>
      </c>
      <c r="W4" s="1">
        <v>43252</v>
      </c>
      <c r="X4" s="13">
        <v>7</v>
      </c>
      <c r="Y4" s="13">
        <v>5.7</v>
      </c>
      <c r="Z4" s="13">
        <v>5.0999999999999996</v>
      </c>
      <c r="AA4" s="13">
        <v>5</v>
      </c>
      <c r="AB4" s="13">
        <v>4.5</v>
      </c>
      <c r="AC4" s="13"/>
      <c r="AD4" s="13"/>
      <c r="AF4" s="13"/>
      <c r="AG4" s="13"/>
      <c r="AH4" s="13"/>
      <c r="AI4" s="13"/>
      <c r="AJ4" s="13"/>
      <c r="AW4" s="302" t="s">
        <v>1794</v>
      </c>
      <c r="AY4" s="3" t="s">
        <v>322</v>
      </c>
      <c r="AZ4" s="5" t="s">
        <v>1795</v>
      </c>
      <c r="BA4" t="s">
        <v>1555</v>
      </c>
      <c r="BB4" t="s">
        <v>1796</v>
      </c>
      <c r="BC4" s="402" t="s">
        <v>1797</v>
      </c>
      <c r="BE4" s="419">
        <v>16</v>
      </c>
      <c r="BF4" s="301"/>
      <c r="BG4">
        <v>4</v>
      </c>
      <c r="BH4" s="349" t="s">
        <v>1592</v>
      </c>
      <c r="BI4" t="s">
        <v>1798</v>
      </c>
      <c r="BV4" s="6"/>
      <c r="BW4" t="s">
        <v>1799</v>
      </c>
      <c r="CH4" s="7"/>
      <c r="CN4" s="6"/>
      <c r="CO4" t="s">
        <v>1787</v>
      </c>
      <c r="CP4" t="s">
        <v>1800</v>
      </c>
      <c r="CR4" s="7"/>
      <c r="CT4" t="s">
        <v>1787</v>
      </c>
      <c r="CU4" t="s">
        <v>1788</v>
      </c>
      <c r="CV4">
        <v>1800</v>
      </c>
    </row>
    <row r="5" spans="1:168">
      <c r="A5" s="444"/>
      <c r="B5" s="130" t="s">
        <v>1801</v>
      </c>
      <c r="C5" s="130"/>
      <c r="D5" s="365">
        <f>Resumo!$E$329</f>
        <v>13003.91</v>
      </c>
      <c r="E5" s="14"/>
      <c r="H5" s="292" t="s">
        <v>1802</v>
      </c>
      <c r="I5" s="7" t="s">
        <v>1803</v>
      </c>
      <c r="O5" s="787"/>
      <c r="P5" t="s">
        <v>1804</v>
      </c>
      <c r="Q5" t="s">
        <v>1805</v>
      </c>
      <c r="W5" s="1">
        <v>43466</v>
      </c>
      <c r="X5" s="13">
        <v>6.4</v>
      </c>
      <c r="Y5" s="13">
        <v>5.2</v>
      </c>
      <c r="Z5" s="13">
        <v>4.7</v>
      </c>
      <c r="AA5" s="13">
        <v>4.5</v>
      </c>
      <c r="AB5" s="13">
        <v>4</v>
      </c>
      <c r="AC5" s="13"/>
      <c r="AD5" s="13"/>
      <c r="AF5" s="13"/>
      <c r="AG5" s="13"/>
      <c r="AH5" s="13"/>
      <c r="AI5" s="13"/>
      <c r="AJ5" s="13"/>
      <c r="AW5" s="303" t="s">
        <v>1806</v>
      </c>
      <c r="AY5" t="s">
        <v>379</v>
      </c>
      <c r="AZ5" t="s">
        <v>1807</v>
      </c>
      <c r="BA5" t="s">
        <v>1808</v>
      </c>
      <c r="BB5" t="s">
        <v>1809</v>
      </c>
      <c r="BC5" t="s">
        <v>1810</v>
      </c>
      <c r="BE5" s="343">
        <v>20</v>
      </c>
      <c r="BF5" s="302"/>
      <c r="BG5">
        <v>4</v>
      </c>
      <c r="BH5" s="349" t="s">
        <v>1592</v>
      </c>
      <c r="BI5" t="s">
        <v>1798</v>
      </c>
      <c r="BV5" s="6" t="s">
        <v>1811</v>
      </c>
      <c r="BW5">
        <v>0</v>
      </c>
      <c r="BX5">
        <v>18</v>
      </c>
      <c r="BY5">
        <v>36</v>
      </c>
      <c r="BZ5">
        <v>54</v>
      </c>
      <c r="CA5">
        <v>72</v>
      </c>
      <c r="CB5">
        <v>90</v>
      </c>
      <c r="CC5">
        <f>90+BX5</f>
        <v>108</v>
      </c>
      <c r="CD5">
        <f>90+BY5</f>
        <v>126</v>
      </c>
      <c r="CE5">
        <f>90+BZ5</f>
        <v>144</v>
      </c>
      <c r="CF5">
        <f>90+CA5</f>
        <v>162</v>
      </c>
      <c r="CG5">
        <f>90+CB5</f>
        <v>180</v>
      </c>
      <c r="CH5" s="7"/>
      <c r="CN5" s="6" t="s">
        <v>292</v>
      </c>
      <c r="CO5" t="s">
        <v>1812</v>
      </c>
      <c r="CP5" t="s">
        <v>1813</v>
      </c>
      <c r="CQ5" t="s">
        <v>325</v>
      </c>
      <c r="CR5" s="7"/>
      <c r="CT5" t="s">
        <v>1787</v>
      </c>
      <c r="CU5" t="s">
        <v>1800</v>
      </c>
    </row>
    <row r="6" spans="1:168">
      <c r="A6" s="444"/>
      <c r="H6" s="292" t="s">
        <v>1814</v>
      </c>
      <c r="I6" s="297">
        <v>0.06</v>
      </c>
      <c r="O6" s="14">
        <f>INDEX(KIT_FV[Preço],MATCH("x",KIT_FV[Escolhido],0))+INDEX(KIT_FV[Frete],MATCH("x",KIT_FV[Escolhido],0))</f>
        <v>13003.91</v>
      </c>
      <c r="P6" s="416">
        <f>O6-D5</f>
        <v>0</v>
      </c>
      <c r="Q6" s="220">
        <f>P6/O6</f>
        <v>0</v>
      </c>
      <c r="W6" s="1">
        <v>43617</v>
      </c>
      <c r="X6" s="13">
        <v>6</v>
      </c>
      <c r="Y6" s="13">
        <v>5</v>
      </c>
      <c r="Z6" s="13">
        <v>4.4000000000000004</v>
      </c>
      <c r="AA6" s="13">
        <v>4.2</v>
      </c>
      <c r="AB6" s="13">
        <v>3.8</v>
      </c>
      <c r="AC6" s="181">
        <v>3.66</v>
      </c>
      <c r="AD6" s="13">
        <v>3.48</v>
      </c>
      <c r="AE6" s="13">
        <v>3.85</v>
      </c>
      <c r="AF6" s="13">
        <v>3.59</v>
      </c>
      <c r="AG6" s="13">
        <v>3.55</v>
      </c>
      <c r="AH6" s="13">
        <v>3.57</v>
      </c>
      <c r="AI6" s="13">
        <v>3.51</v>
      </c>
      <c r="AJ6" s="13"/>
      <c r="AY6" s="8" t="s">
        <v>1815</v>
      </c>
      <c r="AZ6" s="9" t="s">
        <v>1816</v>
      </c>
      <c r="BA6" t="s">
        <v>1555</v>
      </c>
      <c r="BB6" t="s">
        <v>1817</v>
      </c>
      <c r="BC6" s="402"/>
      <c r="BE6" s="343">
        <v>25</v>
      </c>
      <c r="BF6" s="302"/>
      <c r="BG6">
        <v>4</v>
      </c>
      <c r="BH6" s="349" t="s">
        <v>1592</v>
      </c>
      <c r="BI6" t="s">
        <v>1798</v>
      </c>
      <c r="BQ6" s="284" t="s">
        <v>1818</v>
      </c>
      <c r="BR6" s="190"/>
      <c r="BV6" s="436">
        <v>1.1499999999999999</v>
      </c>
      <c r="BW6" s="111">
        <v>0</v>
      </c>
      <c r="BX6" s="111">
        <v>0</v>
      </c>
      <c r="BY6" s="111">
        <v>0</v>
      </c>
      <c r="BZ6" s="111">
        <v>0</v>
      </c>
      <c r="CA6" s="111">
        <v>0</v>
      </c>
      <c r="CB6" s="111">
        <v>0</v>
      </c>
      <c r="CC6" s="111">
        <v>0</v>
      </c>
      <c r="CD6" s="111">
        <v>0</v>
      </c>
      <c r="CE6" s="111">
        <v>0</v>
      </c>
      <c r="CF6" s="111">
        <v>0</v>
      </c>
      <c r="CG6" s="111">
        <v>0</v>
      </c>
      <c r="CH6" s="7"/>
      <c r="CN6" s="6" t="s">
        <v>1819</v>
      </c>
      <c r="CO6" t="s">
        <v>1783</v>
      </c>
      <c r="CP6" t="s">
        <v>1820</v>
      </c>
      <c r="CQ6">
        <v>16</v>
      </c>
      <c r="CR6" s="7"/>
    </row>
    <row r="7" spans="1:168">
      <c r="A7" s="444"/>
      <c r="B7" s="130"/>
      <c r="H7" s="292" t="s">
        <v>1821</v>
      </c>
      <c r="I7" s="298"/>
      <c r="W7" s="1">
        <v>43831</v>
      </c>
      <c r="X7" s="13">
        <v>6</v>
      </c>
      <c r="Y7" s="13">
        <v>4.8</v>
      </c>
      <c r="Z7" s="13">
        <v>4.3</v>
      </c>
      <c r="AA7" s="13">
        <v>4.0999999999999996</v>
      </c>
      <c r="AB7" s="13">
        <v>3.6</v>
      </c>
      <c r="AC7" s="13">
        <v>3.62</v>
      </c>
      <c r="AD7" s="13">
        <v>3.42</v>
      </c>
      <c r="AE7" s="13">
        <v>3.87</v>
      </c>
      <c r="AF7" s="13">
        <v>3.64</v>
      </c>
      <c r="AG7" s="13">
        <v>3.68</v>
      </c>
      <c r="AH7" s="13">
        <v>3.62</v>
      </c>
      <c r="AI7" s="13">
        <v>3.6</v>
      </c>
      <c r="AJ7" s="13"/>
      <c r="AW7" s="301" t="s">
        <v>1822</v>
      </c>
      <c r="BE7" s="343">
        <v>32</v>
      </c>
      <c r="BF7" s="302"/>
      <c r="BG7">
        <v>6</v>
      </c>
      <c r="BH7" s="349" t="s">
        <v>1592</v>
      </c>
      <c r="BI7" t="s">
        <v>1798</v>
      </c>
      <c r="BQ7" s="28" t="s">
        <v>1823</v>
      </c>
      <c r="BR7" s="43" t="s">
        <v>1824</v>
      </c>
      <c r="BT7" s="377"/>
      <c r="BU7" s="377"/>
      <c r="BV7" s="436">
        <v>1.25</v>
      </c>
      <c r="BW7" s="111">
        <v>0.01</v>
      </c>
      <c r="BX7" s="111">
        <f t="shared" ref="BX7:CA12" si="0">BW7-($BW7-$CB7)/5</f>
        <v>8.2000000000000007E-3</v>
      </c>
      <c r="BY7" s="111">
        <f t="shared" si="0"/>
        <v>6.4000000000000003E-3</v>
      </c>
      <c r="BZ7" s="111">
        <f t="shared" si="0"/>
        <v>4.5999999999999999E-3</v>
      </c>
      <c r="CA7" s="111">
        <f t="shared" si="0"/>
        <v>2.7999999999999995E-3</v>
      </c>
      <c r="CB7" s="111">
        <v>1E-3</v>
      </c>
      <c r="CC7" s="111">
        <v>1E-3</v>
      </c>
      <c r="CD7" s="111">
        <v>1E-3</v>
      </c>
      <c r="CE7" s="111">
        <v>1E-3</v>
      </c>
      <c r="CF7" s="111">
        <v>1E-3</v>
      </c>
      <c r="CG7" s="111">
        <v>1E-3</v>
      </c>
      <c r="CH7" s="7"/>
      <c r="CN7" s="8" t="s">
        <v>1640</v>
      </c>
      <c r="CO7" s="2" t="s">
        <v>1825</v>
      </c>
      <c r="CP7" s="2" t="s">
        <v>1826</v>
      </c>
      <c r="CQ7" s="2">
        <v>175</v>
      </c>
      <c r="CR7" s="9">
        <v>20</v>
      </c>
    </row>
    <row r="8" spans="1:168">
      <c r="A8" s="444"/>
      <c r="B8" s="366" t="s">
        <v>1827</v>
      </c>
      <c r="C8" s="130"/>
      <c r="D8" s="365">
        <f>SUM(D9:D12)</f>
        <v>2405.3026666666665</v>
      </c>
      <c r="H8" s="292" t="s">
        <v>1828</v>
      </c>
      <c r="I8" s="299">
        <f>Resumo!E329</f>
        <v>13003.91</v>
      </c>
      <c r="J8" s="415" t="str">
        <f>TEXT(I8/$D$27,"0,00%")&amp;" do total"</f>
        <v>55,48% do total</v>
      </c>
      <c r="W8" s="1">
        <v>43983</v>
      </c>
      <c r="X8" s="13">
        <v>5.9</v>
      </c>
      <c r="Y8" s="13">
        <v>4.7</v>
      </c>
      <c r="Z8" s="13">
        <v>4.2</v>
      </c>
      <c r="AA8" s="13">
        <v>4.0999999999999996</v>
      </c>
      <c r="AB8" s="13">
        <v>3.7</v>
      </c>
      <c r="AC8" s="13">
        <v>3.7</v>
      </c>
      <c r="AD8" s="13">
        <v>3.62</v>
      </c>
      <c r="AE8" s="13">
        <v>4.04</v>
      </c>
      <c r="AF8" s="13">
        <v>3.94</v>
      </c>
      <c r="AG8" s="13">
        <v>3.85</v>
      </c>
      <c r="AH8" s="13">
        <v>3.91</v>
      </c>
      <c r="AI8" s="13">
        <v>3.86</v>
      </c>
      <c r="AJ8" s="13"/>
      <c r="AW8" s="302" t="s">
        <v>1829</v>
      </c>
      <c r="BE8" s="343">
        <v>40</v>
      </c>
      <c r="BF8" s="302"/>
      <c r="BG8">
        <v>6</v>
      </c>
      <c r="BH8" s="349" t="s">
        <v>1592</v>
      </c>
      <c r="BI8" t="s">
        <v>1798</v>
      </c>
      <c r="BQ8" s="28" t="s">
        <v>1830</v>
      </c>
      <c r="BR8" s="43" t="s">
        <v>1788</v>
      </c>
      <c r="BT8" s="376"/>
      <c r="BU8" s="376"/>
      <c r="BV8" s="436">
        <v>1.35</v>
      </c>
      <c r="BW8" s="111">
        <v>1.2999999999999999E-2</v>
      </c>
      <c r="BX8" s="111">
        <f t="shared" si="0"/>
        <v>1.0999999999999999E-2</v>
      </c>
      <c r="BY8" s="111">
        <f t="shared" si="0"/>
        <v>8.9999999999999993E-3</v>
      </c>
      <c r="BZ8" s="111">
        <f t="shared" si="0"/>
        <v>6.9999999999999993E-3</v>
      </c>
      <c r="CA8" s="111">
        <f t="shared" si="0"/>
        <v>4.9999999999999992E-3</v>
      </c>
      <c r="CB8" s="111">
        <v>3.0000000000000001E-3</v>
      </c>
      <c r="CC8" s="111">
        <v>3.0000000000000001E-3</v>
      </c>
      <c r="CD8" s="111">
        <v>3.0000000000000001E-3</v>
      </c>
      <c r="CE8" s="111">
        <v>3.0000000000000001E-3</v>
      </c>
      <c r="CF8" s="111">
        <v>3.0000000000000001E-3</v>
      </c>
      <c r="CG8" s="111">
        <v>3.0000000000000001E-3</v>
      </c>
      <c r="CH8" s="7"/>
      <c r="CT8" t="s">
        <v>1831</v>
      </c>
    </row>
    <row r="9" spans="1:168">
      <c r="A9" s="444"/>
      <c r="B9" s="677" t="s">
        <v>1832</v>
      </c>
      <c r="C9" s="682"/>
      <c r="D9" s="679">
        <f>$D$100</f>
        <v>805.30266666666671</v>
      </c>
      <c r="F9" s="675" t="s">
        <v>1833</v>
      </c>
      <c r="H9" s="292"/>
      <c r="I9" s="7"/>
      <c r="W9" s="1">
        <v>44197</v>
      </c>
      <c r="X9" s="13">
        <v>6.19</v>
      </c>
      <c r="Y9" s="13">
        <v>4.96</v>
      </c>
      <c r="Z9" s="13">
        <v>4.42</v>
      </c>
      <c r="AA9" s="13">
        <v>4.29</v>
      </c>
      <c r="AB9" s="13">
        <v>4</v>
      </c>
      <c r="AC9" s="13">
        <v>3.88</v>
      </c>
      <c r="AD9" s="13">
        <v>3.79</v>
      </c>
      <c r="AE9" s="13">
        <v>4.2300000000000004</v>
      </c>
      <c r="AF9" s="13">
        <v>4.07</v>
      </c>
      <c r="AG9" s="13">
        <v>4.0199999999999996</v>
      </c>
      <c r="AH9" s="13">
        <v>4.03</v>
      </c>
      <c r="AI9" s="13">
        <v>3.97</v>
      </c>
      <c r="AJ9" s="13"/>
      <c r="AW9" s="302" t="s">
        <v>1834</v>
      </c>
      <c r="BE9" s="343">
        <v>50</v>
      </c>
      <c r="BF9" s="302"/>
      <c r="BG9">
        <v>10</v>
      </c>
      <c r="BH9" s="349" t="s">
        <v>1420</v>
      </c>
      <c r="BI9" t="s">
        <v>1798</v>
      </c>
      <c r="BQ9" s="28" t="s">
        <v>1835</v>
      </c>
      <c r="BR9" s="309">
        <v>1800</v>
      </c>
      <c r="BT9" s="376"/>
      <c r="BU9" s="376"/>
      <c r="BV9" s="436">
        <v>1.4</v>
      </c>
      <c r="BW9" s="111">
        <v>1.35E-2</v>
      </c>
      <c r="BX9" s="111">
        <f t="shared" si="0"/>
        <v>1.1480000000000001E-2</v>
      </c>
      <c r="BY9" s="111">
        <f t="shared" si="0"/>
        <v>9.4599999999999997E-3</v>
      </c>
      <c r="BZ9" s="111">
        <f t="shared" si="0"/>
        <v>7.4399999999999996E-3</v>
      </c>
      <c r="CA9" s="111">
        <f t="shared" si="0"/>
        <v>5.4199999999999995E-3</v>
      </c>
      <c r="CB9" s="111">
        <v>3.3999999999999998E-3</v>
      </c>
      <c r="CC9" s="111">
        <v>3.3999999999999998E-3</v>
      </c>
      <c r="CD9" s="111">
        <v>3.3999999999999998E-3</v>
      </c>
      <c r="CE9" s="111">
        <v>3.3999999999999998E-3</v>
      </c>
      <c r="CF9" s="111">
        <v>3.3999999999999998E-3</v>
      </c>
      <c r="CG9" s="111">
        <v>3.3999999999999998E-3</v>
      </c>
      <c r="CH9" s="7"/>
      <c r="CT9" t="s">
        <v>1598</v>
      </c>
      <c r="CU9" t="s">
        <v>1771</v>
      </c>
      <c r="CV9" t="s">
        <v>1772</v>
      </c>
    </row>
    <row r="10" spans="1:168">
      <c r="A10" s="444"/>
      <c r="B10" s="677" t="s">
        <v>143</v>
      </c>
      <c r="C10" s="682"/>
      <c r="D10" s="679">
        <f>VLOOKUP($I$4,$B$105:$C$109,2,FALSE)</f>
        <v>1500</v>
      </c>
      <c r="H10" s="293" t="s">
        <v>1836</v>
      </c>
      <c r="I10" s="252"/>
      <c r="K10" t="s">
        <v>1837</v>
      </c>
      <c r="M10" t="s">
        <v>1838</v>
      </c>
      <c r="N10" t="s">
        <v>1839</v>
      </c>
      <c r="W10" s="1">
        <v>44348</v>
      </c>
      <c r="X10" s="13">
        <v>6.17</v>
      </c>
      <c r="Y10" s="13">
        <v>4.88</v>
      </c>
      <c r="Z10" s="13">
        <v>4.38</v>
      </c>
      <c r="AA10" s="13">
        <v>4.21</v>
      </c>
      <c r="AB10" s="13">
        <v>3.97</v>
      </c>
      <c r="AC10" s="13">
        <v>3.89</v>
      </c>
      <c r="AD10" s="13">
        <v>3.81</v>
      </c>
      <c r="AE10" s="13">
        <v>4.2699999999999996</v>
      </c>
      <c r="AF10" s="13">
        <v>4.0599999999999996</v>
      </c>
      <c r="AG10" s="13">
        <v>4.08</v>
      </c>
      <c r="AH10" s="13">
        <v>4.16</v>
      </c>
      <c r="AI10" s="13">
        <v>4.09</v>
      </c>
      <c r="AJ10" s="13"/>
      <c r="AW10" s="302" t="s">
        <v>1840</v>
      </c>
      <c r="BE10" s="343">
        <v>63</v>
      </c>
      <c r="BF10" s="302"/>
      <c r="BG10">
        <v>16</v>
      </c>
      <c r="BH10" s="349" t="s">
        <v>1841</v>
      </c>
      <c r="BI10" t="s">
        <v>1798</v>
      </c>
      <c r="BQ10" s="28" t="s">
        <v>1842</v>
      </c>
      <c r="BR10" s="310">
        <v>4</v>
      </c>
      <c r="BT10" s="376"/>
      <c r="BU10" s="376"/>
      <c r="BV10" s="436">
        <v>1.45</v>
      </c>
      <c r="BW10" s="111">
        <v>1.4999999999999999E-2</v>
      </c>
      <c r="BX10" s="111">
        <f t="shared" si="0"/>
        <v>1.2799999999999999E-2</v>
      </c>
      <c r="BY10" s="111">
        <f t="shared" si="0"/>
        <v>1.0599999999999998E-2</v>
      </c>
      <c r="BZ10" s="111">
        <f t="shared" si="0"/>
        <v>8.3999999999999977E-3</v>
      </c>
      <c r="CA10" s="111">
        <f t="shared" si="0"/>
        <v>6.199999999999998E-3</v>
      </c>
      <c r="CB10" s="111">
        <v>4.0000000000000001E-3</v>
      </c>
      <c r="CC10" s="111">
        <v>4.0000000000000001E-3</v>
      </c>
      <c r="CD10" s="111">
        <v>4.0000000000000001E-3</v>
      </c>
      <c r="CE10" s="111">
        <v>4.0000000000000001E-3</v>
      </c>
      <c r="CF10" s="111">
        <v>4.0000000000000001E-3</v>
      </c>
      <c r="CG10" s="111">
        <v>4.0000000000000001E-3</v>
      </c>
      <c r="CH10" s="7"/>
      <c r="CT10" t="s">
        <v>325</v>
      </c>
    </row>
    <row r="11" spans="1:168">
      <c r="A11" s="444"/>
      <c r="B11" s="677" t="s">
        <v>43</v>
      </c>
      <c r="C11" s="682"/>
      <c r="D11" s="679">
        <v>0</v>
      </c>
      <c r="E11" s="675">
        <f>IF(Resumo!$E$189&lt;10,1500,IF(Resumo!$E$189&lt;30,2500,IF(Resumo!$E$189&lt;50,3000,IF(Resumo!$E$189&lt;75,3500,IF(Resumo!$E$189&lt;100,4000,IF(Resumo!$E$189&lt;150,7000,"VERIFICAR!!"))))))</f>
        <v>1500</v>
      </c>
      <c r="F11" t="s">
        <v>1843</v>
      </c>
      <c r="H11" s="293" t="s">
        <v>1844</v>
      </c>
      <c r="I11" s="252"/>
      <c r="K11" t="s">
        <v>1845</v>
      </c>
      <c r="L11" s="485"/>
      <c r="M11" s="485">
        <f>SUM(L12:L15)</f>
        <v>5900</v>
      </c>
      <c r="N11" s="485">
        <f>M11*12</f>
        <v>70800</v>
      </c>
      <c r="W11" s="1">
        <v>44562</v>
      </c>
      <c r="X11" s="13">
        <v>6.35</v>
      </c>
      <c r="Y11" s="13">
        <v>5.16</v>
      </c>
      <c r="Z11" s="13">
        <v>4.66</v>
      </c>
      <c r="AA11" s="13">
        <v>4.5199999999999996</v>
      </c>
      <c r="AB11" s="13">
        <v>4.3099999999999996</v>
      </c>
      <c r="AC11" s="13">
        <v>4.0999999999999996</v>
      </c>
      <c r="AD11" s="13">
        <v>4.09</v>
      </c>
      <c r="AE11" s="13">
        <v>4.57</v>
      </c>
      <c r="AF11" s="13">
        <v>4.34</v>
      </c>
      <c r="AG11" s="13">
        <v>4.4000000000000004</v>
      </c>
      <c r="AH11" s="13">
        <v>4.3099999999999996</v>
      </c>
      <c r="AI11" s="13">
        <v>4.3499999999999996</v>
      </c>
      <c r="AW11" s="302" t="s">
        <v>1846</v>
      </c>
      <c r="BE11" s="343">
        <v>70</v>
      </c>
      <c r="BF11" s="302"/>
      <c r="BG11">
        <v>16</v>
      </c>
      <c r="BH11" s="349" t="s">
        <v>1847</v>
      </c>
      <c r="BI11" t="s">
        <v>1848</v>
      </c>
      <c r="BQ11" s="28" t="s">
        <v>1849</v>
      </c>
      <c r="BR11" s="43"/>
      <c r="BV11" s="436">
        <v>1.5</v>
      </c>
      <c r="BW11" s="111">
        <v>1.7000000000000001E-2</v>
      </c>
      <c r="BX11" s="111">
        <f t="shared" si="0"/>
        <v>1.5200000000000002E-2</v>
      </c>
      <c r="BY11" s="111">
        <f t="shared" si="0"/>
        <v>1.3400000000000002E-2</v>
      </c>
      <c r="BZ11" s="111">
        <f t="shared" si="0"/>
        <v>1.1600000000000003E-2</v>
      </c>
      <c r="CA11" s="111">
        <f t="shared" si="0"/>
        <v>9.8000000000000032E-3</v>
      </c>
      <c r="CB11" s="111">
        <v>8.0000000000000002E-3</v>
      </c>
      <c r="CC11" s="111">
        <v>8.0000000000000002E-3</v>
      </c>
      <c r="CD11" s="111">
        <v>8.0000000000000002E-3</v>
      </c>
      <c r="CE11" s="111">
        <v>8.0000000000000002E-3</v>
      </c>
      <c r="CF11" s="111">
        <v>8.0000000000000002E-3</v>
      </c>
      <c r="CG11" s="111">
        <v>8.0000000000000002E-3</v>
      </c>
      <c r="CH11" s="7"/>
    </row>
    <row r="12" spans="1:168">
      <c r="A12" s="444"/>
      <c r="B12" s="677" t="s">
        <v>1750</v>
      </c>
      <c r="C12" s="682"/>
      <c r="D12" s="679">
        <f>MAX(Orç._Vendedor!$D$12,E12,100)</f>
        <v>100</v>
      </c>
      <c r="E12" s="690"/>
      <c r="F12" t="s">
        <v>1850</v>
      </c>
      <c r="H12" s="293" t="s">
        <v>1851</v>
      </c>
      <c r="I12" s="253"/>
      <c r="K12" s="237" t="s">
        <v>1852</v>
      </c>
      <c r="L12" s="485">
        <v>1100</v>
      </c>
      <c r="M12" s="485"/>
      <c r="N12" s="485"/>
      <c r="W12" s="1">
        <v>44713</v>
      </c>
      <c r="X12" s="13">
        <v>5.99</v>
      </c>
      <c r="Y12" s="13">
        <v>4.88</v>
      </c>
      <c r="Z12" s="13">
        <v>4.3499999999999996</v>
      </c>
      <c r="AA12" s="13">
        <v>4.16</v>
      </c>
      <c r="AB12" s="13">
        <v>3.93</v>
      </c>
      <c r="AC12" s="13">
        <v>3.88</v>
      </c>
      <c r="AD12" s="13">
        <v>4</v>
      </c>
      <c r="AE12" s="13">
        <v>4.45</v>
      </c>
      <c r="AF12" s="13">
        <v>4.07</v>
      </c>
      <c r="AG12" s="13">
        <v>4.1399999999999997</v>
      </c>
      <c r="AH12" s="13">
        <v>4.13</v>
      </c>
      <c r="AI12" s="13">
        <v>4.2699999999999996</v>
      </c>
      <c r="AW12" s="302" t="s">
        <v>77</v>
      </c>
      <c r="BE12" s="343">
        <v>80</v>
      </c>
      <c r="BF12" s="302"/>
      <c r="BG12">
        <v>16</v>
      </c>
      <c r="BH12" s="349" t="s">
        <v>1847</v>
      </c>
      <c r="BI12" t="s">
        <v>1848</v>
      </c>
      <c r="BV12" s="436">
        <v>1.6</v>
      </c>
      <c r="BW12" s="111">
        <v>0.02</v>
      </c>
      <c r="BX12" s="111">
        <f t="shared" si="0"/>
        <v>1.8000000000000002E-2</v>
      </c>
      <c r="BY12" s="111">
        <f t="shared" si="0"/>
        <v>1.6E-2</v>
      </c>
      <c r="BZ12" s="111">
        <f t="shared" si="0"/>
        <v>1.4E-2</v>
      </c>
      <c r="CA12" s="111">
        <f t="shared" si="0"/>
        <v>1.2E-2</v>
      </c>
      <c r="CB12" s="111">
        <v>0.01</v>
      </c>
      <c r="CC12" s="111">
        <v>0.01</v>
      </c>
      <c r="CD12" s="111">
        <v>0.01</v>
      </c>
      <c r="CE12" s="111">
        <v>0.01</v>
      </c>
      <c r="CF12" s="111">
        <v>0.01</v>
      </c>
      <c r="CG12" s="111">
        <v>0.01</v>
      </c>
      <c r="CH12" s="7"/>
    </row>
    <row r="13" spans="1:168">
      <c r="A13" s="444"/>
      <c r="B13" s="366" t="s">
        <v>1853</v>
      </c>
      <c r="C13" s="11">
        <f>SUM(C14)</f>
        <v>0.06</v>
      </c>
      <c r="D13" s="365">
        <f>D14</f>
        <v>626.16539999999998</v>
      </c>
      <c r="H13" s="293" t="s">
        <v>1854</v>
      </c>
      <c r="I13" s="252"/>
      <c r="K13" s="237" t="s">
        <v>4560</v>
      </c>
      <c r="L13" s="485"/>
      <c r="M13" s="485"/>
      <c r="N13" s="485"/>
      <c r="W13" s="1">
        <v>44927</v>
      </c>
      <c r="X13" s="13">
        <v>5.42</v>
      </c>
      <c r="Y13" s="13">
        <v>4.3899999999999997</v>
      </c>
      <c r="Z13" s="13">
        <v>3.92</v>
      </c>
      <c r="AA13" s="13">
        <v>3.67</v>
      </c>
      <c r="AB13" s="13">
        <v>3.36</v>
      </c>
      <c r="AC13" s="13">
        <v>3.73</v>
      </c>
      <c r="AD13" s="13">
        <v>3.84</v>
      </c>
      <c r="AE13" s="13">
        <v>4.38</v>
      </c>
      <c r="AF13" s="13">
        <v>3.85</v>
      </c>
      <c r="AG13" s="13">
        <v>4</v>
      </c>
      <c r="AH13" s="13">
        <v>4.04</v>
      </c>
      <c r="AI13" s="13">
        <v>4.17</v>
      </c>
      <c r="AW13" s="303" t="s">
        <v>1855</v>
      </c>
      <c r="BE13" s="343">
        <v>100</v>
      </c>
      <c r="BF13" s="302"/>
      <c r="BG13">
        <v>25</v>
      </c>
      <c r="BH13" s="349" t="s">
        <v>1856</v>
      </c>
      <c r="BI13" t="s">
        <v>1848</v>
      </c>
      <c r="BP13" t="s">
        <v>1857</v>
      </c>
      <c r="BV13" s="436">
        <v>2</v>
      </c>
      <c r="BW13" s="111">
        <v>2.1000000000000001E-2</v>
      </c>
      <c r="BX13" s="111">
        <v>1.9E-2</v>
      </c>
      <c r="BY13" s="111">
        <v>1.7999999999999999E-2</v>
      </c>
      <c r="BZ13" s="111">
        <v>1.6E-2</v>
      </c>
      <c r="CA13" s="111">
        <v>1.4E-2</v>
      </c>
      <c r="CB13" s="111">
        <v>1.2E-2</v>
      </c>
      <c r="CC13" s="111">
        <v>1.2E-2</v>
      </c>
      <c r="CD13" s="111">
        <v>1.2E-2</v>
      </c>
      <c r="CE13" s="111">
        <v>1.2E-2</v>
      </c>
      <c r="CF13" s="111">
        <v>1.2E-2</v>
      </c>
      <c r="CG13" s="111">
        <v>1.2E-2</v>
      </c>
      <c r="CH13" s="7"/>
      <c r="CT13" t="s">
        <v>1819</v>
      </c>
    </row>
    <row r="14" spans="1:168">
      <c r="B14" s="677" t="s">
        <v>1858</v>
      </c>
      <c r="C14" s="678">
        <v>0.06</v>
      </c>
      <c r="D14" s="679">
        <f>(D27-D5)*C14</f>
        <v>626.16539999999998</v>
      </c>
      <c r="E14" s="679"/>
      <c r="H14" s="293" t="s">
        <v>1859</v>
      </c>
      <c r="I14" s="252"/>
      <c r="K14" s="237" t="s">
        <v>4561</v>
      </c>
      <c r="L14" s="485">
        <v>2500</v>
      </c>
      <c r="M14" s="485"/>
      <c r="N14" s="485"/>
      <c r="W14" s="1">
        <v>45078</v>
      </c>
      <c r="X14" s="13">
        <v>4.4800000000000004</v>
      </c>
      <c r="Y14" s="13">
        <v>3.68</v>
      </c>
      <c r="Z14" s="13">
        <v>3.26</v>
      </c>
      <c r="AA14" s="13">
        <v>3.02</v>
      </c>
      <c r="AB14" s="13">
        <v>2.81</v>
      </c>
      <c r="AC14" s="13">
        <v>2.84</v>
      </c>
      <c r="AD14" s="13">
        <v>3.03</v>
      </c>
      <c r="AE14" s="13">
        <v>3.64</v>
      </c>
      <c r="AF14" s="13">
        <v>3.48</v>
      </c>
      <c r="AG14" s="13">
        <v>3.43</v>
      </c>
      <c r="AH14" s="13">
        <v>3.6</v>
      </c>
      <c r="AI14" s="13">
        <v>3.44</v>
      </c>
      <c r="BE14" s="343">
        <v>125</v>
      </c>
      <c r="BF14" s="302" t="s">
        <v>1860</v>
      </c>
      <c r="BG14">
        <v>35</v>
      </c>
      <c r="BH14" s="349" t="s">
        <v>1856</v>
      </c>
      <c r="BI14" t="s">
        <v>1848</v>
      </c>
      <c r="BP14" s="3" t="s">
        <v>1861</v>
      </c>
      <c r="BQ14" s="505">
        <v>5</v>
      </c>
      <c r="BV14" s="436">
        <v>10</v>
      </c>
      <c r="BW14" s="111">
        <v>2.1000000000000001E-2</v>
      </c>
      <c r="BX14" s="111">
        <v>1.9E-2</v>
      </c>
      <c r="BY14" s="111">
        <v>1.7999999999999999E-2</v>
      </c>
      <c r="BZ14" s="111">
        <v>1.6E-2</v>
      </c>
      <c r="CA14" s="111">
        <v>1.4E-2</v>
      </c>
      <c r="CB14" s="111">
        <v>1.2E-2</v>
      </c>
      <c r="CC14" s="111">
        <v>1.2E-2</v>
      </c>
      <c r="CD14" s="111">
        <v>1.2E-2</v>
      </c>
      <c r="CE14" s="111">
        <v>1.2E-2</v>
      </c>
      <c r="CF14" s="111">
        <v>1.2E-2</v>
      </c>
      <c r="CG14" s="111">
        <v>1.2E-2</v>
      </c>
      <c r="CH14" s="7"/>
      <c r="CT14" t="s">
        <v>1771</v>
      </c>
      <c r="CU14" t="s">
        <v>1772</v>
      </c>
      <c r="CV14" t="s">
        <v>1782</v>
      </c>
    </row>
    <row r="15" spans="1:168">
      <c r="B15" s="677" t="s">
        <v>1862</v>
      </c>
      <c r="C15" s="11"/>
      <c r="F15" s="675" t="s">
        <v>1863</v>
      </c>
      <c r="H15" s="293" t="s">
        <v>1864</v>
      </c>
      <c r="I15" s="252"/>
      <c r="K15" s="237" t="s">
        <v>4562</v>
      </c>
      <c r="L15" s="485">
        <v>2300</v>
      </c>
      <c r="M15" s="485"/>
      <c r="N15" s="485"/>
      <c r="W15" s="1">
        <v>45292</v>
      </c>
      <c r="X15" s="13">
        <v>3.87</v>
      </c>
      <c r="Y15" s="13">
        <v>3.17</v>
      </c>
      <c r="Z15" s="13">
        <v>2.67</v>
      </c>
      <c r="AA15" s="13">
        <v>2.54</v>
      </c>
      <c r="AB15" s="13">
        <v>2.42</v>
      </c>
      <c r="AC15" s="13">
        <v>2.4500000000000002</v>
      </c>
      <c r="AD15" s="13">
        <v>2.7</v>
      </c>
      <c r="AE15" s="13">
        <v>3.18</v>
      </c>
      <c r="AF15" s="13">
        <v>3.1</v>
      </c>
      <c r="AG15" s="13">
        <v>3.07</v>
      </c>
      <c r="AH15" s="13">
        <v>3.13</v>
      </c>
      <c r="AI15" s="13">
        <v>3.27</v>
      </c>
      <c r="BE15" s="343">
        <v>140</v>
      </c>
      <c r="BF15" s="302" t="s">
        <v>1865</v>
      </c>
      <c r="BG15">
        <v>35</v>
      </c>
      <c r="BH15" s="349" t="s">
        <v>1856</v>
      </c>
      <c r="BI15" t="s">
        <v>1848</v>
      </c>
      <c r="BP15" s="8" t="s">
        <v>1866</v>
      </c>
      <c r="BQ15" s="506">
        <v>8</v>
      </c>
      <c r="BV15" s="8"/>
      <c r="BW15" s="2"/>
      <c r="BX15" s="2"/>
      <c r="BY15" s="2"/>
      <c r="BZ15" s="2"/>
      <c r="CA15" s="2"/>
      <c r="CB15" s="2"/>
      <c r="CC15" s="2" t="s">
        <v>1867</v>
      </c>
      <c r="CD15" s="2"/>
      <c r="CE15" s="2"/>
      <c r="CF15" s="2"/>
      <c r="CG15" s="2"/>
      <c r="CH15" s="9"/>
    </row>
    <row r="16" spans="1:168">
      <c r="B16" s="366" t="s">
        <v>1868</v>
      </c>
      <c r="C16" s="676">
        <f>SUM(C17:C20)</f>
        <v>0.16349999999999998</v>
      </c>
      <c r="D16" s="365">
        <f>SUM(D17:D20)</f>
        <v>3832.4399999999996</v>
      </c>
      <c r="F16" s="675" t="s">
        <v>1869</v>
      </c>
      <c r="H16" s="294" t="s">
        <v>1870</v>
      </c>
      <c r="I16" s="254">
        <f>SUM(I10:I15)</f>
        <v>0</v>
      </c>
      <c r="L16" s="485"/>
      <c r="M16" s="485"/>
      <c r="N16" s="485"/>
      <c r="W16" s="1">
        <v>45444</v>
      </c>
      <c r="X16" s="13">
        <v>3.62</v>
      </c>
      <c r="Y16" s="13">
        <v>2.93</v>
      </c>
      <c r="Z16" s="13">
        <v>2.58</v>
      </c>
      <c r="AA16" s="13">
        <v>2.3199999999999998</v>
      </c>
      <c r="AB16" s="13">
        <v>2.33</v>
      </c>
      <c r="AC16" s="13">
        <v>2.2400000000000002</v>
      </c>
      <c r="AD16" s="13">
        <v>2.57</v>
      </c>
      <c r="AE16" s="13">
        <v>3.13</v>
      </c>
      <c r="AF16" s="13">
        <v>2.93</v>
      </c>
      <c r="AG16" s="13">
        <v>2.91</v>
      </c>
      <c r="AH16" s="13">
        <v>2.9</v>
      </c>
      <c r="AI16" s="13">
        <v>2.88</v>
      </c>
      <c r="AJ16" s="13"/>
      <c r="AL16" s="13"/>
      <c r="BE16" s="343">
        <v>150</v>
      </c>
      <c r="BF16" s="302" t="s">
        <v>1871</v>
      </c>
      <c r="BG16">
        <v>50</v>
      </c>
      <c r="BH16" s="349" t="s">
        <v>1872</v>
      </c>
      <c r="BI16" t="s">
        <v>1848</v>
      </c>
    </row>
    <row r="17" spans="1:101">
      <c r="B17" s="677" t="s">
        <v>1873</v>
      </c>
      <c r="C17" s="678">
        <v>0.01</v>
      </c>
      <c r="D17" s="679">
        <f>E17*$D$24</f>
        <v>234.40000000000003</v>
      </c>
      <c r="E17" s="683">
        <f>C17*(1-$C$25)</f>
        <v>9.7979975119947167E-3</v>
      </c>
      <c r="H17" s="295" t="s">
        <v>1874</v>
      </c>
      <c r="I17" s="255"/>
      <c r="K17" t="s">
        <v>1875</v>
      </c>
      <c r="L17" s="485"/>
      <c r="M17" s="485">
        <v>200</v>
      </c>
      <c r="N17" s="485">
        <f t="shared" ref="N17:N23" si="1">M17*12</f>
        <v>2400</v>
      </c>
      <c r="BE17" s="343">
        <v>160</v>
      </c>
      <c r="BF17" s="302" t="s">
        <v>1876</v>
      </c>
      <c r="BG17">
        <v>50</v>
      </c>
      <c r="BH17" s="349" t="s">
        <v>1872</v>
      </c>
      <c r="BI17" t="s">
        <v>1848</v>
      </c>
      <c r="BW17" s="328" t="s">
        <v>1877</v>
      </c>
      <c r="BX17" s="330"/>
      <c r="BZ17" s="440" t="s">
        <v>277</v>
      </c>
      <c r="CB17" s="585" t="s">
        <v>1878</v>
      </c>
      <c r="CT17" t="s">
        <v>1640</v>
      </c>
    </row>
    <row r="18" spans="1:101">
      <c r="B18" s="677" t="s">
        <v>1879</v>
      </c>
      <c r="C18" s="680">
        <v>5.4999999999999997E-3</v>
      </c>
      <c r="D18" s="679">
        <f>E18*$D$24</f>
        <v>128.91999999999999</v>
      </c>
      <c r="E18" s="683">
        <f>C18*(1-$C$25)</f>
        <v>5.3888986315970937E-3</v>
      </c>
      <c r="F18" s="675" t="s">
        <v>1869</v>
      </c>
      <c r="H18" s="295" t="s">
        <v>1880</v>
      </c>
      <c r="I18" s="255"/>
      <c r="K18" t="s">
        <v>1881</v>
      </c>
      <c r="L18" s="485"/>
      <c r="M18" s="485">
        <v>150</v>
      </c>
      <c r="N18" s="485">
        <f t="shared" si="1"/>
        <v>1800</v>
      </c>
      <c r="W18" t="s">
        <v>1882</v>
      </c>
      <c r="X18" s="319">
        <v>2</v>
      </c>
      <c r="Y18" s="319">
        <v>4</v>
      </c>
      <c r="Z18" s="319">
        <v>8</v>
      </c>
      <c r="AA18" s="319">
        <v>12</v>
      </c>
      <c r="AB18" s="319">
        <v>30</v>
      </c>
      <c r="AC18" s="319">
        <v>50</v>
      </c>
      <c r="AD18" s="319">
        <v>75</v>
      </c>
      <c r="AE18" s="319">
        <v>150</v>
      </c>
      <c r="AF18" s="319">
        <v>300</v>
      </c>
      <c r="AG18" s="319">
        <v>500</v>
      </c>
      <c r="AH18" s="319">
        <v>1000</v>
      </c>
      <c r="BE18" s="343">
        <v>175</v>
      </c>
      <c r="BF18" s="302" t="s">
        <v>1883</v>
      </c>
      <c r="BG18">
        <v>50</v>
      </c>
      <c r="BH18" s="349" t="s">
        <v>1872</v>
      </c>
      <c r="BI18" t="s">
        <v>1848</v>
      </c>
      <c r="BW18" s="3" t="s">
        <v>963</v>
      </c>
      <c r="BX18" s="441">
        <v>0.3</v>
      </c>
      <c r="BZ18" s="302" t="s">
        <v>55</v>
      </c>
      <c r="CB18" s="301" t="s">
        <v>395</v>
      </c>
      <c r="CT18" t="s">
        <v>1771</v>
      </c>
      <c r="CU18" t="s">
        <v>1772</v>
      </c>
      <c r="CV18" t="s">
        <v>1884</v>
      </c>
      <c r="CW18" t="s">
        <v>1885</v>
      </c>
    </row>
    <row r="19" spans="1:101">
      <c r="A19" s="14"/>
      <c r="B19" s="677" t="s">
        <v>1880</v>
      </c>
      <c r="C19" s="678">
        <f>IF(Orç._Vendedor!$D$13="INDICAÇÃO COMISSIONADA",4%,3%)</f>
        <v>0.03</v>
      </c>
      <c r="D19" s="679">
        <f>E19*$D$24</f>
        <v>703.19999999999993</v>
      </c>
      <c r="E19" s="683">
        <f>C19*(1-$C$25)</f>
        <v>2.9393992535984147E-2</v>
      </c>
      <c r="H19" s="296" t="s">
        <v>164</v>
      </c>
      <c r="I19" s="241">
        <f>SUM(I16:I18)</f>
        <v>0</v>
      </c>
      <c r="K19" t="s">
        <v>1886</v>
      </c>
      <c r="L19" s="485"/>
      <c r="M19" s="485">
        <v>100</v>
      </c>
      <c r="N19" s="485">
        <f t="shared" si="1"/>
        <v>1200</v>
      </c>
      <c r="W19" s="1">
        <v>43617</v>
      </c>
      <c r="X19" s="32">
        <v>3.66</v>
      </c>
      <c r="Y19" s="32">
        <v>3.11</v>
      </c>
      <c r="Z19" s="32">
        <v>3.02</v>
      </c>
      <c r="AA19" s="32">
        <v>2.87</v>
      </c>
      <c r="AB19" s="32">
        <v>2.54</v>
      </c>
      <c r="AC19" s="32">
        <v>2.4700000000000002</v>
      </c>
      <c r="AD19" s="32">
        <v>2.3199999999999998</v>
      </c>
      <c r="AE19" s="32">
        <v>2.31</v>
      </c>
      <c r="AF19" s="32">
        <v>2.2599999999999998</v>
      </c>
      <c r="AG19" s="32">
        <v>2.11</v>
      </c>
      <c r="AH19" s="32">
        <v>2.13</v>
      </c>
      <c r="BE19" s="343">
        <v>180</v>
      </c>
      <c r="BF19" s="302" t="s">
        <v>1887</v>
      </c>
      <c r="BG19">
        <v>70</v>
      </c>
      <c r="BH19" s="349" t="s">
        <v>1872</v>
      </c>
      <c r="BI19" t="s">
        <v>1848</v>
      </c>
      <c r="BK19" t="s">
        <v>1888</v>
      </c>
      <c r="BM19" s="135">
        <f ca="1">TODAY()</f>
        <v>45866</v>
      </c>
      <c r="BW19" s="6" t="s">
        <v>270</v>
      </c>
      <c r="BX19" s="25">
        <v>0.7</v>
      </c>
      <c r="BZ19" s="302" t="s">
        <v>52</v>
      </c>
      <c r="CB19" s="302" t="s">
        <v>345</v>
      </c>
    </row>
    <row r="20" spans="1:101">
      <c r="A20" s="544"/>
      <c r="B20" s="677" t="s">
        <v>1889</v>
      </c>
      <c r="C20" s="681">
        <f>N33</f>
        <v>0.11799999999999999</v>
      </c>
      <c r="D20" s="679">
        <f>E20*$D$24</f>
        <v>2765.9199999999996</v>
      </c>
      <c r="E20" s="683">
        <f>C20*(1-$C$25)</f>
        <v>0.11561637064153764</v>
      </c>
      <c r="K20" t="s">
        <v>1890</v>
      </c>
      <c r="L20" s="485"/>
      <c r="M20" s="485"/>
      <c r="N20" s="485">
        <f t="shared" si="1"/>
        <v>0</v>
      </c>
      <c r="W20" s="1">
        <v>43831</v>
      </c>
      <c r="X20" s="32">
        <v>3.29</v>
      </c>
      <c r="Y20" s="32">
        <v>2.88</v>
      </c>
      <c r="Z20" s="32">
        <v>2.74</v>
      </c>
      <c r="AA20" s="32">
        <v>2.7</v>
      </c>
      <c r="AB20" s="32">
        <v>2.33</v>
      </c>
      <c r="AC20" s="32">
        <v>2.2400000000000002</v>
      </c>
      <c r="AD20" s="32">
        <v>2.23</v>
      </c>
      <c r="AE20" s="32">
        <v>2.17</v>
      </c>
      <c r="AF20" s="32">
        <v>2.09</v>
      </c>
      <c r="AG20" s="32">
        <v>2.09</v>
      </c>
      <c r="AH20" s="32">
        <v>2.06</v>
      </c>
      <c r="AZ20" t="s">
        <v>1891</v>
      </c>
      <c r="BB20" t="s">
        <v>1892</v>
      </c>
      <c r="BE20" s="343">
        <v>200</v>
      </c>
      <c r="BF20" s="302" t="s">
        <v>1893</v>
      </c>
      <c r="BG20">
        <v>70</v>
      </c>
      <c r="BH20" s="349" t="s">
        <v>1872</v>
      </c>
      <c r="BI20" t="s">
        <v>1848</v>
      </c>
      <c r="BK20" t="s">
        <v>1894</v>
      </c>
      <c r="BW20" s="6" t="s">
        <v>1895</v>
      </c>
      <c r="BX20" s="25">
        <v>0.7</v>
      </c>
      <c r="BZ20" s="302" t="s">
        <v>61</v>
      </c>
      <c r="CB20" s="302" t="s">
        <v>308</v>
      </c>
    </row>
    <row r="21" spans="1:101">
      <c r="B21" t="s">
        <v>1896</v>
      </c>
      <c r="D21" s="14">
        <f>D16+D13+D8+D5</f>
        <v>19867.818066666667</v>
      </c>
      <c r="K21" t="s">
        <v>1897</v>
      </c>
      <c r="L21" s="485"/>
      <c r="M21" s="485">
        <v>200</v>
      </c>
      <c r="N21" s="485">
        <f t="shared" si="1"/>
        <v>2400</v>
      </c>
      <c r="W21" s="1">
        <v>43983</v>
      </c>
      <c r="X21" s="32">
        <v>3.7</v>
      </c>
      <c r="Y21" s="32">
        <v>3.12</v>
      </c>
      <c r="Z21" s="32">
        <v>2.97</v>
      </c>
      <c r="AA21" s="32">
        <v>2.89</v>
      </c>
      <c r="AB21" s="32">
        <v>2.5299999999999998</v>
      </c>
      <c r="AC21" s="32">
        <v>2.4900000000000002</v>
      </c>
      <c r="AD21" s="32">
        <v>2.42</v>
      </c>
      <c r="AE21" s="32">
        <v>2.2799999999999998</v>
      </c>
      <c r="AF21" s="32">
        <v>2.25</v>
      </c>
      <c r="AG21" s="32">
        <v>2.2799999999999998</v>
      </c>
      <c r="AH21" s="32">
        <v>2.25</v>
      </c>
      <c r="BB21" s="346" t="s">
        <v>1796</v>
      </c>
      <c r="BE21" s="343">
        <v>225</v>
      </c>
      <c r="BF21" s="302"/>
      <c r="BG21">
        <v>95</v>
      </c>
      <c r="BH21">
        <v>3</v>
      </c>
      <c r="BI21" t="s">
        <v>1848</v>
      </c>
      <c r="BK21" t="s">
        <v>1898</v>
      </c>
      <c r="BM21" s="13">
        <f>I36</f>
        <v>0</v>
      </c>
      <c r="BW21" s="6" t="s">
        <v>1899</v>
      </c>
      <c r="BX21" s="25">
        <v>0.5</v>
      </c>
      <c r="BZ21" t="s">
        <v>50</v>
      </c>
      <c r="CB21" s="302" t="s">
        <v>387</v>
      </c>
    </row>
    <row r="22" spans="1:101" ht="14.45" customHeight="1">
      <c r="B22" s="684" t="s">
        <v>1900</v>
      </c>
      <c r="C22" s="700">
        <v>0.15</v>
      </c>
      <c r="D22" s="685">
        <f>C22*$D$24</f>
        <v>3588.4883576421712</v>
      </c>
      <c r="E22" s="686"/>
      <c r="H22" s="338" t="s">
        <v>1755</v>
      </c>
      <c r="I22" s="339"/>
      <c r="K22" t="s">
        <v>1901</v>
      </c>
      <c r="L22" s="485"/>
      <c r="M22" s="485">
        <v>380</v>
      </c>
      <c r="N22" s="485">
        <f t="shared" si="1"/>
        <v>4560</v>
      </c>
      <c r="W22" s="1">
        <v>44197</v>
      </c>
      <c r="X22" s="32">
        <v>3.85</v>
      </c>
      <c r="Y22" s="32">
        <v>3.3</v>
      </c>
      <c r="Z22" s="32">
        <v>3.16</v>
      </c>
      <c r="AA22" s="32">
        <v>3.21</v>
      </c>
      <c r="AB22" s="32">
        <v>2.76</v>
      </c>
      <c r="AC22" s="32">
        <v>2.72</v>
      </c>
      <c r="AD22" s="32">
        <v>2.6</v>
      </c>
      <c r="AE22" s="32">
        <v>2.54</v>
      </c>
      <c r="AF22" s="32">
        <v>2.54</v>
      </c>
      <c r="AG22" s="32">
        <v>2.57</v>
      </c>
      <c r="AH22" s="32">
        <v>2.5499999999999998</v>
      </c>
      <c r="BE22" s="343">
        <v>250</v>
      </c>
      <c r="BF22" s="302"/>
      <c r="BG22">
        <v>95</v>
      </c>
      <c r="BH22">
        <v>3</v>
      </c>
      <c r="BI22" t="s">
        <v>1848</v>
      </c>
      <c r="BW22" s="6" t="s">
        <v>1902</v>
      </c>
      <c r="BX22" s="25">
        <v>0.4</v>
      </c>
      <c r="BZ22" s="302" t="s">
        <v>38</v>
      </c>
      <c r="CB22" s="302" t="s">
        <v>1100</v>
      </c>
    </row>
    <row r="23" spans="1:101">
      <c r="A23" s="544"/>
      <c r="H23" s="3" t="s">
        <v>1903</v>
      </c>
      <c r="I23" s="300">
        <f>($D$27)/Resumo!$F$161</f>
        <v>617.26762357263317</v>
      </c>
      <c r="K23" t="s">
        <v>1904</v>
      </c>
      <c r="M23" s="485">
        <v>70</v>
      </c>
      <c r="N23" s="485">
        <f t="shared" si="1"/>
        <v>840</v>
      </c>
      <c r="W23" s="1">
        <v>44348</v>
      </c>
      <c r="X23" s="32">
        <v>3.6</v>
      </c>
      <c r="Y23" s="32">
        <v>3.22</v>
      </c>
      <c r="Z23" s="32">
        <v>3.12</v>
      </c>
      <c r="AA23" s="32">
        <v>2.94</v>
      </c>
      <c r="AB23" s="32">
        <v>2.77</v>
      </c>
      <c r="AC23" s="32">
        <v>2.66</v>
      </c>
      <c r="AD23" s="32">
        <v>2.69</v>
      </c>
      <c r="AE23" s="32">
        <v>2.67</v>
      </c>
      <c r="AF23" s="32">
        <v>2.65</v>
      </c>
      <c r="AG23" s="32">
        <v>2.7</v>
      </c>
      <c r="AH23" s="32">
        <v>2.67</v>
      </c>
      <c r="BE23" s="344">
        <v>300</v>
      </c>
      <c r="BF23" s="303"/>
      <c r="BG23">
        <v>120</v>
      </c>
      <c r="BH23">
        <v>3</v>
      </c>
      <c r="BI23" t="s">
        <v>1848</v>
      </c>
      <c r="BW23" s="8" t="s">
        <v>1905</v>
      </c>
      <c r="BX23" s="442">
        <v>0.3</v>
      </c>
      <c r="BZ23" s="302" t="s">
        <v>1906</v>
      </c>
      <c r="CB23" s="302" t="s">
        <v>575</v>
      </c>
    </row>
    <row r="24" spans="1:101">
      <c r="A24" s="544"/>
      <c r="B24" t="s">
        <v>1907</v>
      </c>
      <c r="D24" s="14">
        <f>$D$5/(1-SUM($C$15,$C$16,$C$22))+$D$8/(1-SUM($C$16,$C$14,$C$22))+($D$5/(1-SUM(C15,$C$16,$C$22))-D5)*(SUM($C$14,$C$16,$C$22)/SUM($C$15,$C$16,$C$22)*1.000723-1)</f>
        <v>23923.255717614476</v>
      </c>
      <c r="E24" s="14"/>
      <c r="F24" t="s">
        <v>1908</v>
      </c>
      <c r="G24" s="17">
        <f>D5+D8+D13+D16+D22-D24</f>
        <v>-466.949293305639</v>
      </c>
      <c r="H24" s="6" t="s">
        <v>1909</v>
      </c>
      <c r="I24" s="239">
        <f>($D$27)/Resumo!$E$160</f>
        <v>2862.0268620268621</v>
      </c>
      <c r="K24" t="s">
        <v>1910</v>
      </c>
      <c r="W24" s="1">
        <v>44562</v>
      </c>
      <c r="X24" s="32">
        <v>3.9</v>
      </c>
      <c r="Y24" s="32">
        <v>3.53</v>
      </c>
      <c r="Z24" s="32">
        <v>3.56</v>
      </c>
      <c r="AA24" s="32">
        <v>3.49</v>
      </c>
      <c r="AB24" s="32">
        <v>3.21</v>
      </c>
      <c r="AC24" s="32">
        <v>3.08</v>
      </c>
      <c r="AD24" s="32">
        <v>3.27</v>
      </c>
      <c r="AE24" s="32">
        <v>3.07</v>
      </c>
      <c r="AF24" s="32">
        <v>2.83</v>
      </c>
      <c r="AG24" s="32">
        <v>3.09</v>
      </c>
      <c r="AH24" s="32">
        <v>2.95</v>
      </c>
      <c r="BZ24" t="s">
        <v>58</v>
      </c>
      <c r="CB24" s="302" t="s">
        <v>1084</v>
      </c>
    </row>
    <row r="25" spans="1:101">
      <c r="B25" t="s">
        <v>1911</v>
      </c>
      <c r="C25" s="23">
        <f>IFERROR(1-D26/D24,0)</f>
        <v>2.0200248800528398E-2</v>
      </c>
      <c r="D25" s="14">
        <f>C25*MAX($D$24,$J$29)</f>
        <v>483.25571761447594</v>
      </c>
      <c r="H25" s="6" t="s">
        <v>1912</v>
      </c>
      <c r="I25" s="394">
        <f>($D$27)/Resumo!$E$160/1000</f>
        <v>2.8620268620268621</v>
      </c>
      <c r="K25" t="s">
        <v>1913</v>
      </c>
      <c r="L25" s="485"/>
      <c r="M25" s="485"/>
      <c r="N25" s="485"/>
      <c r="W25" s="1">
        <v>44713</v>
      </c>
      <c r="X25" s="32">
        <v>3.55</v>
      </c>
      <c r="Y25" s="32">
        <v>3.21</v>
      </c>
      <c r="Z25" s="32">
        <v>3.03</v>
      </c>
      <c r="AA25" s="32">
        <v>2.96</v>
      </c>
      <c r="AB25" s="32">
        <v>2.8</v>
      </c>
      <c r="AC25" s="32">
        <v>2.84</v>
      </c>
      <c r="AD25" s="32">
        <v>2.78</v>
      </c>
      <c r="AE25" s="32">
        <v>2.54</v>
      </c>
      <c r="AF25" s="32">
        <v>2.58</v>
      </c>
      <c r="AG25" s="32">
        <v>2.56</v>
      </c>
      <c r="AH25" s="32">
        <v>2.56</v>
      </c>
      <c r="BZ25" s="302" t="s">
        <v>46</v>
      </c>
      <c r="CB25" s="303" t="s">
        <v>44</v>
      </c>
    </row>
    <row r="26" spans="1:101">
      <c r="B26" t="s">
        <v>1914</v>
      </c>
      <c r="C26" s="176"/>
      <c r="D26" s="485">
        <f>ROUND(IF(Resumo!$E$346=0,D24*(1+D39-D38),Resumo!$E$346)/10,0)*10</f>
        <v>23440</v>
      </c>
      <c r="E26" s="689"/>
      <c r="F26" t="s">
        <v>1850</v>
      </c>
      <c r="H26" s="6" t="s">
        <v>1915</v>
      </c>
      <c r="I26" s="395">
        <f>D24</f>
        <v>23923.255717614476</v>
      </c>
      <c r="K26" s="237" t="s">
        <v>1916</v>
      </c>
      <c r="L26" s="485">
        <v>10000</v>
      </c>
      <c r="M26" s="485"/>
      <c r="N26" s="485">
        <v>10000</v>
      </c>
      <c r="W26" s="1">
        <v>44927</v>
      </c>
      <c r="X26" s="32">
        <v>3.09</v>
      </c>
      <c r="Y26" s="32">
        <v>2.86</v>
      </c>
      <c r="Z26" s="32">
        <v>2.66</v>
      </c>
      <c r="AA26" s="32">
        <v>2.8</v>
      </c>
      <c r="AB26" s="32">
        <v>2.58</v>
      </c>
      <c r="AC26" s="32">
        <v>2.54</v>
      </c>
      <c r="AD26" s="32">
        <v>2.4900000000000002</v>
      </c>
      <c r="AE26" s="32">
        <v>2.33</v>
      </c>
      <c r="AF26" s="32">
        <v>2.35</v>
      </c>
      <c r="AG26" s="32">
        <v>2.2799999999999998</v>
      </c>
      <c r="AH26" s="32">
        <v>2.2200000000000002</v>
      </c>
      <c r="BZ26" s="302" t="s">
        <v>1917</v>
      </c>
    </row>
    <row r="27" spans="1:101">
      <c r="A27" s="444"/>
      <c r="B27" s="130" t="s">
        <v>1918</v>
      </c>
      <c r="C27" s="130"/>
      <c r="D27" s="365">
        <f>IF(D26="",MAX($D$24,$J$29),$D$26)</f>
        <v>23440</v>
      </c>
      <c r="E27" s="14"/>
      <c r="H27" s="6" t="s">
        <v>1919</v>
      </c>
      <c r="I27" s="7"/>
      <c r="J27" s="595" t="s">
        <v>1920</v>
      </c>
      <c r="K27" s="237" t="s">
        <v>1921</v>
      </c>
      <c r="L27" s="485">
        <v>2000</v>
      </c>
      <c r="M27" s="485"/>
      <c r="N27" s="485">
        <v>2000</v>
      </c>
      <c r="W27" s="1">
        <v>45078</v>
      </c>
      <c r="X27" s="32">
        <v>2.4700000000000002</v>
      </c>
      <c r="Y27" s="32">
        <v>2.2799999999999998</v>
      </c>
      <c r="Z27" s="32">
        <v>2.04</v>
      </c>
      <c r="AA27" s="32">
        <v>2.15</v>
      </c>
      <c r="AB27" s="32">
        <v>2.0099999999999998</v>
      </c>
      <c r="AC27" s="32">
        <v>1.96</v>
      </c>
      <c r="AD27" s="32">
        <v>1.82</v>
      </c>
      <c r="AE27" s="32">
        <v>1.75</v>
      </c>
      <c r="AF27" s="32">
        <v>1.74</v>
      </c>
      <c r="AG27" s="32">
        <v>1.73</v>
      </c>
      <c r="AH27" s="32">
        <v>1.72</v>
      </c>
      <c r="BZ27" s="302" t="s">
        <v>48</v>
      </c>
    </row>
    <row r="28" spans="1:101">
      <c r="A28" s="444"/>
      <c r="B28" s="130" t="s">
        <v>1922</v>
      </c>
      <c r="C28" s="687">
        <f>D28/D27</f>
        <v>0.15239684015927191</v>
      </c>
      <c r="D28" s="688">
        <f>D27-SUM(D5:D8,D13,D16)</f>
        <v>3572.1819333333333</v>
      </c>
      <c r="H28" s="396" t="s">
        <v>1923</v>
      </c>
      <c r="I28" s="393">
        <f>INDEX($X$16:$AK$16,IFERROR(_xlfn.XMATCH(Resumo!$E$160,$X$3:$AK$3,-1),1))</f>
        <v>2.58</v>
      </c>
      <c r="J28" s="11">
        <v>0.96</v>
      </c>
      <c r="K28" s="237" t="s">
        <v>1924</v>
      </c>
      <c r="L28" s="485"/>
      <c r="M28" s="485"/>
      <c r="N28" s="485">
        <v>10000</v>
      </c>
      <c r="W28" s="1">
        <v>45292</v>
      </c>
      <c r="X28" s="32">
        <v>2.12</v>
      </c>
      <c r="Y28" s="32">
        <v>2.02</v>
      </c>
      <c r="Z28" s="32">
        <v>1.9</v>
      </c>
      <c r="AA28" s="32">
        <v>1.83</v>
      </c>
      <c r="AB28" s="32">
        <v>1.58</v>
      </c>
      <c r="AC28" s="32">
        <v>1.68</v>
      </c>
      <c r="AD28" s="32">
        <v>1.61</v>
      </c>
      <c r="AE28" s="32">
        <v>1.53</v>
      </c>
      <c r="AF28" s="32">
        <v>1.46</v>
      </c>
      <c r="AG28" s="32">
        <v>1.46</v>
      </c>
      <c r="AH28" s="32">
        <v>1.45</v>
      </c>
      <c r="AI28" s="32"/>
      <c r="BZ28" s="302" t="s">
        <v>34</v>
      </c>
    </row>
    <row r="29" spans="1:101">
      <c r="A29" s="444"/>
      <c r="H29" s="396" t="s">
        <v>1925</v>
      </c>
      <c r="I29" s="394" cm="1">
        <f t="array" ref="I29">((INDEX($X$16:$AH$16,_xlfn.XMATCH(Resumo!$E$160,$X$3:$AH$3,1))-INDEX($X$16:$AH$16,_xlfn.XMATCH(Resumo!$E$160,$X$3:$AH$3,-1)))/(INDEX($X$3:$AH$3,_xlfn.XMATCH(Resumo!$E$160,$X$3:$AH$3,1))-INDEX($X$3:$AH$3,_xlfn.XMATCH(Resumo!$E$160,$X$3:$AH$3,-1)))*(Resumo!$E$160-INDEX($X$3:$AH$3,_xlfn.XMATCH(Resumo!$E$160,$X$3:$AH$3,-1)))+INDEX($X$16:$AH$16,_xlfn.XMATCH(Resumo!$E$160,$X$3:$AH$3,-1)))</f>
        <v>2.56765</v>
      </c>
      <c r="J29" s="14">
        <f>$J$28*I31</f>
        <v>20187.891359999998</v>
      </c>
      <c r="K29" s="237" t="s">
        <v>1926</v>
      </c>
      <c r="L29" s="485"/>
      <c r="M29" s="485">
        <v>1500</v>
      </c>
      <c r="N29" s="485">
        <f>M29*8</f>
        <v>12000</v>
      </c>
      <c r="W29" s="1">
        <v>45444</v>
      </c>
      <c r="X29" s="32">
        <v>1.8</v>
      </c>
      <c r="Y29" s="32">
        <v>1.69</v>
      </c>
      <c r="Z29" s="32">
        <v>1.51</v>
      </c>
      <c r="AA29" s="32">
        <v>1.52</v>
      </c>
      <c r="AB29" s="32">
        <v>1.41</v>
      </c>
      <c r="AC29" s="32">
        <v>1.4</v>
      </c>
      <c r="AD29" s="32">
        <v>1.38</v>
      </c>
      <c r="AE29" s="32">
        <v>1.26</v>
      </c>
      <c r="AF29" s="32">
        <v>1.1599999999999999</v>
      </c>
      <c r="AG29" s="32">
        <v>1.17</v>
      </c>
      <c r="AH29" s="32">
        <v>1.17</v>
      </c>
      <c r="BZ29" s="303" t="s">
        <v>44</v>
      </c>
    </row>
    <row r="30" spans="1:101">
      <c r="B30" t="s">
        <v>1927</v>
      </c>
      <c r="C30" s="17">
        <f>D24/SUM(D5:D8)</f>
        <v>1.552529401412277</v>
      </c>
      <c r="H30" s="396" t="s">
        <v>1928</v>
      </c>
      <c r="I30" s="395">
        <f>Resumo!$E$160*I28*1000</f>
        <v>21130.199999999997</v>
      </c>
      <c r="J30" t="s">
        <v>3669</v>
      </c>
      <c r="BW30" t="s">
        <v>1564</v>
      </c>
    </row>
    <row r="31" spans="1:101">
      <c r="B31" t="s">
        <v>1929</v>
      </c>
      <c r="C31" s="17">
        <f>D27/D5</f>
        <v>1.802534776078887</v>
      </c>
      <c r="E31" s="14"/>
      <c r="H31" s="396" t="s">
        <v>1930</v>
      </c>
      <c r="I31" s="395">
        <f>Resumo!$E$160*I29*1000</f>
        <v>21029.053499999998</v>
      </c>
      <c r="J31" s="718">
        <f>J29*1.08</f>
        <v>21802.922668799998</v>
      </c>
      <c r="K31" s="237" t="s">
        <v>164</v>
      </c>
      <c r="N31" s="485">
        <f>SUM(N11:N29)</f>
        <v>118000</v>
      </c>
      <c r="W31" t="s">
        <v>1931</v>
      </c>
      <c r="BE31" t="s">
        <v>1932</v>
      </c>
      <c r="BF31" t="s">
        <v>1812</v>
      </c>
    </row>
    <row r="32" spans="1:101">
      <c r="A32" s="444"/>
      <c r="F32">
        <f>MAX(Orçamento!$D$24,Orçamento!$J$29)+IF(Orçamento!$D$28&lt;3000,3000-Orçamento!$D$28,0)</f>
        <v>23923.255717614476</v>
      </c>
      <c r="H32" s="396" t="s">
        <v>1933</v>
      </c>
      <c r="I32" s="395">
        <f>INDEX($X$57:$AH$57,_xlfn.XMATCH(Resumo!$E$160,$X$46:$AH$46,1))*$I$8</f>
        <v>19848.073157894734</v>
      </c>
      <c r="K32" s="237" t="s">
        <v>1934</v>
      </c>
      <c r="N32" s="485">
        <v>1000000</v>
      </c>
      <c r="X32" s="319">
        <v>2</v>
      </c>
      <c r="Y32" s="319">
        <v>4</v>
      </c>
      <c r="Z32" s="319">
        <v>8</v>
      </c>
      <c r="AA32" s="319">
        <v>12</v>
      </c>
      <c r="AB32" s="319">
        <v>30</v>
      </c>
      <c r="AC32" s="319">
        <v>50</v>
      </c>
      <c r="AD32" s="319">
        <v>75</v>
      </c>
      <c r="AE32" s="319">
        <v>150</v>
      </c>
      <c r="AF32" s="319">
        <v>300</v>
      </c>
      <c r="AG32" s="319">
        <v>500</v>
      </c>
      <c r="AH32" s="319">
        <v>1000</v>
      </c>
      <c r="BE32" t="s">
        <v>1771</v>
      </c>
      <c r="BF32" t="s">
        <v>1598</v>
      </c>
      <c r="BG32" t="s">
        <v>1772</v>
      </c>
      <c r="BW32" s="346" t="s">
        <v>1566</v>
      </c>
    </row>
    <row r="33" spans="1:75">
      <c r="A33" s="444"/>
      <c r="E33" s="14"/>
      <c r="H33" s="713" t="s">
        <v>1935</v>
      </c>
      <c r="I33" s="714" cm="1">
        <f t="array" ref="I33">((INDEX($X$57:$AH$57,_xlfn.XMATCH(Resumo!$E$160,$X$46:$AH$46,1))-INDEX($X$57:$AH$57,_xlfn.XMATCH(Resumo!$E$160,$X$46:$AH$46,-1)))/(INDEX($X$46:$AH$46,_xlfn.XMATCH(Resumo!$E$160,$X$46:$AH$46,1))-INDEX($X$46:$AH$46,_xlfn.XMATCH(Resumo!$E$160,$X$46:$AH$46,-1)))*(Resumo!$E$160-INDEX($X$46:$AH$46,_xlfn.XMATCH(Resumo!$E$160,$X$46:$AH$46,-1)))+INDEX($X$57:$AH$57,_xlfn.XMATCH(Resumo!$E$160,$X$46:$AH$46,-1)))*$I$8</f>
        <v>22106.001110430465</v>
      </c>
      <c r="K33" s="237" t="s">
        <v>1936</v>
      </c>
      <c r="N33" s="176">
        <f>N31/N32</f>
        <v>0.11799999999999999</v>
      </c>
      <c r="W33" s="1">
        <v>43617</v>
      </c>
      <c r="X33" s="32">
        <v>2.38</v>
      </c>
      <c r="Y33" s="32">
        <v>1.89</v>
      </c>
      <c r="Z33" s="32">
        <v>1.39</v>
      </c>
      <c r="AA33" s="32">
        <v>1.36</v>
      </c>
      <c r="AB33" s="32">
        <v>1.28</v>
      </c>
      <c r="AC33" s="32">
        <v>1.19</v>
      </c>
      <c r="AD33" s="32">
        <v>1.1599999999999999</v>
      </c>
      <c r="AE33" s="32">
        <v>1.06</v>
      </c>
      <c r="AF33" s="32">
        <v>1.01</v>
      </c>
      <c r="AG33" s="32">
        <v>1.17</v>
      </c>
      <c r="AH33" s="32">
        <v>1.1299999999999999</v>
      </c>
      <c r="BE33" t="s">
        <v>1812</v>
      </c>
      <c r="BF33" s="3" t="s">
        <v>1937</v>
      </c>
      <c r="BG33" s="5" t="s">
        <v>1938</v>
      </c>
      <c r="BW33" s="346" t="s">
        <v>1567</v>
      </c>
    </row>
    <row r="34" spans="1:75">
      <c r="A34" s="444"/>
      <c r="B34" t="s">
        <v>1939</v>
      </c>
      <c r="D34" s="14">
        <f>($D$8+D5)/(1-SUM($C$16,$C$14,$C$22))</f>
        <v>24595.710561319498</v>
      </c>
      <c r="W34" s="1">
        <v>43831</v>
      </c>
      <c r="X34" s="32">
        <v>2.77</v>
      </c>
      <c r="Y34" s="32">
        <v>1.96</v>
      </c>
      <c r="Z34" s="32">
        <v>1.56</v>
      </c>
      <c r="AA34" s="32">
        <v>1.41</v>
      </c>
      <c r="AB34" s="32">
        <v>1.34</v>
      </c>
      <c r="AC34" s="32">
        <v>1.38</v>
      </c>
      <c r="AD34" s="32">
        <v>1.19</v>
      </c>
      <c r="AE34" s="32">
        <v>1.1399999999999999</v>
      </c>
      <c r="AF34" s="32">
        <v>1.22</v>
      </c>
      <c r="AG34" s="32">
        <v>1.19</v>
      </c>
      <c r="AH34" s="32">
        <v>1.22</v>
      </c>
      <c r="BE34" t="s">
        <v>1812</v>
      </c>
      <c r="BF34" s="6" t="s">
        <v>314</v>
      </c>
      <c r="BG34" s="7" t="s">
        <v>1940</v>
      </c>
      <c r="BP34" t="s">
        <v>1941</v>
      </c>
      <c r="BW34" s="346" t="s">
        <v>1569</v>
      </c>
    </row>
    <row r="35" spans="1:75">
      <c r="A35" s="444"/>
      <c r="B35" t="s">
        <v>1942</v>
      </c>
      <c r="D35" s="128">
        <f>INDEX(KIT_FV[Prazo],MATCH("x",KIT_FV[Escolhido],0))</f>
        <v>13</v>
      </c>
      <c r="H35" s="338" t="s">
        <v>1943</v>
      </c>
      <c r="I35" s="339"/>
      <c r="W35" s="1">
        <v>43983</v>
      </c>
      <c r="X35" s="32">
        <v>2.27</v>
      </c>
      <c r="Y35" s="32">
        <v>1.65</v>
      </c>
      <c r="Z35" s="32">
        <v>1.3</v>
      </c>
      <c r="AA35" s="32">
        <v>1.21</v>
      </c>
      <c r="AB35" s="32">
        <v>1.24</v>
      </c>
      <c r="AC35" s="32">
        <v>1.21</v>
      </c>
      <c r="AD35" s="32">
        <v>1.2</v>
      </c>
      <c r="AE35" s="32">
        <v>1.28</v>
      </c>
      <c r="AF35" s="32">
        <v>1.23</v>
      </c>
      <c r="AG35" s="32">
        <v>1.22</v>
      </c>
      <c r="AH35" s="32">
        <v>1.24</v>
      </c>
      <c r="BE35" t="s">
        <v>1812</v>
      </c>
      <c r="BF35" t="s">
        <v>561</v>
      </c>
      <c r="BG35" t="s">
        <v>1944</v>
      </c>
      <c r="BP35" s="250" t="str">
        <f ca="1">INDEX({"Bom dia,";"Boa tarde,";"Boa noite,"},MATCH(ROUND(NOW()-INT(NOW()),2),{0;0.5;0.75}))</f>
        <v>Boa noite,</v>
      </c>
      <c r="BW35" s="346" t="str">
        <f>HYPERLINK("https://maps.google.com/?q="&amp;SUBSTITUTE(TRIM(Resumo!$E$14)," ","+"),"Mapa de Localização - Maps")</f>
        <v>Mapa de Localização - Maps</v>
      </c>
    </row>
    <row r="36" spans="1:75">
      <c r="A36" s="444"/>
      <c r="C36" s="14"/>
      <c r="E36" s="14"/>
      <c r="H36" s="3" t="str">
        <f>"Valor de Entrada ("&amp;TEXT(I36/D27,"0,0%")&amp;")"</f>
        <v>Valor de Entrada (0,0%)</v>
      </c>
      <c r="I36" s="497"/>
      <c r="J36" s="369"/>
      <c r="W36" s="1">
        <v>44197</v>
      </c>
      <c r="X36" s="32">
        <v>2.34</v>
      </c>
      <c r="Y36" s="32">
        <v>1.66</v>
      </c>
      <c r="Z36" s="32">
        <v>1.26</v>
      </c>
      <c r="AA36" s="32">
        <v>1.08</v>
      </c>
      <c r="AB36" s="32">
        <v>1.24</v>
      </c>
      <c r="AC36" s="32">
        <v>1.1599999999999999</v>
      </c>
      <c r="AD36" s="32">
        <v>1.19</v>
      </c>
      <c r="AE36" s="32">
        <v>1.1100000000000001</v>
      </c>
      <c r="AF36" s="32">
        <v>1.03</v>
      </c>
      <c r="AG36" s="32">
        <v>1.03</v>
      </c>
      <c r="AH36" s="32">
        <v>1.01</v>
      </c>
      <c r="BE36" t="s">
        <v>1812</v>
      </c>
      <c r="BF36" t="s">
        <v>1945</v>
      </c>
      <c r="BG36" t="s">
        <v>1946</v>
      </c>
      <c r="BP36" s="250"/>
      <c r="BW36" s="346" t="str">
        <f>HYPERLINK("https://earth.google.com/web/search/"&amp;SUBSTITUTE(TRIM(Resumo!$E$14)," ","+"),"Mapa de Localização - Earth")</f>
        <v>Mapa de Localização - Earth</v>
      </c>
    </row>
    <row r="37" spans="1:75">
      <c r="A37" s="444"/>
      <c r="C37" s="14"/>
      <c r="D37" t="s">
        <v>4842</v>
      </c>
      <c r="E37" t="s">
        <v>4556</v>
      </c>
      <c r="H37" s="6" t="s">
        <v>5716</v>
      </c>
      <c r="I37" s="239">
        <f>(D27-I36)/2</f>
        <v>11720</v>
      </c>
      <c r="J37" s="14"/>
      <c r="W37" s="1">
        <v>44348</v>
      </c>
      <c r="X37" s="32">
        <v>2.56</v>
      </c>
      <c r="Y37" s="32">
        <v>1.66</v>
      </c>
      <c r="Z37" s="32">
        <v>1.26</v>
      </c>
      <c r="AA37" s="32">
        <v>1.28</v>
      </c>
      <c r="AB37" s="32">
        <v>1.19</v>
      </c>
      <c r="AC37" s="32">
        <v>1.23</v>
      </c>
      <c r="AD37" s="32">
        <v>1.1200000000000001</v>
      </c>
      <c r="AE37" s="32">
        <v>0.98</v>
      </c>
      <c r="AF37" s="32">
        <v>0.95</v>
      </c>
      <c r="AG37" s="32">
        <v>1.03</v>
      </c>
      <c r="AH37" s="32">
        <v>0.97</v>
      </c>
      <c r="AI37" s="32"/>
      <c r="BF37" s="8" t="s">
        <v>1947</v>
      </c>
      <c r="BG37" s="9"/>
      <c r="BP37" s="250" t="s">
        <v>1948</v>
      </c>
      <c r="BW37" s="346" t="s">
        <v>1575</v>
      </c>
    </row>
    <row r="38" spans="1:75">
      <c r="A38" s="444"/>
      <c r="B38" s="11"/>
      <c r="C38" s="11" t="s">
        <v>4554</v>
      </c>
      <c r="D38" s="29">
        <v>0.2</v>
      </c>
      <c r="E38" s="11">
        <v>0.1</v>
      </c>
      <c r="H38" s="8" t="s">
        <v>5717</v>
      </c>
      <c r="I38" s="244">
        <f>I37</f>
        <v>11720</v>
      </c>
      <c r="J38" s="14"/>
      <c r="W38" s="1">
        <v>44562</v>
      </c>
      <c r="X38" s="32">
        <v>2.4500000000000002</v>
      </c>
      <c r="Y38" s="32">
        <v>1.63</v>
      </c>
      <c r="Z38" s="32">
        <v>1.0900000000000001</v>
      </c>
      <c r="AA38" s="32">
        <v>1.03</v>
      </c>
      <c r="AB38" s="32">
        <v>1.1000000000000001</v>
      </c>
      <c r="AC38" s="32">
        <v>1.02</v>
      </c>
      <c r="AD38" s="32">
        <v>0.82</v>
      </c>
      <c r="AE38" s="32">
        <v>0.81</v>
      </c>
      <c r="AF38" s="32">
        <v>1.03</v>
      </c>
      <c r="AG38" s="32">
        <v>0.77</v>
      </c>
      <c r="AH38" s="32">
        <v>0.94</v>
      </c>
      <c r="BP38" s="250"/>
    </row>
    <row r="39" spans="1:75">
      <c r="C39" s="14" t="s">
        <v>4347</v>
      </c>
      <c r="D39" s="29">
        <v>0.18</v>
      </c>
      <c r="E39" s="11">
        <v>0.08</v>
      </c>
      <c r="H39" t="s">
        <v>1880</v>
      </c>
      <c r="I39" s="13">
        <f>IF(I36=0,0,I36-I8)</f>
        <v>0</v>
      </c>
      <c r="J39" s="14"/>
      <c r="W39" s="1">
        <v>44713</v>
      </c>
      <c r="X39" s="32">
        <v>2.44</v>
      </c>
      <c r="Y39" s="32">
        <v>1.67</v>
      </c>
      <c r="Z39" s="32">
        <v>1.32</v>
      </c>
      <c r="AA39" s="32">
        <v>1.2</v>
      </c>
      <c r="AB39" s="32">
        <v>1.1299999999999999</v>
      </c>
      <c r="AC39" s="32">
        <v>1.04</v>
      </c>
      <c r="AD39" s="32">
        <v>1.22</v>
      </c>
      <c r="AE39" s="32">
        <v>1.1499999999999999</v>
      </c>
      <c r="AF39" s="32">
        <v>1.05</v>
      </c>
      <c r="AG39" s="32">
        <v>1.05</v>
      </c>
      <c r="AH39" s="32">
        <v>1.18</v>
      </c>
      <c r="BE39" t="s">
        <v>1949</v>
      </c>
      <c r="BP39" s="250"/>
    </row>
    <row r="40" spans="1:75">
      <c r="C40" t="s">
        <v>4555</v>
      </c>
      <c r="D40" s="13">
        <v>2000</v>
      </c>
      <c r="E40" s="13">
        <v>3000</v>
      </c>
      <c r="H40" s="14"/>
      <c r="I40" s="14"/>
      <c r="W40" s="1">
        <v>44927</v>
      </c>
      <c r="X40" s="32">
        <v>2.33</v>
      </c>
      <c r="Y40" s="32">
        <v>1.5299999999999998</v>
      </c>
      <c r="Z40" s="32">
        <v>1.2599999999999998</v>
      </c>
      <c r="AA40" s="32">
        <v>0.87000000000000011</v>
      </c>
      <c r="AB40" s="32">
        <v>0.7799999999999998</v>
      </c>
      <c r="AC40" s="32">
        <v>1.19</v>
      </c>
      <c r="AD40" s="32">
        <v>1.3499999999999996</v>
      </c>
      <c r="AE40" s="32">
        <v>2.0499999999999998</v>
      </c>
      <c r="AF40" s="32">
        <v>1.5</v>
      </c>
      <c r="AG40" s="32">
        <v>1.7200000000000002</v>
      </c>
      <c r="AH40" s="32">
        <v>1.8199999999999998</v>
      </c>
      <c r="BE40" s="301" t="s">
        <v>1812</v>
      </c>
      <c r="BP40" s="250" t="str">
        <f>"Nome do proprietário: "&amp;Resumo!$E$2</f>
        <v>Nome do proprietário: FLAVIA LOUZADA</v>
      </c>
    </row>
    <row r="41" spans="1:75">
      <c r="D41" t="s">
        <v>4668</v>
      </c>
      <c r="W41" s="1">
        <v>45078</v>
      </c>
      <c r="X41" s="32">
        <v>2.0099999999999998</v>
      </c>
      <c r="Y41" s="32">
        <v>1.4</v>
      </c>
      <c r="Z41" s="32">
        <v>1.22</v>
      </c>
      <c r="AA41" s="32">
        <v>0.87</v>
      </c>
      <c r="AB41" s="32">
        <v>0.8</v>
      </c>
      <c r="AC41" s="32">
        <v>0.88</v>
      </c>
      <c r="AD41" s="32">
        <v>1.21</v>
      </c>
      <c r="AE41" s="32">
        <v>1.19</v>
      </c>
      <c r="AF41" s="32">
        <v>1.2</v>
      </c>
      <c r="AG41" s="32">
        <v>1.32</v>
      </c>
      <c r="AH41" s="32">
        <v>1.2</v>
      </c>
      <c r="BE41" s="302" t="s">
        <v>1950</v>
      </c>
      <c r="BP41" s="250" t="str">
        <f>"Número da instalação: "&amp;Resumo!$E$37</f>
        <v>Número da instalação: 0</v>
      </c>
    </row>
    <row r="42" spans="1:75">
      <c r="A42" s="444"/>
      <c r="W42" s="1">
        <v>45292</v>
      </c>
      <c r="X42" s="32">
        <v>1.75</v>
      </c>
      <c r="Y42" s="32">
        <v>1.1499999999999999</v>
      </c>
      <c r="Z42" s="32">
        <v>0.77</v>
      </c>
      <c r="AA42" s="32">
        <v>0.71</v>
      </c>
      <c r="AB42" s="32">
        <v>0.84</v>
      </c>
      <c r="AC42" s="32">
        <v>0.77</v>
      </c>
      <c r="AD42" s="32">
        <v>1.0900000000000001</v>
      </c>
      <c r="AE42" s="32">
        <v>1.1000000000000001</v>
      </c>
      <c r="AF42" s="32">
        <v>1.1200000000000001</v>
      </c>
      <c r="AG42" s="32">
        <v>1.1499999999999999</v>
      </c>
      <c r="AH42" s="32">
        <v>1.25</v>
      </c>
      <c r="BE42" s="302" t="s">
        <v>1745</v>
      </c>
    </row>
    <row r="43" spans="1:75">
      <c r="A43" s="444"/>
      <c r="W43" s="1">
        <v>45444</v>
      </c>
      <c r="X43" s="747">
        <v>1.82</v>
      </c>
      <c r="Y43" s="747">
        <v>1.24</v>
      </c>
      <c r="Z43" s="747">
        <v>1.07</v>
      </c>
      <c r="AA43" s="747">
        <v>0.8</v>
      </c>
      <c r="AB43" s="747">
        <v>0.92</v>
      </c>
      <c r="AC43" s="747">
        <v>0.84</v>
      </c>
      <c r="AD43" s="747">
        <v>1.19</v>
      </c>
      <c r="AE43" s="747">
        <v>1.1499999999999999</v>
      </c>
      <c r="AF43" s="747">
        <v>1.0900000000000001</v>
      </c>
      <c r="AG43" s="747">
        <v>1.02</v>
      </c>
      <c r="AH43" s="747">
        <v>1.05</v>
      </c>
      <c r="AI43" s="747"/>
      <c r="BE43" s="303" t="s">
        <v>1951</v>
      </c>
    </row>
    <row r="44" spans="1:75">
      <c r="A44" s="444"/>
      <c r="BO44" t="s">
        <v>1952</v>
      </c>
    </row>
    <row r="45" spans="1:75">
      <c r="A45" s="444"/>
      <c r="W45" t="s">
        <v>1953</v>
      </c>
      <c r="X45" s="32"/>
      <c r="Y45" s="32"/>
      <c r="Z45" s="32"/>
      <c r="AA45" s="32"/>
      <c r="AB45" s="32"/>
      <c r="AC45" s="32"/>
      <c r="AD45" s="32"/>
      <c r="AE45" s="32"/>
      <c r="AF45" s="32"/>
      <c r="AG45" s="32"/>
      <c r="AH45" s="32"/>
      <c r="BO45" t="s">
        <v>1954</v>
      </c>
    </row>
    <row r="46" spans="1:75">
      <c r="A46" s="444"/>
      <c r="B46" t="s">
        <v>151</v>
      </c>
      <c r="C46" t="s">
        <v>1743</v>
      </c>
      <c r="X46" s="319">
        <v>2</v>
      </c>
      <c r="Y46" s="319">
        <v>4</v>
      </c>
      <c r="Z46" s="319">
        <v>8</v>
      </c>
      <c r="AA46" s="319">
        <v>12</v>
      </c>
      <c r="AB46" s="319">
        <v>30</v>
      </c>
      <c r="AC46" s="319">
        <v>50</v>
      </c>
      <c r="AD46" s="319">
        <v>75</v>
      </c>
      <c r="AE46" s="319">
        <v>150</v>
      </c>
      <c r="AF46" s="319">
        <v>300</v>
      </c>
      <c r="AG46" s="319">
        <v>500</v>
      </c>
      <c r="AH46" s="319">
        <v>1000</v>
      </c>
      <c r="BO46" t="s">
        <v>1955</v>
      </c>
    </row>
    <row r="47" spans="1:75">
      <c r="A47" s="444"/>
      <c r="B47" s="159">
        <v>1</v>
      </c>
      <c r="C47" t="s">
        <v>1956</v>
      </c>
      <c r="G47" s="14"/>
      <c r="J47" s="290" t="s">
        <v>1957</v>
      </c>
      <c r="K47" s="288"/>
      <c r="L47" s="288"/>
      <c r="M47" s="288"/>
      <c r="N47" s="288"/>
      <c r="O47" s="288"/>
      <c r="P47" s="288"/>
      <c r="Q47" s="288"/>
      <c r="R47" s="288"/>
      <c r="S47" s="288"/>
      <c r="T47" s="288"/>
      <c r="U47" s="289"/>
      <c r="W47" s="1">
        <v>43617</v>
      </c>
      <c r="X47" s="32">
        <f t="shared" ref="X47:AH47" si="2">X6/X19</f>
        <v>1.639344262295082</v>
      </c>
      <c r="Y47" s="32">
        <f t="shared" si="2"/>
        <v>1.6077170418006432</v>
      </c>
      <c r="Z47" s="32">
        <f t="shared" si="2"/>
        <v>1.4569536423841061</v>
      </c>
      <c r="AA47" s="32">
        <f t="shared" si="2"/>
        <v>1.4634146341463414</v>
      </c>
      <c r="AB47" s="32">
        <f t="shared" si="2"/>
        <v>1.4960629921259843</v>
      </c>
      <c r="AC47" s="32">
        <f t="shared" si="2"/>
        <v>1.4817813765182186</v>
      </c>
      <c r="AD47" s="32">
        <f t="shared" si="2"/>
        <v>1.5</v>
      </c>
      <c r="AE47" s="32">
        <f t="shared" si="2"/>
        <v>1.6666666666666667</v>
      </c>
      <c r="AF47" s="32">
        <f t="shared" si="2"/>
        <v>1.5884955752212391</v>
      </c>
      <c r="AG47" s="32">
        <f t="shared" si="2"/>
        <v>1.6824644549763033</v>
      </c>
      <c r="AH47" s="32">
        <f t="shared" si="2"/>
        <v>1.676056338028169</v>
      </c>
      <c r="BO47" t="s">
        <v>1958</v>
      </c>
    </row>
    <row r="48" spans="1:75">
      <c r="A48" s="444"/>
      <c r="B48" s="159">
        <f>Resumo!$E$187</f>
        <v>14</v>
      </c>
      <c r="C48" t="str">
        <f>"     Módulo "&amp;Resumo!$E$223</f>
        <v xml:space="preserve">     Módulo DHN-72X16/BF/FS - 585W</v>
      </c>
      <c r="J48" s="8"/>
      <c r="K48" s="304" t="s">
        <v>1959</v>
      </c>
      <c r="L48" s="8"/>
      <c r="M48" s="305" t="s">
        <v>1960</v>
      </c>
      <c r="O48" s="8"/>
      <c r="P48" s="306" t="s">
        <v>1961</v>
      </c>
      <c r="Q48" s="240" t="s">
        <v>1962</v>
      </c>
      <c r="R48" s="304" t="s">
        <v>1963</v>
      </c>
      <c r="S48" s="130"/>
      <c r="T48" s="307" t="s">
        <v>151</v>
      </c>
      <c r="U48" s="308"/>
      <c r="W48" s="1">
        <v>43831</v>
      </c>
      <c r="X48" s="32">
        <f t="shared" ref="X48:AH48" si="3">X7/X20</f>
        <v>1.8237082066869301</v>
      </c>
      <c r="Y48" s="32">
        <f t="shared" si="3"/>
        <v>1.6666666666666667</v>
      </c>
      <c r="Z48" s="32">
        <f t="shared" si="3"/>
        <v>1.5693430656934304</v>
      </c>
      <c r="AA48" s="32">
        <f t="shared" si="3"/>
        <v>1.5185185185185184</v>
      </c>
      <c r="AB48" s="32">
        <f t="shared" si="3"/>
        <v>1.5450643776824033</v>
      </c>
      <c r="AC48" s="32">
        <f t="shared" si="3"/>
        <v>1.6160714285714284</v>
      </c>
      <c r="AD48" s="32">
        <f t="shared" si="3"/>
        <v>1.5336322869955157</v>
      </c>
      <c r="AE48" s="32">
        <f t="shared" si="3"/>
        <v>1.7834101382488481</v>
      </c>
      <c r="AF48" s="32">
        <f t="shared" si="3"/>
        <v>1.7416267942583734</v>
      </c>
      <c r="AG48" s="32">
        <f t="shared" si="3"/>
        <v>1.7607655502392348</v>
      </c>
      <c r="AH48" s="32">
        <f t="shared" si="3"/>
        <v>1.7572815533980584</v>
      </c>
      <c r="BO48" t="s">
        <v>1964</v>
      </c>
    </row>
    <row r="49" spans="1:68">
      <c r="A49" s="444"/>
      <c r="B49" s="159">
        <f>Resumo!$E$188</f>
        <v>4</v>
      </c>
      <c r="C49" t="str">
        <f>_xlfn.TEXTJOIN(" ",TRUE,"    ",Resumo!$E$202,Resumo!$E$201)</f>
        <v xml:space="preserve">     Microinversor Q1-2500-E</v>
      </c>
      <c r="J49" s="238" t="s">
        <v>1965</v>
      </c>
      <c r="K49" s="7">
        <v>31.45</v>
      </c>
      <c r="L49" s="238" t="s">
        <v>1966</v>
      </c>
      <c r="M49" s="7">
        <v>4</v>
      </c>
      <c r="O49" s="238" t="s">
        <v>1967</v>
      </c>
      <c r="P49" s="301">
        <f>($K$51*$M$49)+(($M$49-1)*$K$50)+(2*$K$49)</f>
        <v>4646.8999999999996</v>
      </c>
      <c r="Q49" s="3">
        <f>ROUND($P$49*(1+$K$59),0)</f>
        <v>4740</v>
      </c>
      <c r="R49" s="301">
        <f>Q49-P49</f>
        <v>93.100000000000364</v>
      </c>
      <c r="T49" s="6" t="s">
        <v>1968</v>
      </c>
      <c r="U49" s="7">
        <f>4*$M$50</f>
        <v>16</v>
      </c>
      <c r="W49" s="1">
        <v>43983</v>
      </c>
      <c r="X49" s="32">
        <f t="shared" ref="X49:AH49" si="4">X8/X21</f>
        <v>1.5945945945945945</v>
      </c>
      <c r="Y49" s="32">
        <f t="shared" si="4"/>
        <v>1.5064102564102564</v>
      </c>
      <c r="Z49" s="32">
        <f t="shared" si="4"/>
        <v>1.4141414141414141</v>
      </c>
      <c r="AA49" s="32">
        <f t="shared" si="4"/>
        <v>1.4186851211072662</v>
      </c>
      <c r="AB49" s="32">
        <f t="shared" si="4"/>
        <v>1.4624505928853757</v>
      </c>
      <c r="AC49" s="32">
        <f t="shared" si="4"/>
        <v>1.4859437751004017</v>
      </c>
      <c r="AD49" s="32">
        <f t="shared" si="4"/>
        <v>1.4958677685950414</v>
      </c>
      <c r="AE49" s="32">
        <f t="shared" si="4"/>
        <v>1.7719298245614037</v>
      </c>
      <c r="AF49" s="32">
        <f t="shared" si="4"/>
        <v>1.7511111111111111</v>
      </c>
      <c r="AG49" s="32">
        <f t="shared" si="4"/>
        <v>1.6885964912280704</v>
      </c>
      <c r="AH49" s="32">
        <f t="shared" si="4"/>
        <v>1.7377777777777779</v>
      </c>
      <c r="BO49" t="s">
        <v>1969</v>
      </c>
    </row>
    <row r="50" spans="1:68">
      <c r="A50" s="444"/>
      <c r="B50" s="159">
        <v>1</v>
      </c>
      <c r="C50" t="s">
        <v>1970</v>
      </c>
      <c r="J50" s="238" t="s">
        <v>1971</v>
      </c>
      <c r="K50" s="7">
        <v>16</v>
      </c>
      <c r="L50" s="238" t="s">
        <v>1972</v>
      </c>
      <c r="M50" s="7">
        <v>4</v>
      </c>
      <c r="O50" s="238" t="s">
        <v>1973</v>
      </c>
      <c r="P50" s="302">
        <f>P49*2</f>
        <v>9293.7999999999993</v>
      </c>
      <c r="Q50" s="6">
        <f>Q49*2</f>
        <v>9480</v>
      </c>
      <c r="R50" s="302">
        <f>Q50-P50</f>
        <v>186.20000000000073</v>
      </c>
      <c r="T50" s="6" t="s">
        <v>1974</v>
      </c>
      <c r="U50" s="7">
        <f>($M$49-1)*2*$M$50</f>
        <v>24</v>
      </c>
      <c r="W50" s="1">
        <v>44197</v>
      </c>
      <c r="X50" s="32">
        <f t="shared" ref="X50:AH50" si="5">X9/X22</f>
        <v>1.6077922077922078</v>
      </c>
      <c r="Y50" s="32">
        <f t="shared" si="5"/>
        <v>1.5030303030303032</v>
      </c>
      <c r="Z50" s="32">
        <f t="shared" si="5"/>
        <v>1.3987341772151898</v>
      </c>
      <c r="AA50" s="32">
        <f t="shared" si="5"/>
        <v>1.3364485981308412</v>
      </c>
      <c r="AB50" s="32">
        <f t="shared" si="5"/>
        <v>1.4492753623188408</v>
      </c>
      <c r="AC50" s="32">
        <f t="shared" si="5"/>
        <v>1.4264705882352939</v>
      </c>
      <c r="AD50" s="32">
        <f t="shared" si="5"/>
        <v>1.4576923076923076</v>
      </c>
      <c r="AE50" s="32">
        <f t="shared" si="5"/>
        <v>1.6653543307086616</v>
      </c>
      <c r="AF50" s="32">
        <f t="shared" si="5"/>
        <v>1.6023622047244095</v>
      </c>
      <c r="AG50" s="32">
        <f t="shared" si="5"/>
        <v>1.5642023346303502</v>
      </c>
      <c r="AH50" s="32">
        <f t="shared" si="5"/>
        <v>1.5803921568627453</v>
      </c>
      <c r="BO50" t="s">
        <v>1975</v>
      </c>
    </row>
    <row r="51" spans="1:68">
      <c r="A51" s="444"/>
      <c r="B51" s="159">
        <v>1</v>
      </c>
      <c r="C51" t="s">
        <v>1976</v>
      </c>
      <c r="J51" s="238" t="s">
        <v>1977</v>
      </c>
      <c r="K51" s="7">
        <f>INDEX(MÓDULOS[Largura],Simulação!$F$12)</f>
        <v>1134</v>
      </c>
      <c r="L51" s="8"/>
      <c r="M51" s="9"/>
      <c r="O51" s="120" t="s">
        <v>1978</v>
      </c>
      <c r="P51" s="303">
        <f>$P$50*$M$50</f>
        <v>37175.199999999997</v>
      </c>
      <c r="Q51" s="8">
        <f>ROUND($P$51*(1+$K$59),0)</f>
        <v>37919</v>
      </c>
      <c r="R51" s="303">
        <f>Q51-P51</f>
        <v>743.80000000000291</v>
      </c>
      <c r="T51" s="8" t="s">
        <v>1979</v>
      </c>
      <c r="U51" s="9">
        <f>(ROUNDUP(($Q$49-(2*$K$53))/$K$52,0)+1)*$M$50*2</f>
        <v>32</v>
      </c>
      <c r="W51" s="1">
        <v>44348</v>
      </c>
      <c r="X51" s="32">
        <f t="shared" ref="X51:AH51" si="6">X10/X23</f>
        <v>1.7138888888888888</v>
      </c>
      <c r="Y51" s="32">
        <f t="shared" si="6"/>
        <v>1.515527950310559</v>
      </c>
      <c r="Z51" s="32">
        <f t="shared" si="6"/>
        <v>1.4038461538461537</v>
      </c>
      <c r="AA51" s="32">
        <f t="shared" si="6"/>
        <v>1.4319727891156462</v>
      </c>
      <c r="AB51" s="32">
        <f t="shared" si="6"/>
        <v>1.4332129963898919</v>
      </c>
      <c r="AC51" s="32">
        <f t="shared" si="6"/>
        <v>1.4624060150375939</v>
      </c>
      <c r="AD51" s="32">
        <f t="shared" si="6"/>
        <v>1.4163568773234201</v>
      </c>
      <c r="AE51" s="32">
        <f t="shared" si="6"/>
        <v>1.5992509363295879</v>
      </c>
      <c r="AF51" s="32">
        <f t="shared" si="6"/>
        <v>1.5320754716981131</v>
      </c>
      <c r="AG51" s="32">
        <f t="shared" si="6"/>
        <v>1.5111111111111111</v>
      </c>
      <c r="AH51" s="32">
        <f t="shared" si="6"/>
        <v>1.5580524344569289</v>
      </c>
      <c r="BO51" t="s">
        <v>1980</v>
      </c>
    </row>
    <row r="52" spans="1:68">
      <c r="A52" s="444"/>
      <c r="B52" s="498">
        <v>20</v>
      </c>
      <c r="C52" t="s">
        <v>1981</v>
      </c>
      <c r="J52" s="238" t="s">
        <v>1982</v>
      </c>
      <c r="K52" s="7">
        <f>IF(K51&lt;=1000,1850,IF(K51&lt;=1100,1750,IF(K51&lt;=1200,1600,"VERIFICAR")))</f>
        <v>1600</v>
      </c>
      <c r="W52" s="1">
        <v>44562</v>
      </c>
      <c r="X52" s="32">
        <f t="shared" ref="X52:AH52" si="7">X11/X24</f>
        <v>1.6282051282051282</v>
      </c>
      <c r="Y52" s="32">
        <f t="shared" si="7"/>
        <v>1.4617563739376771</v>
      </c>
      <c r="Z52" s="32">
        <f t="shared" si="7"/>
        <v>1.3089887640449438</v>
      </c>
      <c r="AA52" s="32">
        <f t="shared" si="7"/>
        <v>1.2951289398280801</v>
      </c>
      <c r="AB52" s="32">
        <f t="shared" si="7"/>
        <v>1.3426791277258565</v>
      </c>
      <c r="AC52" s="32">
        <f t="shared" si="7"/>
        <v>1.331168831168831</v>
      </c>
      <c r="AD52" s="32">
        <f t="shared" si="7"/>
        <v>1.2507645259938838</v>
      </c>
      <c r="AE52" s="32">
        <f t="shared" si="7"/>
        <v>1.4885993485342022</v>
      </c>
      <c r="AF52" s="32">
        <f t="shared" si="7"/>
        <v>1.5335689045936396</v>
      </c>
      <c r="AG52" s="32">
        <f t="shared" si="7"/>
        <v>1.4239482200647251</v>
      </c>
      <c r="AH52" s="32">
        <f t="shared" si="7"/>
        <v>1.4610169491525422</v>
      </c>
      <c r="BO52" t="s">
        <v>1983</v>
      </c>
    </row>
    <row r="53" spans="1:68">
      <c r="A53" s="444"/>
      <c r="B53" s="498">
        <v>20</v>
      </c>
      <c r="C53" t="s">
        <v>1984</v>
      </c>
      <c r="J53" s="120" t="s">
        <v>1985</v>
      </c>
      <c r="K53" s="9">
        <v>500</v>
      </c>
      <c r="W53" s="1">
        <v>44713</v>
      </c>
      <c r="X53" s="32">
        <f t="shared" ref="X53:AH53" si="8">X12/X25</f>
        <v>1.687323943661972</v>
      </c>
      <c r="Y53" s="32">
        <f t="shared" si="8"/>
        <v>1.5202492211838006</v>
      </c>
      <c r="Z53" s="32">
        <f t="shared" si="8"/>
        <v>1.4356435643564356</v>
      </c>
      <c r="AA53" s="32">
        <f t="shared" si="8"/>
        <v>1.4054054054054055</v>
      </c>
      <c r="AB53" s="32">
        <f t="shared" si="8"/>
        <v>1.4035714285714287</v>
      </c>
      <c r="AC53" s="32">
        <f t="shared" si="8"/>
        <v>1.3661971830985915</v>
      </c>
      <c r="AD53" s="32">
        <f t="shared" si="8"/>
        <v>1.4388489208633095</v>
      </c>
      <c r="AE53" s="32">
        <f t="shared" si="8"/>
        <v>1.7519685039370079</v>
      </c>
      <c r="AF53" s="32">
        <f t="shared" si="8"/>
        <v>1.5775193798449614</v>
      </c>
      <c r="AG53" s="32">
        <f t="shared" si="8"/>
        <v>1.6171874999999998</v>
      </c>
      <c r="AH53" s="32">
        <f t="shared" si="8"/>
        <v>1.61328125</v>
      </c>
      <c r="BO53" t="s">
        <v>1986</v>
      </c>
    </row>
    <row r="54" spans="1:68">
      <c r="A54" s="444"/>
      <c r="B54" s="159">
        <f>ROUNDUP(B48/4,0)</f>
        <v>4</v>
      </c>
      <c r="C54" t="s">
        <v>1987</v>
      </c>
      <c r="W54" s="1">
        <v>44927</v>
      </c>
      <c r="X54" s="32">
        <f t="shared" ref="X54:AD57" si="9">X13/X26</f>
        <v>1.7540453074433657</v>
      </c>
      <c r="Y54" s="32">
        <f t="shared" si="9"/>
        <v>1.534965034965035</v>
      </c>
      <c r="Z54" s="32">
        <f t="shared" si="9"/>
        <v>1.4736842105263157</v>
      </c>
      <c r="AA54" s="32">
        <f t="shared" si="9"/>
        <v>1.3107142857142857</v>
      </c>
      <c r="AB54" s="32">
        <f t="shared" si="9"/>
        <v>1.3023255813953487</v>
      </c>
      <c r="AC54" s="32">
        <f t="shared" si="9"/>
        <v>1.4685039370078741</v>
      </c>
      <c r="AD54" s="32">
        <f t="shared" si="9"/>
        <v>1.542168674698795</v>
      </c>
      <c r="AE54" s="32">
        <f t="shared" ref="AE54:AH56" si="10">AF13/AE26</f>
        <v>1.6523605150214593</v>
      </c>
      <c r="AF54" s="32">
        <f t="shared" si="10"/>
        <v>1.7021276595744681</v>
      </c>
      <c r="AG54" s="32">
        <f t="shared" si="10"/>
        <v>1.7719298245614037</v>
      </c>
      <c r="AH54" s="32">
        <f t="shared" si="10"/>
        <v>1.8783783783783783</v>
      </c>
      <c r="BO54" t="s">
        <v>1988</v>
      </c>
      <c r="BP54" t="s">
        <v>1989</v>
      </c>
    </row>
    <row r="55" spans="1:68">
      <c r="A55" s="444"/>
      <c r="B55" s="159">
        <v>1</v>
      </c>
      <c r="C55" t="s">
        <v>1990</v>
      </c>
      <c r="J55" s="28" t="s">
        <v>1991</v>
      </c>
      <c r="K55">
        <f>IF(($K$51*4)+(3*$K$50)+(2*$K$49)+57&lt;4200,4.2,4.5)</f>
        <v>4.5</v>
      </c>
      <c r="L55">
        <v>2.25</v>
      </c>
      <c r="M55">
        <v>3.3</v>
      </c>
      <c r="W55" s="1">
        <v>45078</v>
      </c>
      <c r="X55" s="32">
        <f t="shared" si="9"/>
        <v>1.8137651821862348</v>
      </c>
      <c r="Y55" s="32">
        <f t="shared" si="9"/>
        <v>1.6140350877192984</v>
      </c>
      <c r="Z55" s="32">
        <f t="shared" si="9"/>
        <v>1.5980392156862744</v>
      </c>
      <c r="AA55" s="32">
        <f t="shared" si="9"/>
        <v>1.4046511627906977</v>
      </c>
      <c r="AB55" s="32">
        <f t="shared" si="9"/>
        <v>1.3980099502487564</v>
      </c>
      <c r="AC55" s="32">
        <f t="shared" si="9"/>
        <v>1.4489795918367347</v>
      </c>
      <c r="AD55" s="32">
        <f t="shared" si="9"/>
        <v>1.6648351648351647</v>
      </c>
      <c r="AE55" s="32">
        <f t="shared" si="10"/>
        <v>1.9885714285714287</v>
      </c>
      <c r="AF55" s="32">
        <f t="shared" si="10"/>
        <v>1.9712643678160922</v>
      </c>
      <c r="AG55" s="32">
        <f t="shared" si="10"/>
        <v>2.0809248554913298</v>
      </c>
      <c r="AH55" s="32">
        <f t="shared" si="10"/>
        <v>2</v>
      </c>
      <c r="BO55" t="s">
        <v>1992</v>
      </c>
      <c r="BP55" t="s">
        <v>1993</v>
      </c>
    </row>
    <row r="56" spans="1:68">
      <c r="A56" s="444"/>
      <c r="C56" t="s">
        <v>1994</v>
      </c>
      <c r="G56" s="367"/>
      <c r="J56" s="28" t="s">
        <v>1995</v>
      </c>
      <c r="K56">
        <f>ROUNDUP($P$51/K55/1000,0)</f>
        <v>9</v>
      </c>
      <c r="L56">
        <f>ROUNDUP($P$51/L55/1000,0)</f>
        <v>17</v>
      </c>
      <c r="M56">
        <f>ROUNDUP($P$51/M55/1000,0)</f>
        <v>12</v>
      </c>
      <c r="W56" s="1">
        <v>45292</v>
      </c>
      <c r="X56" s="32">
        <f t="shared" si="9"/>
        <v>1.8254716981132075</v>
      </c>
      <c r="Y56" s="32">
        <f t="shared" si="9"/>
        <v>1.5693069306930694</v>
      </c>
      <c r="Z56" s="32">
        <f t="shared" si="9"/>
        <v>1.4052631578947368</v>
      </c>
      <c r="AA56" s="32">
        <f t="shared" si="9"/>
        <v>1.3879781420765027</v>
      </c>
      <c r="AB56" s="32">
        <f t="shared" si="9"/>
        <v>1.5316455696202531</v>
      </c>
      <c r="AC56" s="32">
        <f t="shared" si="9"/>
        <v>1.4583333333333335</v>
      </c>
      <c r="AD56" s="32">
        <f t="shared" si="9"/>
        <v>1.6770186335403727</v>
      </c>
      <c r="AE56" s="32">
        <f t="shared" si="10"/>
        <v>2.0261437908496731</v>
      </c>
      <c r="AF56" s="32">
        <f t="shared" si="10"/>
        <v>2.102739726027397</v>
      </c>
      <c r="AG56" s="32">
        <f t="shared" si="10"/>
        <v>2.1438356164383561</v>
      </c>
      <c r="AH56" s="32">
        <f t="shared" si="10"/>
        <v>2.2551724137931037</v>
      </c>
      <c r="BO56" t="s">
        <v>1996</v>
      </c>
      <c r="BP56" t="s">
        <v>1997</v>
      </c>
    </row>
    <row r="57" spans="1:68">
      <c r="A57" s="444"/>
      <c r="B57" s="499">
        <f>IF(AND(Resumo!$E$202="Microinversor",Resumo!$E$188&gt;3),3,IF(Resumo!$E$191&gt;10,3,2))</f>
        <v>3</v>
      </c>
      <c r="C57" t="s">
        <v>1998</v>
      </c>
      <c r="J57" s="28" t="s">
        <v>1999</v>
      </c>
      <c r="K57" s="87">
        <f>M49*M50/4</f>
        <v>4</v>
      </c>
      <c r="L57">
        <f>ROUNDUP((P49+60)/1000/L55,0)</f>
        <v>3</v>
      </c>
      <c r="W57" s="1">
        <v>45444</v>
      </c>
      <c r="X57" s="32">
        <f t="shared" si="9"/>
        <v>2.0111111111111111</v>
      </c>
      <c r="Y57" s="32">
        <f t="shared" si="9"/>
        <v>1.7337278106508878</v>
      </c>
      <c r="Z57" s="32">
        <f t="shared" si="9"/>
        <v>1.7086092715231789</v>
      </c>
      <c r="AA57" s="32">
        <f t="shared" si="9"/>
        <v>1.5263157894736841</v>
      </c>
      <c r="AB57" s="32">
        <f t="shared" si="9"/>
        <v>1.6524822695035462</v>
      </c>
      <c r="AC57" s="32">
        <f t="shared" si="9"/>
        <v>1.6000000000000003</v>
      </c>
      <c r="AD57" s="32">
        <f t="shared" si="9"/>
        <v>1.8623188405797102</v>
      </c>
      <c r="AE57" s="32">
        <f t="shared" ref="AE57" si="11">AF16/AE29</f>
        <v>2.3253968253968256</v>
      </c>
      <c r="AF57" s="32">
        <f t="shared" ref="AF57" si="12">AG16/AF29</f>
        <v>2.5086206896551726</v>
      </c>
      <c r="AG57" s="32">
        <f t="shared" ref="AG57" si="13">AH16/AG29</f>
        <v>2.4786324786324787</v>
      </c>
      <c r="AH57" s="32">
        <f t="shared" ref="AH57" si="14">AI16/AH29</f>
        <v>2.4615384615384617</v>
      </c>
      <c r="BO57" t="s">
        <v>2000</v>
      </c>
      <c r="BP57" t="s">
        <v>2001</v>
      </c>
    </row>
    <row r="58" spans="1:68">
      <c r="A58" s="444"/>
      <c r="B58" s="498">
        <v>24</v>
      </c>
      <c r="C58" t="str">
        <f>"    Cabo de Cobre "&amp;IF(A58="",Resumo!$F$262,A58)&amp;" mm² - Preto"</f>
        <v xml:space="preserve">    Cabo de Cobre 10 mm² - Preto</v>
      </c>
      <c r="J58" s="28" t="s">
        <v>2002</v>
      </c>
      <c r="K58">
        <f>K57-1</f>
        <v>3</v>
      </c>
      <c r="L58">
        <f>L57-1</f>
        <v>2</v>
      </c>
      <c r="BO58" t="s">
        <v>2003</v>
      </c>
      <c r="BP58" t="s">
        <v>2004</v>
      </c>
    </row>
    <row r="59" spans="1:68">
      <c r="A59" s="444"/>
      <c r="B59" s="498">
        <v>12</v>
      </c>
      <c r="C59" t="str">
        <f>"    Cabo de Cobre "&amp;IF(A59="",MAX(Resumo!$F$262,6),A59)&amp;" mm² - Verde"</f>
        <v xml:space="preserve">    Cabo de Cobre 10 mm² - Verde</v>
      </c>
      <c r="J59" s="28" t="s">
        <v>2005</v>
      </c>
      <c r="K59" s="148">
        <v>0.02</v>
      </c>
      <c r="BO59" t="s">
        <v>2006</v>
      </c>
      <c r="BP59" t="s">
        <v>2007</v>
      </c>
    </row>
    <row r="60" spans="1:68">
      <c r="A60" s="444"/>
      <c r="B60" s="159">
        <v>1</v>
      </c>
      <c r="C60" t="s">
        <v>2008</v>
      </c>
      <c r="BO60" t="s">
        <v>3689</v>
      </c>
      <c r="BP60" t="s">
        <v>2009</v>
      </c>
    </row>
    <row r="61" spans="1:68">
      <c r="A61" s="444"/>
      <c r="B61" s="159">
        <f>SUM($B$95:$B$96)</f>
        <v>1</v>
      </c>
      <c r="C61" s="237" t="s">
        <v>2010</v>
      </c>
      <c r="BO61" t="s">
        <v>3690</v>
      </c>
      <c r="BP61" t="s">
        <v>3691</v>
      </c>
    </row>
    <row r="62" spans="1:68">
      <c r="A62" s="444"/>
      <c r="BO62" t="s">
        <v>3860</v>
      </c>
      <c r="BP62" t="s">
        <v>3861</v>
      </c>
    </row>
    <row r="63" spans="1:68">
      <c r="A63" s="444"/>
      <c r="J63" t="s">
        <v>2011</v>
      </c>
    </row>
    <row r="64" spans="1:68">
      <c r="A64" s="444"/>
      <c r="B64" s="290" t="s">
        <v>2012</v>
      </c>
      <c r="C64" s="288"/>
      <c r="D64" s="288"/>
      <c r="E64" s="288"/>
      <c r="F64" s="289"/>
      <c r="G64" s="190"/>
      <c r="J64" t="s">
        <v>2013</v>
      </c>
    </row>
    <row r="65" spans="1:70">
      <c r="A65" s="444"/>
      <c r="B65" s="6" t="s">
        <v>2014</v>
      </c>
      <c r="C65" t="s">
        <v>1583</v>
      </c>
      <c r="D65" t="s">
        <v>2015</v>
      </c>
      <c r="E65" t="s">
        <v>2016</v>
      </c>
      <c r="F65" s="7" t="s">
        <v>2017</v>
      </c>
      <c r="H65" s="381" t="s">
        <v>2018</v>
      </c>
      <c r="J65" t="s">
        <v>2019</v>
      </c>
      <c r="K65" t="s">
        <v>2020</v>
      </c>
      <c r="L65" t="s">
        <v>2021</v>
      </c>
    </row>
    <row r="66" spans="1:70">
      <c r="A66" s="444"/>
      <c r="B66" s="6">
        <f>IF(Resumo!$F$280=3,3,2)</f>
        <v>2</v>
      </c>
      <c r="C66" t="s">
        <v>1640</v>
      </c>
      <c r="D66" s="286">
        <v>49</v>
      </c>
      <c r="E66" s="286">
        <v>50</v>
      </c>
      <c r="F66" s="239">
        <f>IF(A66="",E66*B66,E66*A66)</f>
        <v>100</v>
      </c>
      <c r="G66" s="14"/>
      <c r="H66" s="382">
        <f t="shared" ref="H66:H98" si="15">IF(A66="",D66*B66,D66*A66)</f>
        <v>98</v>
      </c>
      <c r="I66" t="s">
        <v>2022</v>
      </c>
      <c r="J66">
        <v>1.85</v>
      </c>
      <c r="K66">
        <v>1.75</v>
      </c>
      <c r="L66">
        <v>1.6</v>
      </c>
    </row>
    <row r="67" spans="1:70">
      <c r="A67" s="444"/>
      <c r="B67" s="6">
        <f>IF(Resumo!$F$262=4,50,0)</f>
        <v>0</v>
      </c>
      <c r="C67" t="s">
        <v>2023</v>
      </c>
      <c r="D67" s="286">
        <v>2.9</v>
      </c>
      <c r="E67" s="286">
        <v>2.95</v>
      </c>
      <c r="F67" s="239">
        <f t="shared" ref="F67:F98" si="16">IF(A67="",E67*B67,E67*A67)</f>
        <v>0</v>
      </c>
      <c r="G67" s="14"/>
      <c r="H67" s="382">
        <f t="shared" si="15"/>
        <v>0</v>
      </c>
    </row>
    <row r="68" spans="1:70">
      <c r="A68" s="444"/>
      <c r="B68" s="6">
        <f>IF(Resumo!$F$262=6,50,20)</f>
        <v>20</v>
      </c>
      <c r="C68" t="s">
        <v>2024</v>
      </c>
      <c r="D68" s="286">
        <v>4.8</v>
      </c>
      <c r="E68" s="286">
        <v>5</v>
      </c>
      <c r="F68" s="239">
        <f t="shared" si="16"/>
        <v>100</v>
      </c>
      <c r="G68" s="14"/>
      <c r="H68" s="382">
        <f t="shared" si="15"/>
        <v>96</v>
      </c>
      <c r="J68" t="s">
        <v>2025</v>
      </c>
      <c r="BR68" t="s">
        <v>2026</v>
      </c>
    </row>
    <row r="69" spans="1:70">
      <c r="A69" s="444"/>
      <c r="B69" s="6">
        <f>IF(Resumo!$F$262=10,30,0)</f>
        <v>30</v>
      </c>
      <c r="C69" t="s">
        <v>2027</v>
      </c>
      <c r="D69" s="286">
        <v>7.72</v>
      </c>
      <c r="E69" s="286">
        <v>8.84</v>
      </c>
      <c r="F69" s="239">
        <f t="shared" si="16"/>
        <v>265.2</v>
      </c>
      <c r="G69" s="14"/>
      <c r="H69" s="382">
        <f t="shared" si="15"/>
        <v>231.6</v>
      </c>
      <c r="J69" t="s">
        <v>2028</v>
      </c>
      <c r="BR69" t="s">
        <v>2029</v>
      </c>
    </row>
    <row r="70" spans="1:70">
      <c r="A70" s="444"/>
      <c r="B70" s="6">
        <f>IF(Resumo!$F$262=16,50,0)</f>
        <v>0</v>
      </c>
      <c r="C70" t="s">
        <v>2030</v>
      </c>
      <c r="D70" s="286">
        <v>11.97</v>
      </c>
      <c r="E70" s="286">
        <v>12.86</v>
      </c>
      <c r="F70" s="239">
        <f t="shared" si="16"/>
        <v>0</v>
      </c>
      <c r="G70" s="14"/>
      <c r="H70" s="382">
        <f t="shared" si="15"/>
        <v>0</v>
      </c>
      <c r="BR70" t="s">
        <v>2031</v>
      </c>
    </row>
    <row r="71" spans="1:70">
      <c r="A71" s="444"/>
      <c r="B71" s="6">
        <f>IF(Resumo!$F$262=25,50,0)</f>
        <v>0</v>
      </c>
      <c r="C71" t="s">
        <v>2032</v>
      </c>
      <c r="D71" s="286">
        <v>19.8</v>
      </c>
      <c r="E71" s="286">
        <v>19.8</v>
      </c>
      <c r="F71" s="239">
        <f t="shared" si="16"/>
        <v>0</v>
      </c>
      <c r="G71" s="14"/>
      <c r="H71" s="382">
        <f t="shared" si="15"/>
        <v>0</v>
      </c>
      <c r="J71" t="s">
        <v>2033</v>
      </c>
      <c r="K71">
        <v>4</v>
      </c>
      <c r="BR71" t="s">
        <v>2034</v>
      </c>
    </row>
    <row r="72" spans="1:70">
      <c r="A72" s="444"/>
      <c r="B72" s="6">
        <f>IF(Resumo!$F$262=35,50,0)</f>
        <v>0</v>
      </c>
      <c r="C72" t="s">
        <v>2035</v>
      </c>
      <c r="D72" s="286">
        <v>27.66</v>
      </c>
      <c r="E72" s="286">
        <v>27.66</v>
      </c>
      <c r="F72" s="239">
        <f t="shared" si="16"/>
        <v>0</v>
      </c>
      <c r="G72" s="14"/>
      <c r="H72" s="382">
        <f t="shared" si="15"/>
        <v>0</v>
      </c>
      <c r="J72" t="s">
        <v>2036</v>
      </c>
      <c r="K72" t="s">
        <v>2037</v>
      </c>
      <c r="BR72" t="s">
        <v>2038</v>
      </c>
    </row>
    <row r="73" spans="1:70">
      <c r="A73" s="444"/>
      <c r="B73" s="6">
        <f>IF(Resumo!$F$262=50,50,0)</f>
        <v>0</v>
      </c>
      <c r="C73" t="s">
        <v>2039</v>
      </c>
      <c r="D73" s="286">
        <v>39.11</v>
      </c>
      <c r="E73" s="286">
        <v>39.11</v>
      </c>
      <c r="F73" s="239">
        <f t="shared" si="16"/>
        <v>0</v>
      </c>
      <c r="G73" s="14"/>
      <c r="H73" s="382">
        <f t="shared" si="15"/>
        <v>0</v>
      </c>
      <c r="J73">
        <v>1</v>
      </c>
      <c r="K73">
        <f>0.07+$K$71*J73+($K$71-1)*0.017</f>
        <v>4.1210000000000004</v>
      </c>
      <c r="BR73" t="s">
        <v>2040</v>
      </c>
    </row>
    <row r="74" spans="1:70">
      <c r="A74" s="444"/>
      <c r="B74" s="6">
        <f>IF(Resumo!$F$262=70,50,0)</f>
        <v>0</v>
      </c>
      <c r="C74" t="s">
        <v>2041</v>
      </c>
      <c r="D74" s="286">
        <v>56.45</v>
      </c>
      <c r="E74" s="286">
        <v>56.45</v>
      </c>
      <c r="F74" s="239">
        <f t="shared" si="16"/>
        <v>0</v>
      </c>
      <c r="G74" s="14"/>
      <c r="H74" s="382">
        <f t="shared" si="15"/>
        <v>0</v>
      </c>
      <c r="J74">
        <v>1.0900000000000001</v>
      </c>
      <c r="K74">
        <f>0.07+$K$71*J74+($K$71-1)*0.017</f>
        <v>4.4810000000000008</v>
      </c>
      <c r="BR74" t="s">
        <v>2042</v>
      </c>
    </row>
    <row r="75" spans="1:70">
      <c r="A75" s="444"/>
      <c r="B75" s="6">
        <f>IF(Resumo!$F$262&gt;70,50,0)</f>
        <v>0</v>
      </c>
      <c r="C75" t="s">
        <v>2043</v>
      </c>
      <c r="D75" s="356">
        <v>80</v>
      </c>
      <c r="E75" s="356">
        <v>80</v>
      </c>
      <c r="F75" s="239">
        <f t="shared" si="16"/>
        <v>0</v>
      </c>
      <c r="G75" s="14"/>
      <c r="H75" s="382">
        <f t="shared" si="15"/>
        <v>0</v>
      </c>
      <c r="J75">
        <v>1.1599999999999999</v>
      </c>
      <c r="K75">
        <f>0.07+$K$71*J75+($K$71-1)*0.017</f>
        <v>4.7610000000000001</v>
      </c>
      <c r="BR75" t="s">
        <v>2044</v>
      </c>
    </row>
    <row r="76" spans="1:70">
      <c r="A76" s="444"/>
      <c r="B76" s="6">
        <f>IF(Resumo!$E$280&lt;=40,1,0)</f>
        <v>0</v>
      </c>
      <c r="C76" t="s">
        <v>2045</v>
      </c>
      <c r="D76" s="286">
        <v>29.98</v>
      </c>
      <c r="E76" s="286">
        <v>46.9</v>
      </c>
      <c r="F76" s="239">
        <f t="shared" si="16"/>
        <v>0</v>
      </c>
      <c r="G76" s="14"/>
      <c r="H76" s="382">
        <f t="shared" si="15"/>
        <v>0</v>
      </c>
      <c r="J76">
        <v>1.2</v>
      </c>
      <c r="K76">
        <f>0.07+$K$71*J76+($K$71-1)*0.017</f>
        <v>4.9210000000000003</v>
      </c>
      <c r="BR76" t="s">
        <v>2046</v>
      </c>
    </row>
    <row r="77" spans="1:70">
      <c r="A77" s="444"/>
      <c r="B77" s="6">
        <f>IF(Resumo!$E$280=50,1,0)</f>
        <v>1</v>
      </c>
      <c r="C77" t="s">
        <v>2047</v>
      </c>
      <c r="D77" s="356">
        <v>48</v>
      </c>
      <c r="E77" s="356">
        <v>70</v>
      </c>
      <c r="F77" s="239">
        <f t="shared" si="16"/>
        <v>70</v>
      </c>
      <c r="G77" s="14"/>
      <c r="H77" s="382">
        <f t="shared" si="15"/>
        <v>48</v>
      </c>
      <c r="BR77" t="s">
        <v>2048</v>
      </c>
    </row>
    <row r="78" spans="1:70">
      <c r="A78" s="444"/>
      <c r="B78" s="6">
        <f>IF(Resumo!$E$280=63,1,0)</f>
        <v>0</v>
      </c>
      <c r="C78" t="s">
        <v>2049</v>
      </c>
      <c r="D78" s="356">
        <v>60</v>
      </c>
      <c r="E78" s="356">
        <v>80</v>
      </c>
      <c r="F78" s="239">
        <f t="shared" si="16"/>
        <v>0</v>
      </c>
      <c r="G78" s="14"/>
      <c r="H78" s="382">
        <f t="shared" si="15"/>
        <v>0</v>
      </c>
    </row>
    <row r="79" spans="1:70">
      <c r="A79" s="444"/>
      <c r="B79" s="6">
        <f>IF(Resumo!$E$280=70,1,0)</f>
        <v>0</v>
      </c>
      <c r="C79" t="s">
        <v>2050</v>
      </c>
      <c r="D79" s="356">
        <v>60</v>
      </c>
      <c r="E79" s="356">
        <v>80</v>
      </c>
      <c r="F79" s="239">
        <f t="shared" si="16"/>
        <v>0</v>
      </c>
      <c r="G79" s="14"/>
      <c r="H79" s="382">
        <f t="shared" si="15"/>
        <v>0</v>
      </c>
    </row>
    <row r="80" spans="1:70">
      <c r="A80" s="444"/>
      <c r="B80" s="6">
        <f>IF(Resumo!$E$280=80,1,0)</f>
        <v>0</v>
      </c>
      <c r="C80" t="s">
        <v>2051</v>
      </c>
      <c r="D80" s="356">
        <v>100</v>
      </c>
      <c r="E80" s="356">
        <v>190</v>
      </c>
      <c r="F80" s="239">
        <f t="shared" si="16"/>
        <v>0</v>
      </c>
      <c r="G80" s="14"/>
      <c r="H80" s="382">
        <f t="shared" si="15"/>
        <v>0</v>
      </c>
    </row>
    <row r="81" spans="1:8">
      <c r="A81" s="444"/>
      <c r="B81" s="6">
        <f>IF(Resumo!$E$280=100,1,0)</f>
        <v>0</v>
      </c>
      <c r="C81" t="s">
        <v>2052</v>
      </c>
      <c r="D81" s="356">
        <v>150</v>
      </c>
      <c r="E81" s="356">
        <v>199</v>
      </c>
      <c r="F81" s="239">
        <f t="shared" si="16"/>
        <v>0</v>
      </c>
      <c r="G81" s="14"/>
      <c r="H81" s="382">
        <f t="shared" si="15"/>
        <v>0</v>
      </c>
    </row>
    <row r="82" spans="1:8">
      <c r="A82" s="444"/>
      <c r="B82" s="6">
        <f>IF(100&lt;Resumo!$E$280&lt;=150,1,0)</f>
        <v>0</v>
      </c>
      <c r="C82" t="s">
        <v>2053</v>
      </c>
      <c r="D82" s="356">
        <v>400</v>
      </c>
      <c r="E82" s="356">
        <v>558</v>
      </c>
      <c r="F82" s="239">
        <f t="shared" si="16"/>
        <v>0</v>
      </c>
      <c r="G82" s="14"/>
      <c r="H82" s="382">
        <f t="shared" si="15"/>
        <v>0</v>
      </c>
    </row>
    <row r="83" spans="1:8">
      <c r="A83" s="444"/>
      <c r="B83" s="6">
        <f>IF(Resumo!$E$280&gt;150,1,0)</f>
        <v>0</v>
      </c>
      <c r="C83" t="s">
        <v>2054</v>
      </c>
      <c r="D83" s="356">
        <v>400</v>
      </c>
      <c r="E83" s="356">
        <v>559</v>
      </c>
      <c r="F83" s="239">
        <f t="shared" si="16"/>
        <v>0</v>
      </c>
      <c r="G83" s="14"/>
      <c r="H83" s="382">
        <f t="shared" si="15"/>
        <v>0</v>
      </c>
    </row>
    <row r="84" spans="1:8">
      <c r="A84" s="444"/>
      <c r="B84" s="6">
        <f>IF(Resumo!$E$263="3/4",20,0)</f>
        <v>0</v>
      </c>
      <c r="C84" t="s">
        <v>2055</v>
      </c>
      <c r="D84" s="286">
        <f>12/3</f>
        <v>4</v>
      </c>
      <c r="E84" s="286">
        <f>37/3</f>
        <v>12.333333333333334</v>
      </c>
      <c r="F84" s="239">
        <f t="shared" si="16"/>
        <v>0</v>
      </c>
      <c r="G84" s="14"/>
      <c r="H84" s="382">
        <f t="shared" si="15"/>
        <v>0</v>
      </c>
    </row>
    <row r="85" spans="1:8">
      <c r="A85" s="444"/>
      <c r="B85" s="6">
        <f>IF(Resumo!$E$263="1",20,0)</f>
        <v>20</v>
      </c>
      <c r="C85" t="s">
        <v>2056</v>
      </c>
      <c r="D85" s="286">
        <f>17.06/3</f>
        <v>5.6866666666666665</v>
      </c>
      <c r="E85" s="356">
        <f>70/3</f>
        <v>23.333333333333332</v>
      </c>
      <c r="F85" s="239">
        <f t="shared" si="16"/>
        <v>466.66666666666663</v>
      </c>
      <c r="G85" s="14"/>
      <c r="H85" s="382">
        <f t="shared" si="15"/>
        <v>113.73333333333333</v>
      </c>
    </row>
    <row r="86" spans="1:8">
      <c r="A86" s="444"/>
      <c r="B86">
        <v>1</v>
      </c>
      <c r="C86" t="s">
        <v>2057</v>
      </c>
      <c r="D86" s="13">
        <v>50</v>
      </c>
      <c r="E86" s="356">
        <v>100</v>
      </c>
      <c r="F86" s="239">
        <f t="shared" si="16"/>
        <v>100</v>
      </c>
      <c r="G86" s="14"/>
      <c r="H86" s="382">
        <f t="shared" si="15"/>
        <v>50</v>
      </c>
    </row>
    <row r="87" spans="1:8">
      <c r="A87" s="444"/>
      <c r="C87" t="s">
        <v>2058</v>
      </c>
      <c r="D87" s="286">
        <f>83.54/25</f>
        <v>3.3416000000000001</v>
      </c>
      <c r="E87" s="286">
        <f>115/25</f>
        <v>4.5999999999999996</v>
      </c>
      <c r="F87" s="239">
        <f t="shared" si="16"/>
        <v>0</v>
      </c>
      <c r="G87" s="14"/>
      <c r="H87" s="382">
        <f t="shared" si="15"/>
        <v>0</v>
      </c>
    </row>
    <row r="88" spans="1:8">
      <c r="A88" s="444"/>
      <c r="B88" s="6"/>
      <c r="C88" t="s">
        <v>2059</v>
      </c>
      <c r="D88" s="13">
        <v>8.0399999999999991</v>
      </c>
      <c r="E88" s="356">
        <f>190/25</f>
        <v>7.6</v>
      </c>
      <c r="F88" s="239">
        <f t="shared" si="16"/>
        <v>0</v>
      </c>
      <c r="G88" s="14"/>
      <c r="H88" s="382">
        <f t="shared" si="15"/>
        <v>0</v>
      </c>
    </row>
    <row r="89" spans="1:8">
      <c r="A89" s="444"/>
      <c r="B89" s="6">
        <f>IF(OR(Resumo!$E$263="1 1/4",Resumo!$E$263="1 1/2"),20,0)</f>
        <v>0</v>
      </c>
      <c r="C89" t="s">
        <v>2060</v>
      </c>
      <c r="D89" s="13">
        <f>231.8784/25</f>
        <v>9.2751359999999998</v>
      </c>
      <c r="E89" s="356">
        <v>21</v>
      </c>
      <c r="F89" s="239">
        <f t="shared" si="16"/>
        <v>0</v>
      </c>
      <c r="G89" s="14"/>
      <c r="H89" s="382">
        <f t="shared" si="15"/>
        <v>0</v>
      </c>
    </row>
    <row r="90" spans="1:8">
      <c r="A90" s="444"/>
      <c r="B90" s="6">
        <f>IF(Resumo!$E$263="2",20,0)</f>
        <v>0</v>
      </c>
      <c r="C90" t="s">
        <v>2061</v>
      </c>
      <c r="D90" s="286">
        <v>20</v>
      </c>
      <c r="E90" s="286">
        <v>26</v>
      </c>
      <c r="F90" s="239">
        <f t="shared" si="16"/>
        <v>0</v>
      </c>
      <c r="H90" s="382">
        <f t="shared" si="15"/>
        <v>0</v>
      </c>
    </row>
    <row r="91" spans="1:8">
      <c r="A91" s="444"/>
      <c r="B91" s="6">
        <f>IF(OR(Resumo!$E$263="2 1/2",Resumo!$E$263="3"),20,0)</f>
        <v>0</v>
      </c>
      <c r="C91" t="s">
        <v>2062</v>
      </c>
      <c r="D91" s="286">
        <v>40</v>
      </c>
      <c r="E91" s="286">
        <v>55</v>
      </c>
      <c r="F91" s="239">
        <f t="shared" si="16"/>
        <v>0</v>
      </c>
      <c r="H91" s="382">
        <f t="shared" si="15"/>
        <v>0</v>
      </c>
    </row>
    <row r="92" spans="1:8">
      <c r="A92" s="444"/>
      <c r="B92" s="6">
        <f>Resumo!$E$187*3</f>
        <v>42</v>
      </c>
      <c r="C92" t="s">
        <v>2063</v>
      </c>
      <c r="D92" s="286">
        <f>66/100</f>
        <v>0.66</v>
      </c>
      <c r="E92" s="286">
        <f>D92*1.2</f>
        <v>0.79200000000000004</v>
      </c>
      <c r="F92" s="239">
        <f t="shared" si="16"/>
        <v>33.264000000000003</v>
      </c>
      <c r="H92" s="382">
        <f t="shared" si="15"/>
        <v>27.720000000000002</v>
      </c>
    </row>
    <row r="93" spans="1:8">
      <c r="A93" s="444"/>
      <c r="B93" s="6">
        <f>B66*4+SUM(B72:B78)*4</f>
        <v>12</v>
      </c>
      <c r="C93" t="s">
        <v>1612</v>
      </c>
      <c r="D93" s="286">
        <v>0.17</v>
      </c>
      <c r="E93" s="286">
        <f t="shared" ref="E93" si="17">D93*1.2</f>
        <v>0.20400000000000001</v>
      </c>
      <c r="F93" s="239">
        <f t="shared" si="16"/>
        <v>2.4480000000000004</v>
      </c>
      <c r="H93" s="382">
        <f t="shared" si="15"/>
        <v>2.04</v>
      </c>
    </row>
    <row r="94" spans="1:8">
      <c r="A94" s="444"/>
      <c r="B94" s="6">
        <v>1</v>
      </c>
      <c r="C94" t="s">
        <v>2064</v>
      </c>
      <c r="D94" s="286">
        <v>65</v>
      </c>
      <c r="E94" s="286">
        <v>92</v>
      </c>
      <c r="F94" s="239">
        <f t="shared" si="16"/>
        <v>92</v>
      </c>
      <c r="H94" s="382">
        <f t="shared" si="15"/>
        <v>65</v>
      </c>
    </row>
    <row r="95" spans="1:8">
      <c r="A95" s="444"/>
      <c r="B95" s="6"/>
      <c r="C95" t="s">
        <v>2065</v>
      </c>
      <c r="E95">
        <f>68+(3*23)+(IF(B95&lt;1,0,IF(B95&lt;3,B95-1,B95))*3*25)+N("Haste de aterramento (R$50) + Grampo (R$8) + Caixa (10) + Cabo cobre nú p/ interligar hastes (50mm-R$55/m; 35mm-R$25/m) + Cabo isolado até haste (16mm-R$23/m; 25mm-R$37/m)")</f>
        <v>137</v>
      </c>
      <c r="F95" s="239">
        <f t="shared" si="16"/>
        <v>0</v>
      </c>
      <c r="H95" s="382">
        <f t="shared" si="15"/>
        <v>0</v>
      </c>
    </row>
    <row r="96" spans="1:8">
      <c r="A96" s="444"/>
      <c r="B96" s="6">
        <v>1</v>
      </c>
      <c r="C96" t="s">
        <v>2066</v>
      </c>
      <c r="E96">
        <f>68+(3*37)+(IF(B96&lt;1,0,IF(B96&lt;3,B96-1,B96))*3*25)+N("Haste de aterramento (R$50) + Grampo (R$8) + Caixa (10) + Cabo cobre nú p/ interligar hastes (50mm-R$55/m; 35mm-R$25/m) + Cabo isolado até haste (16mm-R$23/m; 25mm-R$37/m)")</f>
        <v>179</v>
      </c>
      <c r="F96" s="239">
        <f t="shared" si="16"/>
        <v>179</v>
      </c>
      <c r="H96" s="382">
        <f t="shared" si="15"/>
        <v>0</v>
      </c>
    </row>
    <row r="97" spans="1:8">
      <c r="A97" s="444"/>
      <c r="B97" s="6"/>
      <c r="F97" s="239">
        <f t="shared" si="16"/>
        <v>0</v>
      </c>
      <c r="H97" s="382">
        <f t="shared" si="15"/>
        <v>0</v>
      </c>
    </row>
    <row r="98" spans="1:8">
      <c r="A98" s="444"/>
      <c r="B98" s="6">
        <v>1</v>
      </c>
      <c r="C98" t="s">
        <v>2067</v>
      </c>
      <c r="E98">
        <v>20</v>
      </c>
      <c r="F98" s="239">
        <f t="shared" si="16"/>
        <v>20</v>
      </c>
      <c r="H98" s="382">
        <f t="shared" si="15"/>
        <v>0</v>
      </c>
    </row>
    <row r="99" spans="1:8">
      <c r="A99" s="444"/>
      <c r="B99" s="6"/>
      <c r="C99" t="s">
        <v>44</v>
      </c>
      <c r="D99" s="11">
        <v>0.1</v>
      </c>
      <c r="E99" s="11">
        <v>0.2</v>
      </c>
      <c r="F99" s="239">
        <f>SUM(F66:F98)*E99</f>
        <v>285.71573333333339</v>
      </c>
      <c r="H99" s="383">
        <f>IF(A99="",SUM(H66:H98)*D99,SUM(H66:H98)*A99)</f>
        <v>73.209333333333333</v>
      </c>
    </row>
    <row r="100" spans="1:8">
      <c r="A100" s="444"/>
      <c r="B100" s="8"/>
      <c r="C100" s="2" t="s">
        <v>164</v>
      </c>
      <c r="D100" s="384">
        <f>SUM(H66:H99)</f>
        <v>805.30266666666671</v>
      </c>
      <c r="E100" s="287"/>
      <c r="F100" s="244">
        <f>SUM(F66:F99)</f>
        <v>1714.2944000000002</v>
      </c>
    </row>
    <row r="101" spans="1:8">
      <c r="A101" s="444"/>
    </row>
    <row r="102" spans="1:8">
      <c r="A102" s="444"/>
    </row>
    <row r="103" spans="1:8">
      <c r="A103" s="444"/>
      <c r="B103" t="s">
        <v>2068</v>
      </c>
    </row>
    <row r="104" spans="1:8">
      <c r="B104" s="328" t="s">
        <v>2069</v>
      </c>
      <c r="C104" s="330" t="s">
        <v>2070</v>
      </c>
    </row>
    <row r="105" spans="1:8">
      <c r="B105" s="3" t="s">
        <v>2819</v>
      </c>
      <c r="C105" s="672">
        <f>C120</f>
        <v>2457</v>
      </c>
    </row>
    <row r="106" spans="1:8">
      <c r="B106" s="6" t="s">
        <v>4413</v>
      </c>
      <c r="C106" s="674">
        <f>C149</f>
        <v>1500</v>
      </c>
    </row>
    <row r="107" spans="1:8">
      <c r="B107" s="6" t="s">
        <v>1792</v>
      </c>
      <c r="C107" s="674">
        <f>$C$126</f>
        <v>1400</v>
      </c>
    </row>
    <row r="108" spans="1:8">
      <c r="B108" s="6" t="s">
        <v>2071</v>
      </c>
      <c r="C108" s="674">
        <f>$C$132</f>
        <v>2457</v>
      </c>
    </row>
    <row r="109" spans="1:8">
      <c r="B109" s="8" t="s">
        <v>2072</v>
      </c>
      <c r="C109" s="673">
        <f>$C$143</f>
        <v>2293.1999999999998</v>
      </c>
    </row>
    <row r="111" spans="1:8">
      <c r="B111" s="780" t="s">
        <v>4409</v>
      </c>
      <c r="C111" s="781"/>
    </row>
    <row r="112" spans="1:8">
      <c r="B112" s="6" t="s">
        <v>2073</v>
      </c>
      <c r="C112" s="7"/>
    </row>
    <row r="113" spans="1:4">
      <c r="B113" s="6">
        <v>3</v>
      </c>
      <c r="C113" s="670">
        <v>390</v>
      </c>
    </row>
    <row r="114" spans="1:4">
      <c r="B114" s="6">
        <v>5</v>
      </c>
      <c r="C114" s="670">
        <v>350</v>
      </c>
    </row>
    <row r="115" spans="1:4">
      <c r="B115" s="6">
        <v>7</v>
      </c>
      <c r="C115" s="670">
        <v>320</v>
      </c>
    </row>
    <row r="116" spans="1:4">
      <c r="B116" s="6">
        <v>10</v>
      </c>
      <c r="C116" s="670">
        <v>300</v>
      </c>
    </row>
    <row r="117" spans="1:4">
      <c r="B117" s="6">
        <v>13</v>
      </c>
      <c r="C117" s="670">
        <v>260</v>
      </c>
    </row>
    <row r="118" spans="1:4">
      <c r="B118" s="6">
        <v>15</v>
      </c>
      <c r="C118" s="670">
        <v>250</v>
      </c>
    </row>
    <row r="119" spans="1:4">
      <c r="B119" s="6" t="s">
        <v>1563</v>
      </c>
      <c r="C119" s="670">
        <v>1200</v>
      </c>
    </row>
    <row r="120" spans="1:4">
      <c r="B120" s="8" t="s">
        <v>2074</v>
      </c>
      <c r="C120" s="671">
        <f>MAX(_xlfn.XLOOKUP(Resumo!$E$160,$B$113:$B$118,$C$113:$C$118,$C$118,1)*Resumo!$E$160,$C$119)</f>
        <v>2457</v>
      </c>
    </row>
    <row r="121" spans="1:4">
      <c r="A121" s="444"/>
      <c r="C121" s="485"/>
    </row>
    <row r="122" spans="1:4">
      <c r="A122" s="444"/>
      <c r="B122" s="780" t="s">
        <v>2075</v>
      </c>
      <c r="C122" s="781"/>
    </row>
    <row r="123" spans="1:4">
      <c r="A123" s="444"/>
      <c r="B123" s="6" t="s">
        <v>2076</v>
      </c>
      <c r="C123" s="670">
        <v>100</v>
      </c>
    </row>
    <row r="124" spans="1:4">
      <c r="A124" s="444"/>
      <c r="B124" s="6" t="s">
        <v>2077</v>
      </c>
      <c r="C124" s="25">
        <v>0.1</v>
      </c>
      <c r="D124" t="s">
        <v>2078</v>
      </c>
    </row>
    <row r="125" spans="1:4">
      <c r="A125" s="444"/>
      <c r="B125" s="6" t="s">
        <v>1563</v>
      </c>
      <c r="C125" s="7">
        <v>700</v>
      </c>
    </row>
    <row r="126" spans="1:4">
      <c r="A126" s="444"/>
      <c r="B126" s="8" t="s">
        <v>2074</v>
      </c>
      <c r="C126" s="673">
        <f>MAX(Resumo!$E$187*$C$123,$C$125)</f>
        <v>1400</v>
      </c>
    </row>
    <row r="127" spans="1:4">
      <c r="A127" s="444"/>
    </row>
    <row r="128" spans="1:4">
      <c r="A128" s="444"/>
      <c r="B128" s="780" t="s">
        <v>2079</v>
      </c>
      <c r="C128" s="781"/>
    </row>
    <row r="129" spans="1:3">
      <c r="A129" s="444"/>
      <c r="B129" s="6" t="s">
        <v>2080</v>
      </c>
      <c r="C129" s="670">
        <v>300</v>
      </c>
    </row>
    <row r="130" spans="1:3">
      <c r="A130" s="444"/>
      <c r="B130" s="6" t="s">
        <v>2077</v>
      </c>
      <c r="C130" s="25"/>
    </row>
    <row r="131" spans="1:3">
      <c r="A131" s="444"/>
      <c r="B131" s="6" t="s">
        <v>1563</v>
      </c>
      <c r="C131" s="7">
        <v>700</v>
      </c>
    </row>
    <row r="132" spans="1:3">
      <c r="A132" s="444"/>
      <c r="B132" s="8" t="s">
        <v>2074</v>
      </c>
      <c r="C132" s="673">
        <f>MAX(Resumo!$E$160*$C$129,$C$131)</f>
        <v>2457</v>
      </c>
    </row>
    <row r="133" spans="1:3">
      <c r="A133" s="444"/>
    </row>
    <row r="134" spans="1:3">
      <c r="A134" s="444"/>
      <c r="B134" s="780" t="s">
        <v>2081</v>
      </c>
      <c r="C134" s="781"/>
    </row>
    <row r="135" spans="1:3">
      <c r="A135" s="444"/>
      <c r="B135" s="6" t="s">
        <v>2073</v>
      </c>
      <c r="C135" s="7"/>
    </row>
    <row r="136" spans="1:3">
      <c r="B136" s="6">
        <v>3</v>
      </c>
      <c r="C136" s="670">
        <v>390</v>
      </c>
    </row>
    <row r="137" spans="1:3">
      <c r="B137" s="6">
        <v>5</v>
      </c>
      <c r="C137" s="670">
        <v>350</v>
      </c>
    </row>
    <row r="138" spans="1:3">
      <c r="B138" s="6">
        <v>7</v>
      </c>
      <c r="C138" s="670">
        <v>320</v>
      </c>
    </row>
    <row r="139" spans="1:3">
      <c r="B139" s="6">
        <v>10</v>
      </c>
      <c r="C139" s="670">
        <v>280</v>
      </c>
    </row>
    <row r="140" spans="1:3">
      <c r="B140" s="6">
        <v>13</v>
      </c>
      <c r="C140" s="670">
        <v>250</v>
      </c>
    </row>
    <row r="141" spans="1:3">
      <c r="B141" s="6">
        <v>15</v>
      </c>
      <c r="C141" s="670">
        <v>230</v>
      </c>
    </row>
    <row r="142" spans="1:3">
      <c r="B142" s="6" t="s">
        <v>1563</v>
      </c>
      <c r="C142" s="670">
        <v>700</v>
      </c>
    </row>
    <row r="143" spans="1:3">
      <c r="B143" s="8" t="s">
        <v>2074</v>
      </c>
      <c r="C143" s="671">
        <f>MAX(_xlfn.XLOOKUP(Resumo!$E$160,$B$136:$B$141,$C$136:$C$141,$C$141,1)*Resumo!$E$160,$C$142)</f>
        <v>2293.1999999999998</v>
      </c>
    </row>
    <row r="145" spans="1:4">
      <c r="B145" s="780" t="s">
        <v>4410</v>
      </c>
      <c r="C145" s="781"/>
    </row>
    <row r="146" spans="1:4">
      <c r="B146" s="6" t="s">
        <v>4411</v>
      </c>
      <c r="C146" s="7" t="s">
        <v>4412</v>
      </c>
    </row>
    <row r="147" spans="1:4">
      <c r="B147" s="6">
        <v>3</v>
      </c>
      <c r="C147" s="670">
        <v>500</v>
      </c>
    </row>
    <row r="148" spans="1:4">
      <c r="B148" s="6"/>
      <c r="C148" s="670"/>
    </row>
    <row r="149" spans="1:4">
      <c r="B149" s="8" t="s">
        <v>2074</v>
      </c>
      <c r="C149" s="671">
        <f>C147*ROUNDUP(Resumo!$E$187/5,0)</f>
        <v>1500</v>
      </c>
    </row>
    <row r="158" spans="1:4">
      <c r="A158" t="s">
        <v>167</v>
      </c>
      <c r="B158" t="s">
        <v>2082</v>
      </c>
      <c r="C158" t="s">
        <v>2083</v>
      </c>
      <c r="D158" t="s">
        <v>291</v>
      </c>
    </row>
    <row r="159" spans="1:4">
      <c r="A159" t="s">
        <v>43</v>
      </c>
      <c r="B159" t="s">
        <v>2084</v>
      </c>
      <c r="C159" s="28" t="s">
        <v>2085</v>
      </c>
      <c r="D159" s="13">
        <v>1500</v>
      </c>
    </row>
    <row r="160" spans="1:4">
      <c r="A160" t="s">
        <v>43</v>
      </c>
      <c r="B160" t="s">
        <v>2084</v>
      </c>
      <c r="C160" s="28" t="s">
        <v>2086</v>
      </c>
      <c r="D160" s="13">
        <v>3000</v>
      </c>
    </row>
    <row r="161" spans="1:4">
      <c r="A161" t="s">
        <v>143</v>
      </c>
      <c r="B161" t="s">
        <v>2084</v>
      </c>
      <c r="C161" s="28" t="s">
        <v>2087</v>
      </c>
      <c r="D161" s="13">
        <v>250</v>
      </c>
    </row>
    <row r="162" spans="1:4">
      <c r="A162" t="s">
        <v>2088</v>
      </c>
      <c r="B162" t="s">
        <v>2084</v>
      </c>
      <c r="C162" s="28" t="s">
        <v>2089</v>
      </c>
      <c r="D162" s="285">
        <v>0.25</v>
      </c>
    </row>
    <row r="163" spans="1:4">
      <c r="A163" t="s">
        <v>2088</v>
      </c>
      <c r="B163" t="s">
        <v>2084</v>
      </c>
      <c r="C163" s="28" t="s">
        <v>2090</v>
      </c>
      <c r="D163" s="285">
        <v>0.22</v>
      </c>
    </row>
    <row r="164" spans="1:4">
      <c r="A164" t="s">
        <v>2091</v>
      </c>
      <c r="B164" t="s">
        <v>2092</v>
      </c>
      <c r="C164" s="28" t="s">
        <v>2093</v>
      </c>
      <c r="D164" s="13">
        <v>7</v>
      </c>
    </row>
    <row r="165" spans="1:4">
      <c r="A165" t="s">
        <v>2091</v>
      </c>
      <c r="B165" t="s">
        <v>2092</v>
      </c>
      <c r="C165" s="28" t="s">
        <v>2094</v>
      </c>
      <c r="D165" s="13">
        <v>5</v>
      </c>
    </row>
    <row r="166" spans="1:4">
      <c r="A166" t="s">
        <v>143</v>
      </c>
      <c r="B166" t="s">
        <v>2092</v>
      </c>
      <c r="C166" s="28" t="s">
        <v>2095</v>
      </c>
      <c r="D166" s="13">
        <v>250</v>
      </c>
    </row>
    <row r="167" spans="1:4">
      <c r="A167" t="s">
        <v>143</v>
      </c>
      <c r="B167" t="s">
        <v>2092</v>
      </c>
      <c r="C167" s="28" t="s">
        <v>2096</v>
      </c>
      <c r="D167" s="13">
        <v>275</v>
      </c>
    </row>
    <row r="168" spans="1:4">
      <c r="A168" t="s">
        <v>143</v>
      </c>
      <c r="B168" t="s">
        <v>2097</v>
      </c>
      <c r="C168" s="28" t="s">
        <v>2098</v>
      </c>
      <c r="D168" s="13">
        <v>1</v>
      </c>
    </row>
    <row r="169" spans="1:4">
      <c r="A169" t="s">
        <v>143</v>
      </c>
      <c r="B169" t="s">
        <v>2097</v>
      </c>
      <c r="C169" s="28" t="s">
        <v>2099</v>
      </c>
      <c r="D169" s="13">
        <v>0.9</v>
      </c>
    </row>
    <row r="170" spans="1:4">
      <c r="A170" t="s">
        <v>143</v>
      </c>
      <c r="B170" t="s">
        <v>2097</v>
      </c>
      <c r="C170" s="28" t="s">
        <v>2100</v>
      </c>
      <c r="D170" s="13">
        <v>0.82</v>
      </c>
    </row>
    <row r="171" spans="1:4">
      <c r="A171" t="s">
        <v>143</v>
      </c>
      <c r="B171" t="s">
        <v>2101</v>
      </c>
      <c r="C171" s="28" t="s">
        <v>2102</v>
      </c>
      <c r="D171" s="13">
        <v>100</v>
      </c>
    </row>
    <row r="172" spans="1:4">
      <c r="A172" t="s">
        <v>143</v>
      </c>
      <c r="B172" t="s">
        <v>2101</v>
      </c>
      <c r="C172" s="28" t="s">
        <v>2103</v>
      </c>
      <c r="D172" s="13">
        <v>320</v>
      </c>
    </row>
    <row r="173" spans="1:4">
      <c r="A173" t="s">
        <v>143</v>
      </c>
      <c r="B173" t="s">
        <v>2101</v>
      </c>
      <c r="C173" s="28" t="s">
        <v>2104</v>
      </c>
      <c r="D173" s="13">
        <v>260</v>
      </c>
    </row>
    <row r="174" spans="1:4">
      <c r="A174" t="s">
        <v>1583</v>
      </c>
      <c r="B174" t="s">
        <v>2101</v>
      </c>
      <c r="C174" s="28" t="s">
        <v>2105</v>
      </c>
      <c r="D174" s="13">
        <v>180</v>
      </c>
    </row>
    <row r="175" spans="1:4">
      <c r="A175" t="s">
        <v>2091</v>
      </c>
      <c r="B175" t="s">
        <v>2101</v>
      </c>
      <c r="C175" s="28" t="s">
        <v>2093</v>
      </c>
      <c r="D175" s="13">
        <v>4</v>
      </c>
    </row>
    <row r="176" spans="1:4">
      <c r="A176" t="s">
        <v>2091</v>
      </c>
      <c r="B176" t="s">
        <v>2101</v>
      </c>
      <c r="C176" s="28" t="s">
        <v>2094</v>
      </c>
      <c r="D176" s="13">
        <v>3</v>
      </c>
    </row>
    <row r="177" spans="1:4">
      <c r="A177" t="s">
        <v>43</v>
      </c>
      <c r="B177" t="s">
        <v>2101</v>
      </c>
      <c r="C177" s="28" t="s">
        <v>2106</v>
      </c>
      <c r="D177" s="13">
        <v>1600</v>
      </c>
    </row>
    <row r="178" spans="1:4">
      <c r="A178" t="s">
        <v>43</v>
      </c>
      <c r="B178" t="s">
        <v>2101</v>
      </c>
      <c r="C178" s="28" t="s">
        <v>2107</v>
      </c>
      <c r="D178" s="13">
        <v>800</v>
      </c>
    </row>
    <row r="179" spans="1:4">
      <c r="A179" t="s">
        <v>43</v>
      </c>
      <c r="B179" t="s">
        <v>2101</v>
      </c>
      <c r="C179" s="28" t="s">
        <v>2108</v>
      </c>
      <c r="D179" s="13">
        <v>900</v>
      </c>
    </row>
    <row r="180" spans="1:4">
      <c r="A180" t="s">
        <v>43</v>
      </c>
      <c r="B180" t="s">
        <v>2101</v>
      </c>
      <c r="C180" s="28" t="s">
        <v>2109</v>
      </c>
      <c r="D180" s="13">
        <v>1500</v>
      </c>
    </row>
    <row r="181" spans="1:4">
      <c r="A181" t="s">
        <v>143</v>
      </c>
      <c r="B181" t="s">
        <v>2110</v>
      </c>
      <c r="C181" s="28" t="s">
        <v>2111</v>
      </c>
      <c r="D181" s="13">
        <v>390</v>
      </c>
    </row>
    <row r="182" spans="1:4">
      <c r="A182" t="s">
        <v>143</v>
      </c>
      <c r="B182" t="s">
        <v>2110</v>
      </c>
      <c r="C182" s="28" t="s">
        <v>2112</v>
      </c>
      <c r="D182" s="13">
        <v>350</v>
      </c>
    </row>
    <row r="183" spans="1:4">
      <c r="A183" t="s">
        <v>143</v>
      </c>
      <c r="B183" t="s">
        <v>2110</v>
      </c>
      <c r="C183" s="28" t="s">
        <v>2113</v>
      </c>
      <c r="D183" s="13">
        <v>320</v>
      </c>
    </row>
    <row r="184" spans="1:4">
      <c r="A184" t="s">
        <v>143</v>
      </c>
      <c r="B184" t="s">
        <v>2110</v>
      </c>
      <c r="C184" s="28" t="s">
        <v>2114</v>
      </c>
      <c r="D184" s="13">
        <v>280</v>
      </c>
    </row>
    <row r="185" spans="1:4">
      <c r="A185" t="s">
        <v>143</v>
      </c>
      <c r="B185" t="s">
        <v>2110</v>
      </c>
      <c r="C185" s="28" t="s">
        <v>2115</v>
      </c>
      <c r="D185" s="13">
        <v>250</v>
      </c>
    </row>
    <row r="186" spans="1:4">
      <c r="A186" t="s">
        <v>143</v>
      </c>
      <c r="B186" t="s">
        <v>2110</v>
      </c>
      <c r="C186" s="28" t="s">
        <v>2116</v>
      </c>
      <c r="D186" s="13">
        <v>230</v>
      </c>
    </row>
    <row r="187" spans="1:4">
      <c r="A187" t="s">
        <v>43</v>
      </c>
      <c r="B187" t="s">
        <v>2117</v>
      </c>
      <c r="C187" s="28" t="s">
        <v>2087</v>
      </c>
      <c r="D187" s="13">
        <v>200</v>
      </c>
    </row>
    <row r="188" spans="1:4">
      <c r="A188" t="s">
        <v>143</v>
      </c>
      <c r="B188" t="s">
        <v>2117</v>
      </c>
      <c r="C188" s="28" t="s">
        <v>2087</v>
      </c>
      <c r="D188" s="13">
        <v>250</v>
      </c>
    </row>
    <row r="189" spans="1:4">
      <c r="A189" t="s">
        <v>1583</v>
      </c>
      <c r="B189" t="s">
        <v>2117</v>
      </c>
      <c r="C189" s="28" t="s">
        <v>2105</v>
      </c>
      <c r="D189" s="13">
        <v>75</v>
      </c>
    </row>
    <row r="190" spans="1:4">
      <c r="A190" t="s">
        <v>2088</v>
      </c>
      <c r="B190" t="s">
        <v>2117</v>
      </c>
      <c r="C190" s="28" t="s">
        <v>2089</v>
      </c>
      <c r="D190" s="29">
        <v>0.2</v>
      </c>
    </row>
    <row r="191" spans="1:4">
      <c r="A191" t="s">
        <v>2088</v>
      </c>
      <c r="B191" t="s">
        <v>2117</v>
      </c>
      <c r="C191" s="28" t="s">
        <v>2090</v>
      </c>
      <c r="D191" s="29">
        <v>0.15</v>
      </c>
    </row>
    <row r="192" spans="1:4">
      <c r="A192" t="s">
        <v>43</v>
      </c>
      <c r="B192" t="s">
        <v>2118</v>
      </c>
      <c r="C192" s="28" t="s">
        <v>2112</v>
      </c>
      <c r="D192" s="13">
        <v>1180</v>
      </c>
    </row>
    <row r="193" spans="3:4">
      <c r="C193" s="28" t="s">
        <v>2114</v>
      </c>
      <c r="D193" s="13">
        <v>1280</v>
      </c>
    </row>
    <row r="194" spans="3:4">
      <c r="C194" s="28" t="s">
        <v>2119</v>
      </c>
      <c r="D194" s="13">
        <v>1750</v>
      </c>
    </row>
    <row r="195" spans="3:4">
      <c r="C195" s="28" t="s">
        <v>2120</v>
      </c>
      <c r="D195" s="13">
        <v>2750</v>
      </c>
    </row>
    <row r="196" spans="3:4">
      <c r="C196" s="28" t="s">
        <v>2121</v>
      </c>
      <c r="D196" s="13">
        <v>3750</v>
      </c>
    </row>
    <row r="197" spans="3:4">
      <c r="C197" s="28" t="s">
        <v>2122</v>
      </c>
      <c r="D197" s="13">
        <v>4750</v>
      </c>
    </row>
    <row r="198" spans="3:4">
      <c r="C198" s="28" t="s">
        <v>2123</v>
      </c>
      <c r="D198" s="13">
        <v>5750</v>
      </c>
    </row>
    <row r="212" spans="2:3">
      <c r="B212" t="s">
        <v>2124</v>
      </c>
      <c r="C212" s="32">
        <f>C213+C214</f>
        <v>2.6399999999999997</v>
      </c>
    </row>
    <row r="213" spans="2:3">
      <c r="B213" s="237" t="s">
        <v>2125</v>
      </c>
      <c r="C213" s="32">
        <f>ROUNDUP(C218/C217,0)</f>
        <v>1</v>
      </c>
    </row>
    <row r="214" spans="2:3">
      <c r="B214" s="237" t="s">
        <v>2126</v>
      </c>
      <c r="C214" s="32">
        <f>C221/C219</f>
        <v>1.64</v>
      </c>
    </row>
    <row r="216" spans="2:3">
      <c r="B216" t="s">
        <v>2127</v>
      </c>
    </row>
    <row r="217" spans="2:3">
      <c r="B217" t="s">
        <v>2128</v>
      </c>
      <c r="C217">
        <v>8</v>
      </c>
    </row>
    <row r="218" spans="2:3">
      <c r="B218" t="s">
        <v>2129</v>
      </c>
      <c r="C218" s="32">
        <v>7</v>
      </c>
    </row>
    <row r="219" spans="2:3">
      <c r="B219" t="s">
        <v>2130</v>
      </c>
      <c r="C219">
        <v>5000</v>
      </c>
    </row>
    <row r="221" spans="2:3">
      <c r="B221" t="s">
        <v>2131</v>
      </c>
      <c r="C221" s="32">
        <f>SUM(C222:C226)</f>
        <v>8200</v>
      </c>
    </row>
    <row r="222" spans="2:3">
      <c r="B222" s="237" t="s">
        <v>2132</v>
      </c>
      <c r="C222" s="32">
        <v>1600</v>
      </c>
    </row>
    <row r="223" spans="2:3">
      <c r="B223" s="237" t="s">
        <v>2133</v>
      </c>
      <c r="C223" s="32">
        <v>4000</v>
      </c>
    </row>
    <row r="224" spans="2:3">
      <c r="B224" s="237" t="s">
        <v>2134</v>
      </c>
      <c r="C224" s="32">
        <v>1600</v>
      </c>
    </row>
    <row r="225" spans="2:3">
      <c r="B225" s="237" t="s">
        <v>2135</v>
      </c>
      <c r="C225" s="32">
        <v>600</v>
      </c>
    </row>
    <row r="226" spans="2:3">
      <c r="B226" s="237" t="s">
        <v>2136</v>
      </c>
      <c r="C226" s="32">
        <v>400</v>
      </c>
    </row>
    <row r="228" spans="2:3">
      <c r="B228" s="237" t="s">
        <v>2137</v>
      </c>
    </row>
    <row r="229" spans="2:3">
      <c r="B229" s="237" t="s">
        <v>2138</v>
      </c>
      <c r="C229" t="s">
        <v>2139</v>
      </c>
    </row>
    <row r="230" spans="2:3">
      <c r="B230" s="237" t="s">
        <v>2140</v>
      </c>
      <c r="C230" t="s">
        <v>2141</v>
      </c>
    </row>
    <row r="231" spans="2:3">
      <c r="B231" s="237" t="s">
        <v>2142</v>
      </c>
      <c r="C231" t="s">
        <v>2143</v>
      </c>
    </row>
    <row r="232" spans="2:3">
      <c r="B232" s="237" t="s">
        <v>2144</v>
      </c>
      <c r="C232" t="s">
        <v>2145</v>
      </c>
    </row>
  </sheetData>
  <sheetProtection selectLockedCells="1"/>
  <mergeCells count="6">
    <mergeCell ref="B145:C145"/>
    <mergeCell ref="O4:O5"/>
    <mergeCell ref="B111:C111"/>
    <mergeCell ref="B122:C122"/>
    <mergeCell ref="B128:C128"/>
    <mergeCell ref="B134:C134"/>
  </mergeCells>
  <phoneticPr fontId="2" type="noConversion"/>
  <conditionalFormatting sqref="B1:E2">
    <cfRule type="expression" dxfId="66" priority="14">
      <formula>$D$1="VERIFICAR"</formula>
    </cfRule>
  </conditionalFormatting>
  <dataValidations disablePrompts="1" count="2">
    <dataValidation type="list" allowBlank="1" showInputMessage="1" showErrorMessage="1" sqref="I5" xr:uid="{AB84C78B-DEEB-49CC-AA24-D6A3A9856509}">
      <formula1>"Sim,Não"</formula1>
    </dataValidation>
    <dataValidation type="list" allowBlank="1" showInputMessage="1" showErrorMessage="1" sqref="I4" xr:uid="{7F52F2D4-C6B1-4B0A-89CF-C4036F64558B}">
      <formula1>$B$105:$B$109</formula1>
    </dataValidation>
  </dataValidations>
  <hyperlinks>
    <hyperlink ref="BC6" r:id="rId1" display="https://www.eneldistribuicao.com.br/PortalGD/ENELRJ/Acessante/" xr:uid="{FB778C43-D823-4381-886C-D58A78EA7625}"/>
    <hyperlink ref="BC4" r:id="rId2" xr:uid="{F8BCF32E-E19F-4CFB-96EC-DB92DF500BAD}"/>
    <hyperlink ref="BB21" r:id="rId3" xr:uid="{AC4A9FE4-5D2A-4FB5-9468-738A71ABB18E}"/>
    <hyperlink ref="BW32" location="Simulação!AG1" display="Cronograma" xr:uid="{EB9EBFDE-A45A-4CFA-B398-4D5A8410CEDC}"/>
    <hyperlink ref="BW33" location="Simulação!CV1" display="Consumo de equipamentos" xr:uid="{9C699C50-35A1-4761-B934-120F5ED0A22F}"/>
    <hyperlink ref="BW34" r:id="rId4" xr:uid="{D413BDBA-7DDF-433E-B400-D372DC2C56A2}"/>
    <hyperlink ref="BW37" r:id="rId5" display="CREA (SITE)" xr:uid="{933839B7-D272-4C2D-B59F-13CF9CA330E2}"/>
  </hyperlinks>
  <pageMargins left="0.511811024" right="0.511811024" top="0.78740157499999996" bottom="0.78740157499999996" header="0.31496062000000002" footer="0.31496062000000002"/>
  <pageSetup paperSize="9" orientation="portrait" r:id="rId6"/>
  <drawing r:id="rId7"/>
  <legacyDrawing r:id="rId8"/>
  <extLst>
    <ext xmlns:x14="http://schemas.microsoft.com/office/spreadsheetml/2009/9/main" uri="{78C0D931-6437-407d-A8EE-F0AAD7539E65}">
      <x14:conditionalFormattings>
        <x14:conditionalFormatting xmlns:xm="http://schemas.microsoft.com/office/excel/2006/main">
          <x14:cfRule type="expression" priority="12" id="{8A09343D-4C6B-4184-B526-06F8756849FB}">
            <xm:f>Resumo!$CC$1=""</xm:f>
            <x14:dxf>
              <font>
                <color theme="0"/>
              </font>
              <fill>
                <patternFill>
                  <bgColor theme="0"/>
                </patternFill>
              </fill>
            </x14:dxf>
          </x14:cfRule>
          <xm:sqref>A1:V30 A31:G33 J31:V33 H32:I33 F145:V150 A145:E158 A34:V36 A110:V144 A106:A109 D106:V109 B107:C109 A39:V105 A37:G38 I37:V38</xm:sqref>
        </x14:conditionalFormatting>
        <x14:conditionalFormatting xmlns:xm="http://schemas.microsoft.com/office/excel/2006/main">
          <x14:cfRule type="expression" priority="2" id="{AAC6ED6B-3E4D-4E07-9FF4-2662F7CEA561}">
            <xm:f>Resumo!$CC$1=""</xm:f>
            <x14:dxf>
              <font>
                <color theme="0"/>
              </font>
              <fill>
                <patternFill>
                  <bgColor theme="0"/>
                </patternFill>
              </fill>
            </x14:dxf>
          </x14:cfRule>
          <xm:sqref>H31:I31</xm:sqref>
        </x14:conditionalFormatting>
        <x14:conditionalFormatting xmlns:xm="http://schemas.microsoft.com/office/excel/2006/main">
          <x14:cfRule type="expression" priority="1" id="{DBAF28B4-1373-46C4-A232-640698EEAE26}">
            <xm:f>Resumo!$CC$1=""</xm:f>
            <x14:dxf>
              <font>
                <color theme="0"/>
              </font>
              <fill>
                <patternFill>
                  <bgColor theme="0"/>
                </patternFill>
              </fill>
            </x14:dxf>
          </x14:cfRule>
          <xm:sqref>B106:C106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A1109-8482-4C2D-918B-A0D6E6E59734}">
  <sheetPr codeName="Planilha12"/>
  <dimension ref="A1:K27"/>
  <sheetViews>
    <sheetView zoomScale="115" zoomScaleNormal="115" workbookViewId="0">
      <selection activeCell="D14" sqref="D14"/>
    </sheetView>
  </sheetViews>
  <sheetFormatPr defaultColWidth="0" defaultRowHeight="15" zeroHeight="1"/>
  <cols>
    <col min="1" max="1" width="9.7109375" style="445" customWidth="1"/>
    <col min="2" max="2" width="6.85546875" style="445" customWidth="1"/>
    <col min="3" max="3" width="18.5703125" style="445" customWidth="1"/>
    <col min="4" max="4" width="16.7109375" style="445" customWidth="1"/>
    <col min="5" max="5" width="16.5703125" style="445" customWidth="1"/>
    <col min="6" max="6" width="16.140625" style="445" customWidth="1"/>
    <col min="7" max="7" width="13.85546875" style="445" customWidth="1"/>
    <col min="8" max="8" width="10.5703125" style="445" customWidth="1"/>
    <col min="9" max="9" width="9.140625" style="445" customWidth="1"/>
    <col min="10" max="10" width="12.85546875" style="445" customWidth="1"/>
    <col min="11" max="11" width="8.85546875" style="445" customWidth="1"/>
    <col min="12" max="16384" width="8.85546875" style="445" hidden="1"/>
  </cols>
  <sheetData>
    <row r="1" spans="1:11">
      <c r="A1" s="446"/>
      <c r="B1" s="446"/>
      <c r="C1" s="446"/>
      <c r="D1" s="446"/>
      <c r="E1" s="446"/>
      <c r="F1" s="446"/>
      <c r="G1" s="751">
        <f>Orçamento!D28</f>
        <v>3572.1819333333333</v>
      </c>
      <c r="H1" s="446"/>
      <c r="I1" s="446"/>
      <c r="J1" s="446"/>
      <c r="K1" s="669">
        <f>Orçamento!$C$28</f>
        <v>0.15239684015927191</v>
      </c>
    </row>
    <row r="2" spans="1:11">
      <c r="A2" s="446"/>
      <c r="B2" s="446"/>
      <c r="C2" s="446"/>
      <c r="D2" s="446"/>
      <c r="E2" s="446"/>
      <c r="F2" s="446"/>
      <c r="G2" s="446"/>
      <c r="H2" s="446"/>
      <c r="I2" s="446"/>
      <c r="J2" s="446"/>
      <c r="K2" s="446"/>
    </row>
    <row r="3" spans="1:11">
      <c r="A3" s="464"/>
      <c r="B3" s="464"/>
      <c r="C3" s="447" t="str">
        <f>"Sistema Simulado de "&amp;TEXT(Resumo!E189,"0,00 kWp")</f>
        <v>Sistema Simulado de 8,19 kWp</v>
      </c>
      <c r="D3" s="446"/>
      <c r="E3" s="446"/>
      <c r="F3" s="464" t="str">
        <f>IF(INDEX(KIT_FV[Kit],MATCH("x",KIT_FV[Escolhido],0))=Resumo!E189,"","VERIFICAR")</f>
        <v>VERIFICAR</v>
      </c>
      <c r="G3" s="464"/>
      <c r="H3" s="464"/>
      <c r="I3" s="464"/>
      <c r="J3" s="464"/>
      <c r="K3" s="464"/>
    </row>
    <row r="4" spans="1:11">
      <c r="A4" s="464"/>
      <c r="B4" s="464"/>
      <c r="C4" s="446" t="str">
        <f>"KIT Selecionado: Pré Orçamento - Kit "&amp;INDEX(KIT_FV[Inversor],MATCH("x",KIT_FV[Escolhido],0))&amp;" - "&amp;TEXT(INDEX(KIT_FV[Kit],MATCH("x",KIT_FV[Escolhido],0)),"0,00 kWp")</f>
        <v>KIT Selecionado: Pré Orçamento - Kit SOLIS - 8,55 kWp</v>
      </c>
      <c r="D4" s="446"/>
      <c r="E4" s="446"/>
      <c r="F4" s="464"/>
      <c r="G4" s="464"/>
      <c r="H4" s="464"/>
      <c r="I4" s="464"/>
      <c r="J4" s="464"/>
      <c r="K4" s="464"/>
    </row>
    <row r="5" spans="1:11" ht="15.75">
      <c r="A5" s="721" t="str">
        <f>"Valor do Kit: "&amp;TEXT(Resumo!E329,"R$0.000,00")</f>
        <v>Valor do Kit: R$13.003,91</v>
      </c>
      <c r="B5" s="446"/>
      <c r="C5" s="446"/>
      <c r="D5" s="446"/>
      <c r="E5" s="446"/>
      <c r="F5" s="446"/>
      <c r="G5" s="446"/>
      <c r="H5" s="446"/>
      <c r="I5" s="446"/>
      <c r="J5" s="446"/>
      <c r="K5" s="446"/>
    </row>
    <row r="6" spans="1:11">
      <c r="A6" s="732" t="s">
        <v>1749</v>
      </c>
      <c r="B6" s="743">
        <v>1.4999999999999999E-2</v>
      </c>
      <c r="C6" s="731">
        <f>$B$6*$D$17</f>
        <v>351.59999999999997</v>
      </c>
      <c r="E6" s="446"/>
      <c r="F6" s="446"/>
      <c r="G6" s="446"/>
      <c r="H6" s="446"/>
      <c r="I6" s="446"/>
      <c r="J6" s="446"/>
      <c r="K6" s="446"/>
    </row>
    <row r="7" spans="1:11" ht="19.899999999999999" customHeight="1">
      <c r="A7" s="732" t="s">
        <v>1749</v>
      </c>
      <c r="B7" s="733">
        <v>0.03</v>
      </c>
      <c r="C7" s="731">
        <f>$B$7*$D$17</f>
        <v>703.19999999999993</v>
      </c>
      <c r="K7" s="446"/>
    </row>
    <row r="8" spans="1:11" ht="19.899999999999999" customHeight="1">
      <c r="K8" s="446"/>
    </row>
    <row r="9" spans="1:11" ht="19.899999999999999" customHeight="1">
      <c r="E9" s="446"/>
      <c r="F9" s="446"/>
      <c r="G9" s="446"/>
      <c r="H9" s="446"/>
      <c r="K9" s="446"/>
    </row>
    <row r="10" spans="1:11" ht="19.899999999999999" customHeight="1">
      <c r="A10" s="446"/>
      <c r="B10" s="446"/>
      <c r="E10" s="446"/>
      <c r="F10" s="446"/>
      <c r="G10" s="446"/>
      <c r="H10" s="446"/>
      <c r="J10" s="728"/>
      <c r="K10" s="446"/>
    </row>
    <row r="11" spans="1:11" ht="19.899999999999999" customHeight="1">
      <c r="A11" s="446"/>
      <c r="B11" s="446"/>
      <c r="E11" s="446"/>
      <c r="F11" s="446" t="s">
        <v>1752</v>
      </c>
      <c r="K11" s="446"/>
    </row>
    <row r="12" spans="1:11" ht="19.899999999999999" customHeight="1">
      <c r="A12" s="446"/>
      <c r="B12" s="446"/>
      <c r="C12" s="458" t="s">
        <v>1750</v>
      </c>
      <c r="D12" s="482"/>
      <c r="E12" s="446"/>
      <c r="F12" s="446"/>
      <c r="G12" s="446"/>
      <c r="H12" s="446"/>
      <c r="K12" s="446"/>
    </row>
    <row r="13" spans="1:11" ht="19.899999999999999" customHeight="1">
      <c r="A13" s="446"/>
      <c r="B13" s="446"/>
      <c r="C13" s="458" t="s">
        <v>1751</v>
      </c>
      <c r="D13" s="483" t="s">
        <v>3671</v>
      </c>
      <c r="E13" s="448"/>
      <c r="F13" s="446"/>
      <c r="G13" s="446"/>
      <c r="K13" s="446"/>
    </row>
    <row r="14" spans="1:11" ht="19.899999999999999" customHeight="1">
      <c r="A14" s="446"/>
      <c r="B14" s="446"/>
      <c r="C14" s="457" t="s">
        <v>1753</v>
      </c>
      <c r="D14" s="484"/>
      <c r="E14" s="446"/>
      <c r="F14" s="446"/>
      <c r="G14" s="446"/>
      <c r="H14" s="446"/>
      <c r="K14" s="446"/>
    </row>
    <row r="15" spans="1:11" ht="19.899999999999999" customHeight="1">
      <c r="A15" s="446"/>
      <c r="B15" s="446"/>
      <c r="C15" s="457"/>
      <c r="D15" s="457"/>
      <c r="E15" s="446"/>
      <c r="F15" s="446"/>
      <c r="G15" s="446"/>
      <c r="H15" s="446"/>
      <c r="K15" s="446"/>
    </row>
    <row r="16" spans="1:11" ht="19.899999999999999" customHeight="1">
      <c r="A16" s="446"/>
      <c r="B16" s="446"/>
      <c r="C16" s="719" t="s">
        <v>3667</v>
      </c>
      <c r="D16" s="720">
        <f>ROUND((MAX(Orçamento!$D$24,Orçamento!$J$29)*(1+Orçamento!$D$39-Orçamento!$D$38)+IF(Orçamento!$D$28&lt;Orçamento!$D$40,Orçamento!$D$40-Orçamento!$D$28,0))/100,0)*100</f>
        <v>23400</v>
      </c>
      <c r="E16" s="446"/>
      <c r="G16" s="446"/>
      <c r="H16" s="446"/>
      <c r="K16" s="446"/>
    </row>
    <row r="17" spans="1:11" ht="27.6" customHeight="1">
      <c r="A17" s="446"/>
      <c r="B17" s="446"/>
      <c r="C17" s="459" t="s">
        <v>3668</v>
      </c>
      <c r="D17" s="788">
        <f>IF(Orçamento!D26="",Orçamento!D24,Orçamento!D26)</f>
        <v>23440</v>
      </c>
      <c r="E17" s="788"/>
      <c r="G17" s="446"/>
      <c r="H17" s="446"/>
      <c r="K17" s="446"/>
    </row>
    <row r="18" spans="1:11" ht="23.45" customHeight="1">
      <c r="A18" s="446"/>
      <c r="B18" s="446"/>
      <c r="C18" s="722" t="s">
        <v>3670</v>
      </c>
      <c r="D18" s="727">
        <f>D17/D16-1</f>
        <v>1.7094017094017033E-3</v>
      </c>
      <c r="E18" s="446"/>
      <c r="F18" s="446"/>
      <c r="G18" s="446"/>
      <c r="K18" s="446"/>
    </row>
    <row r="19" spans="1:11">
      <c r="A19" s="446"/>
      <c r="B19" s="446"/>
      <c r="G19" s="446"/>
      <c r="H19" s="446"/>
      <c r="K19" s="446"/>
    </row>
    <row r="20" spans="1:11">
      <c r="A20" s="745" t="str">
        <f>"Valor da proposta (8% a mais): "&amp;TEXT(Resumo!I347,"R$ #.##0,00")</f>
        <v>Valor da proposta (8% a mais): R$ 29.300,00</v>
      </c>
      <c r="B20" s="446"/>
      <c r="G20" s="446"/>
      <c r="H20" s="446"/>
      <c r="K20" s="446"/>
    </row>
    <row r="21" spans="1:11">
      <c r="C21" s="449" t="s">
        <v>1755</v>
      </c>
      <c r="D21" s="450"/>
      <c r="E21" s="450"/>
      <c r="G21" s="446"/>
      <c r="H21" s="446"/>
      <c r="J21" s="508"/>
      <c r="K21" s="446"/>
    </row>
    <row r="22" spans="1:11">
      <c r="C22" s="451"/>
      <c r="D22" s="451" t="s">
        <v>1737</v>
      </c>
      <c r="E22" s="451" t="s">
        <v>1756</v>
      </c>
      <c r="G22" s="446"/>
      <c r="H22" s="723"/>
      <c r="I22" s="724" t="s">
        <v>1728</v>
      </c>
      <c r="J22" s="725" t="str">
        <f ca="1">Resumo!$F$367&amp;TEXT(Resumo!$E$367," (0,00)")</f>
        <v>2 anos e 2 meses (2,25)</v>
      </c>
      <c r="K22" s="723"/>
    </row>
    <row r="23" spans="1:11">
      <c r="C23" s="452" t="s">
        <v>1757</v>
      </c>
      <c r="D23" s="463">
        <f>Orçamento!I25</f>
        <v>2.8620268620268621</v>
      </c>
      <c r="E23" s="452"/>
      <c r="G23" s="446"/>
      <c r="H23" s="723"/>
      <c r="I23" s="724" t="s">
        <v>1729</v>
      </c>
      <c r="J23" s="726">
        <f ca="1">Resumo!$E$379</f>
        <v>1099.4440330811947</v>
      </c>
      <c r="K23" s="723"/>
    </row>
    <row r="24" spans="1:11">
      <c r="C24" s="452" t="s">
        <v>1758</v>
      </c>
      <c r="D24" s="454">
        <f>Orçamento!I28</f>
        <v>2.58</v>
      </c>
      <c r="E24" s="453">
        <f>Orçamento!I30</f>
        <v>21130.199999999997</v>
      </c>
      <c r="F24" s="446"/>
      <c r="G24" s="446"/>
      <c r="H24" s="723"/>
      <c r="I24" s="724" t="s">
        <v>1730</v>
      </c>
      <c r="J24" s="726">
        <f ca="1">Resumo!$E$380</f>
        <v>190.3498353829211</v>
      </c>
      <c r="K24" s="723"/>
    </row>
    <row r="25" spans="1:11">
      <c r="C25" s="455" t="s">
        <v>1759</v>
      </c>
      <c r="D25" s="456">
        <f>Orçamento!I33/Resumo!$E$160/1000</f>
        <v>2.6991454347289947</v>
      </c>
      <c r="E25" s="456">
        <f>Orçamento!I33</f>
        <v>22106.001110430465</v>
      </c>
      <c r="F25" s="446"/>
      <c r="G25" s="446"/>
      <c r="H25" s="723"/>
      <c r="I25" s="724" t="s">
        <v>1731</v>
      </c>
      <c r="J25" s="726">
        <f ca="1">SUM(Financeiro!$J$173:$J$182)</f>
        <v>147766.39538526747</v>
      </c>
      <c r="K25" s="723"/>
    </row>
    <row r="26" spans="1:11">
      <c r="C26" s="446"/>
      <c r="D26" s="446"/>
      <c r="E26" s="446"/>
      <c r="F26" s="446"/>
      <c r="G26" s="446"/>
      <c r="H26" s="723"/>
      <c r="I26" s="724" t="s">
        <v>1732</v>
      </c>
      <c r="J26" s="726">
        <f ca="1">SUM(Financeiro!$J$173:$J$197)</f>
        <v>456366.36409468192</v>
      </c>
      <c r="K26" s="723"/>
    </row>
    <row r="27" spans="1:11">
      <c r="C27" s="460" t="s">
        <v>1760</v>
      </c>
      <c r="D27" s="461">
        <f>MIN(MAX(ROUNDDOWN(SUM(Orçamento!D5:D8)/83,0)*100-SUM(Orçamento!$D$38:$D$39),(Orçamento!$J$29+Orçamento!$D$12)*0.95),E24)</f>
        <v>19273.496791999998</v>
      </c>
      <c r="E27" s="462">
        <f>MAX(Orçamento!$I$30:$I$34,Orçamento!$D$24,$D$16)*1.15</f>
        <v>27511.744075256647</v>
      </c>
      <c r="F27" s="446"/>
      <c r="G27" s="446"/>
      <c r="H27" s="723"/>
      <c r="I27" s="724" t="s">
        <v>1733</v>
      </c>
      <c r="J27" s="726">
        <f ca="1">SUM(Financeiro!$D$173:$D$182)</f>
        <v>191152.4332391007</v>
      </c>
      <c r="K27" s="723"/>
    </row>
  </sheetData>
  <sheetProtection formatRows="0" selectLockedCells="1"/>
  <mergeCells count="1">
    <mergeCell ref="D17:E17"/>
  </mergeCells>
  <conditionalFormatting sqref="A3:K4">
    <cfRule type="expression" dxfId="62" priority="78">
      <formula>$F$3="VERIFICAR"</formula>
    </cfRule>
  </conditionalFormatting>
  <conditionalFormatting sqref="D14">
    <cfRule type="cellIs" dxfId="61" priority="112" operator="lessThan">
      <formula>$D$27</formula>
    </cfRule>
  </conditionalFormatting>
  <dataValidations count="2">
    <dataValidation type="list" allowBlank="1" showInputMessage="1" showErrorMessage="1" sqref="D13" xr:uid="{AE3CB686-6894-4030-8902-8DF23C6C4017}">
      <formula1>"VENDEDOR,INDICAÇÃO COMISSIONADA"</formula1>
    </dataValidation>
    <dataValidation type="decimal" allowBlank="1" showInputMessage="1" showErrorMessage="1" sqref="D14" xr:uid="{A55F20BF-648B-4125-BB66-9DC188891EA5}">
      <formula1>$D$27</formula1>
      <formula2>$E$27</formula2>
    </dataValidation>
  </dataValidations>
  <pageMargins left="0.511811024" right="0.511811024" top="0.78740157499999996" bottom="0.78740157499999996" header="0.31496062000000002" footer="0.31496062000000002"/>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ED346-27E4-4857-8A38-9FDC3D0172CA}">
  <sheetPr codeName="Planilha24">
    <tabColor theme="9" tint="-0.249977111117893"/>
  </sheetPr>
  <dimension ref="A1:T38"/>
  <sheetViews>
    <sheetView showGridLines="0" workbookViewId="0">
      <selection activeCell="L20" sqref="L20"/>
    </sheetView>
  </sheetViews>
  <sheetFormatPr defaultColWidth="0" defaultRowHeight="15" zeroHeight="1"/>
  <cols>
    <col min="1" max="1" width="1.7109375" style="603" customWidth="1"/>
    <col min="2" max="6" width="8.85546875" customWidth="1"/>
    <col min="7" max="7" width="22.28515625" bestFit="1" customWidth="1"/>
    <col min="8" max="8" width="9.7109375" customWidth="1"/>
    <col min="9" max="11" width="8.85546875" customWidth="1"/>
    <col min="12" max="12" width="38.85546875" bestFit="1" customWidth="1"/>
    <col min="13" max="16" width="8.85546875" customWidth="1"/>
    <col min="17" max="17" width="53.28515625" bestFit="1" customWidth="1"/>
    <col min="18" max="18" width="14.42578125" bestFit="1" customWidth="1"/>
    <col min="19" max="19" width="8.85546875" customWidth="1"/>
    <col min="20" max="20" width="1.7109375" style="603" customWidth="1"/>
    <col min="21" max="16384" width="8.85546875" hidden="1"/>
  </cols>
  <sheetData>
    <row r="1" spans="7:17" s="603" customFormat="1" ht="18.600000000000001" customHeight="1"/>
    <row r="2" spans="7:17">
      <c r="P2" s="284" t="s">
        <v>2146</v>
      </c>
      <c r="Q2" s="190"/>
    </row>
    <row r="3" spans="7:17"/>
    <row r="4" spans="7:17">
      <c r="P4" s="284" t="s">
        <v>43</v>
      </c>
      <c r="Q4" s="190"/>
    </row>
    <row r="5" spans="7:17">
      <c r="P5" s="28" t="s">
        <v>2147</v>
      </c>
      <c r="Q5" s="314" t="s">
        <v>2148</v>
      </c>
    </row>
    <row r="6" spans="7:17">
      <c r="G6" t="s">
        <v>2149</v>
      </c>
      <c r="P6" s="28" t="s">
        <v>2150</v>
      </c>
      <c r="Q6" s="314">
        <v>2018125837</v>
      </c>
    </row>
    <row r="7" spans="7:17">
      <c r="G7" s="3" t="s">
        <v>2151</v>
      </c>
      <c r="H7" s="301"/>
      <c r="P7" s="28" t="s">
        <v>2152</v>
      </c>
      <c r="Q7" s="315">
        <v>21976811065</v>
      </c>
    </row>
    <row r="8" spans="7:17">
      <c r="G8" s="8" t="s">
        <v>2153</v>
      </c>
      <c r="H8" s="303"/>
      <c r="P8" s="28" t="s">
        <v>2154</v>
      </c>
      <c r="Q8" s="316" t="s">
        <v>4648</v>
      </c>
    </row>
    <row r="9" spans="7:17">
      <c r="P9" s="28" t="s">
        <v>2156</v>
      </c>
      <c r="Q9" s="313"/>
    </row>
    <row r="10" spans="7:17">
      <c r="G10" s="596" t="s">
        <v>2157</v>
      </c>
      <c r="H10" s="599"/>
      <c r="P10" s="28"/>
      <c r="Q10" s="87"/>
    </row>
    <row r="11" spans="7:17">
      <c r="G11" s="597" t="s">
        <v>2158</v>
      </c>
      <c r="H11" s="600"/>
      <c r="P11" s="605" t="s">
        <v>143</v>
      </c>
      <c r="Q11" s="190"/>
    </row>
    <row r="12" spans="7:17">
      <c r="G12" s="597" t="s">
        <v>2159</v>
      </c>
      <c r="H12" s="600"/>
      <c r="P12" s="28" t="s">
        <v>2147</v>
      </c>
      <c r="Q12" s="314" t="s">
        <v>2148</v>
      </c>
    </row>
    <row r="13" spans="7:17">
      <c r="G13" s="597" t="s">
        <v>2160</v>
      </c>
      <c r="H13" s="601"/>
      <c r="P13" s="28" t="s">
        <v>2150</v>
      </c>
      <c r="Q13" s="314">
        <v>2018125837</v>
      </c>
    </row>
    <row r="14" spans="7:17">
      <c r="G14" s="598" t="s">
        <v>2161</v>
      </c>
      <c r="H14" s="602"/>
      <c r="P14" s="28" t="s">
        <v>2152</v>
      </c>
      <c r="Q14" s="315">
        <v>21976811065</v>
      </c>
    </row>
    <row r="15" spans="7:17">
      <c r="P15" s="28" t="s">
        <v>2154</v>
      </c>
      <c r="Q15" s="316" t="s">
        <v>4648</v>
      </c>
    </row>
    <row r="16" spans="7:17">
      <c r="P16" s="28" t="s">
        <v>2156</v>
      </c>
      <c r="Q16" s="317">
        <f>Q9</f>
        <v>0</v>
      </c>
    </row>
    <row r="17" spans="1:18"/>
    <row r="18" spans="1:18"/>
    <row r="19" spans="1:18"/>
    <row r="20" spans="1:18"/>
    <row r="21" spans="1:18"/>
    <row r="22" spans="1:18"/>
    <row r="23" spans="1:18"/>
    <row r="24" spans="1:18"/>
    <row r="25" spans="1:18"/>
    <row r="26" spans="1:18"/>
    <row r="27" spans="1:18"/>
    <row r="28" spans="1:18">
      <c r="Q28" s="284" t="s">
        <v>2162</v>
      </c>
      <c r="R28" s="190"/>
    </row>
    <row r="29" spans="1:18">
      <c r="Q29" s="606" t="s">
        <v>2163</v>
      </c>
      <c r="R29" t="s">
        <v>2164</v>
      </c>
    </row>
    <row r="30" spans="1:18">
      <c r="Q30" s="606" t="s">
        <v>2165</v>
      </c>
      <c r="R30" t="s">
        <v>77</v>
      </c>
    </row>
    <row r="31" spans="1:18">
      <c r="Q31" s="606" t="s">
        <v>2166</v>
      </c>
      <c r="R31" t="s">
        <v>2164</v>
      </c>
    </row>
    <row r="32" spans="1:18">
      <c r="A32" s="604"/>
      <c r="B32" s="312" t="str">
        <f>HYPERLINK("https://maps.google.com/?q="&amp;SUBSTITUTE(TRIM(Resumo!$E$14)," ","+"),"Mapa de Localização - Maps")</f>
        <v>Mapa de Localização - Maps</v>
      </c>
      <c r="Q32" s="606" t="s">
        <v>2167</v>
      </c>
      <c r="R32" t="s">
        <v>2168</v>
      </c>
    </row>
    <row r="33" spans="1:18">
      <c r="A33" s="604"/>
      <c r="B33" s="312" t="str">
        <f>HYPERLINK("https://earth.google.com/web/search/"&amp;SUBSTITUTE(TRIM(Resumo!$E$14)," ","+"),"Mapa de Localização - Earth")</f>
        <v>Mapa de Localização - Earth</v>
      </c>
      <c r="Q33" s="606" t="s">
        <v>2169</v>
      </c>
      <c r="R33" t="s">
        <v>2164</v>
      </c>
    </row>
    <row r="34" spans="1:18">
      <c r="Q34" s="606" t="s">
        <v>2170</v>
      </c>
      <c r="R34" t="s">
        <v>77</v>
      </c>
    </row>
    <row r="35" spans="1:18">
      <c r="Q35" s="606" t="s">
        <v>2171</v>
      </c>
      <c r="R35" t="s">
        <v>2168</v>
      </c>
    </row>
    <row r="36" spans="1:18">
      <c r="Q36" s="606" t="s">
        <v>2172</v>
      </c>
      <c r="R36" t="s">
        <v>2168</v>
      </c>
    </row>
    <row r="37" spans="1:18">
      <c r="Q37" s="606" t="s">
        <v>2173</v>
      </c>
      <c r="R37" t="s">
        <v>2174</v>
      </c>
    </row>
    <row r="38" spans="1:18" s="603" customFormat="1" ht="10.15" customHeight="1"/>
  </sheetData>
  <sheetProtection formatRows="0"/>
  <dataValidations count="3">
    <dataValidation type="list" allowBlank="1" showInputMessage="1" showErrorMessage="1" sqref="H10" xr:uid="{13BD7601-C570-4685-847E-B26A3FC68EF2}">
      <formula1>"Aéreo,Subterrâneo"</formula1>
    </dataValidation>
    <dataValidation type="list" allowBlank="1" showInputMessage="1" showErrorMessage="1" sqref="H11" xr:uid="{EC7F9AE4-4016-42E0-B908-32E22221A9F5}">
      <formula1>"Interno,Externo"</formula1>
    </dataValidation>
    <dataValidation type="list" allowBlank="1" showInputMessage="1" showErrorMessage="1" sqref="H12" xr:uid="{E7A589CC-6761-4470-B822-3EE6DE3AC06E}">
      <formula1>"Monofásico,Bifásico,Trifásico"</formula1>
    </dataValidation>
  </dataValidations>
  <hyperlinks>
    <hyperlink ref="Q15" r:id="rId1" xr:uid="{7B552CD6-FC93-49BB-B7F0-16B67FE72D9A}"/>
    <hyperlink ref="Q8" r:id="rId2" xr:uid="{BF9C6CBA-6ED0-4957-A4E8-0C6BEDFCA68B}"/>
  </hyperlinks>
  <pageMargins left="0.511811024" right="0.511811024" top="0.78740157499999996" bottom="0.78740157499999996" header="0.31496062000000002" footer="0.31496062000000002"/>
  <drawing r:id="rId3"/>
  <legacy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422C6-C686-4801-BCE2-3E180C6AB0C5}">
  <sheetPr codeName="Planilha9"/>
  <dimension ref="B1:N95"/>
  <sheetViews>
    <sheetView topLeftCell="A27" workbookViewId="0">
      <selection activeCell="C42" sqref="C42"/>
    </sheetView>
  </sheetViews>
  <sheetFormatPr defaultRowHeight="15"/>
  <cols>
    <col min="1" max="1" width="1.85546875" customWidth="1"/>
    <col min="2" max="2" width="37.140625" customWidth="1"/>
    <col min="3" max="3" width="12.7109375" customWidth="1"/>
    <col min="4" max="4" width="10.42578125" bestFit="1" customWidth="1"/>
    <col min="8" max="8" width="15.5703125" bestFit="1" customWidth="1"/>
    <col min="10" max="10" width="13" customWidth="1"/>
    <col min="11" max="11" width="16.140625" customWidth="1"/>
  </cols>
  <sheetData>
    <row r="1" spans="2:4">
      <c r="B1" s="237"/>
      <c r="C1" t="s">
        <v>2357</v>
      </c>
    </row>
    <row r="2" spans="2:4">
      <c r="B2" s="237"/>
    </row>
    <row r="3" spans="2:4">
      <c r="B3" s="363" t="s">
        <v>2358</v>
      </c>
    </row>
    <row r="4" spans="2:4">
      <c r="B4" s="87" t="s">
        <v>2359</v>
      </c>
      <c r="C4" t="str">
        <f>Resumo!E14</f>
        <v xml:space="preserve"> </v>
      </c>
    </row>
    <row r="5" spans="2:4">
      <c r="B5" s="87" t="s">
        <v>2360</v>
      </c>
      <c r="C5" s="131"/>
      <c r="D5" s="368"/>
    </row>
    <row r="6" spans="2:4">
      <c r="B6" s="87"/>
    </row>
    <row r="7" spans="2:4">
      <c r="B7" s="363" t="s">
        <v>2361</v>
      </c>
      <c r="C7" s="444"/>
      <c r="D7" s="444"/>
    </row>
    <row r="8" spans="2:4" ht="30">
      <c r="B8" s="361" t="s">
        <v>2362</v>
      </c>
      <c r="C8" s="444"/>
      <c r="D8" s="444"/>
    </row>
    <row r="9" spans="2:4">
      <c r="B9" s="237" t="s">
        <v>2363</v>
      </c>
      <c r="C9" s="444"/>
      <c r="D9" s="444"/>
    </row>
    <row r="10" spans="2:4">
      <c r="B10" s="385" t="s">
        <v>2364</v>
      </c>
      <c r="C10" s="500"/>
      <c r="D10" s="444"/>
    </row>
    <row r="11" spans="2:4">
      <c r="B11" s="237" t="s">
        <v>2365</v>
      </c>
      <c r="C11" s="444"/>
      <c r="D11" s="444"/>
    </row>
    <row r="12" spans="2:4">
      <c r="B12" s="385" t="s">
        <v>2366</v>
      </c>
      <c r="C12" s="444"/>
      <c r="D12" s="444"/>
    </row>
    <row r="13" spans="2:4">
      <c r="B13" s="237"/>
      <c r="C13" s="444"/>
      <c r="D13" s="444"/>
    </row>
    <row r="14" spans="2:4">
      <c r="B14" s="237" t="s">
        <v>2367</v>
      </c>
      <c r="C14" s="444"/>
      <c r="D14" s="444"/>
    </row>
    <row r="15" spans="2:4">
      <c r="B15" s="237" t="s">
        <v>2368</v>
      </c>
      <c r="C15" s="444"/>
      <c r="D15" s="444"/>
    </row>
    <row r="16" spans="2:4">
      <c r="B16" s="237" t="s">
        <v>2369</v>
      </c>
      <c r="C16" s="444"/>
      <c r="D16" s="444"/>
    </row>
    <row r="17" spans="2:4">
      <c r="B17" s="237"/>
      <c r="C17" s="444"/>
      <c r="D17" s="444"/>
    </row>
    <row r="18" spans="2:4">
      <c r="B18" s="237" t="s">
        <v>2370</v>
      </c>
      <c r="C18" s="444"/>
      <c r="D18" s="444"/>
    </row>
    <row r="19" spans="2:4">
      <c r="B19" s="237" t="s">
        <v>2371</v>
      </c>
      <c r="C19" s="444"/>
      <c r="D19" s="444"/>
    </row>
    <row r="20" spans="2:4">
      <c r="B20" s="385" t="s">
        <v>2372</v>
      </c>
      <c r="C20" s="444"/>
      <c r="D20" s="444"/>
    </row>
    <row r="21" spans="2:4">
      <c r="B21" s="237" t="s">
        <v>2373</v>
      </c>
      <c r="C21" s="444"/>
      <c r="D21" s="444"/>
    </row>
    <row r="22" spans="2:4">
      <c r="B22" s="237"/>
      <c r="C22" s="444"/>
      <c r="D22" s="444"/>
    </row>
    <row r="23" spans="2:4">
      <c r="B23" s="363" t="s">
        <v>2374</v>
      </c>
      <c r="C23" s="444"/>
      <c r="D23" s="444"/>
    </row>
    <row r="24" spans="2:4">
      <c r="B24" s="87" t="s">
        <v>2375</v>
      </c>
      <c r="C24" s="444"/>
      <c r="D24" s="444"/>
    </row>
    <row r="25" spans="2:4">
      <c r="B25" s="237" t="s">
        <v>2376</v>
      </c>
      <c r="C25" s="444"/>
      <c r="D25" s="444"/>
    </row>
    <row r="26" spans="2:4">
      <c r="B26" s="237" t="s">
        <v>2377</v>
      </c>
      <c r="C26" s="444"/>
      <c r="D26" s="444"/>
    </row>
    <row r="27" spans="2:4">
      <c r="B27" s="360" t="s">
        <v>2378</v>
      </c>
      <c r="C27" s="500"/>
      <c r="D27" s="444"/>
    </row>
    <row r="28" spans="2:4">
      <c r="B28" s="360" t="s">
        <v>2379</v>
      </c>
      <c r="C28" s="500"/>
      <c r="D28" s="444"/>
    </row>
    <row r="29" spans="2:4">
      <c r="B29" s="360" t="s">
        <v>2380</v>
      </c>
      <c r="C29" s="500"/>
      <c r="D29" s="444"/>
    </row>
    <row r="30" spans="2:4">
      <c r="B30" s="360" t="s">
        <v>2381</v>
      </c>
      <c r="C30" s="500"/>
      <c r="D30" s="444"/>
    </row>
    <row r="31" spans="2:4">
      <c r="B31" s="237" t="s">
        <v>2382</v>
      </c>
      <c r="C31" s="444"/>
      <c r="D31" s="444"/>
    </row>
    <row r="32" spans="2:4">
      <c r="B32" s="237"/>
      <c r="C32" s="444"/>
      <c r="D32" s="444"/>
    </row>
    <row r="33" spans="2:11">
      <c r="B33" s="363" t="s">
        <v>218</v>
      </c>
      <c r="C33" s="444"/>
      <c r="D33" s="444"/>
    </row>
    <row r="34" spans="2:11">
      <c r="B34" s="386" t="s">
        <v>2383</v>
      </c>
      <c r="C34" s="444"/>
      <c r="D34" s="444"/>
    </row>
    <row r="35" spans="2:11">
      <c r="B35" s="237" t="s">
        <v>2384</v>
      </c>
      <c r="C35" s="444"/>
      <c r="D35" s="444"/>
    </row>
    <row r="36" spans="2:11">
      <c r="B36" s="237" t="s">
        <v>2385</v>
      </c>
      <c r="C36" s="444"/>
      <c r="D36" s="444"/>
    </row>
    <row r="37" spans="2:11">
      <c r="B37" s="237"/>
      <c r="C37" s="444"/>
      <c r="D37" s="444"/>
    </row>
    <row r="38" spans="2:11">
      <c r="B38" s="363" t="s">
        <v>2386</v>
      </c>
      <c r="C38" s="444"/>
      <c r="D38" s="444"/>
    </row>
    <row r="39" spans="2:11" ht="30">
      <c r="B39" s="362" t="s">
        <v>2387</v>
      </c>
      <c r="C39" s="444"/>
      <c r="D39" s="444"/>
    </row>
    <row r="40" spans="2:11">
      <c r="B40" s="387" t="s">
        <v>2388</v>
      </c>
      <c r="C40" s="444"/>
      <c r="D40" s="444"/>
      <c r="J40" s="3" t="s">
        <v>2389</v>
      </c>
      <c r="K40" s="5">
        <f>2*2.38</f>
        <v>4.76</v>
      </c>
    </row>
    <row r="41" spans="2:11">
      <c r="B41" s="237" t="s">
        <v>2390</v>
      </c>
      <c r="C41" s="444"/>
      <c r="D41" s="444"/>
      <c r="J41" s="423" t="s">
        <v>2391</v>
      </c>
      <c r="K41" s="424">
        <f>$K$40*SIN(RADIANS($K$43))</f>
        <v>0.41486133547885284</v>
      </c>
    </row>
    <row r="42" spans="2:11">
      <c r="B42" s="237" t="s">
        <v>2392</v>
      </c>
      <c r="C42" s="444"/>
      <c r="D42" s="444"/>
      <c r="J42" s="423" t="s">
        <v>2393</v>
      </c>
      <c r="K42" s="424">
        <f>$K$40*COS(RADIANS($K$43))</f>
        <v>4.7418867629167085</v>
      </c>
    </row>
    <row r="43" spans="2:11">
      <c r="B43" s="385" t="s">
        <v>2394</v>
      </c>
      <c r="C43" s="501"/>
      <c r="D43" s="444"/>
      <c r="J43" s="8" t="s">
        <v>1615</v>
      </c>
      <c r="K43" s="9">
        <v>5</v>
      </c>
    </row>
    <row r="44" spans="2:11">
      <c r="B44" s="385" t="s">
        <v>2395</v>
      </c>
      <c r="C44" s="444"/>
      <c r="D44" s="444"/>
    </row>
    <row r="45" spans="2:11">
      <c r="B45" s="385" t="s">
        <v>2396</v>
      </c>
      <c r="C45" s="444"/>
      <c r="D45" s="444"/>
      <c r="J45" s="422" t="s">
        <v>2389</v>
      </c>
      <c r="K45" s="119">
        <f>(K46^2+K47^2)^0.5</f>
        <v>1.8439088914585775</v>
      </c>
    </row>
    <row r="46" spans="2:11">
      <c r="B46" s="237" t="s">
        <v>2397</v>
      </c>
      <c r="C46" s="444"/>
      <c r="D46" s="444"/>
      <c r="J46" s="6" t="s">
        <v>2391</v>
      </c>
      <c r="K46" s="7">
        <v>0.4</v>
      </c>
    </row>
    <row r="47" spans="2:11">
      <c r="B47" s="237"/>
      <c r="C47" s="444"/>
      <c r="D47" s="444"/>
      <c r="J47" s="6" t="s">
        <v>2393</v>
      </c>
      <c r="K47" s="7">
        <v>1.8</v>
      </c>
    </row>
    <row r="48" spans="2:11">
      <c r="B48" s="363" t="s">
        <v>2137</v>
      </c>
      <c r="C48" s="444"/>
      <c r="D48" s="444"/>
      <c r="J48" s="420" t="s">
        <v>1615</v>
      </c>
      <c r="K48" s="421">
        <f>DEGREES(ATAN(K46/K47))</f>
        <v>12.528807709151511</v>
      </c>
    </row>
    <row r="49" spans="2:11">
      <c r="B49" s="237" t="s">
        <v>2398</v>
      </c>
      <c r="C49" s="500"/>
      <c r="D49" s="444"/>
    </row>
    <row r="50" spans="2:11">
      <c r="B50" s="237" t="s">
        <v>2399</v>
      </c>
      <c r="C50" s="500"/>
      <c r="D50" s="444"/>
      <c r="H50" s="301" t="s">
        <v>2400</v>
      </c>
      <c r="J50" s="3" t="s">
        <v>2401</v>
      </c>
      <c r="K50" s="5"/>
    </row>
    <row r="51" spans="2:11">
      <c r="B51" s="237"/>
      <c r="C51" s="444"/>
      <c r="D51" s="444"/>
      <c r="H51" s="410">
        <v>32</v>
      </c>
      <c r="J51" s="6" t="s">
        <v>2402</v>
      </c>
      <c r="K51" s="7" t="s">
        <v>2403</v>
      </c>
    </row>
    <row r="52" spans="2:11">
      <c r="B52" s="363" t="s">
        <v>2404</v>
      </c>
      <c r="C52" s="444"/>
      <c r="D52" s="444"/>
      <c r="H52" s="410">
        <v>40</v>
      </c>
      <c r="J52" s="6">
        <v>4</v>
      </c>
      <c r="K52" s="7">
        <v>4.2</v>
      </c>
    </row>
    <row r="53" spans="2:11">
      <c r="B53" s="385" t="s">
        <v>2405</v>
      </c>
      <c r="C53" s="444"/>
      <c r="D53" s="444"/>
      <c r="H53" s="410">
        <v>63</v>
      </c>
      <c r="J53" s="6">
        <v>6</v>
      </c>
      <c r="K53" s="7">
        <v>4.8</v>
      </c>
    </row>
    <row r="54" spans="2:11" ht="18.75">
      <c r="D54" s="502"/>
      <c r="H54" s="410">
        <v>80</v>
      </c>
      <c r="J54" s="6">
        <v>10</v>
      </c>
      <c r="K54" s="7">
        <v>5.9</v>
      </c>
    </row>
    <row r="55" spans="2:11">
      <c r="D55" s="444"/>
      <c r="H55" s="410">
        <v>100</v>
      </c>
      <c r="J55" s="6">
        <v>16</v>
      </c>
      <c r="K55" s="7">
        <v>6.9</v>
      </c>
    </row>
    <row r="56" spans="2:11">
      <c r="D56" s="444"/>
      <c r="H56" s="410">
        <v>125</v>
      </c>
      <c r="J56" s="6">
        <v>25</v>
      </c>
      <c r="K56" s="7">
        <v>8.5</v>
      </c>
    </row>
    <row r="57" spans="2:11">
      <c r="D57" s="444"/>
      <c r="H57" s="410">
        <v>150</v>
      </c>
      <c r="J57" s="6">
        <v>35</v>
      </c>
      <c r="K57" s="7">
        <v>9.5</v>
      </c>
    </row>
    <row r="58" spans="2:11">
      <c r="D58" s="444"/>
      <c r="H58" s="410">
        <v>175</v>
      </c>
      <c r="J58" s="6">
        <v>50</v>
      </c>
      <c r="K58" s="7">
        <v>11.5</v>
      </c>
    </row>
    <row r="59" spans="2:11">
      <c r="B59" s="385" t="s">
        <v>2406</v>
      </c>
      <c r="C59" s="444"/>
      <c r="D59" s="444"/>
      <c r="H59" s="411">
        <v>200</v>
      </c>
      <c r="J59" s="6">
        <v>70</v>
      </c>
      <c r="K59" s="7">
        <v>13.5</v>
      </c>
    </row>
    <row r="60" spans="2:11">
      <c r="B60" s="237" t="s">
        <v>2407</v>
      </c>
      <c r="C60" s="444"/>
      <c r="D60" s="444"/>
      <c r="J60" s="8">
        <v>95</v>
      </c>
      <c r="K60" s="9">
        <v>15</v>
      </c>
    </row>
    <row r="61" spans="2:11">
      <c r="B61" s="237" t="s">
        <v>2408</v>
      </c>
      <c r="C61" s="444"/>
      <c r="D61" s="444"/>
    </row>
    <row r="62" spans="2:11">
      <c r="B62" s="237"/>
      <c r="C62" s="444"/>
      <c r="D62" s="444"/>
    </row>
    <row r="63" spans="2:11">
      <c r="B63" s="363" t="s">
        <v>2409</v>
      </c>
      <c r="C63" s="444"/>
      <c r="D63" s="444"/>
    </row>
    <row r="64" spans="2:11" ht="30">
      <c r="B64" s="362" t="s">
        <v>2410</v>
      </c>
      <c r="C64" s="444"/>
      <c r="D64" s="444"/>
    </row>
    <row r="65" spans="2:4" ht="30">
      <c r="B65" s="362" t="s">
        <v>2411</v>
      </c>
      <c r="C65" s="444"/>
      <c r="D65" s="444"/>
    </row>
    <row r="66" spans="2:4">
      <c r="B66" s="237" t="s">
        <v>2412</v>
      </c>
      <c r="C66" s="444"/>
      <c r="D66" s="444"/>
    </row>
    <row r="67" spans="2:4">
      <c r="B67" s="237" t="s">
        <v>2413</v>
      </c>
      <c r="C67" s="444"/>
      <c r="D67" s="444"/>
    </row>
    <row r="68" spans="2:4">
      <c r="B68" s="385" t="s">
        <v>2414</v>
      </c>
      <c r="C68" s="444"/>
      <c r="D68" s="444"/>
    </row>
    <row r="69" spans="2:4">
      <c r="B69" s="385" t="s">
        <v>2415</v>
      </c>
      <c r="C69" s="444"/>
      <c r="D69" s="444"/>
    </row>
    <row r="70" spans="2:4">
      <c r="B70" s="385" t="s">
        <v>2416</v>
      </c>
      <c r="C70" s="444"/>
      <c r="D70" s="444"/>
    </row>
    <row r="71" spans="2:4">
      <c r="B71" s="237" t="s">
        <v>2417</v>
      </c>
      <c r="C71" s="444"/>
      <c r="D71" s="444"/>
    </row>
    <row r="72" spans="2:4">
      <c r="B72" s="237" t="s">
        <v>2418</v>
      </c>
      <c r="C72" s="444"/>
      <c r="D72" s="444"/>
    </row>
    <row r="73" spans="2:4">
      <c r="B73" s="237" t="s">
        <v>2419</v>
      </c>
      <c r="C73" s="444"/>
      <c r="D73" s="444"/>
    </row>
    <row r="75" spans="2:4" s="322" customFormat="1" ht="8.4499999999999993" customHeight="1"/>
    <row r="77" spans="2:4">
      <c r="B77" t="s">
        <v>2420</v>
      </c>
    </row>
    <row r="78" spans="2:4">
      <c r="B78" t="s">
        <v>2421</v>
      </c>
      <c r="C78" s="131"/>
    </row>
    <row r="79" spans="2:4">
      <c r="B79" t="s">
        <v>2422</v>
      </c>
      <c r="C79" s="368"/>
    </row>
    <row r="81" spans="2:14">
      <c r="B81" t="s">
        <v>2423</v>
      </c>
      <c r="C81">
        <v>25</v>
      </c>
    </row>
    <row r="82" spans="2:14">
      <c r="B82" t="s">
        <v>2424</v>
      </c>
      <c r="C82">
        <f>C81+25</f>
        <v>50</v>
      </c>
    </row>
    <row r="85" spans="2:14">
      <c r="B85" t="s">
        <v>2425</v>
      </c>
    </row>
    <row r="86" spans="2:14">
      <c r="B86" s="237" t="s">
        <v>2426</v>
      </c>
      <c r="C86" s="48">
        <f>INDEX(MÓDULOS[Vmp],Simulação!$F$12)</f>
        <v>43.8</v>
      </c>
    </row>
    <row r="87" spans="2:14">
      <c r="B87" s="237" t="s">
        <v>2427</v>
      </c>
      <c r="C87" s="48">
        <f>INDEX(MÓDULOS[Voc],Simulação!$F$12)</f>
        <v>51.6</v>
      </c>
    </row>
    <row r="88" spans="2:14">
      <c r="B88" s="237" t="s">
        <v>2428</v>
      </c>
      <c r="C88" s="48">
        <f>($D$82-25)*INDEX(MÓDULOS[Temp. Coef. Voc],Simulação!$F$12)*INDEX(MÓDULOS[Vmp],Simulação!$F$12)+INDEX(MÓDULOS[Vmp],Simulação!$F$12)</f>
        <v>46.537499999999994</v>
      </c>
    </row>
    <row r="89" spans="2:14">
      <c r="B89" s="237" t="s">
        <v>2429</v>
      </c>
      <c r="C89" s="48">
        <f>($D$82-25)*INDEX(MÓDULOS[Temp. Coef. Voc],Simulação!$F$12)*INDEX(MÓDULOS[Voc],Simulação!$F$12)+INDEX(MÓDULOS[Voc],Simulação!$F$12)</f>
        <v>54.825000000000003</v>
      </c>
    </row>
    <row r="90" spans="2:14">
      <c r="B90" s="237" t="s">
        <v>2430</v>
      </c>
    </row>
    <row r="91" spans="2:14">
      <c r="B91" s="391" t="s">
        <v>2431</v>
      </c>
    </row>
    <row r="93" spans="2:14">
      <c r="E93" t="s">
        <v>2432</v>
      </c>
      <c r="F93" t="s">
        <v>2433</v>
      </c>
      <c r="H93" t="s">
        <v>2434</v>
      </c>
      <c r="I93" t="s">
        <v>2435</v>
      </c>
      <c r="J93" t="s">
        <v>2436</v>
      </c>
      <c r="L93" t="s">
        <v>2437</v>
      </c>
    </row>
    <row r="94" spans="2:14">
      <c r="B94" t="s">
        <v>2438</v>
      </c>
      <c r="C94">
        <v>10</v>
      </c>
      <c r="D94" s="33"/>
      <c r="E94" s="48">
        <f>F94-5%*F94</f>
        <v>520.83749999999998</v>
      </c>
      <c r="F94" s="48">
        <f>C94*$C$89</f>
        <v>548.25</v>
      </c>
      <c r="G94" s="33">
        <v>485.2</v>
      </c>
      <c r="H94" s="29">
        <f>(G94/F94)-1</f>
        <v>-0.11500227998176016</v>
      </c>
      <c r="I94" s="48">
        <f>J94-5%*J94</f>
        <v>442.10624999999993</v>
      </c>
      <c r="J94" s="48">
        <f>C94*$C$88</f>
        <v>465.37499999999994</v>
      </c>
      <c r="K94" s="33">
        <v>394.2</v>
      </c>
      <c r="L94" s="29">
        <f>(K94/J94)-1</f>
        <v>-0.15294117647058814</v>
      </c>
      <c r="M94" s="33"/>
      <c r="N94" s="33"/>
    </row>
    <row r="95" spans="2:14">
      <c r="B95" t="s">
        <v>2439</v>
      </c>
      <c r="C95">
        <v>5</v>
      </c>
      <c r="D95" s="33"/>
      <c r="E95" s="48">
        <f>F95-5%*F95</f>
        <v>260.41874999999999</v>
      </c>
      <c r="F95" s="48">
        <f>C95*$C$89</f>
        <v>274.125</v>
      </c>
      <c r="G95" s="33">
        <v>241.5</v>
      </c>
      <c r="H95" s="29">
        <f>(G95/F95)-1</f>
        <v>-0.11901504787961692</v>
      </c>
      <c r="I95" s="48">
        <f>J95-5%*J95</f>
        <v>221.05312499999997</v>
      </c>
      <c r="J95" s="48">
        <f>C95*$C$88</f>
        <v>232.68749999999997</v>
      </c>
      <c r="K95" s="33">
        <v>195.5</v>
      </c>
      <c r="L95" s="29">
        <f>(K95/J95)-1</f>
        <v>-0.15981735159817345</v>
      </c>
      <c r="M95" s="33"/>
      <c r="N95" s="33"/>
    </row>
  </sheetData>
  <sheetProtection formatRows="0" selectLockedCells="1"/>
  <dataValidations disablePrompts="1" count="6">
    <dataValidation type="list" allowBlank="1" showInputMessage="1" showErrorMessage="1" sqref="C68:C69 C16 C64:C66 C59 C44:C45 C40" xr:uid="{DEE9A7BC-DCB5-4E65-8CAE-26A8AC99489E}">
      <formula1>"SIM,NÃO"</formula1>
    </dataValidation>
    <dataValidation type="list" allowBlank="1" showInputMessage="1" showErrorMessage="1" sqref="C8 C34" xr:uid="{96DD5ADD-9E69-436D-9ED0-6B50D2A8006E}">
      <formula1>"OK,NÃO_OK"</formula1>
    </dataValidation>
    <dataValidation type="list" allowBlank="1" showInputMessage="1" showErrorMessage="1" sqref="C11" xr:uid="{270E9DEF-07F8-421F-B210-ED0C655C53FC}">
      <formula1>"Cerâmica/Romana,Fibrocimento,Metálica"</formula1>
    </dataValidation>
    <dataValidation type="list" allowBlank="1" showInputMessage="1" showErrorMessage="1" sqref="C24" xr:uid="{0F11227A-8D94-4C32-9AD7-F0FBF0A772DA}">
      <formula1>"Madeira,Metálico,Concreto"</formula1>
    </dataValidation>
    <dataValidation type="list" allowBlank="1" showInputMessage="1" showErrorMessage="1" sqref="C35" xr:uid="{07863F63-6D41-4524-A6B3-5723AF5E3BA3}">
      <formula1>"String,Microinversor"</formula1>
    </dataValidation>
    <dataValidation type="list" allowBlank="1" showInputMessage="1" showErrorMessage="1" sqref="C60" xr:uid="{5E2FDBE4-4812-4248-8CB3-CA654595F4E9}">
      <formula1>"SIM,Necessita adequação"</formula1>
    </dataValidation>
  </dataValidation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E39E6-082C-49A9-ABE7-E3ACCC773A83}">
  <sheetPr codeName="Planilha19"/>
  <dimension ref="A1:S448"/>
  <sheetViews>
    <sheetView topLeftCell="C1" workbookViewId="0">
      <selection activeCell="E103" sqref="E103"/>
    </sheetView>
  </sheetViews>
  <sheetFormatPr defaultRowHeight="15"/>
  <cols>
    <col min="4" max="4" width="33.85546875" bestFit="1" customWidth="1"/>
    <col min="5" max="5" width="38.28515625" style="87" customWidth="1"/>
    <col min="6" max="6" width="42" customWidth="1"/>
    <col min="7" max="7" width="11.85546875" bestFit="1" customWidth="1"/>
    <col min="8" max="8" width="13.7109375" customWidth="1"/>
    <col min="9" max="9" width="13.85546875" customWidth="1"/>
    <col min="10" max="10" width="14.7109375" customWidth="1"/>
    <col min="11" max="11" width="11.5703125" customWidth="1"/>
  </cols>
  <sheetData>
    <row r="1" spans="1:19" ht="15.75">
      <c r="A1" s="342" t="s">
        <v>2440</v>
      </c>
      <c r="B1" s="342"/>
      <c r="C1" s="342"/>
      <c r="D1" s="132"/>
      <c r="F1" s="435" t="s">
        <v>2441</v>
      </c>
      <c r="G1" t="str">
        <f ca="1">CELL("nome.arquivo")</f>
        <v>C:\Users\vinic\Downloads\[Modelo - Cactos - Dimensionamento V15.11.xlsx]Financeiro</v>
      </c>
    </row>
    <row r="2" spans="1:19">
      <c r="A2" s="796" t="s">
        <v>2442</v>
      </c>
      <c r="B2" t="s">
        <v>2443</v>
      </c>
      <c r="D2" t="s">
        <v>88</v>
      </c>
      <c r="E2" s="87" t="str">
        <f>UPPER(Início!F7)</f>
        <v>FLAVIA LOUZADA</v>
      </c>
      <c r="F2" s="435">
        <f>MATCH(Início!$F$2,PROSPECTOS[Estudo],0)</f>
        <v>567</v>
      </c>
      <c r="G2" t="s">
        <v>2444</v>
      </c>
    </row>
    <row r="3" spans="1:19">
      <c r="A3" s="796"/>
      <c r="B3" t="s">
        <v>2445</v>
      </c>
      <c r="D3" t="s">
        <v>2446</v>
      </c>
      <c r="E3" s="87" t="str">
        <f>IFERROR(LEFT($E$2,SEARCH(" ",$E$2)-1),$E$2)</f>
        <v>FLAVIA</v>
      </c>
      <c r="F3" t="str" cm="1">
        <f t="array" ref="F3">TRIM(INDEX(PROSPECTOS[Estudo],Resumo!$F$2))</f>
        <v>P0675 - Flavia Louzada</v>
      </c>
      <c r="H3" t="s">
        <v>4027</v>
      </c>
    </row>
    <row r="4" spans="1:19">
      <c r="A4" s="796"/>
      <c r="B4" t="s">
        <v>2447</v>
      </c>
      <c r="D4" t="str">
        <f>Início!$F$6</f>
        <v>CPF</v>
      </c>
      <c r="E4" s="87" t="str">
        <f>TEXT(Início!F9,"[&lt;=99999999999]000\.000\.000-00;00\.000\.000\/0000-00")</f>
        <v/>
      </c>
      <c r="F4" t="str">
        <f>IF(G3="",IFERROR(LEFT(F3,SEARCH("]",F3))&amp;" "&amp;F5,F5),G3)</f>
        <v>FLAVIA LOUZADA</v>
      </c>
      <c r="G4" t="s">
        <v>2448</v>
      </c>
    </row>
    <row r="5" spans="1:19">
      <c r="A5" s="796"/>
      <c r="D5" t="s">
        <v>1546</v>
      </c>
      <c r="E5" s="134">
        <f>Início!F11</f>
        <v>0</v>
      </c>
      <c r="F5" t="str">
        <f>IF(LEN(E2)&gt;20,E3,E2)</f>
        <v>FLAVIA LOUZADA</v>
      </c>
      <c r="G5" t="str">
        <f ca="1">"mailto:"&amp;VLOOKUP(Resumo!$E$27,Orçamento!$AY$4:$BB$6,4,FALSE)&amp;
"?subject="&amp;_xlfn.ENCODEURL("Solicitação de Acesso (Orçamento de Conexão) - Geração Distribuída")&amp;
"&amp;body="&amp;INDEX({"Bom dia,";"Boa tarde,";"Boa noite,"},MATCH(ROUND(NOW()-INT(NOW()),2),{0;0.5;0.75}))&amp;_xlfn.ENCODEURL("
Gostaria de solicitar acesso a rede para o cliente:
Nome do proprietário: "&amp;Resumo!$E$2&amp;"
Número da instalação: "&amp;Resumo!$E$37&amp;"
Segue no anexo a documentação necessária.
")</f>
        <v>mailto:atendimentotecnico@light.com.br?subject=Solicita%C3%A7%C3%A3o%20de%20Acesso%20%28Or%C3%A7amento%20de%20Conex%C3%A3o%29%20-%20Gera%C3%A7%C3%A3o%20Distribu%C3%ADda&amp;body=Boa noite,%0A%0AGostaria%20de%20solicitar%20acesso%20a%20rede%20para%20o%20cliente%3A%0A%0ANome%20do%20propriet%C3%A1rio%3A%20FLAVIA%20LOUZADA%0AN%C3%BAmero%20da%20instala%C3%A7%C3%A3o%3A%200%0A%0ASegue%20no%20anexo%20a%20documenta%C3%A7%C3%A3o%20necess%C3%A1ria.%0A%0A</v>
      </c>
    </row>
    <row r="6" spans="1:19">
      <c r="A6" s="796"/>
      <c r="D6" t="s">
        <v>1551</v>
      </c>
      <c r="E6" s="87">
        <f>Início!F13</f>
        <v>0</v>
      </c>
      <c r="F6" s="127" t="s">
        <v>4563</v>
      </c>
    </row>
    <row r="7" spans="1:19">
      <c r="A7" s="796"/>
      <c r="B7" t="s">
        <v>2449</v>
      </c>
      <c r="D7" t="s">
        <v>1553</v>
      </c>
      <c r="E7" s="135" t="str">
        <f>Início!F15</f>
        <v/>
      </c>
      <c r="N7" t="s">
        <v>2450</v>
      </c>
    </row>
    <row r="8" spans="1:19">
      <c r="A8" s="796"/>
      <c r="B8" t="s">
        <v>2451</v>
      </c>
      <c r="D8" t="s">
        <v>1555</v>
      </c>
      <c r="E8" s="87" t="str">
        <f>Início!F17</f>
        <v>flavialouzada@uol.com.br</v>
      </c>
    </row>
    <row r="9" spans="1:19">
      <c r="A9" s="796"/>
      <c r="B9" s="132" t="s">
        <v>2452</v>
      </c>
      <c r="D9" t="s">
        <v>1557</v>
      </c>
      <c r="E9" s="136" t="str">
        <f>TEXT(Início!F19,"(##) # ####-####")</f>
        <v>(5521) 9 8866-2268</v>
      </c>
      <c r="F9" t="str">
        <f>Início!$F$19</f>
        <v>5521988662268</v>
      </c>
      <c r="N9" t="s">
        <v>2453</v>
      </c>
      <c r="O9" t="s">
        <v>2454</v>
      </c>
      <c r="P9" t="s">
        <v>1555</v>
      </c>
      <c r="Q9" t="s">
        <v>279</v>
      </c>
      <c r="R9" t="s">
        <v>282</v>
      </c>
      <c r="S9" t="s">
        <v>281</v>
      </c>
    </row>
    <row r="10" spans="1:19">
      <c r="A10" s="796"/>
      <c r="D10" t="s">
        <v>278</v>
      </c>
      <c r="E10" s="136">
        <f>Início!F21</f>
        <v>0</v>
      </c>
      <c r="N10" t="str">
        <f>E2</f>
        <v>FLAVIA LOUZADA</v>
      </c>
      <c r="O10" t="str">
        <f>E4</f>
        <v/>
      </c>
      <c r="P10" t="str">
        <f>E8</f>
        <v>flavialouzada@uol.com.br</v>
      </c>
      <c r="Q10" t="str">
        <f>E14</f>
        <v xml:space="preserve"> </v>
      </c>
      <c r="R10" t="str">
        <f>E13</f>
        <v/>
      </c>
      <c r="S10" t="str">
        <f>E12</f>
        <v>RJ</v>
      </c>
    </row>
    <row r="11" spans="1:19">
      <c r="A11" s="796"/>
      <c r="E11" s="136"/>
    </row>
    <row r="12" spans="1:19">
      <c r="A12" s="796"/>
      <c r="B12" t="s">
        <v>2455</v>
      </c>
      <c r="D12" t="s">
        <v>281</v>
      </c>
      <c r="E12" s="87" t="str">
        <f>Início!F23</f>
        <v>RJ</v>
      </c>
    </row>
    <row r="13" spans="1:19">
      <c r="A13" s="796"/>
      <c r="B13" t="s">
        <v>2456</v>
      </c>
      <c r="D13" t="s">
        <v>282</v>
      </c>
      <c r="E13" s="87" t="str">
        <f>UPPER(Início!F25)</f>
        <v/>
      </c>
    </row>
    <row r="14" spans="1:19">
      <c r="A14" s="796"/>
      <c r="B14" t="s">
        <v>2457</v>
      </c>
      <c r="D14" t="s">
        <v>2458</v>
      </c>
      <c r="E14" s="87" t="str">
        <f>UPPER(Início!F27&amp;" "&amp;Início!F29)</f>
        <v xml:space="preserve"> </v>
      </c>
    </row>
    <row r="15" spans="1:19">
      <c r="A15" s="796"/>
      <c r="B15" t="s">
        <v>2459</v>
      </c>
      <c r="D15" t="s">
        <v>2460</v>
      </c>
      <c r="E15" s="233" t="str">
        <f>UPPER(IF(Início!F28="",Início!F27,Início!F28)&amp;" "&amp;IF(Início!F30="",Início!F29,Início!F30))</f>
        <v xml:space="preserve"> </v>
      </c>
      <c r="F15" t="str">
        <f>E15&amp;" - "&amp;E13&amp;"/"&amp;E12</f>
        <v xml:space="preserve">  - /RJ</v>
      </c>
    </row>
    <row r="16" spans="1:19">
      <c r="A16" s="796"/>
      <c r="B16" t="s">
        <v>2461</v>
      </c>
      <c r="D16" t="s">
        <v>283</v>
      </c>
      <c r="E16" s="87" t="str">
        <f>UPPER(Início!F31)</f>
        <v/>
      </c>
    </row>
    <row r="17" spans="1:9">
      <c r="A17" s="796"/>
      <c r="B17" t="s">
        <v>2462</v>
      </c>
      <c r="D17" t="s">
        <v>280</v>
      </c>
      <c r="E17" s="87">
        <f>Início!F33</f>
        <v>0</v>
      </c>
      <c r="F17" t="s">
        <v>2463</v>
      </c>
      <c r="G17" t="s">
        <v>2464</v>
      </c>
      <c r="H17" t="s">
        <v>2465</v>
      </c>
      <c r="I17" t="s">
        <v>2466</v>
      </c>
    </row>
    <row r="18" spans="1:9">
      <c r="A18" s="796"/>
      <c r="B18" t="s">
        <v>2467</v>
      </c>
      <c r="D18" t="s">
        <v>1570</v>
      </c>
      <c r="E18" t="str">
        <f>SUBSTITUTE(SUBSTITUTE(F18,".",","),"°","")</f>
        <v/>
      </c>
      <c r="F18" s="87" t="str">
        <f>Início!F35</f>
        <v/>
      </c>
      <c r="G18" t="e">
        <f>ROUNDDOWN(E18,0)</f>
        <v>#VALUE!</v>
      </c>
      <c r="H18" t="e">
        <f>ABS(ROUNDDOWN((E18-G18)*60,0))</f>
        <v>#VALUE!</v>
      </c>
      <c r="I18" t="e">
        <f>ROUNDDOWN((ABS(E18-G18)*60-H18)*60,0)</f>
        <v>#VALUE!</v>
      </c>
    </row>
    <row r="19" spans="1:9">
      <c r="A19" s="796"/>
      <c r="B19" t="s">
        <v>2468</v>
      </c>
      <c r="D19" t="s">
        <v>1573</v>
      </c>
      <c r="E19" t="str">
        <f>SUBSTITUTE(SUBSTITUTE(F19,".",","),"°","")</f>
        <v>Preencher</v>
      </c>
      <c r="F19" s="87" t="str">
        <f>Início!F37</f>
        <v>Preencher</v>
      </c>
      <c r="G19" t="e">
        <f>ROUNDDOWN(SUBSTITUTE(SUBSTITUTE(F19,".",","),"°",""),0)</f>
        <v>#VALUE!</v>
      </c>
      <c r="H19" t="e">
        <f>ABS(ROUNDDOWN((E19-G19)*60,0))</f>
        <v>#VALUE!</v>
      </c>
      <c r="I19" t="e">
        <f>ROUNDDOWN((ABS(E19-G19)*60-H19)*60,0)</f>
        <v>#VALUE!</v>
      </c>
    </row>
    <row r="20" spans="1:9">
      <c r="A20" s="139"/>
      <c r="B20" t="s">
        <v>2469</v>
      </c>
      <c r="D20" t="s">
        <v>2470</v>
      </c>
      <c r="E20" t="str">
        <f>IFERROR(TEXT(G18,"00°")&amp;TEXT(H18,"00'")&amp;TEXT(I18,"00''"),"")</f>
        <v/>
      </c>
      <c r="F20" s="87"/>
    </row>
    <row r="21" spans="1:9">
      <c r="A21" s="139"/>
      <c r="B21" t="s">
        <v>2471</v>
      </c>
      <c r="D21" t="s">
        <v>2472</v>
      </c>
      <c r="E21" t="str">
        <f>IFERROR(TEXT(G19,"00°")&amp;TEXT(H19,"00'")&amp;TEXT(I19,"00''"),"")</f>
        <v/>
      </c>
      <c r="F21" s="87"/>
    </row>
    <row r="22" spans="1:9">
      <c r="A22" t="s">
        <v>2473</v>
      </c>
      <c r="B22" t="s">
        <v>2474</v>
      </c>
      <c r="D22" t="s">
        <v>2475</v>
      </c>
      <c r="E22" t="str">
        <f>UPPER(Início!$F$8)</f>
        <v/>
      </c>
    </row>
    <row r="23" spans="1:9">
      <c r="B23" t="s">
        <v>2476</v>
      </c>
      <c r="D23" t="s">
        <v>2477</v>
      </c>
      <c r="E23" t="str">
        <f>TEXT(Início!$F$10,"[&lt;=99999999999]000\.000\.000-00;00\.000\.000\/0000-00")</f>
        <v>000.000.000-00</v>
      </c>
    </row>
    <row r="24" spans="1:9">
      <c r="B24" t="s">
        <v>2478</v>
      </c>
      <c r="D24" t="s">
        <v>2479</v>
      </c>
      <c r="E24">
        <f>IF(Início!F30="",Início!F29,Início!F30)</f>
        <v>0</v>
      </c>
    </row>
    <row r="25" spans="1:9">
      <c r="B25" t="s">
        <v>2480</v>
      </c>
      <c r="D25" t="s">
        <v>2481</v>
      </c>
      <c r="E25" t="str">
        <f>IF(Início!F28="",Início!F27,Início!F28)</f>
        <v/>
      </c>
    </row>
    <row r="26" spans="1:9">
      <c r="F26" t="s">
        <v>1779</v>
      </c>
      <c r="G26" t="s">
        <v>1780</v>
      </c>
      <c r="H26" t="s">
        <v>1555</v>
      </c>
      <c r="I26" t="s">
        <v>2482</v>
      </c>
    </row>
    <row r="27" spans="1:9">
      <c r="A27" s="796" t="s">
        <v>2483</v>
      </c>
      <c r="B27" t="s">
        <v>2484</v>
      </c>
      <c r="D27" t="s">
        <v>284</v>
      </c>
      <c r="E27" s="87" t="str">
        <f>Início!K7</f>
        <v>Light</v>
      </c>
      <c r="F27" t="str">
        <f>VLOOKUP(E27,Orçamento!AY4:BC8,2,FALSE)</f>
        <v>Light SESA</v>
      </c>
      <c r="G27" t="str">
        <f>VLOOKUP(E27,Orçamento!AY4:BC8,3,FALSE)</f>
        <v>Email</v>
      </c>
      <c r="H27" t="str">
        <f>VLOOKUP(E27,Orçamento!AY4:BC8,4,FALSE)</f>
        <v>atendimentotecnico@light.com.br</v>
      </c>
      <c r="I27" t="str">
        <f>VLOOKUP(E27,Orçamento!AY4:BC8,4,FALSE)</f>
        <v>atendimentotecnico@light.com.br</v>
      </c>
    </row>
    <row r="28" spans="1:9">
      <c r="A28" s="796"/>
      <c r="B28" t="s">
        <v>2485</v>
      </c>
      <c r="D28" t="s">
        <v>1543</v>
      </c>
      <c r="E28" s="87" t="str">
        <f>Início!K8</f>
        <v>B1 - Residencial</v>
      </c>
    </row>
    <row r="29" spans="1:9">
      <c r="A29" s="796"/>
      <c r="B29" t="s">
        <v>2486</v>
      </c>
      <c r="D29" t="s">
        <v>1544</v>
      </c>
      <c r="E29" s="87">
        <f>Projetos!H12</f>
        <v>0</v>
      </c>
    </row>
    <row r="30" spans="1:9">
      <c r="A30" s="796"/>
      <c r="B30" t="s">
        <v>2487</v>
      </c>
      <c r="D30" t="s">
        <v>2488</v>
      </c>
      <c r="E30" s="87" t="str">
        <f>IF($E$29="Bifásico","X","")</f>
        <v/>
      </c>
    </row>
    <row r="31" spans="1:9">
      <c r="A31" s="796"/>
      <c r="B31" t="s">
        <v>2489</v>
      </c>
      <c r="D31" t="s">
        <v>2490</v>
      </c>
      <c r="E31" s="87" t="str">
        <f>IF($E$29="Trifásico","X","")</f>
        <v/>
      </c>
    </row>
    <row r="32" spans="1:9">
      <c r="A32" s="796"/>
      <c r="B32" t="s">
        <v>2491</v>
      </c>
      <c r="D32" t="s">
        <v>2492</v>
      </c>
      <c r="E32" t="str">
        <f>IF(Resumo!$E$29="Monofásico",1,IF(Resumo!$E$29="Bifásico",2,IF(Resumo!$E$29="Trifásico",3,"Verificar")))</f>
        <v>Verificar</v>
      </c>
    </row>
    <row r="33" spans="1:11">
      <c r="A33" s="796"/>
      <c r="D33" t="s">
        <v>1545</v>
      </c>
      <c r="E33" s="87">
        <f>Início!O10</f>
        <v>100</v>
      </c>
    </row>
    <row r="34" spans="1:11">
      <c r="A34" s="796"/>
      <c r="B34" t="s">
        <v>2493</v>
      </c>
      <c r="D34" t="s">
        <v>1547</v>
      </c>
      <c r="E34" s="87" t="str">
        <f>Início!K11</f>
        <v>127/220V</v>
      </c>
      <c r="F34">
        <f>VALUE(LEFT(E34,3))</f>
        <v>127</v>
      </c>
    </row>
    <row r="35" spans="1:11">
      <c r="A35" s="796"/>
      <c r="D35" t="s">
        <v>1549</v>
      </c>
      <c r="E35" s="87" t="str">
        <f>Início!K12</f>
        <v>Convecional</v>
      </c>
    </row>
    <row r="36" spans="1:11">
      <c r="A36" s="796"/>
      <c r="B36" t="s">
        <v>2494</v>
      </c>
      <c r="D36" t="s">
        <v>1552</v>
      </c>
      <c r="E36" s="87">
        <f>Início!K14</f>
        <v>0</v>
      </c>
    </row>
    <row r="37" spans="1:11">
      <c r="A37" s="796"/>
      <c r="B37" t="s">
        <v>2495</v>
      </c>
      <c r="D37" t="s">
        <v>1554</v>
      </c>
      <c r="E37" s="137">
        <f>Início!K15</f>
        <v>0</v>
      </c>
      <c r="G37" t="s">
        <v>2496</v>
      </c>
      <c r="H37" t="s">
        <v>2497</v>
      </c>
      <c r="I37" t="s">
        <v>2498</v>
      </c>
      <c r="J37" t="s">
        <v>164</v>
      </c>
      <c r="K37" t="s">
        <v>2499</v>
      </c>
    </row>
    <row r="38" spans="1:11">
      <c r="A38" s="796" t="s">
        <v>2500</v>
      </c>
      <c r="D38" t="s">
        <v>96</v>
      </c>
      <c r="F38" s="138">
        <f>Início!K17</f>
        <v>1152</v>
      </c>
      <c r="G38" s="138">
        <f>Início!L17*(1+Início!L$35)</f>
        <v>0</v>
      </c>
      <c r="H38" s="138">
        <f>Início!M17*(1+Início!M$35)</f>
        <v>0</v>
      </c>
      <c r="I38" s="138">
        <f>Início!N17*(1+Início!N$35)</f>
        <v>0</v>
      </c>
      <c r="J38" s="138">
        <f>SUM(F38:I38)</f>
        <v>1152</v>
      </c>
      <c r="K38">
        <f>Início!O17</f>
        <v>1152</v>
      </c>
    </row>
    <row r="39" spans="1:11">
      <c r="A39" s="796"/>
      <c r="D39" t="s">
        <v>98</v>
      </c>
      <c r="F39" s="138">
        <f>Início!K18</f>
        <v>1152</v>
      </c>
      <c r="G39" s="138">
        <f>Início!L18*(1+Início!L$35)</f>
        <v>0</v>
      </c>
      <c r="H39" s="138">
        <f>Início!M18*(1+Início!M$35)</f>
        <v>0</v>
      </c>
      <c r="I39" s="138">
        <f>Início!N18*(1+Início!N$35)</f>
        <v>0</v>
      </c>
      <c r="J39" s="138">
        <f t="shared" ref="J39:J50" si="0">SUM(F39:I39)</f>
        <v>1152</v>
      </c>
      <c r="K39">
        <f>Início!O18</f>
        <v>1152</v>
      </c>
    </row>
    <row r="40" spans="1:11">
      <c r="A40" s="796"/>
      <c r="D40" t="s">
        <v>99</v>
      </c>
      <c r="F40" s="138">
        <f>Início!K19</f>
        <v>960</v>
      </c>
      <c r="G40" s="138">
        <f>Início!L19*(1+Início!L$35)</f>
        <v>0</v>
      </c>
      <c r="H40" s="138">
        <f>Início!M19*(1+Início!M$35)</f>
        <v>0</v>
      </c>
      <c r="I40" s="138">
        <f>Início!N19*(1+Início!N$35)</f>
        <v>0</v>
      </c>
      <c r="J40" s="138">
        <f t="shared" si="0"/>
        <v>960</v>
      </c>
      <c r="K40">
        <f>Início!O19</f>
        <v>960</v>
      </c>
    </row>
    <row r="41" spans="1:11">
      <c r="A41" s="796"/>
      <c r="D41" t="s">
        <v>103</v>
      </c>
      <c r="F41" s="138">
        <f>Início!K20</f>
        <v>864</v>
      </c>
      <c r="G41" s="138">
        <f>Início!L20*(1+Início!L$35)</f>
        <v>0</v>
      </c>
      <c r="H41" s="138">
        <f>Início!M20*(1+Início!M$35)</f>
        <v>0</v>
      </c>
      <c r="I41" s="138">
        <f>Início!N20*(1+Início!N$35)</f>
        <v>0</v>
      </c>
      <c r="J41" s="138">
        <f t="shared" si="0"/>
        <v>864</v>
      </c>
      <c r="K41">
        <f>Início!O20</f>
        <v>864</v>
      </c>
    </row>
    <row r="42" spans="1:11">
      <c r="A42" s="796"/>
      <c r="D42" t="s">
        <v>106</v>
      </c>
      <c r="F42" s="138">
        <f>Início!K21</f>
        <v>672</v>
      </c>
      <c r="G42" s="138">
        <f>Início!L21*(1+Início!L$35)</f>
        <v>0</v>
      </c>
      <c r="H42" s="138">
        <f>Início!M21*(1+Início!M$35)</f>
        <v>0</v>
      </c>
      <c r="I42" s="138">
        <f>Início!N21*(1+Início!N$35)</f>
        <v>0</v>
      </c>
      <c r="J42" s="138">
        <f t="shared" si="0"/>
        <v>672</v>
      </c>
      <c r="K42">
        <f>Início!O21</f>
        <v>672</v>
      </c>
    </row>
    <row r="43" spans="1:11">
      <c r="A43" s="796"/>
      <c r="D43" t="s">
        <v>114</v>
      </c>
      <c r="F43" s="138">
        <f>Início!K22</f>
        <v>576</v>
      </c>
      <c r="G43" s="138">
        <f>Início!L22*(1+Início!L$35)</f>
        <v>0</v>
      </c>
      <c r="H43" s="138">
        <f>Início!M22*(1+Início!M$35)</f>
        <v>0</v>
      </c>
      <c r="I43" s="138">
        <f>Início!N22*(1+Início!N$35)</f>
        <v>0</v>
      </c>
      <c r="J43" s="138">
        <f t="shared" si="0"/>
        <v>576</v>
      </c>
      <c r="K43">
        <f>Início!O22</f>
        <v>576</v>
      </c>
    </row>
    <row r="44" spans="1:11">
      <c r="A44" s="796"/>
      <c r="D44" t="s">
        <v>119</v>
      </c>
      <c r="F44" s="138">
        <f>Início!K23</f>
        <v>576</v>
      </c>
      <c r="G44" s="138">
        <f>Início!L23*(1+Início!L$35)</f>
        <v>0</v>
      </c>
      <c r="H44" s="138">
        <f>Início!M23*(1+Início!M$35)</f>
        <v>0</v>
      </c>
      <c r="I44" s="138">
        <f>Início!N23*(1+Início!N$35)</f>
        <v>0</v>
      </c>
      <c r="J44" s="138">
        <f t="shared" si="0"/>
        <v>576</v>
      </c>
      <c r="K44">
        <f>Início!O23</f>
        <v>576</v>
      </c>
    </row>
    <row r="45" spans="1:11">
      <c r="A45" s="796"/>
      <c r="D45" t="s">
        <v>122</v>
      </c>
      <c r="F45" s="138">
        <f>Início!K24</f>
        <v>672</v>
      </c>
      <c r="G45" s="138">
        <f>Início!L24*(1+Início!L$35)</f>
        <v>0</v>
      </c>
      <c r="H45" s="138">
        <f>Início!M24*(1+Início!M$35)</f>
        <v>0</v>
      </c>
      <c r="I45" s="138">
        <f>Início!N24*(1+Início!N$35)</f>
        <v>0</v>
      </c>
      <c r="J45" s="138">
        <f t="shared" si="0"/>
        <v>672</v>
      </c>
      <c r="K45">
        <f>Início!O24</f>
        <v>672</v>
      </c>
    </row>
    <row r="46" spans="1:11">
      <c r="A46" s="796"/>
      <c r="D46" t="s">
        <v>123</v>
      </c>
      <c r="F46" s="138">
        <f>Início!K25</f>
        <v>672</v>
      </c>
      <c r="G46" s="138">
        <f>Início!L25*(1+Início!L$35)</f>
        <v>0</v>
      </c>
      <c r="H46" s="138">
        <f>Início!M25*(1+Início!M$35)</f>
        <v>0</v>
      </c>
      <c r="I46" s="138">
        <f>Início!N25*(1+Início!N$35)</f>
        <v>0</v>
      </c>
      <c r="J46" s="138">
        <f t="shared" si="0"/>
        <v>672</v>
      </c>
      <c r="K46">
        <f>Início!O25</f>
        <v>672</v>
      </c>
    </row>
    <row r="47" spans="1:11">
      <c r="A47" s="796"/>
      <c r="D47" t="s">
        <v>124</v>
      </c>
      <c r="F47" s="138">
        <f>Início!K26</f>
        <v>672</v>
      </c>
      <c r="G47" s="138">
        <f>Início!L26*(1+Início!L$35)</f>
        <v>0</v>
      </c>
      <c r="H47" s="138">
        <f>Início!M26*(1+Início!M$35)</f>
        <v>0</v>
      </c>
      <c r="I47" s="138">
        <f>Início!N26*(1+Início!N$35)</f>
        <v>0</v>
      </c>
      <c r="J47" s="138">
        <f t="shared" si="0"/>
        <v>672</v>
      </c>
      <c r="K47">
        <f>Início!O26</f>
        <v>672</v>
      </c>
    </row>
    <row r="48" spans="1:11">
      <c r="A48" s="796"/>
      <c r="D48" t="s">
        <v>125</v>
      </c>
      <c r="F48" s="138">
        <f>Início!K27</f>
        <v>768</v>
      </c>
      <c r="G48" s="138">
        <f>Início!L27*(1+Início!L$35)</f>
        <v>0</v>
      </c>
      <c r="H48" s="138">
        <f>Início!M27*(1+Início!M$35)</f>
        <v>0</v>
      </c>
      <c r="I48" s="138">
        <f>Início!N27*(1+Início!N$35)</f>
        <v>0</v>
      </c>
      <c r="J48" s="138">
        <f t="shared" si="0"/>
        <v>768</v>
      </c>
      <c r="K48">
        <f>Início!O27</f>
        <v>768</v>
      </c>
    </row>
    <row r="49" spans="1:11">
      <c r="A49" s="796"/>
      <c r="D49" t="s">
        <v>126</v>
      </c>
      <c r="F49" s="138">
        <f>Início!K28</f>
        <v>960</v>
      </c>
      <c r="G49" s="138">
        <f>Início!L28*(1+Início!L$35)</f>
        <v>0</v>
      </c>
      <c r="H49" s="138">
        <f>Início!M28*(1+Início!M$35)</f>
        <v>0</v>
      </c>
      <c r="I49" s="138">
        <f>Início!N28*(1+Início!N$35)</f>
        <v>0</v>
      </c>
      <c r="J49" s="138">
        <f t="shared" si="0"/>
        <v>960</v>
      </c>
      <c r="K49">
        <f>Início!O28</f>
        <v>960</v>
      </c>
    </row>
    <row r="50" spans="1:11">
      <c r="A50" s="796"/>
      <c r="B50" t="s">
        <v>2501</v>
      </c>
      <c r="D50" t="s">
        <v>138</v>
      </c>
      <c r="E50" s="87" t="str">
        <f>TEXT(F50,"#.###")&amp;"kWh"</f>
        <v>808kWh</v>
      </c>
      <c r="F50" s="138">
        <f>AVERAGE(F38:F49)</f>
        <v>808</v>
      </c>
      <c r="G50" s="138">
        <f>AVERAGE(G38:G49)</f>
        <v>0</v>
      </c>
      <c r="H50" s="138">
        <f>Início!M30</f>
        <v>0</v>
      </c>
      <c r="I50" s="138">
        <f>Início!N30</f>
        <v>0</v>
      </c>
      <c r="J50" s="138">
        <f t="shared" si="0"/>
        <v>808</v>
      </c>
      <c r="K50">
        <f>Início!O30</f>
        <v>808</v>
      </c>
    </row>
    <row r="51" spans="1:11">
      <c r="A51" s="796"/>
      <c r="D51" t="s">
        <v>1563</v>
      </c>
      <c r="F51" s="138">
        <f>MIN(F38:F49)</f>
        <v>576</v>
      </c>
      <c r="G51" s="138">
        <f>MIN(G38:G49)</f>
        <v>0</v>
      </c>
      <c r="H51" s="138">
        <f>Início!M31</f>
        <v>0</v>
      </c>
      <c r="I51" s="138">
        <f>Início!N31</f>
        <v>0</v>
      </c>
      <c r="J51" s="138">
        <f>MIN(J38:J49)</f>
        <v>576</v>
      </c>
      <c r="K51">
        <f>Início!O31</f>
        <v>576</v>
      </c>
    </row>
    <row r="52" spans="1:11">
      <c r="A52" s="796"/>
      <c r="B52" t="s">
        <v>2502</v>
      </c>
      <c r="D52" t="s">
        <v>1565</v>
      </c>
      <c r="E52" s="87" t="str">
        <f>TEXT(F52,"#.###")&amp;"kWh"</f>
        <v>9.696kWh</v>
      </c>
      <c r="F52" s="138">
        <f>SUM(F38:F49)</f>
        <v>9696</v>
      </c>
      <c r="G52" s="138">
        <f>SUM(G38:G49)</f>
        <v>0</v>
      </c>
      <c r="H52" s="138">
        <f>Início!M32</f>
        <v>0</v>
      </c>
      <c r="I52" s="138">
        <f>Início!N32</f>
        <v>0</v>
      </c>
      <c r="J52" s="138">
        <f>SUM(J38:J49)</f>
        <v>9696</v>
      </c>
      <c r="K52">
        <f>Início!O32</f>
        <v>9696</v>
      </c>
    </row>
    <row r="53" spans="1:11">
      <c r="A53" s="796"/>
      <c r="D53" t="s">
        <v>1568</v>
      </c>
      <c r="F53" s="138">
        <f>Início!K34</f>
        <v>0</v>
      </c>
      <c r="G53" s="138">
        <f>Início!L34</f>
        <v>0</v>
      </c>
      <c r="H53" s="138">
        <f>Início!M34</f>
        <v>0</v>
      </c>
      <c r="I53" s="138">
        <f>Início!N34</f>
        <v>0</v>
      </c>
      <c r="J53" s="138">
        <f>Início!O34</f>
        <v>0</v>
      </c>
      <c r="K53" s="138"/>
    </row>
    <row r="54" spans="1:11">
      <c r="A54" s="796"/>
      <c r="D54" t="s">
        <v>1572</v>
      </c>
      <c r="F54" s="138">
        <f>Início!K36</f>
        <v>0</v>
      </c>
      <c r="G54" s="138">
        <f>Início!L36</f>
        <v>0</v>
      </c>
      <c r="H54" s="138">
        <f>Início!M36</f>
        <v>0</v>
      </c>
      <c r="I54" s="138">
        <f>Início!N36</f>
        <v>0</v>
      </c>
      <c r="J54" s="138">
        <f>Início!O36</f>
        <v>0</v>
      </c>
      <c r="K54" s="138"/>
    </row>
    <row r="55" spans="1:11">
      <c r="A55" s="796"/>
      <c r="D55" t="s">
        <v>1574</v>
      </c>
      <c r="F55" s="138">
        <f>F50+F53+F54</f>
        <v>808</v>
      </c>
      <c r="G55" s="138">
        <f>G50+G53</f>
        <v>0</v>
      </c>
      <c r="H55" s="138">
        <f>Início!M37</f>
        <v>0</v>
      </c>
      <c r="I55" s="138">
        <f>Início!N37</f>
        <v>0</v>
      </c>
      <c r="J55" s="138">
        <f>SUM(F55:I55)</f>
        <v>808</v>
      </c>
      <c r="K55" s="138">
        <f>Início!O37</f>
        <v>808</v>
      </c>
    </row>
    <row r="56" spans="1:11">
      <c r="D56" t="s">
        <v>2503</v>
      </c>
      <c r="F56" s="23">
        <f>F52/$J$52</f>
        <v>1</v>
      </c>
      <c r="G56" s="23">
        <f>G52/$J$52</f>
        <v>0</v>
      </c>
      <c r="H56" s="23">
        <f>H52/$J$52</f>
        <v>0</v>
      </c>
      <c r="I56" s="23">
        <f>I52/$J$52</f>
        <v>0</v>
      </c>
      <c r="J56" s="23">
        <f>J52/$J$52</f>
        <v>1</v>
      </c>
      <c r="K56" s="23">
        <v>1</v>
      </c>
    </row>
    <row r="57" spans="1:11">
      <c r="D57" t="s">
        <v>2504</v>
      </c>
      <c r="E57" t="str" cm="1">
        <f t="array" ref="E57">INDEX(PROSPECTOS[Local de Instalação],Resumo!$F$2)</f>
        <v>RESIDENCIAL</v>
      </c>
    </row>
    <row r="58" spans="1:11">
      <c r="D58" t="s">
        <v>2505</v>
      </c>
      <c r="E58" s="23">
        <f ca="1">Financeiro!$C$35/Financeiro!$A$35-1</f>
        <v>4.4000000000000039E-2</v>
      </c>
    </row>
    <row r="59" spans="1:11">
      <c r="E59"/>
    </row>
    <row r="60" spans="1:11">
      <c r="E60"/>
    </row>
    <row r="61" spans="1:11">
      <c r="A61" s="139"/>
      <c r="E61" s="138"/>
    </row>
    <row r="62" spans="1:11">
      <c r="A62" s="796" t="s">
        <v>2506</v>
      </c>
      <c r="D62" t="s">
        <v>1604</v>
      </c>
      <c r="E62" t="str">
        <f>Simulação_Dados!C8</f>
        <v>RIO DE JANEIRO</v>
      </c>
    </row>
    <row r="63" spans="1:11">
      <c r="A63" s="796"/>
      <c r="D63" t="s">
        <v>1609</v>
      </c>
      <c r="E63" s="141">
        <f>Simulação_Dados!C9</f>
        <v>4.2</v>
      </c>
    </row>
    <row r="64" spans="1:11">
      <c r="A64" s="796"/>
      <c r="D64" t="s">
        <v>1615</v>
      </c>
      <c r="E64" t="str">
        <f>Simulação_Dados!C11</f>
        <v>Plano Horizontal</v>
      </c>
    </row>
    <row r="65" spans="1:5">
      <c r="A65" s="796"/>
      <c r="D65" t="s">
        <v>94</v>
      </c>
      <c r="E65" s="142">
        <f>Simulação_Dados!C12</f>
        <v>0</v>
      </c>
    </row>
    <row r="66" spans="1:5">
      <c r="A66" s="796"/>
      <c r="B66" t="s">
        <v>2507</v>
      </c>
      <c r="D66" t="s">
        <v>96</v>
      </c>
      <c r="E66">
        <f ca="1">Simulação_Dados!C13</f>
        <v>5.58</v>
      </c>
    </row>
    <row r="67" spans="1:5">
      <c r="A67" s="796"/>
      <c r="B67" t="s">
        <v>2508</v>
      </c>
      <c r="D67" t="s">
        <v>98</v>
      </c>
      <c r="E67">
        <f ca="1">Simulação_Dados!C14</f>
        <v>6.02</v>
      </c>
    </row>
    <row r="68" spans="1:5">
      <c r="A68" s="796"/>
      <c r="B68" t="s">
        <v>2509</v>
      </c>
      <c r="D68" t="s">
        <v>99</v>
      </c>
      <c r="E68">
        <f ca="1">Simulação_Dados!C15</f>
        <v>5.24</v>
      </c>
    </row>
    <row r="69" spans="1:5">
      <c r="A69" s="796"/>
      <c r="B69" t="s">
        <v>2510</v>
      </c>
      <c r="D69" t="s">
        <v>103</v>
      </c>
      <c r="E69">
        <f ca="1">Simulação_Dados!C16</f>
        <v>4.92</v>
      </c>
    </row>
    <row r="70" spans="1:5">
      <c r="A70" s="796"/>
      <c r="B70" t="s">
        <v>2511</v>
      </c>
      <c r="D70" t="s">
        <v>106</v>
      </c>
      <c r="E70">
        <f ca="1">Simulação_Dados!C17</f>
        <v>4.32</v>
      </c>
    </row>
    <row r="71" spans="1:5">
      <c r="A71" s="796"/>
      <c r="B71" t="s">
        <v>2512</v>
      </c>
      <c r="D71" t="s">
        <v>114</v>
      </c>
      <c r="E71">
        <f ca="1">Simulação_Dados!C18</f>
        <v>4.18</v>
      </c>
    </row>
    <row r="72" spans="1:5">
      <c r="A72" s="796"/>
      <c r="B72" t="s">
        <v>2513</v>
      </c>
      <c r="D72" t="s">
        <v>119</v>
      </c>
      <c r="E72">
        <f ca="1">Simulação_Dados!C19</f>
        <v>4.08</v>
      </c>
    </row>
    <row r="73" spans="1:5">
      <c r="A73" s="796"/>
      <c r="B73" t="s">
        <v>2514</v>
      </c>
      <c r="D73" t="s">
        <v>122</v>
      </c>
      <c r="E73">
        <f ca="1">Simulação_Dados!C20</f>
        <v>4.8099999999999996</v>
      </c>
    </row>
    <row r="74" spans="1:5">
      <c r="A74" s="796"/>
      <c r="B74" t="s">
        <v>2515</v>
      </c>
      <c r="D74" t="s">
        <v>123</v>
      </c>
      <c r="E74">
        <f ca="1">Simulação_Dados!C21</f>
        <v>4.62</v>
      </c>
    </row>
    <row r="75" spans="1:5">
      <c r="A75" s="796"/>
      <c r="B75" t="s">
        <v>2516</v>
      </c>
      <c r="D75" t="s">
        <v>124</v>
      </c>
      <c r="E75">
        <f ca="1">Simulação_Dados!C22</f>
        <v>4.95</v>
      </c>
    </row>
    <row r="76" spans="1:5">
      <c r="A76" s="796"/>
      <c r="B76" t="s">
        <v>2517</v>
      </c>
      <c r="D76" t="s">
        <v>125</v>
      </c>
      <c r="E76">
        <f ca="1">Simulação_Dados!C23</f>
        <v>4.83</v>
      </c>
    </row>
    <row r="77" spans="1:5">
      <c r="A77" s="796"/>
      <c r="B77" t="s">
        <v>2518</v>
      </c>
      <c r="D77" t="s">
        <v>126</v>
      </c>
      <c r="E77">
        <f ca="1">Simulação_Dados!C24</f>
        <v>5.36</v>
      </c>
    </row>
    <row r="78" spans="1:5">
      <c r="A78" s="796"/>
      <c r="B78" t="s">
        <v>2519</v>
      </c>
      <c r="D78" t="s">
        <v>138</v>
      </c>
      <c r="E78" s="17">
        <f ca="1">Simulação_Dados!C25</f>
        <v>4.9091666666666667</v>
      </c>
    </row>
    <row r="79" spans="1:5">
      <c r="A79" s="796"/>
      <c r="D79" t="s">
        <v>1659</v>
      </c>
      <c r="E79">
        <f ca="1">Simulação_Dados!C26</f>
        <v>1.9399999999999995</v>
      </c>
    </row>
    <row r="80" spans="1:5">
      <c r="A80" s="796"/>
      <c r="D80" t="s">
        <v>1563</v>
      </c>
      <c r="E80" s="17">
        <f ca="1">Simulação_Dados!C27</f>
        <v>4.08</v>
      </c>
    </row>
    <row r="81" spans="1:5">
      <c r="A81" s="796"/>
      <c r="D81" t="s">
        <v>1661</v>
      </c>
      <c r="E81" s="17">
        <f ca="1">Simulação_Dados!C28</f>
        <v>6.02</v>
      </c>
    </row>
    <row r="82" spans="1:5">
      <c r="E82"/>
    </row>
    <row r="83" spans="1:5">
      <c r="E83"/>
    </row>
    <row r="84" spans="1:5">
      <c r="E84" s="17"/>
    </row>
    <row r="85" spans="1:5">
      <c r="A85" s="796" t="s">
        <v>2520</v>
      </c>
      <c r="D85" t="s">
        <v>1604</v>
      </c>
      <c r="E85" t="str">
        <f>Simulação_Dados!E8</f>
        <v>RIO DE JANEIRO</v>
      </c>
    </row>
    <row r="86" spans="1:5">
      <c r="A86" s="796"/>
      <c r="B86" t="s">
        <v>2521</v>
      </c>
      <c r="D86" t="s">
        <v>96</v>
      </c>
      <c r="E86" s="74">
        <f ca="1">Simulação_Dados!E13</f>
        <v>32.200000000000003</v>
      </c>
    </row>
    <row r="87" spans="1:5">
      <c r="A87" s="796"/>
      <c r="B87" t="s">
        <v>2522</v>
      </c>
      <c r="D87" t="s">
        <v>98</v>
      </c>
      <c r="E87" s="74">
        <f ca="1">Simulação_Dados!E14</f>
        <v>31.2</v>
      </c>
    </row>
    <row r="88" spans="1:5">
      <c r="A88" s="796"/>
      <c r="B88" t="s">
        <v>2523</v>
      </c>
      <c r="D88" t="s">
        <v>99</v>
      </c>
      <c r="E88" s="74">
        <f ca="1">Simulação_Dados!E15</f>
        <v>30</v>
      </c>
    </row>
    <row r="89" spans="1:5">
      <c r="A89" s="796"/>
      <c r="B89" t="s">
        <v>2524</v>
      </c>
      <c r="D89" t="s">
        <v>103</v>
      </c>
      <c r="E89" s="74">
        <f ca="1">Simulação_Dados!E16</f>
        <v>27.8</v>
      </c>
    </row>
    <row r="90" spans="1:5">
      <c r="A90" s="796"/>
      <c r="B90" t="s">
        <v>2525</v>
      </c>
      <c r="D90" t="s">
        <v>106</v>
      </c>
      <c r="E90" s="74">
        <f ca="1">Simulação_Dados!E17</f>
        <v>26.7</v>
      </c>
    </row>
    <row r="91" spans="1:5">
      <c r="A91" s="796"/>
      <c r="B91" t="s">
        <v>2526</v>
      </c>
      <c r="D91" t="s">
        <v>114</v>
      </c>
      <c r="E91" s="74">
        <f ca="1">Simulação_Dados!E18</f>
        <v>26.4</v>
      </c>
    </row>
    <row r="92" spans="1:5">
      <c r="A92" s="796"/>
      <c r="B92" t="s">
        <v>2527</v>
      </c>
      <c r="D92" t="s">
        <v>119</v>
      </c>
      <c r="E92" s="74">
        <f ca="1">Simulação_Dados!E19</f>
        <v>27</v>
      </c>
    </row>
    <row r="93" spans="1:5">
      <c r="A93" s="796"/>
      <c r="B93" t="s">
        <v>2528</v>
      </c>
      <c r="D93" t="s">
        <v>122</v>
      </c>
      <c r="E93" s="74">
        <f ca="1">Simulação_Dados!E20</f>
        <v>26.7</v>
      </c>
    </row>
    <row r="94" spans="1:5">
      <c r="A94" s="796"/>
      <c r="B94" t="s">
        <v>2529</v>
      </c>
      <c r="D94" t="s">
        <v>123</v>
      </c>
      <c r="E94" s="74">
        <f ca="1">Simulação_Dados!E21</f>
        <v>28.2</v>
      </c>
    </row>
    <row r="95" spans="1:5">
      <c r="A95" s="796"/>
      <c r="B95" t="s">
        <v>2530</v>
      </c>
      <c r="D95" t="s">
        <v>124</v>
      </c>
      <c r="E95" s="74">
        <f ca="1">Simulação_Dados!E22</f>
        <v>29.4</v>
      </c>
    </row>
    <row r="96" spans="1:5">
      <c r="A96" s="796"/>
      <c r="B96" t="s">
        <v>2531</v>
      </c>
      <c r="D96" t="s">
        <v>125</v>
      </c>
      <c r="E96" s="74">
        <f ca="1">Simulação_Dados!E23</f>
        <v>30.3</v>
      </c>
    </row>
    <row r="97" spans="1:6">
      <c r="A97" s="796"/>
      <c r="B97" t="s">
        <v>2532</v>
      </c>
      <c r="D97" t="s">
        <v>126</v>
      </c>
      <c r="E97" s="74">
        <f ca="1">Simulação_Dados!E24</f>
        <v>29</v>
      </c>
    </row>
    <row r="98" spans="1:6">
      <c r="A98" s="796"/>
      <c r="B98" t="s">
        <v>2533</v>
      </c>
      <c r="D98" t="s">
        <v>138</v>
      </c>
      <c r="E98" s="17">
        <f ca="1">Simulação_Dados!E25</f>
        <v>28.741666666666664</v>
      </c>
    </row>
    <row r="99" spans="1:6">
      <c r="A99" s="796"/>
      <c r="B99" t="s">
        <v>2534</v>
      </c>
      <c r="D99" t="s">
        <v>1563</v>
      </c>
      <c r="E99" s="655">
        <f>Simulação_Dados!E27</f>
        <v>11.1</v>
      </c>
      <c r="F99" s="17">
        <f>Simulação_Dados!E27</f>
        <v>11.1</v>
      </c>
    </row>
    <row r="100" spans="1:6">
      <c r="A100" s="796"/>
      <c r="D100" t="s">
        <v>1661</v>
      </c>
      <c r="E100" s="17">
        <f ca="1">Simulação_Dados!E28</f>
        <v>32.200000000000003</v>
      </c>
    </row>
    <row r="101" spans="1:6">
      <c r="E101"/>
    </row>
    <row r="102" spans="1:6">
      <c r="E102"/>
    </row>
    <row r="103" spans="1:6">
      <c r="A103" s="140"/>
      <c r="D103" t="s">
        <v>1690</v>
      </c>
      <c r="E103" s="444">
        <v>1</v>
      </c>
    </row>
    <row r="104" spans="1:6">
      <c r="A104" s="796" t="s">
        <v>2535</v>
      </c>
      <c r="B104" t="s">
        <v>2536</v>
      </c>
      <c r="D104" t="s">
        <v>1692</v>
      </c>
      <c r="E104" t="str">
        <f>Simulação!F6</f>
        <v>ÉS-NORDESTE</v>
      </c>
    </row>
    <row r="105" spans="1:6">
      <c r="A105" s="796"/>
      <c r="B105" t="s">
        <v>2537</v>
      </c>
      <c r="D105" t="s">
        <v>1693</v>
      </c>
      <c r="E105" t="str">
        <f>F105&amp;"°"</f>
        <v>60°</v>
      </c>
      <c r="F105" s="143">
        <f>Simulação!F7</f>
        <v>60</v>
      </c>
    </row>
    <row r="106" spans="1:6">
      <c r="A106" s="796"/>
      <c r="B106" t="s">
        <v>2538</v>
      </c>
      <c r="D106" t="s">
        <v>94</v>
      </c>
      <c r="E106" s="143">
        <f>Simulação!F8</f>
        <v>15</v>
      </c>
    </row>
    <row r="107" spans="1:6">
      <c r="A107" s="796" t="s">
        <v>2539</v>
      </c>
      <c r="B107" t="s">
        <v>2540</v>
      </c>
      <c r="D107" t="s">
        <v>1707</v>
      </c>
      <c r="E107" t="str">
        <f ca="1">TEXT(F107,"0,00%")</f>
        <v>68,88%</v>
      </c>
      <c r="F107" s="12">
        <f ca="1">Simulação!F18</f>
        <v>0.68877499999999992</v>
      </c>
    </row>
    <row r="108" spans="1:6">
      <c r="A108" s="796"/>
      <c r="D108" t="s">
        <v>1692</v>
      </c>
      <c r="E108" s="12">
        <f>Simulação!F19</f>
        <v>7.9999999999999988E-2</v>
      </c>
    </row>
    <row r="109" spans="1:6">
      <c r="A109" s="796"/>
      <c r="D109" t="s">
        <v>94</v>
      </c>
      <c r="E109" s="12">
        <f>Simulação!F20</f>
        <v>0</v>
      </c>
    </row>
    <row r="110" spans="1:6">
      <c r="A110" s="796"/>
      <c r="D110" t="s">
        <v>1714</v>
      </c>
      <c r="E110" s="12">
        <f>Simulação!F21</f>
        <v>0.03</v>
      </c>
    </row>
    <row r="111" spans="1:6">
      <c r="A111" s="796"/>
      <c r="D111" t="s">
        <v>1715</v>
      </c>
      <c r="E111" s="12">
        <f>Simulação!F22</f>
        <v>0.01</v>
      </c>
    </row>
    <row r="112" spans="1:6">
      <c r="A112" s="796"/>
      <c r="D112" t="s">
        <v>1716</v>
      </c>
      <c r="E112" s="12">
        <f ca="1">Simulação!F23</f>
        <v>8.6224999999999996E-2</v>
      </c>
    </row>
    <row r="113" spans="1:5">
      <c r="A113" s="796"/>
      <c r="D113" t="s">
        <v>1100</v>
      </c>
      <c r="E113" s="12">
        <f>Simulação!F24</f>
        <v>0.01</v>
      </c>
    </row>
    <row r="114" spans="1:5">
      <c r="A114" s="796"/>
      <c r="D114" t="s">
        <v>1717</v>
      </c>
      <c r="E114" s="12">
        <f>Simulação!F25</f>
        <v>0.04</v>
      </c>
    </row>
    <row r="115" spans="1:5">
      <c r="A115" s="796"/>
      <c r="D115" t="s">
        <v>1718</v>
      </c>
      <c r="E115" s="12">
        <f>Simulação!F26</f>
        <v>5.0000000000000001E-3</v>
      </c>
    </row>
    <row r="116" spans="1:5">
      <c r="A116" s="796"/>
      <c r="D116" t="s">
        <v>1719</v>
      </c>
      <c r="E116" s="12">
        <f>Simulação!F27</f>
        <v>5.0000000000000001E-3</v>
      </c>
    </row>
    <row r="117" spans="1:5">
      <c r="A117" s="796"/>
      <c r="D117" t="s">
        <v>1720</v>
      </c>
      <c r="E117" s="12">
        <f>Simulação!F28</f>
        <v>0</v>
      </c>
    </row>
    <row r="118" spans="1:5">
      <c r="A118" s="796"/>
      <c r="D118" t="s">
        <v>218</v>
      </c>
      <c r="E118" s="12">
        <f>Simulação!F29</f>
        <v>4.500000000000004E-2</v>
      </c>
    </row>
    <row r="119" spans="1:5">
      <c r="A119" s="796"/>
      <c r="D119" t="s">
        <v>164</v>
      </c>
      <c r="E119" s="12">
        <f ca="1">Simulação!F30</f>
        <v>0.31122500000000003</v>
      </c>
    </row>
    <row r="120" spans="1:5">
      <c r="E120"/>
    </row>
    <row r="121" spans="1:5">
      <c r="E121"/>
    </row>
    <row r="122" spans="1:5">
      <c r="E122"/>
    </row>
    <row r="123" spans="1:5">
      <c r="E123"/>
    </row>
    <row r="124" spans="1:5">
      <c r="E124"/>
    </row>
    <row r="125" spans="1:5">
      <c r="E125"/>
    </row>
    <row r="126" spans="1:5">
      <c r="E126"/>
    </row>
    <row r="127" spans="1:5">
      <c r="E127"/>
    </row>
    <row r="128" spans="1:5">
      <c r="E128"/>
    </row>
    <row r="129" spans="1:6">
      <c r="E129"/>
    </row>
    <row r="130" spans="1:6">
      <c r="E130"/>
    </row>
    <row r="131" spans="1:6">
      <c r="E131"/>
    </row>
    <row r="132" spans="1:6">
      <c r="E132"/>
    </row>
    <row r="133" spans="1:6">
      <c r="E133"/>
    </row>
    <row r="134" spans="1:6">
      <c r="E134"/>
    </row>
    <row r="135" spans="1:6">
      <c r="A135" s="796" t="s">
        <v>2541</v>
      </c>
      <c r="D135" t="s">
        <v>96</v>
      </c>
      <c r="F135" s="17">
        <f ca="1">Financeiro!H23</f>
        <v>1092.4850466817879</v>
      </c>
    </row>
    <row r="136" spans="1:6">
      <c r="A136" s="796"/>
      <c r="D136" t="s">
        <v>98</v>
      </c>
      <c r="F136" s="17">
        <f ca="1">Financeiro!H24</f>
        <v>1060.3730911359264</v>
      </c>
    </row>
    <row r="137" spans="1:6">
      <c r="A137" s="796"/>
      <c r="D137" t="s">
        <v>99</v>
      </c>
      <c r="F137" s="17">
        <f ca="1">Financeiro!H25</f>
        <v>923.26314583481292</v>
      </c>
    </row>
    <row r="138" spans="1:6">
      <c r="A138" s="796"/>
      <c r="D138" t="s">
        <v>103</v>
      </c>
      <c r="F138" s="17">
        <f ca="1">Financeiro!H26</f>
        <v>786.68051526918066</v>
      </c>
    </row>
    <row r="139" spans="1:6">
      <c r="A139" s="796"/>
      <c r="D139" t="s">
        <v>106</v>
      </c>
      <c r="F139" s="17">
        <f ca="1">Financeiro!H27</f>
        <v>653.3252447358276</v>
      </c>
    </row>
    <row r="140" spans="1:6">
      <c r="A140" s="796"/>
      <c r="D140" t="s">
        <v>114</v>
      </c>
      <c r="F140" s="17">
        <f ca="1">Financeiro!H28</f>
        <v>602.15591027107496</v>
      </c>
    </row>
    <row r="141" spans="1:6">
      <c r="A141" s="796"/>
      <c r="D141" t="s">
        <v>119</v>
      </c>
      <c r="F141" s="17">
        <f ca="1">Financeiro!H29</f>
        <v>606.01090708084621</v>
      </c>
    </row>
    <row r="142" spans="1:6">
      <c r="A142" s="796"/>
      <c r="D142" t="s">
        <v>122</v>
      </c>
      <c r="F142" s="17">
        <f ca="1">Financeiro!H30</f>
        <v>780.82585297421963</v>
      </c>
    </row>
    <row r="143" spans="1:6">
      <c r="A143" s="796"/>
      <c r="D143" t="s">
        <v>123</v>
      </c>
      <c r="F143" s="17">
        <f ca="1">Financeiro!H31</f>
        <v>770.67997402833282</v>
      </c>
    </row>
    <row r="144" spans="1:6">
      <c r="A144" s="796"/>
      <c r="D144" t="s">
        <v>124</v>
      </c>
      <c r="F144" s="17">
        <f ca="1">Financeiro!H32</f>
        <v>924.4378601947667</v>
      </c>
    </row>
    <row r="145" spans="1:6">
      <c r="A145" s="796"/>
      <c r="D145" t="s">
        <v>125</v>
      </c>
      <c r="F145" s="17">
        <f ca="1">Financeiro!H33</f>
        <v>926.08017262306612</v>
      </c>
    </row>
    <row r="146" spans="1:6">
      <c r="A146" s="796"/>
      <c r="D146" t="s">
        <v>126</v>
      </c>
      <c r="F146" s="17">
        <f ca="1">Financeiro!H34</f>
        <v>1097.5655202051475</v>
      </c>
    </row>
    <row r="147" spans="1:6">
      <c r="A147" s="796"/>
      <c r="B147" t="s">
        <v>2542</v>
      </c>
      <c r="D147" t="s">
        <v>2543</v>
      </c>
      <c r="E147" s="87" t="str">
        <f t="shared" ref="E147:E148" ca="1" si="1">TEXT(F147,"#.###")&amp;"kWh"</f>
        <v>852kWh</v>
      </c>
      <c r="F147" s="17">
        <f ca="1">Financeiro!H35</f>
        <v>851.9902700862491</v>
      </c>
    </row>
    <row r="148" spans="1:6">
      <c r="A148" s="796"/>
      <c r="B148" t="s">
        <v>2544</v>
      </c>
      <c r="D148" t="s">
        <v>1699</v>
      </c>
      <c r="E148" s="87" t="str">
        <f t="shared" ca="1" si="1"/>
        <v>10.224kWh</v>
      </c>
      <c r="F148" s="17">
        <f ca="1">Financeiro!H36</f>
        <v>10223.88324103499</v>
      </c>
    </row>
    <row r="149" spans="1:6">
      <c r="D149" t="s">
        <v>2545</v>
      </c>
      <c r="F149" s="20">
        <f ca="1">ROUND(Financeiro!$E$174,0)</f>
        <v>10142</v>
      </c>
    </row>
    <row r="150" spans="1:6">
      <c r="E150"/>
    </row>
    <row r="151" spans="1:6">
      <c r="E151"/>
    </row>
    <row r="152" spans="1:6">
      <c r="E152"/>
    </row>
    <row r="153" spans="1:6">
      <c r="E153"/>
    </row>
    <row r="154" spans="1:6">
      <c r="E154"/>
    </row>
    <row r="155" spans="1:6">
      <c r="E155"/>
    </row>
    <row r="156" spans="1:6">
      <c r="E156"/>
    </row>
    <row r="157" spans="1:6">
      <c r="A157" s="797" t="s">
        <v>2546</v>
      </c>
      <c r="D157" t="s">
        <v>2547</v>
      </c>
      <c r="E157" s="138">
        <f>Simulação!M12</f>
        <v>808</v>
      </c>
    </row>
    <row r="158" spans="1:6">
      <c r="A158" s="797"/>
      <c r="D158" t="s">
        <v>1697</v>
      </c>
      <c r="E158" s="144">
        <f ca="1">Simulação!M13</f>
        <v>5.48633508742149</v>
      </c>
    </row>
    <row r="159" spans="1:6">
      <c r="A159" s="797"/>
      <c r="D159" t="s">
        <v>1698</v>
      </c>
      <c r="E159" s="144">
        <f ca="1">Simulação!M14</f>
        <v>7.9653516568131693</v>
      </c>
    </row>
    <row r="160" spans="1:6">
      <c r="A160" s="797"/>
      <c r="D160" t="s">
        <v>1705</v>
      </c>
      <c r="E160" s="144">
        <f>Simulação!M17</f>
        <v>8.19</v>
      </c>
    </row>
    <row r="161" spans="1:6">
      <c r="A161" s="797"/>
      <c r="B161" t="s">
        <v>2548</v>
      </c>
      <c r="D161" t="s">
        <v>1709</v>
      </c>
      <c r="E161" t="str">
        <f>TEXT(F161,"0,0")&amp;"m²"</f>
        <v>38,0m²</v>
      </c>
      <c r="F161" s="150">
        <f>Simulação!M18</f>
        <v>37.973804399999999</v>
      </c>
    </row>
    <row r="162" spans="1:6">
      <c r="A162" s="797"/>
      <c r="D162" t="s">
        <v>1701</v>
      </c>
      <c r="E162" s="145">
        <f ca="1">Simulação!M15</f>
        <v>13.61598573814217</v>
      </c>
    </row>
    <row r="163" spans="1:6">
      <c r="D163" t="s">
        <v>2549</v>
      </c>
      <c r="E163" s="444">
        <v>1</v>
      </c>
    </row>
    <row r="164" spans="1:6">
      <c r="E164"/>
    </row>
    <row r="165" spans="1:6">
      <c r="E165"/>
    </row>
    <row r="166" spans="1:6">
      <c r="E166" s="145"/>
    </row>
    <row r="167" spans="1:6" ht="14.45" customHeight="1">
      <c r="A167" s="797" t="s">
        <v>2550</v>
      </c>
      <c r="D167" s="87" t="s">
        <v>2551</v>
      </c>
      <c r="E167" s="87">
        <f>Simulação!M20</f>
        <v>0</v>
      </c>
      <c r="F167" t="s">
        <v>2552</v>
      </c>
    </row>
    <row r="168" spans="1:6">
      <c r="A168" s="797"/>
      <c r="D168" t="s">
        <v>2553</v>
      </c>
      <c r="E168" s="87">
        <f>Simulação!N20</f>
        <v>0</v>
      </c>
      <c r="F168" t="s">
        <v>2552</v>
      </c>
    </row>
    <row r="169" spans="1:6">
      <c r="A169" s="797"/>
      <c r="D169" t="s">
        <v>2554</v>
      </c>
      <c r="E169" s="87" t="str">
        <f>Simulação!O24</f>
        <v>Mai</v>
      </c>
      <c r="F169" t="s">
        <v>2552</v>
      </c>
    </row>
    <row r="170" spans="1:6">
      <c r="E170" s="87" t="str">
        <f ca="1">Simulação!P36</f>
        <v>2 anos e 2 meses (2,25)</v>
      </c>
    </row>
    <row r="171" spans="1:6" ht="14.45" customHeight="1">
      <c r="A171" s="798" t="s">
        <v>2555</v>
      </c>
      <c r="D171" t="s">
        <v>2556</v>
      </c>
      <c r="E171" s="146">
        <f>(Resumo!$F$175+(0-25))*INDEX(MÓDULOS[Temp. Coef. Voc],Simulação!$F$12)*INDEX(MÓDULOS[Voc],Simulação!$F$12)+INDEX(MÓDULOS[Voc],Simulação!$F$12)</f>
        <v>54.0381</v>
      </c>
    </row>
    <row r="172" spans="1:6">
      <c r="A172" s="798"/>
      <c r="D172" t="s">
        <v>2557</v>
      </c>
      <c r="E172" s="147">
        <f>INDEX(MÓDULOS[Isc],Simulação!$F$12)+((INDEX(MÓDULOS[Máx Operating Temp],Simulação!$F$12)-25)*INDEX(MÓDULOS[Temp. Coef. Isc],Simulação!$F$12))</f>
        <v>14.227599999999999</v>
      </c>
    </row>
    <row r="173" spans="1:6">
      <c r="A173" s="798" t="s">
        <v>2558</v>
      </c>
      <c r="D173" t="s">
        <v>2556</v>
      </c>
      <c r="E173" s="146">
        <f>Simulação!N28</f>
        <v>0</v>
      </c>
    </row>
    <row r="174" spans="1:6">
      <c r="A174" s="798"/>
      <c r="D174" t="s">
        <v>2557</v>
      </c>
      <c r="E174" s="147">
        <f>Simulação!N29</f>
        <v>0</v>
      </c>
    </row>
    <row r="175" spans="1:6">
      <c r="B175" t="s">
        <v>2559</v>
      </c>
      <c r="D175" t="s">
        <v>2560</v>
      </c>
      <c r="E175" t="str">
        <f>F175&amp;"°C"</f>
        <v>6,1°C</v>
      </c>
      <c r="F175" s="151">
        <f>Simulação_Dados!$E$27-5</f>
        <v>6.1</v>
      </c>
    </row>
    <row r="184" spans="1:6">
      <c r="D184" t="s">
        <v>2561</v>
      </c>
      <c r="E184" s="87" t="str">
        <f>IF($F$193&lt;=10,"Microgeração &lt;= 10kWp",IF($F$193&lt;=75,"Microgeração &lt;= 75kWp","Minigeração"))</f>
        <v>Microgeração &lt;= 10kWp</v>
      </c>
    </row>
    <row r="185" spans="1:6" ht="14.45" customHeight="1">
      <c r="A185" s="796" t="s">
        <v>2562</v>
      </c>
      <c r="B185" t="s">
        <v>2563</v>
      </c>
      <c r="D185" t="s">
        <v>2564</v>
      </c>
      <c r="E185" t="str">
        <f>"SFCR "&amp;PROPER(Início!$F$7)</f>
        <v>SFCR Flavia Louzada</v>
      </c>
    </row>
    <row r="186" spans="1:6">
      <c r="A186" s="796"/>
      <c r="D186" t="s">
        <v>2565</v>
      </c>
      <c r="E186" t="str">
        <f>INDEX(INDEX(KIT_FV[Distribuidor],)&amp;" - "&amp;INDEX(KIT_FV[Inversor],)&amp;" - "&amp;INDEX(KIT_FV[Kit],)&amp;"kWp - R$"&amp;INDEX(KIT_FV[Preço com frete],),MATCH("x",KIT_FV[Escolhido],0))</f>
        <v>Amara - SOLIS - 8,55kWp - R$13003,91</v>
      </c>
    </row>
    <row r="187" spans="1:6">
      <c r="A187" s="796"/>
      <c r="B187" t="s">
        <v>2566</v>
      </c>
      <c r="D187" t="s">
        <v>2567</v>
      </c>
      <c r="E187">
        <f>Simulação!I12</f>
        <v>14</v>
      </c>
    </row>
    <row r="188" spans="1:6">
      <c r="A188" s="796"/>
      <c r="B188" t="s">
        <v>2568</v>
      </c>
      <c r="D188" t="s">
        <v>2569</v>
      </c>
      <c r="E188">
        <f>Simulação!I14</f>
        <v>4</v>
      </c>
    </row>
    <row r="189" spans="1:6">
      <c r="A189" s="796"/>
      <c r="B189" t="s">
        <v>2570</v>
      </c>
      <c r="D189" t="s">
        <v>2571</v>
      </c>
      <c r="E189" s="96">
        <f>$E$187*$F$225/1000</f>
        <v>8.19</v>
      </c>
      <c r="F189" t="str">
        <f>TEXT(E189,"0,00")&amp;"kWp"</f>
        <v>8,19kWp</v>
      </c>
    </row>
    <row r="190" spans="1:6">
      <c r="A190" s="796"/>
      <c r="B190" t="s">
        <v>2572</v>
      </c>
      <c r="D190" t="s">
        <v>2573</v>
      </c>
      <c r="E190" s="229">
        <f>$E$187*$F$225</f>
        <v>8190</v>
      </c>
      <c r="F190" t="str">
        <f>TEXT(E190,"0.000")&amp;"Wp"</f>
        <v>8.190Wp</v>
      </c>
    </row>
    <row r="191" spans="1:6">
      <c r="A191" s="796"/>
      <c r="B191" t="s">
        <v>2574</v>
      </c>
      <c r="D191" t="s">
        <v>2575</v>
      </c>
      <c r="E191" s="96">
        <f>$E$188*$F$204/1000</f>
        <v>10</v>
      </c>
    </row>
    <row r="192" spans="1:6">
      <c r="A192" s="796"/>
      <c r="B192" t="s">
        <v>2576</v>
      </c>
      <c r="D192" t="s">
        <v>2577</v>
      </c>
      <c r="E192" t="str">
        <f>TEXT(F192,"0.000")&amp;"Wp"</f>
        <v>10.000Wp</v>
      </c>
      <c r="F192" s="229">
        <f>$E$188*$E$203</f>
        <v>10000</v>
      </c>
    </row>
    <row r="193" spans="1:7">
      <c r="A193" s="796"/>
      <c r="B193" s="132" t="s">
        <v>2578</v>
      </c>
      <c r="D193" t="s">
        <v>2579</v>
      </c>
      <c r="E193" t="str">
        <f>TEXT(F193,"0,00")&amp;"kWp"</f>
        <v>8,19kWp</v>
      </c>
      <c r="F193" s="96">
        <f>MIN($E$189:$E$191)</f>
        <v>8.19</v>
      </c>
    </row>
    <row r="194" spans="1:7">
      <c r="A194" s="796"/>
      <c r="B194" t="s">
        <v>2580</v>
      </c>
      <c r="D194" t="s">
        <v>2581</v>
      </c>
      <c r="E194" t="str">
        <f ca="1">TEXT(F194,"0,00%")</f>
        <v>14,25%</v>
      </c>
      <c r="F194" s="234">
        <f ca="1">$F$148/($E$189*24*365)</f>
        <v>0.14250426850088635</v>
      </c>
    </row>
    <row r="195" spans="1:7">
      <c r="A195" s="796"/>
      <c r="B195" t="s">
        <v>2582</v>
      </c>
      <c r="D195" t="s">
        <v>2583</v>
      </c>
      <c r="E195" t="str">
        <f ca="1">TEXT(F195,"0,00%")</f>
        <v>69,67%</v>
      </c>
      <c r="F195" s="234">
        <f ca="1">$F$148/($E$189*$E$78*365)</f>
        <v>0.69667678370828834</v>
      </c>
    </row>
    <row r="196" spans="1:7">
      <c r="A196" s="796"/>
      <c r="D196" t="s">
        <v>2584</v>
      </c>
      <c r="E196" s="29">
        <f>E189/E191</f>
        <v>0.81899999999999995</v>
      </c>
      <c r="F196" t="str">
        <f>D196&amp;TEXT(E196,"0%")</f>
        <v>Oversize do Inversor: 82%</v>
      </c>
    </row>
    <row r="197" spans="1:7">
      <c r="A197" s="796"/>
      <c r="D197" t="s">
        <v>2585</v>
      </c>
      <c r="E197">
        <f>INDEX(INVERSORES[Vgrid],Simulação!$F$14)</f>
        <v>220</v>
      </c>
      <c r="F197" t="str">
        <f>INDEX(INVERSORES[Fases],Simulação!$F$14)</f>
        <v>MONOFÁSICO</v>
      </c>
      <c r="G197">
        <f>IF($F$197="TRIFÁSICO",3,1)</f>
        <v>1</v>
      </c>
    </row>
    <row r="198" spans="1:7">
      <c r="A198" s="796"/>
      <c r="D198" t="s">
        <v>2586</v>
      </c>
      <c r="E198" s="17">
        <f>F193*1000/E197/SQRT(G197)*1.15</f>
        <v>42.81136363636363</v>
      </c>
    </row>
    <row r="200" spans="1:7" ht="14.45" customHeight="1">
      <c r="A200" s="796" t="s">
        <v>218</v>
      </c>
      <c r="B200" t="s">
        <v>2587</v>
      </c>
      <c r="D200" t="s">
        <v>1823</v>
      </c>
      <c r="E200" t="str">
        <f>INDEX(INVERSORES[Fabricante],Simulação!$F$14)</f>
        <v>FoxEss</v>
      </c>
      <c r="F200" t="s">
        <v>2588</v>
      </c>
    </row>
    <row r="201" spans="1:7">
      <c r="A201" s="796"/>
      <c r="B201" t="s">
        <v>2589</v>
      </c>
      <c r="D201" t="s">
        <v>1830</v>
      </c>
      <c r="E201" t="str">
        <f>INDEX(INVERSORES[Modelo],Simulação!$F$14)</f>
        <v>Q1-2500-E</v>
      </c>
    </row>
    <row r="202" spans="1:7">
      <c r="A202" s="796"/>
      <c r="B202" t="s">
        <v>2590</v>
      </c>
      <c r="D202" t="s">
        <v>2591</v>
      </c>
      <c r="E202" t="str">
        <f>INDEX(INVERSORES[Tipo],Simulação!$F$14)</f>
        <v>Microinversor</v>
      </c>
    </row>
    <row r="203" spans="1:7">
      <c r="A203" s="796"/>
      <c r="D203" t="s">
        <v>2592</v>
      </c>
      <c r="E203" s="49">
        <f>INDEX(INVERSORES[Pmax],Simulação!$F$14)</f>
        <v>2500</v>
      </c>
    </row>
    <row r="204" spans="1:7">
      <c r="A204" s="796"/>
      <c r="B204" s="132" t="s">
        <v>2593</v>
      </c>
      <c r="D204" t="s">
        <v>2594</v>
      </c>
      <c r="E204" t="str">
        <f>TEXT(F204,"#.###")&amp;"W"</f>
        <v>2.500W</v>
      </c>
      <c r="F204" s="49">
        <f>INDEX(INVERSORES[Pn],Simulação!$F$14)</f>
        <v>2500</v>
      </c>
    </row>
    <row r="205" spans="1:7">
      <c r="A205" s="796"/>
      <c r="B205" t="s">
        <v>2595</v>
      </c>
      <c r="D205" t="s">
        <v>2596</v>
      </c>
      <c r="E205" t="str">
        <f>TEXT(F205,"0")&amp;"V"</f>
        <v>220V</v>
      </c>
      <c r="F205" s="51">
        <f>INDEX(INVERSORES[Vgrid],Simulação!$F$14)</f>
        <v>220</v>
      </c>
    </row>
    <row r="206" spans="1:7">
      <c r="A206" s="796"/>
      <c r="B206" t="s">
        <v>2597</v>
      </c>
      <c r="D206" t="s">
        <v>2598</v>
      </c>
      <c r="E206" t="str">
        <f>TEXT(F206,"0,00")&amp;"A"</f>
        <v>11,36A</v>
      </c>
      <c r="F206" s="47">
        <f>INDEX(INVERSORES[Imax_AC],Simulação!$F$14)</f>
        <v>11.36</v>
      </c>
    </row>
    <row r="207" spans="1:7">
      <c r="A207" s="796"/>
      <c r="B207" t="s">
        <v>2599</v>
      </c>
      <c r="D207" t="s">
        <v>2600</v>
      </c>
      <c r="E207" t="str">
        <f>TEXT(F207,"0,00")&amp;"A"</f>
        <v>11,36A</v>
      </c>
      <c r="F207" s="47">
        <f>INDEX(INVERSORES[In],Simulação!$F$14)</f>
        <v>11.36</v>
      </c>
    </row>
    <row r="208" spans="1:7">
      <c r="A208" s="796"/>
      <c r="B208" t="s">
        <v>2601</v>
      </c>
      <c r="D208" t="s">
        <v>2602</v>
      </c>
      <c r="E208" t="str">
        <f>TEXT(F208,"0,00%")</f>
        <v>95,50%</v>
      </c>
      <c r="F208" s="23">
        <f>INDEX(INVERSORES[Eficiência Max.],Simulação!$F$14)</f>
        <v>0.95499999999999996</v>
      </c>
    </row>
    <row r="209" spans="1:6">
      <c r="A209" s="796"/>
      <c r="B209" t="s">
        <v>2603</v>
      </c>
      <c r="D209" t="s">
        <v>2604</v>
      </c>
      <c r="E209" t="str">
        <f>TEXT(F209,"0%")</f>
        <v>300%</v>
      </c>
      <c r="F209" s="29">
        <f>INDEX(INVERSORES[THDi],Simulação!$F$14)</f>
        <v>3</v>
      </c>
    </row>
    <row r="210" spans="1:6">
      <c r="A210" s="796"/>
      <c r="B210" t="s">
        <v>2605</v>
      </c>
      <c r="D210" t="s">
        <v>2606</v>
      </c>
      <c r="E210" t="str">
        <f>TEXT(F210,"#.###")&amp;"W"</f>
        <v>2.800W</v>
      </c>
      <c r="F210" s="49">
        <f>INDEX(INVERSORES[Pmax_DC],Simulação!$F$14)</f>
        <v>2800</v>
      </c>
    </row>
    <row r="211" spans="1:6">
      <c r="A211" s="796"/>
      <c r="B211" t="s">
        <v>2607</v>
      </c>
      <c r="D211" t="s">
        <v>2608</v>
      </c>
      <c r="E211" t="str">
        <f>TEXT(F211,"0")&amp;"V"</f>
        <v>60V</v>
      </c>
      <c r="F211" s="51">
        <f>INDEX(INVERSORES[Vmax_DC],Simulação!$F$14)</f>
        <v>60</v>
      </c>
    </row>
    <row r="212" spans="1:6">
      <c r="A212" s="796"/>
      <c r="B212" t="s">
        <v>2609</v>
      </c>
      <c r="D212" t="s">
        <v>2610</v>
      </c>
      <c r="E212" t="str">
        <f>TEXT(F212,"0")&amp;"V"</f>
        <v>32V</v>
      </c>
      <c r="F212" s="51">
        <f>INDEX(INVERSORES[VStart-up],Simulação!$F$14)</f>
        <v>32</v>
      </c>
    </row>
    <row r="213" spans="1:6">
      <c r="A213" s="796"/>
      <c r="B213" t="s">
        <v>2611</v>
      </c>
      <c r="D213" t="s">
        <v>2612</v>
      </c>
      <c r="E213" t="str">
        <f>TEXT(F213,"0")&amp;"V"</f>
        <v>50V</v>
      </c>
      <c r="F213" s="51">
        <f>INDEX(INVERSORES[Vmax_MPPT],Simulação!$F$14)</f>
        <v>50</v>
      </c>
    </row>
    <row r="214" spans="1:6">
      <c r="A214" s="796"/>
      <c r="B214" t="s">
        <v>2613</v>
      </c>
      <c r="D214" t="s">
        <v>2614</v>
      </c>
      <c r="E214" t="str">
        <f>TEXT(F214,"0")&amp;"V"</f>
        <v>24V</v>
      </c>
      <c r="F214" s="51">
        <f>INDEX(INVERSORES[Vmin_MPPT],Simulação!$F$14)</f>
        <v>24</v>
      </c>
    </row>
    <row r="215" spans="1:6">
      <c r="A215" s="796"/>
      <c r="B215" t="s">
        <v>2615</v>
      </c>
      <c r="D215" t="s">
        <v>2616</v>
      </c>
      <c r="E215">
        <f>INDEX(INVERSORES[Nº de MPPTs],Simulação!$F$14)</f>
        <v>4</v>
      </c>
    </row>
    <row r="216" spans="1:6">
      <c r="A216" s="796"/>
      <c r="B216" t="s">
        <v>2617</v>
      </c>
      <c r="D216" t="s">
        <v>2618</v>
      </c>
      <c r="E216" t="str">
        <f>TEXT(F216,"0,00")&amp;"A"</f>
        <v>26,00A</v>
      </c>
      <c r="F216" s="47">
        <f>INDEX(INVERSORES[Imax_sc],Simulação!$F$14)</f>
        <v>26</v>
      </c>
    </row>
    <row r="217" spans="1:6">
      <c r="A217" s="796"/>
      <c r="B217" t="s">
        <v>2619</v>
      </c>
      <c r="D217" t="s">
        <v>2620</v>
      </c>
      <c r="E217" t="str">
        <f>TEXT(F217,"#.###")&amp;"mm"</f>
        <v>276mm</v>
      </c>
      <c r="F217">
        <f>INDEX(INVERSORES[Altura],Simulação!$F$14)</f>
        <v>276</v>
      </c>
    </row>
    <row r="218" spans="1:6">
      <c r="A218" s="796"/>
      <c r="B218" t="s">
        <v>2621</v>
      </c>
      <c r="D218" t="s">
        <v>2622</v>
      </c>
      <c r="E218" t="str">
        <f>TEXT(F218,"#.###")&amp;"mm"</f>
        <v>358mm</v>
      </c>
      <c r="F218">
        <f>INDEX(INVERSORES[Largura],Simulação!$F$14)</f>
        <v>358</v>
      </c>
    </row>
    <row r="219" spans="1:6">
      <c r="A219" s="796"/>
      <c r="B219" t="s">
        <v>2623</v>
      </c>
      <c r="D219" t="s">
        <v>2624</v>
      </c>
      <c r="E219" t="str">
        <f>TEXT(F219,"#.###")&amp;"mm"</f>
        <v>36mm</v>
      </c>
      <c r="F219">
        <f>INDEX(INVERSORES[Profundidade],Simulação!$F$14)</f>
        <v>36</v>
      </c>
    </row>
    <row r="220" spans="1:6">
      <c r="A220" s="796"/>
      <c r="B220" t="s">
        <v>2625</v>
      </c>
      <c r="D220" t="s">
        <v>2626</v>
      </c>
      <c r="E220" t="str">
        <f>TEXT(F220,"0,00")&amp;"kg"</f>
        <v>6,00kg</v>
      </c>
      <c r="F220">
        <f>INDEX(INVERSORES[Peso],Simulação!$F$14)</f>
        <v>6</v>
      </c>
    </row>
    <row r="222" spans="1:6" ht="14.45" customHeight="1">
      <c r="A222" s="796" t="s">
        <v>1694</v>
      </c>
      <c r="B222" t="s">
        <v>2627</v>
      </c>
      <c r="D222" t="s">
        <v>1823</v>
      </c>
      <c r="E222" t="str">
        <f>INDEX(MÓDULOS[Fabricante],Simulação!$F$12)</f>
        <v>DAH SOLAR</v>
      </c>
    </row>
    <row r="223" spans="1:6">
      <c r="A223" s="796"/>
      <c r="B223" t="s">
        <v>2628</v>
      </c>
      <c r="D223" t="s">
        <v>1830</v>
      </c>
      <c r="E223" t="str">
        <f>INDEX(MÓDULOS[Modelo],Simulação!$F$12)</f>
        <v>DHN-72X16/BF/FS - 585W</v>
      </c>
      <c r="F223" t="str">
        <f>TRIM(MID($E$223,SEARCH(" - ",$E$223)+3,999))</f>
        <v>585W</v>
      </c>
    </row>
    <row r="224" spans="1:6">
      <c r="A224" s="796"/>
      <c r="B224" t="s">
        <v>2629</v>
      </c>
      <c r="D224" t="s">
        <v>2630</v>
      </c>
      <c r="E224" t="str">
        <f>INDEX(MÓDULOS[Tecnologia],Simulação!$F$12)</f>
        <v>BF+N-TYPE</v>
      </c>
    </row>
    <row r="225" spans="1:6">
      <c r="A225" s="796"/>
      <c r="B225" t="s">
        <v>2631</v>
      </c>
      <c r="D225" t="s">
        <v>2632</v>
      </c>
      <c r="E225" t="str">
        <f>TEXT(F225,"#.###")&amp;"W"</f>
        <v>585W</v>
      </c>
      <c r="F225" s="49">
        <f>INDEX(MÓDULOS[Pmax],Simulação!$F$12)</f>
        <v>585</v>
      </c>
    </row>
    <row r="226" spans="1:6">
      <c r="A226" s="796"/>
      <c r="B226" t="s">
        <v>2633</v>
      </c>
      <c r="D226" t="s">
        <v>2634</v>
      </c>
      <c r="E226" t="str">
        <f>TEXT(F226,"0,00%")</f>
        <v>22,65%</v>
      </c>
      <c r="F226" s="235" t="str">
        <f>TEXT(INDEX(MÓDULOS[Eficiência],Simulação!$F$12),"0,00%")</f>
        <v>22,65%</v>
      </c>
    </row>
    <row r="227" spans="1:6">
      <c r="A227" s="796"/>
      <c r="B227" t="s">
        <v>2635</v>
      </c>
      <c r="D227" t="s">
        <v>2636</v>
      </c>
      <c r="E227">
        <f>INDEX(MÓDULOS[N° de Célualas],Simulação!$F$12)</f>
        <v>144</v>
      </c>
      <c r="F227" s="87"/>
    </row>
    <row r="228" spans="1:6">
      <c r="A228" s="796"/>
      <c r="B228" t="s">
        <v>2637</v>
      </c>
      <c r="D228" t="s">
        <v>2638</v>
      </c>
      <c r="E228" t="str">
        <f>TEXT(F228,"0,00")&amp;"kg"</f>
        <v>406,00kg</v>
      </c>
      <c r="F228" s="50">
        <f>$F$242*$E$187</f>
        <v>406</v>
      </c>
    </row>
    <row r="229" spans="1:6">
      <c r="A229" s="796"/>
      <c r="B229" t="s">
        <v>2639</v>
      </c>
      <c r="D229" t="s">
        <v>2640</v>
      </c>
      <c r="E229" t="str">
        <f>TEXT(F229,"0,00")&amp;"kg"</f>
        <v>10,69kg</v>
      </c>
      <c r="F229" s="50">
        <f>$F$228/$F$161</f>
        <v>10.691580851983321</v>
      </c>
    </row>
    <row r="230" spans="1:6">
      <c r="A230" s="796"/>
      <c r="B230" t="s">
        <v>2641</v>
      </c>
      <c r="D230" t="s">
        <v>2426</v>
      </c>
      <c r="E230" t="str">
        <f>TEXT(F230,"0,00")&amp;"V"</f>
        <v>43,80V</v>
      </c>
      <c r="F230" s="48">
        <f>INDEX(MÓDULOS[Vmp],Simulação!$F$12)</f>
        <v>43.8</v>
      </c>
    </row>
    <row r="231" spans="1:6">
      <c r="A231" s="796"/>
      <c r="B231" t="s">
        <v>2642</v>
      </c>
      <c r="D231" t="s">
        <v>2643</v>
      </c>
      <c r="E231" t="str">
        <f>TEXT(F231,"0,00")&amp;"A"</f>
        <v>13,36A</v>
      </c>
      <c r="F231" s="47">
        <f>INDEX(MÓDULOS[Imp],Simulação!$F$12)</f>
        <v>13.36</v>
      </c>
    </row>
    <row r="232" spans="1:6">
      <c r="A232" s="796"/>
      <c r="B232" t="s">
        <v>2644</v>
      </c>
      <c r="D232" t="s">
        <v>2427</v>
      </c>
      <c r="E232" t="str">
        <f>TEXT(F232,"0,00")&amp;"V"</f>
        <v>51,60V</v>
      </c>
      <c r="F232" s="48">
        <f>INDEX(MÓDULOS[Voc],Simulação!$F$12)</f>
        <v>51.6</v>
      </c>
    </row>
    <row r="233" spans="1:6">
      <c r="A233" s="796"/>
      <c r="B233" t="s">
        <v>2645</v>
      </c>
      <c r="D233" t="s">
        <v>2646</v>
      </c>
      <c r="E233" t="str">
        <f>TEXT(F233,"0,00")&amp;"A"</f>
        <v>14,20A</v>
      </c>
      <c r="F233" s="47">
        <f>INDEX(MÓDULOS[Isc],Simulação!$F$12)</f>
        <v>14.2</v>
      </c>
    </row>
    <row r="234" spans="1:6">
      <c r="A234" s="796"/>
      <c r="B234" t="s">
        <v>2647</v>
      </c>
      <c r="D234" t="s">
        <v>2648</v>
      </c>
      <c r="E234" s="87" t="str">
        <f>INDEX(MÓDULOS[Power Tolerance],Simulação!$F$12)</f>
        <v>0/+5%</v>
      </c>
    </row>
    <row r="235" spans="1:6">
      <c r="A235" s="796"/>
      <c r="B235" t="s">
        <v>2649</v>
      </c>
      <c r="D235" t="s">
        <v>2650</v>
      </c>
      <c r="E235" s="87" t="str">
        <f>INDEX(MÓDULOS[Mín Operating Temp],Simulação!$F$12)&amp;"°C / "&amp;INDEX(MÓDULOS[Máx Operating Temp],Simulação!$F$12)&amp;"°C"</f>
        <v>-40°C / 85°C</v>
      </c>
    </row>
    <row r="236" spans="1:6">
      <c r="A236" s="796"/>
      <c r="B236" t="s">
        <v>2651</v>
      </c>
      <c r="D236" t="s">
        <v>2652</v>
      </c>
      <c r="E236" t="str">
        <f>TEXT(F236,"0,00%")</f>
        <v>-0,30%</v>
      </c>
      <c r="F236" s="230">
        <f>INDEX(MÓDULOS[Temp. Coef. Pmax],Simulação!$F$12)</f>
        <v>-3.0000000000000001E-3</v>
      </c>
    </row>
    <row r="237" spans="1:6">
      <c r="A237" s="796"/>
      <c r="B237" t="s">
        <v>2653</v>
      </c>
      <c r="D237" t="s">
        <v>2654</v>
      </c>
      <c r="E237" t="str">
        <f>TEXT(F237,"0,00%")</f>
        <v>-0,25%</v>
      </c>
      <c r="F237" s="230">
        <f>INDEX(MÓDULOS[Temp. Coef. Voc],Simulação!$F$12)</f>
        <v>-2.5000000000000001E-3</v>
      </c>
    </row>
    <row r="238" spans="1:6">
      <c r="A238" s="796"/>
      <c r="B238" t="s">
        <v>2655</v>
      </c>
      <c r="D238" t="s">
        <v>2656</v>
      </c>
      <c r="E238" t="str">
        <f>TEXT(F238,"0,00%")</f>
        <v>0,05%</v>
      </c>
      <c r="F238" s="230">
        <f>INDEX(MÓDULOS[Temp. Coef. Isc],Simulação!$F$12)</f>
        <v>4.6000000000000001E-4</v>
      </c>
    </row>
    <row r="239" spans="1:6">
      <c r="A239" s="796"/>
      <c r="B239" t="s">
        <v>2657</v>
      </c>
      <c r="D239" t="s">
        <v>2658</v>
      </c>
      <c r="E239" t="str">
        <f>TEXT(F239,"#.###")&amp;"mm"</f>
        <v>2.278mm</v>
      </c>
      <c r="F239" s="231">
        <f>INDEX(MÓDULOS[Comprimento],Simulação!$F$12)</f>
        <v>2278</v>
      </c>
    </row>
    <row r="240" spans="1:6">
      <c r="A240" s="796"/>
      <c r="B240" t="s">
        <v>2659</v>
      </c>
      <c r="D240" t="s">
        <v>2660</v>
      </c>
      <c r="E240" t="str">
        <f>TEXT(F240,"#.###")&amp;"mm"</f>
        <v>1.134mm</v>
      </c>
      <c r="F240" s="231">
        <f>INDEX(MÓDULOS[Largura],Simulação!$F$12)</f>
        <v>1134</v>
      </c>
    </row>
    <row r="241" spans="1:6">
      <c r="A241" s="796"/>
      <c r="B241" t="s">
        <v>2661</v>
      </c>
      <c r="D241" t="s">
        <v>2662</v>
      </c>
      <c r="E241" t="str">
        <f>TEXT(F241,"#.###")&amp;"mm"</f>
        <v>32mm</v>
      </c>
      <c r="F241" s="231">
        <f>INDEX(MÓDULOS[Profundidade],Simulação!$F$12)</f>
        <v>32</v>
      </c>
    </row>
    <row r="242" spans="1:6">
      <c r="A242" s="796"/>
      <c r="B242" t="s">
        <v>2663</v>
      </c>
      <c r="D242" t="s">
        <v>2626</v>
      </c>
      <c r="E242" t="str">
        <f>TEXT(F242,"0,00")&amp;"kg"</f>
        <v>29,00kg</v>
      </c>
      <c r="F242" s="50">
        <f>INDEX(MÓDULOS[Peso],Simulação!$F$12)</f>
        <v>29</v>
      </c>
    </row>
    <row r="243" spans="1:6">
      <c r="B243" t="s">
        <v>2664</v>
      </c>
      <c r="D243" t="s">
        <v>2665</v>
      </c>
      <c r="E243" s="87" t="str" cm="1">
        <f t="array" ref="E243">IF(INDEX(MÓDULOS[Conector],Simulação!$F$12)=0,"MC4",INDEX(MÓDULOS[Conector],Simulação!$F$12))</f>
        <v>MC4</v>
      </c>
    </row>
    <row r="244" spans="1:6">
      <c r="E244"/>
    </row>
    <row r="245" spans="1:6">
      <c r="E245"/>
    </row>
    <row r="246" spans="1:6">
      <c r="E246"/>
    </row>
    <row r="247" spans="1:6">
      <c r="E247"/>
    </row>
    <row r="248" spans="1:6">
      <c r="E248"/>
    </row>
    <row r="249" spans="1:6">
      <c r="E249"/>
    </row>
    <row r="250" spans="1:6">
      <c r="E250"/>
    </row>
    <row r="251" spans="1:6">
      <c r="A251" s="797" t="s">
        <v>2666</v>
      </c>
      <c r="B251" t="s">
        <v>2667</v>
      </c>
      <c r="D251" t="s">
        <v>1823</v>
      </c>
      <c r="E251" s="43" t="str">
        <f>Orçamento!BR7</f>
        <v>SIL</v>
      </c>
    </row>
    <row r="252" spans="1:6">
      <c r="A252" s="797"/>
      <c r="B252" t="s">
        <v>2668</v>
      </c>
      <c r="D252" t="s">
        <v>1830</v>
      </c>
      <c r="E252" s="43" t="str">
        <f>Orçamento!BR8</f>
        <v>ATOXSIL SOLAR 1,8kV</v>
      </c>
    </row>
    <row r="253" spans="1:6">
      <c r="A253" s="797"/>
      <c r="B253" t="s">
        <v>2669</v>
      </c>
      <c r="D253" t="s">
        <v>1835</v>
      </c>
      <c r="E253" s="309">
        <f>Orçamento!BR9</f>
        <v>1800</v>
      </c>
    </row>
    <row r="254" spans="1:6">
      <c r="A254" s="797"/>
      <c r="B254" t="s">
        <v>2670</v>
      </c>
      <c r="D254" t="s">
        <v>1842</v>
      </c>
      <c r="E254" s="310">
        <f>Orçamento!BR10</f>
        <v>4</v>
      </c>
    </row>
    <row r="255" spans="1:6">
      <c r="A255" s="797"/>
      <c r="D255" t="s">
        <v>2671</v>
      </c>
      <c r="E255" s="43">
        <f>Orçamento!BR11</f>
        <v>0</v>
      </c>
    </row>
    <row r="256" spans="1:6">
      <c r="E256"/>
    </row>
    <row r="257" spans="1:6">
      <c r="E257"/>
    </row>
    <row r="258" spans="1:6">
      <c r="E258"/>
    </row>
    <row r="259" spans="1:6">
      <c r="E259"/>
    </row>
    <row r="260" spans="1:6">
      <c r="A260" s="796" t="s">
        <v>2672</v>
      </c>
      <c r="B260" t="s">
        <v>2673</v>
      </c>
      <c r="D260" t="s">
        <v>1823</v>
      </c>
      <c r="E260" s="43" t="s">
        <v>1787</v>
      </c>
    </row>
    <row r="261" spans="1:6">
      <c r="A261" s="796"/>
      <c r="B261" t="s">
        <v>2674</v>
      </c>
      <c r="D261" t="s">
        <v>1830</v>
      </c>
      <c r="E261" s="43" t="s">
        <v>1800</v>
      </c>
    </row>
    <row r="262" spans="1:6">
      <c r="A262" s="796"/>
      <c r="B262" t="s">
        <v>2675</v>
      </c>
      <c r="D262" t="s">
        <v>1842</v>
      </c>
      <c r="E262" s="87" t="str">
        <f>"#"&amp;TEXT(F262,"0,0")&amp;"mm²"</f>
        <v>#10,0mm²</v>
      </c>
      <c r="F262" s="310">
        <f>VLOOKUP($E$280,Orçamento!$BE$4:$BH$23,3,FALSE)</f>
        <v>10</v>
      </c>
    </row>
    <row r="263" spans="1:6">
      <c r="A263" s="796"/>
      <c r="B263" t="s">
        <v>2676</v>
      </c>
      <c r="D263" t="s">
        <v>2671</v>
      </c>
      <c r="E263" s="345" t="str">
        <f>VLOOKUP($E$280,Orçamento!$BE$4:$BH$23,4,FALSE)</f>
        <v>1</v>
      </c>
    </row>
    <row r="264" spans="1:6">
      <c r="B264" t="s">
        <v>2677</v>
      </c>
      <c r="D264" t="s">
        <v>2678</v>
      </c>
      <c r="E264" s="87" t="str">
        <f>"#"&amp;TEXT(F264,"0,0")&amp;"mm²"</f>
        <v>#10,0mm²</v>
      </c>
      <c r="F264" s="359">
        <f>MAX(6,F262)</f>
        <v>10</v>
      </c>
    </row>
    <row r="265" spans="1:6">
      <c r="E265"/>
    </row>
    <row r="266" spans="1:6">
      <c r="E266"/>
    </row>
    <row r="267" spans="1:6">
      <c r="E267"/>
    </row>
    <row r="268" spans="1:6">
      <c r="E268"/>
    </row>
    <row r="269" spans="1:6">
      <c r="A269" s="797" t="s">
        <v>2679</v>
      </c>
      <c r="B269" t="s">
        <v>2680</v>
      </c>
      <c r="D269" t="s">
        <v>1823</v>
      </c>
      <c r="E269" t="str">
        <f ca="1">OFFSET(Orçamento!$BE$39,Simulação!$F$10,)</f>
        <v>Fabricantes</v>
      </c>
    </row>
    <row r="270" spans="1:6">
      <c r="A270" s="797"/>
      <c r="B270" t="s">
        <v>2681</v>
      </c>
      <c r="D270" t="s">
        <v>1772</v>
      </c>
      <c r="E270" t="str">
        <f ca="1">OFFSET(Orçamento!$BG$32,Simulação!$G$10,)</f>
        <v>Modelo</v>
      </c>
    </row>
    <row r="271" spans="1:6">
      <c r="A271" s="797"/>
      <c r="D271" t="s">
        <v>1598</v>
      </c>
      <c r="E271">
        <f>$E$305</f>
        <v>0</v>
      </c>
    </row>
    <row r="272" spans="1:6">
      <c r="A272" s="797"/>
      <c r="D272" t="s">
        <v>151</v>
      </c>
      <c r="E272" s="87">
        <f>Orçamento!K57</f>
        <v>4</v>
      </c>
    </row>
    <row r="273" spans="1:6">
      <c r="E273"/>
    </row>
    <row r="274" spans="1:6">
      <c r="E274"/>
    </row>
    <row r="275" spans="1:6">
      <c r="E275"/>
    </row>
    <row r="276" spans="1:6">
      <c r="E276"/>
    </row>
    <row r="278" spans="1:6">
      <c r="A278" s="796" t="s">
        <v>2682</v>
      </c>
      <c r="D278" t="s">
        <v>2683</v>
      </c>
      <c r="E278" t="s">
        <v>2684</v>
      </c>
    </row>
    <row r="279" spans="1:6" ht="14.45" customHeight="1">
      <c r="A279" s="796"/>
      <c r="D279" t="s">
        <v>2685</v>
      </c>
      <c r="E279">
        <f>VLOOKUP(E280,Orçamento!BE4:BF23,2,FALSE)</f>
        <v>0</v>
      </c>
    </row>
    <row r="280" spans="1:6">
      <c r="A280" s="796"/>
      <c r="B280" t="s">
        <v>2686</v>
      </c>
      <c r="D280" t="s">
        <v>2687</v>
      </c>
      <c r="E280" s="44">
        <f>IFERROR(INDEX(Orçamento!BE4:BE23,MATCH(Resumo!E198-0.00001,Orçamento!BE4:BE23,1)+1),16)</f>
        <v>50</v>
      </c>
      <c r="F280">
        <f>IF($F$197="TRIFÁSICO",3,2)</f>
        <v>2</v>
      </c>
    </row>
    <row r="281" spans="1:6">
      <c r="A281" s="796"/>
      <c r="B281" t="s">
        <v>2688</v>
      </c>
      <c r="D281" t="s">
        <v>2689</v>
      </c>
      <c r="E281" t="s">
        <v>1825</v>
      </c>
    </row>
    <row r="282" spans="1:6">
      <c r="A282" s="796"/>
      <c r="B282" t="s">
        <v>2690</v>
      </c>
      <c r="D282" t="s">
        <v>2691</v>
      </c>
      <c r="E282" t="s">
        <v>2692</v>
      </c>
    </row>
    <row r="283" spans="1:6">
      <c r="A283" s="796"/>
      <c r="B283" t="s">
        <v>2693</v>
      </c>
      <c r="D283" t="s">
        <v>2694</v>
      </c>
      <c r="E283" t="str">
        <f>TEXT(F283,"0")&amp;"V"</f>
        <v>175V</v>
      </c>
      <c r="F283" s="51">
        <f>IF(F34=127,175,275)</f>
        <v>175</v>
      </c>
    </row>
    <row r="284" spans="1:6">
      <c r="A284" s="796"/>
      <c r="B284" t="s">
        <v>2695</v>
      </c>
      <c r="D284" t="s">
        <v>2696</v>
      </c>
      <c r="E284" t="str">
        <f>TEXT(F284,"0")&amp;"kA"</f>
        <v>20kA</v>
      </c>
      <c r="F284" s="311">
        <v>20</v>
      </c>
    </row>
    <row r="285" spans="1:6">
      <c r="A285" s="796"/>
      <c r="D285" t="s">
        <v>2697</v>
      </c>
      <c r="E285" s="87">
        <v>0</v>
      </c>
    </row>
    <row r="286" spans="1:6">
      <c r="A286" s="796"/>
      <c r="D286" t="s">
        <v>2698</v>
      </c>
      <c r="E286" s="87">
        <v>0</v>
      </c>
    </row>
    <row r="292" spans="1:5" ht="14.45" customHeight="1">
      <c r="A292" s="796" t="s">
        <v>2699</v>
      </c>
      <c r="D292" t="s">
        <v>2700</v>
      </c>
      <c r="E292" s="46">
        <f>INDEX(INVERSORES[Garantia],Simulação!$F$14)</f>
        <v>15</v>
      </c>
    </row>
    <row r="293" spans="1:5">
      <c r="A293" s="796"/>
      <c r="D293" t="s">
        <v>2701</v>
      </c>
      <c r="E293" s="46">
        <f>INDEX(INVERSORES[Expansivel?],Simulação!$F$14)</f>
        <v>15</v>
      </c>
    </row>
    <row r="294" spans="1:5">
      <c r="A294" s="796"/>
      <c r="D294" t="s">
        <v>2702</v>
      </c>
      <c r="E294" s="46">
        <f>INDEX(MÓDULOS[Garantia],Simulação!$F$12)</f>
        <v>15</v>
      </c>
    </row>
    <row r="295" spans="1:5">
      <c r="A295" s="796"/>
      <c r="D295" t="s">
        <v>2703</v>
      </c>
      <c r="E295" s="46">
        <f>INDEX(MÓDULOS[Performance],Simulação!$F$12)</f>
        <v>30</v>
      </c>
    </row>
    <row r="296" spans="1:5">
      <c r="E296"/>
    </row>
    <row r="297" spans="1:5">
      <c r="E297"/>
    </row>
    <row r="298" spans="1:5">
      <c r="E298"/>
    </row>
    <row r="299" spans="1:5">
      <c r="E299"/>
    </row>
    <row r="300" spans="1:5">
      <c r="A300" s="140"/>
    </row>
    <row r="301" spans="1:5" ht="14.45" customHeight="1">
      <c r="A301" s="796" t="s">
        <v>2357</v>
      </c>
      <c r="D301" t="s">
        <v>2704</v>
      </c>
    </row>
    <row r="302" spans="1:5">
      <c r="A302" s="796"/>
      <c r="D302" t="s">
        <v>2705</v>
      </c>
    </row>
    <row r="303" spans="1:5">
      <c r="A303" s="796"/>
      <c r="D303" t="s">
        <v>2706</v>
      </c>
    </row>
    <row r="304" spans="1:5">
      <c r="A304" s="796"/>
      <c r="D304" t="s">
        <v>2707</v>
      </c>
      <c r="E304" s="153">
        <f>'Visita Técnica'!C10</f>
        <v>0</v>
      </c>
    </row>
    <row r="305" spans="1:6">
      <c r="A305" s="796"/>
      <c r="D305" t="s">
        <v>2708</v>
      </c>
      <c r="E305" s="87">
        <f>'Visita Técnica'!C11</f>
        <v>0</v>
      </c>
    </row>
    <row r="306" spans="1:6">
      <c r="A306" s="796"/>
      <c r="B306" t="s">
        <v>2709</v>
      </c>
      <c r="D306" t="s">
        <v>1819</v>
      </c>
      <c r="E306" t="str">
        <f>TEXT(F306,"0")&amp;"A"</f>
        <v>0A</v>
      </c>
      <c r="F306" s="44">
        <f>Projetos!$H$13</f>
        <v>0</v>
      </c>
    </row>
    <row r="307" spans="1:6">
      <c r="A307" s="796"/>
      <c r="B307" t="s">
        <v>2710</v>
      </c>
      <c r="D307" t="s">
        <v>2711</v>
      </c>
      <c r="E307" t="e">
        <f>TEXT(F307,"0,00")&amp;"kVA"</f>
        <v>#VALUE!</v>
      </c>
      <c r="F307" s="154" t="e">
        <f>IF($E$32=3,220*SQRT(3),IF($E$32=2,220,IF($E$32=1,127,"VERIFICAR")))*$F$306*0.92/1000</f>
        <v>#VALUE!</v>
      </c>
    </row>
    <row r="308" spans="1:6">
      <c r="A308" s="796"/>
      <c r="D308" t="s">
        <v>2712</v>
      </c>
      <c r="E308" s="347"/>
    </row>
    <row r="309" spans="1:6">
      <c r="A309" s="796"/>
      <c r="B309" t="s">
        <v>2713</v>
      </c>
      <c r="D309" t="s">
        <v>2714</v>
      </c>
      <c r="E309" s="347">
        <f>Projetos!$H$14</f>
        <v>0</v>
      </c>
      <c r="F309" t="e">
        <f>($E$32+1)&amp;"x #"&amp;$E$309&amp;"mm²"</f>
        <v>#VALUE!</v>
      </c>
    </row>
    <row r="310" spans="1:6">
      <c r="A310" s="796"/>
      <c r="D310" t="s">
        <v>2715</v>
      </c>
      <c r="E310"/>
    </row>
    <row r="311" spans="1:6">
      <c r="A311" s="796"/>
      <c r="D311" t="s">
        <v>2716</v>
      </c>
      <c r="E311">
        <f>'Visita Técnica'!C59</f>
        <v>0</v>
      </c>
    </row>
    <row r="312" spans="1:6">
      <c r="A312" s="796"/>
      <c r="D312" t="s">
        <v>2717</v>
      </c>
      <c r="E312" s="132"/>
    </row>
    <row r="313" spans="1:6">
      <c r="A313" s="796"/>
      <c r="D313" t="s">
        <v>2718</v>
      </c>
      <c r="E313"/>
    </row>
    <row r="314" spans="1:6">
      <c r="A314" s="796"/>
      <c r="D314" t="s">
        <v>2719</v>
      </c>
      <c r="E314">
        <f>'Visita Técnica'!C45</f>
        <v>0</v>
      </c>
    </row>
    <row r="315" spans="1:6">
      <c r="A315" s="796"/>
      <c r="D315" t="s">
        <v>2720</v>
      </c>
      <c r="E315" s="152">
        <f>'Visita Técnica'!C49</f>
        <v>0</v>
      </c>
    </row>
    <row r="316" spans="1:6">
      <c r="A316" s="796"/>
      <c r="D316" t="s">
        <v>2721</v>
      </c>
      <c r="E316" s="152">
        <f>'Visita Técnica'!C50</f>
        <v>0</v>
      </c>
    </row>
    <row r="317" spans="1:6">
      <c r="B317" t="s">
        <v>2722</v>
      </c>
      <c r="D317" t="s">
        <v>2723</v>
      </c>
      <c r="E317" s="44">
        <f>F306</f>
        <v>0</v>
      </c>
    </row>
    <row r="318" spans="1:6">
      <c r="D318" t="s">
        <v>2724</v>
      </c>
      <c r="E318" t="str">
        <f>IF(Projetos!$H$10="","Aéreo",Projetos!$H$10)</f>
        <v>Aéreo</v>
      </c>
    </row>
    <row r="319" spans="1:6">
      <c r="B319" t="s">
        <v>2725</v>
      </c>
      <c r="D319" t="s">
        <v>2726</v>
      </c>
      <c r="E319" t="str">
        <f>IF($E$318="Aéreo","X","")</f>
        <v>X</v>
      </c>
    </row>
    <row r="320" spans="1:6">
      <c r="B320" t="s">
        <v>2727</v>
      </c>
      <c r="D320" t="s">
        <v>2728</v>
      </c>
      <c r="E320" t="str">
        <f>IF($E$318="Subterrâneo","X","")</f>
        <v/>
      </c>
    </row>
    <row r="321" spans="1:6">
      <c r="E321"/>
    </row>
    <row r="322" spans="1:6">
      <c r="E322"/>
    </row>
    <row r="323" spans="1:6">
      <c r="E323"/>
    </row>
    <row r="324" spans="1:6">
      <c r="E324"/>
    </row>
    <row r="325" spans="1:6">
      <c r="E325"/>
    </row>
    <row r="326" spans="1:6">
      <c r="E326"/>
    </row>
    <row r="329" spans="1:6">
      <c r="D329" t="s">
        <v>2729</v>
      </c>
      <c r="E329" s="155">
        <f>IFERROR(INDEX(KIT_FV[Preço com frete],MATCH("x",KIT_FV[Escolhido],0)),INDEX(KIT_FV[Preço com frete],MATCH(Resumo!$E$160,KIT_FV[Kit],1)+1))</f>
        <v>13003.91</v>
      </c>
    </row>
    <row r="330" spans="1:6">
      <c r="A330" s="796" t="s">
        <v>2730</v>
      </c>
      <c r="E330" s="155"/>
    </row>
    <row r="331" spans="1:6">
      <c r="A331" s="796"/>
      <c r="D331" t="s">
        <v>2731</v>
      </c>
      <c r="E331" s="155">
        <f>Orçamento!$D$9</f>
        <v>805.30266666666671</v>
      </c>
    </row>
    <row r="332" spans="1:6">
      <c r="A332" s="796"/>
      <c r="D332" t="s">
        <v>143</v>
      </c>
      <c r="E332" s="14">
        <f>Orçamento!$D$10</f>
        <v>1500</v>
      </c>
    </row>
    <row r="333" spans="1:6">
      <c r="A333" s="796"/>
      <c r="D333" t="s">
        <v>2732</v>
      </c>
      <c r="E333" s="14">
        <f>Orçamento!$D$11</f>
        <v>0</v>
      </c>
    </row>
    <row r="334" spans="1:6">
      <c r="A334" s="796"/>
      <c r="D334" t="s">
        <v>2733</v>
      </c>
      <c r="E334" s="148">
        <f>Orçamento!C28</f>
        <v>0.15239684015927191</v>
      </c>
    </row>
    <row r="335" spans="1:6">
      <c r="A335" s="796"/>
      <c r="D335" t="s">
        <v>2734</v>
      </c>
      <c r="E335" s="14">
        <f>Orçamento!D28</f>
        <v>3572.1819333333333</v>
      </c>
    </row>
    <row r="336" spans="1:6">
      <c r="A336" s="796"/>
      <c r="D336" t="s">
        <v>2735</v>
      </c>
      <c r="E336" s="148">
        <f>Orçamento!C25</f>
        <v>2.0200248800528398E-2</v>
      </c>
      <c r="F336" s="148"/>
    </row>
    <row r="337" spans="1:11">
      <c r="A337" s="796"/>
      <c r="D337" t="s">
        <v>2736</v>
      </c>
      <c r="E337" s="14">
        <f>Orçamento!D25</f>
        <v>483.25571761447594</v>
      </c>
    </row>
    <row r="338" spans="1:11">
      <c r="A338" s="796"/>
      <c r="D338" t="s">
        <v>2737</v>
      </c>
      <c r="E338" s="148">
        <f>Orçamento!C14</f>
        <v>0.06</v>
      </c>
      <c r="F338" s="148"/>
    </row>
    <row r="339" spans="1:11">
      <c r="A339" s="796"/>
      <c r="D339" t="s">
        <v>2738</v>
      </c>
      <c r="E339" s="14">
        <f>Orçamento!D13</f>
        <v>626.16539999999998</v>
      </c>
    </row>
    <row r="340" spans="1:11">
      <c r="A340" s="796"/>
      <c r="D340" t="s">
        <v>1874</v>
      </c>
      <c r="E340" s="14">
        <f>Orçamento!D25</f>
        <v>483.25571761447594</v>
      </c>
    </row>
    <row r="341" spans="1:11">
      <c r="A341" s="796"/>
      <c r="D341" t="s">
        <v>1738</v>
      </c>
      <c r="E341" s="14"/>
    </row>
    <row r="342" spans="1:11">
      <c r="A342" s="796"/>
      <c r="D342" t="s">
        <v>164</v>
      </c>
      <c r="E342" s="14">
        <f>E347/0.9</f>
        <v>26044.444444444445</v>
      </c>
    </row>
    <row r="343" spans="1:11">
      <c r="A343" s="796"/>
      <c r="D343" t="s">
        <v>2739</v>
      </c>
      <c r="E343" s="155">
        <f>($E$342)/Resumo!$E$160</f>
        <v>3180.0298466965137</v>
      </c>
      <c r="I343" s="718">
        <f>E347/I347</f>
        <v>0.8</v>
      </c>
    </row>
    <row r="344" spans="1:11">
      <c r="A344" s="796"/>
      <c r="D344" t="s">
        <v>2740</v>
      </c>
      <c r="E344" s="155">
        <f>($E$342)/Resumo!$E$160/1000</f>
        <v>3.1800298466965136</v>
      </c>
      <c r="H344" s="28" t="s">
        <v>4554</v>
      </c>
      <c r="I344" s="746">
        <v>0.2</v>
      </c>
      <c r="J344" s="11">
        <f>-I344</f>
        <v>-0.2</v>
      </c>
    </row>
    <row r="345" spans="1:11">
      <c r="A345" s="796"/>
      <c r="D345" t="s">
        <v>1903</v>
      </c>
      <c r="E345" s="155">
        <f>($E$342)/Resumo!$F$161</f>
        <v>685.8529150807035</v>
      </c>
      <c r="H345" s="28" t="s">
        <v>4347</v>
      </c>
      <c r="I345" s="746">
        <v>0.08</v>
      </c>
    </row>
    <row r="346" spans="1:11">
      <c r="A346" s="796"/>
      <c r="D346" t="s">
        <v>2741</v>
      </c>
      <c r="E346" s="155">
        <f>IF(Orçamento!$E$26="",Orç._Vendedor!$D$14,Orçamento!$E$26)</f>
        <v>0</v>
      </c>
      <c r="G346" t="s">
        <v>2742</v>
      </c>
      <c r="H346" t="s">
        <v>2743</v>
      </c>
      <c r="I346" t="s">
        <v>4557</v>
      </c>
      <c r="J346" t="s">
        <v>4346</v>
      </c>
    </row>
    <row r="347" spans="1:11">
      <c r="A347" s="796"/>
      <c r="B347" t="s">
        <v>2744</v>
      </c>
      <c r="D347" t="s">
        <v>1754</v>
      </c>
      <c r="E347" s="28" t="str">
        <f>TEXT(Orçamento!D27,"R$ #.##0,00")</f>
        <v>R$ 23.440,00</v>
      </c>
      <c r="F347" s="14">
        <f>Orçamento!D27</f>
        <v>23440</v>
      </c>
      <c r="G347" s="14">
        <f>F347/10</f>
        <v>2344</v>
      </c>
      <c r="H347" s="14">
        <f>F347*1.25/18</f>
        <v>1627.7777777777778</v>
      </c>
      <c r="I347" s="13">
        <f>ROUND(E347/(1-Orçamento!$D$38)/100,0)*100</f>
        <v>29300</v>
      </c>
      <c r="J347" s="718">
        <f>(1-Orçamento!$D$38)*I347</f>
        <v>23440</v>
      </c>
      <c r="K347" t="str">
        <f ca="1">"PayBack de "&amp;F367</f>
        <v>PayBack de 2 anos e 2 meses</v>
      </c>
    </row>
    <row r="348" spans="1:11">
      <c r="A348" s="796"/>
      <c r="D348" t="s">
        <v>1909</v>
      </c>
      <c r="E348" s="14">
        <f>Orçamento!I24</f>
        <v>2862.0268620268621</v>
      </c>
    </row>
    <row r="349" spans="1:11">
      <c r="A349" s="796"/>
      <c r="D349" t="s">
        <v>1912</v>
      </c>
      <c r="E349" s="14">
        <f>Orçamento!I25</f>
        <v>2.8620268620268621</v>
      </c>
    </row>
    <row r="350" spans="1:11">
      <c r="A350" s="796"/>
      <c r="D350" t="s">
        <v>1903</v>
      </c>
      <c r="E350" s="14">
        <f>Orçamento!I23</f>
        <v>617.26762357263317</v>
      </c>
    </row>
    <row r="351" spans="1:11">
      <c r="A351" s="796"/>
      <c r="D351" t="s">
        <v>1942</v>
      </c>
      <c r="E351" s="128">
        <f>Orçamento!D35</f>
        <v>13</v>
      </c>
      <c r="I351" s="718"/>
    </row>
    <row r="352" spans="1:11">
      <c r="B352" t="s">
        <v>2745</v>
      </c>
      <c r="D352" t="s">
        <v>1898</v>
      </c>
      <c r="E352" s="340">
        <f>Orçamento!I36</f>
        <v>0</v>
      </c>
      <c r="F352" t="s">
        <v>2742</v>
      </c>
      <c r="G352" t="s">
        <v>2743</v>
      </c>
      <c r="I352" s="718"/>
    </row>
    <row r="353" spans="1:11">
      <c r="B353" t="s">
        <v>2746</v>
      </c>
      <c r="D353" t="s">
        <v>2747</v>
      </c>
      <c r="E353" s="155">
        <f>F347*1.12</f>
        <v>26252.800000000003</v>
      </c>
      <c r="F353" s="14">
        <f>E353/10</f>
        <v>2625.28</v>
      </c>
      <c r="G353" s="14">
        <f>E353*1.25/18</f>
        <v>1823.1111111111111</v>
      </c>
      <c r="H353" s="14"/>
      <c r="I353" s="13">
        <f>ROUND(E353/(1-Orçamento!$D$38)/100,0)*100</f>
        <v>32800</v>
      </c>
      <c r="J353" s="718">
        <f>(1-Orçamento!$D$38)*I353</f>
        <v>26240</v>
      </c>
      <c r="K353" s="20" t="str">
        <f ca="1">Financeiro!$BB$169</f>
        <v>PayBack de 2 anos e 5 meses</v>
      </c>
    </row>
    <row r="354" spans="1:11">
      <c r="B354" t="s">
        <v>2748</v>
      </c>
      <c r="D354" t="s">
        <v>2749</v>
      </c>
      <c r="E354" s="155">
        <f>F347*1.65</f>
        <v>38676</v>
      </c>
      <c r="F354" s="14">
        <f>E354/10</f>
        <v>3867.6</v>
      </c>
      <c r="G354" s="14">
        <f>E354*1.25/18</f>
        <v>2685.8333333333335</v>
      </c>
      <c r="I354" s="13">
        <f>ROUND(E354/(1-Orçamento!$D$38)/100,0)*100</f>
        <v>48300</v>
      </c>
      <c r="J354" s="718">
        <f>(1-Orçamento!$D$38)*I354</f>
        <v>38640</v>
      </c>
      <c r="K354" s="20" t="str">
        <f ca="1">Financeiro!$BD$169</f>
        <v>PayBack de 3 anos e 6 meses</v>
      </c>
    </row>
    <row r="358" spans="1:11" ht="14.45" customHeight="1">
      <c r="A358" s="797" t="s">
        <v>2750</v>
      </c>
      <c r="D358" t="s">
        <v>2751</v>
      </c>
      <c r="E358" s="148">
        <f>Financeiro!C10</f>
        <v>0.1</v>
      </c>
    </row>
    <row r="359" spans="1:11">
      <c r="A359" s="797"/>
      <c r="D359" t="s">
        <v>2197</v>
      </c>
      <c r="E359" s="148">
        <f>Financeiro!C11</f>
        <v>0.02</v>
      </c>
    </row>
    <row r="360" spans="1:11">
      <c r="A360" s="797"/>
      <c r="D360" t="s">
        <v>2752</v>
      </c>
      <c r="E360" s="149">
        <f>Financeiro!C12</f>
        <v>7.0000000000000001E-3</v>
      </c>
    </row>
    <row r="361" spans="1:11">
      <c r="A361" s="797"/>
      <c r="D361" t="s">
        <v>2199</v>
      </c>
      <c r="E361" s="149">
        <f>Financeiro!C13</f>
        <v>0</v>
      </c>
    </row>
    <row r="362" spans="1:11">
      <c r="A362" s="797"/>
      <c r="D362" t="s">
        <v>1725</v>
      </c>
      <c r="E362" s="148">
        <f>Financeiro!$C$9/($K$52/$F$52)</f>
        <v>0.3</v>
      </c>
    </row>
    <row r="363" spans="1:11">
      <c r="A363" s="797"/>
      <c r="D363" t="s">
        <v>2753</v>
      </c>
      <c r="E363" s="195">
        <f ca="1">Financeiro!$K$197</f>
        <v>432926.36409468192</v>
      </c>
    </row>
    <row r="364" spans="1:11">
      <c r="A364" s="797"/>
      <c r="D364" s="156" t="s">
        <v>2263</v>
      </c>
      <c r="E364" s="157">
        <f ca="1">Financeiro!$T$172</f>
        <v>324637.01699055237</v>
      </c>
    </row>
    <row r="365" spans="1:11">
      <c r="A365" s="797"/>
      <c r="D365" s="156" t="s">
        <v>2265</v>
      </c>
      <c r="E365" s="148">
        <f ca="1">Financeiro!T173</f>
        <v>0.5023441122190333</v>
      </c>
      <c r="F365" t="s">
        <v>2754</v>
      </c>
      <c r="G365" s="176" t="str">
        <f ca="1">TEXT(E381/E347,"0,0%")&amp;" a.m."</f>
        <v>3,9% a.m.</v>
      </c>
    </row>
    <row r="366" spans="1:11">
      <c r="A366" s="797"/>
      <c r="D366" s="156" t="s">
        <v>2267</v>
      </c>
      <c r="E366" s="145">
        <f ca="1">Financeiro!T174</f>
        <v>14.84970209004063</v>
      </c>
    </row>
    <row r="367" spans="1:11">
      <c r="A367" s="797"/>
      <c r="D367" s="156" t="s">
        <v>2755</v>
      </c>
      <c r="E367" s="145">
        <f ca="1">Financeiro!T175</f>
        <v>2.2472488191573019</v>
      </c>
      <c r="F367" t="str">
        <f ca="1">$E$368&amp;" anos e "&amp;$E$369&amp;" meses"</f>
        <v>2 anos e 2 meses</v>
      </c>
    </row>
    <row r="368" spans="1:11">
      <c r="A368" s="797"/>
      <c r="D368" s="158" t="s">
        <v>2756</v>
      </c>
      <c r="E368" s="177">
        <f ca="1">Financeiro!V175</f>
        <v>2</v>
      </c>
    </row>
    <row r="369" spans="1:9">
      <c r="A369" s="797"/>
      <c r="D369" s="158" t="s">
        <v>2757</v>
      </c>
      <c r="E369" s="178">
        <f ca="1">Financeiro!W175</f>
        <v>2</v>
      </c>
    </row>
    <row r="370" spans="1:9">
      <c r="A370" s="797"/>
      <c r="D370" s="158" t="s">
        <v>2758</v>
      </c>
      <c r="E370" s="179">
        <f ca="1">Financeiro!X175</f>
        <v>30</v>
      </c>
    </row>
    <row r="371" spans="1:9">
      <c r="A371" s="797"/>
      <c r="D371" s="156" t="s">
        <v>2272</v>
      </c>
      <c r="E371" s="145">
        <f ca="1">Financeiro!T176</f>
        <v>2.3175671048978432</v>
      </c>
      <c r="F371" s="177">
        <f ca="1">ROUNDDOWN(E371,0)</f>
        <v>2</v>
      </c>
      <c r="G371" s="178">
        <f ca="1">ROUNDDOWN((E371-F371)*12,0)</f>
        <v>3</v>
      </c>
      <c r="H371" s="179">
        <f ca="1">ROUNDUP((((E371-F371)*12)-ROUNDDOWN((E371-F371)*12,0))*30,0)</f>
        <v>25</v>
      </c>
    </row>
    <row r="372" spans="1:9">
      <c r="A372" s="797"/>
      <c r="D372" s="180" t="s">
        <v>2759</v>
      </c>
      <c r="E372" s="161">
        <f>Financeiro!P212</f>
        <v>60</v>
      </c>
    </row>
    <row r="373" spans="1:9">
      <c r="A373" s="797"/>
      <c r="D373" s="180" t="s">
        <v>2760</v>
      </c>
      <c r="E373" s="128">
        <f>Financeiro!P213</f>
        <v>60</v>
      </c>
    </row>
    <row r="374" spans="1:9">
      <c r="A374" s="797"/>
      <c r="D374" s="180" t="s">
        <v>2761</v>
      </c>
      <c r="E374" s="181">
        <f ca="1">-Financeiro!P210</f>
        <v>844.8558963776627</v>
      </c>
    </row>
    <row r="375" spans="1:9">
      <c r="A375" s="797"/>
      <c r="D375" s="180" t="s">
        <v>2762</v>
      </c>
      <c r="E375" s="181">
        <f ca="1">-Financeiro!P211</f>
        <v>50691.35378265976</v>
      </c>
    </row>
    <row r="376" spans="1:9">
      <c r="A376" s="797"/>
      <c r="D376" s="180" t="s">
        <v>2763</v>
      </c>
      <c r="E376" s="23">
        <f ca="1">Financeiro!P214</f>
        <v>2.7961840725286683E-2</v>
      </c>
    </row>
    <row r="377" spans="1:9">
      <c r="A377" s="797"/>
      <c r="D377" s="180" t="s">
        <v>2764</v>
      </c>
      <c r="E377" s="145">
        <f ca="1">Financeiro!$P$239</f>
        <v>0</v>
      </c>
      <c r="F377" s="177">
        <f ca="1">ROUNDDOWN(E377,0)</f>
        <v>0</v>
      </c>
      <c r="G377" s="178">
        <f ca="1">ROUNDDOWN((E377-F377)*12,0)</f>
        <v>0</v>
      </c>
      <c r="H377" s="179">
        <f ca="1">ROUNDUP((((E377-F377)*12)-ROUNDDOWN((E377-F377)*12,0))*30,0)</f>
        <v>0</v>
      </c>
      <c r="I377" t="str">
        <f ca="1">$F$377&amp;" anos e "&amp;$G$377&amp;" meses"</f>
        <v>0 anos e 0 meses</v>
      </c>
    </row>
    <row r="378" spans="1:9">
      <c r="A378" s="797"/>
      <c r="D378" s="180" t="s">
        <v>2301</v>
      </c>
      <c r="E378" s="87" t="str">
        <f>INDEX(Financeiro!$R$210:$R$211,Financeiro!$P$215)</f>
        <v>BV</v>
      </c>
      <c r="F378" t="s">
        <v>1733</v>
      </c>
    </row>
    <row r="379" spans="1:9">
      <c r="A379" s="797"/>
      <c r="D379" t="s">
        <v>2765</v>
      </c>
      <c r="E379" s="14">
        <f ca="1">Financeiro!$AH$172</f>
        <v>1099.4440330811947</v>
      </c>
      <c r="F379" s="14">
        <f ca="1">SUM(Financeiro!$D$173:$D$182)</f>
        <v>191152.4332391007</v>
      </c>
    </row>
    <row r="380" spans="1:9">
      <c r="A380" s="797"/>
      <c r="D380" t="s">
        <v>2766</v>
      </c>
      <c r="E380" s="14">
        <f ca="1">Financeiro!$AI$172</f>
        <v>190.3498353829211</v>
      </c>
    </row>
    <row r="381" spans="1:9">
      <c r="A381" s="797"/>
      <c r="D381" t="s">
        <v>2261</v>
      </c>
      <c r="E381" s="14">
        <f ca="1">$E$379-$E$380</f>
        <v>909.09419769827355</v>
      </c>
    </row>
    <row r="382" spans="1:9">
      <c r="A382" s="797"/>
      <c r="D382" t="s">
        <v>2262</v>
      </c>
      <c r="E382" s="176">
        <f ca="1">$E$381/$E$379</f>
        <v>0.82686718954718852</v>
      </c>
    </row>
    <row r="383" spans="1:9">
      <c r="D383" t="s">
        <v>2767</v>
      </c>
      <c r="E383" s="155">
        <f ca="1">Financeiro!G35</f>
        <v>999.49457552835895</v>
      </c>
    </row>
    <row r="384" spans="1:9">
      <c r="D384" t="s">
        <v>2768</v>
      </c>
      <c r="E384" s="11">
        <f ca="1">Financeiro!$C$35/Financeiro!$A$35-1</f>
        <v>4.4000000000000039E-2</v>
      </c>
    </row>
    <row r="385" spans="2:6">
      <c r="D385" t="s">
        <v>2769</v>
      </c>
      <c r="E385" s="245">
        <f ca="1">Financeiro!C$35</f>
        <v>843.55200000000002</v>
      </c>
    </row>
    <row r="386" spans="2:6">
      <c r="D386" t="s">
        <v>2770</v>
      </c>
      <c r="E386" s="155">
        <f ca="1">E383/E385</f>
        <v>1.1848642117241841</v>
      </c>
      <c r="F386" s="14">
        <f ca="1">E386*(1+E358)</f>
        <v>1.3033506328966027</v>
      </c>
    </row>
    <row r="387" spans="2:6">
      <c r="D387" t="s">
        <v>2771</v>
      </c>
      <c r="E387" s="87">
        <f>Simulação!$F$33</f>
        <v>3</v>
      </c>
    </row>
    <row r="388" spans="2:6">
      <c r="B388" t="s">
        <v>2772</v>
      </c>
      <c r="D388" t="s">
        <v>2773</v>
      </c>
      <c r="E388" s="131">
        <f ca="1">TODAY()+MAX($E$351,15)</f>
        <v>45881</v>
      </c>
    </row>
    <row r="389" spans="2:6">
      <c r="B389" t="s">
        <v>2774</v>
      </c>
      <c r="D389" t="s">
        <v>1726</v>
      </c>
      <c r="E389">
        <f>Simulação!$F$34</f>
        <v>4</v>
      </c>
      <c r="F389" t="str">
        <f>E389&amp;"d"</f>
        <v>4d</v>
      </c>
    </row>
    <row r="390" spans="2:6" ht="15" customHeight="1">
      <c r="B390" t="s">
        <v>2775</v>
      </c>
      <c r="D390" t="s">
        <v>2776</v>
      </c>
      <c r="E390" s="131">
        <f ca="1">$E$388+$E$389+1</f>
        <v>45886</v>
      </c>
    </row>
    <row r="391" spans="2:6">
      <c r="E391"/>
    </row>
    <row r="392" spans="2:6">
      <c r="D392" t="s">
        <v>2146</v>
      </c>
      <c r="E392"/>
    </row>
    <row r="393" spans="2:6">
      <c r="D393" t="s">
        <v>2777</v>
      </c>
      <c r="E393"/>
    </row>
    <row r="394" spans="2:6">
      <c r="D394" t="s">
        <v>2147</v>
      </c>
      <c r="E394" t="str">
        <f>Projetos!Q5</f>
        <v>Vinícius Carlos de Lima Teixeira</v>
      </c>
    </row>
    <row r="395" spans="2:6">
      <c r="D395" t="s">
        <v>2150</v>
      </c>
      <c r="E395">
        <f>Projetos!Q6</f>
        <v>2018125837</v>
      </c>
    </row>
    <row r="396" spans="2:6">
      <c r="D396" t="s">
        <v>2152</v>
      </c>
      <c r="E396" s="136">
        <f>Projetos!Q7</f>
        <v>21976811065</v>
      </c>
    </row>
    <row r="397" spans="2:6">
      <c r="D397" t="s">
        <v>2154</v>
      </c>
      <c r="E397" s="312" t="str">
        <f>Projetos!Q8</f>
        <v>vinicius@energiacactos.com.br</v>
      </c>
    </row>
    <row r="398" spans="2:6">
      <c r="B398" t="s">
        <v>2778</v>
      </c>
      <c r="D398" t="s">
        <v>2156</v>
      </c>
      <c r="E398" s="20">
        <f>Projetos!Q9</f>
        <v>0</v>
      </c>
      <c r="F398" t="s">
        <v>2779</v>
      </c>
    </row>
    <row r="399" spans="2:6">
      <c r="E399"/>
    </row>
    <row r="400" spans="2:6">
      <c r="D400" t="s">
        <v>2780</v>
      </c>
      <c r="E400"/>
    </row>
    <row r="401" spans="1:6">
      <c r="D401" t="s">
        <v>2147</v>
      </c>
      <c r="E401" t="str">
        <f>Projetos!Q12</f>
        <v>Vinícius Carlos de Lima Teixeira</v>
      </c>
    </row>
    <row r="402" spans="1:6">
      <c r="D402" t="s">
        <v>2150</v>
      </c>
      <c r="E402">
        <f>Projetos!Q13</f>
        <v>2018125837</v>
      </c>
    </row>
    <row r="403" spans="1:6">
      <c r="D403" t="s">
        <v>2152</v>
      </c>
      <c r="E403" s="136">
        <f>Projetos!Q14</f>
        <v>21976811065</v>
      </c>
    </row>
    <row r="404" spans="1:6">
      <c r="D404" t="s">
        <v>2154</v>
      </c>
      <c r="E404" s="312" t="str">
        <f>Projetos!Q15</f>
        <v>vinicius@energiacactos.com.br</v>
      </c>
    </row>
    <row r="405" spans="1:6">
      <c r="B405" t="s">
        <v>2781</v>
      </c>
      <c r="D405" t="s">
        <v>2156</v>
      </c>
      <c r="E405" s="20">
        <f>Projetos!Q16</f>
        <v>0</v>
      </c>
    </row>
    <row r="408" spans="1:6" ht="15.6" customHeight="1">
      <c r="A408" s="797" t="s">
        <v>2782</v>
      </c>
      <c r="D408" t="s">
        <v>2783</v>
      </c>
      <c r="E408" s="87">
        <v>7.4999999999999997E-2</v>
      </c>
      <c r="F408" t="s">
        <v>2784</v>
      </c>
    </row>
    <row r="409" spans="1:6" ht="18">
      <c r="A409" s="797"/>
      <c r="B409" t="s">
        <v>2785</v>
      </c>
      <c r="D409" t="s">
        <v>2786</v>
      </c>
      <c r="E409" s="160">
        <f ca="1">$E$408*$F$147</f>
        <v>63.899270256468682</v>
      </c>
    </row>
    <row r="410" spans="1:6" ht="18">
      <c r="A410" s="797"/>
      <c r="B410" t="s">
        <v>2787</v>
      </c>
      <c r="D410" t="s">
        <v>2788</v>
      </c>
      <c r="E410" s="160">
        <f ca="1">$E$408*$F$148</f>
        <v>766.79124307762424</v>
      </c>
    </row>
    <row r="411" spans="1:6" ht="18">
      <c r="A411" s="797"/>
      <c r="B411" t="s">
        <v>2789</v>
      </c>
      <c r="D411" t="s">
        <v>2790</v>
      </c>
      <c r="E411" s="160">
        <f ca="1">$E$410*25</f>
        <v>19169.781076940606</v>
      </c>
    </row>
    <row r="412" spans="1:6" ht="18">
      <c r="A412" s="797"/>
      <c r="D412" t="s">
        <v>2791</v>
      </c>
      <c r="E412" s="160">
        <v>12.48</v>
      </c>
    </row>
    <row r="413" spans="1:6" ht="18">
      <c r="A413" s="797"/>
      <c r="D413" t="s">
        <v>2792</v>
      </c>
      <c r="E413" s="160">
        <f>$E$412*20</f>
        <v>249.60000000000002</v>
      </c>
    </row>
    <row r="414" spans="1:6">
      <c r="A414" s="797"/>
      <c r="B414" t="s">
        <v>2793</v>
      </c>
      <c r="D414" t="s">
        <v>2794</v>
      </c>
      <c r="E414" s="87">
        <f ca="1">ROUNDUP($E$410/$E$412,0)</f>
        <v>62</v>
      </c>
    </row>
    <row r="415" spans="1:6">
      <c r="A415" s="797"/>
      <c r="B415" t="s">
        <v>2795</v>
      </c>
      <c r="D415" t="s">
        <v>2796</v>
      </c>
      <c r="E415" s="87" t="str">
        <f ca="1">INT(E413/E409)&amp;" meses e "&amp;ROUNDUP(MOD(E413/E409,1)*30,0)&amp;" dias"</f>
        <v>3 meses e 28 dias</v>
      </c>
    </row>
    <row r="418" spans="2:10">
      <c r="D418" t="s">
        <v>2797</v>
      </c>
      <c r="E418" s="87" t="str">
        <f ca="1">"n° "&amp;Resumo!$E$163-1&amp;" com geração anual previsa de "&amp;TEXT(Resumo!$F$149,"#.#")&amp;"kWh"</f>
        <v>n° 0 com geração anual previsa de 10.142kWh</v>
      </c>
    </row>
    <row r="419" spans="2:10">
      <c r="B419" t="s">
        <v>2798</v>
      </c>
      <c r="D419" t="s">
        <v>2799</v>
      </c>
      <c r="E419" s="318">
        <f ca="1">Orçamento!BM19</f>
        <v>45866</v>
      </c>
    </row>
    <row r="421" spans="2:10">
      <c r="B421" t="s">
        <v>2800</v>
      </c>
      <c r="D421" t="s">
        <v>2801</v>
      </c>
      <c r="E421" s="87" t="e" cm="1">
        <f t="array" aca="1" ref="E421" ca="1">lastauthor()</f>
        <v>#NAME?</v>
      </c>
    </row>
    <row r="424" spans="2:10">
      <c r="C424" s="444"/>
      <c r="D424" s="444"/>
      <c r="E424" s="492"/>
      <c r="F424" s="444"/>
      <c r="G424" s="444"/>
      <c r="H424" s="444"/>
      <c r="I424" s="444"/>
      <c r="J424" s="444"/>
    </row>
    <row r="425" spans="2:10" ht="21" customHeight="1">
      <c r="B425" t="s">
        <v>2802</v>
      </c>
      <c r="C425" s="444"/>
      <c r="D425" s="444"/>
      <c r="E425" s="492" t="s">
        <v>12</v>
      </c>
      <c r="F425" s="799" t="str">
        <f>"Olá, " &amp;E425&amp; "! Bom te ver de novo! - Acesso até "&amp;TEXT($E$427,"dd/mm/aaaa")</f>
        <v>Olá, VINICIUS L TEIXEIRA! Bom te ver de novo! - Acesso até 25/06/2026</v>
      </c>
      <c r="G425" s="800"/>
      <c r="H425" s="800"/>
      <c r="I425" s="801"/>
      <c r="J425" s="444"/>
    </row>
    <row r="426" spans="2:10">
      <c r="B426" t="s">
        <v>2803</v>
      </c>
      <c r="C426" s="444"/>
      <c r="D426" s="444"/>
      <c r="E426" s="492" t="s">
        <v>13</v>
      </c>
      <c r="F426" s="444"/>
      <c r="G426" s="444"/>
      <c r="H426" s="444"/>
      <c r="I426" s="444"/>
      <c r="J426" s="444"/>
    </row>
    <row r="427" spans="2:10">
      <c r="C427" s="444"/>
      <c r="D427" s="444" t="s">
        <v>2804</v>
      </c>
      <c r="E427" s="653">
        <v>46198</v>
      </c>
      <c r="F427" s="444"/>
      <c r="G427" s="444"/>
      <c r="H427" s="444"/>
      <c r="I427" s="444"/>
      <c r="J427" s="444"/>
    </row>
    <row r="428" spans="2:10">
      <c r="C428" s="444"/>
      <c r="D428" s="444"/>
      <c r="E428" s="492"/>
      <c r="F428" s="444"/>
      <c r="G428" s="444"/>
      <c r="H428" s="444"/>
      <c r="I428" s="444"/>
      <c r="J428" s="444"/>
    </row>
    <row r="429" spans="2:10">
      <c r="C429" s="444"/>
      <c r="D429" s="444"/>
      <c r="E429" s="492"/>
      <c r="F429" s="654"/>
      <c r="G429" s="444"/>
      <c r="H429" s="444"/>
      <c r="I429" s="444"/>
      <c r="J429" s="444"/>
    </row>
    <row r="430" spans="2:10">
      <c r="C430" s="444"/>
      <c r="D430" t="s">
        <v>3692</v>
      </c>
      <c r="E430" s="492" t="e">
        <f>VLOOKUP(E425,Tabela10[[Acesso Automático]:[Link Pasta de Salvamento]],6,FALSE)</f>
        <v>#N/A</v>
      </c>
      <c r="F430" s="444"/>
      <c r="G430" s="444"/>
      <c r="H430" s="444"/>
      <c r="I430" s="444"/>
      <c r="J430" s="444"/>
    </row>
    <row r="431" spans="2:10">
      <c r="C431" s="444"/>
      <c r="D431" s="444"/>
      <c r="E431" s="492"/>
      <c r="F431" s="444"/>
      <c r="G431" s="444"/>
      <c r="H431" s="444"/>
      <c r="I431" s="444"/>
      <c r="J431" s="444"/>
    </row>
    <row r="432" spans="2:10">
      <c r="C432" s="444"/>
      <c r="D432" s="444"/>
      <c r="E432" s="492"/>
      <c r="F432" s="444"/>
      <c r="G432" s="444"/>
      <c r="H432" s="444"/>
      <c r="I432" s="444"/>
      <c r="J432" s="444"/>
    </row>
    <row r="433" spans="3:10">
      <c r="C433" s="444"/>
      <c r="D433" s="444"/>
      <c r="E433" s="492"/>
      <c r="F433" s="444"/>
      <c r="G433" s="444"/>
      <c r="H433" s="444"/>
      <c r="I433" s="444"/>
      <c r="J433" s="444"/>
    </row>
    <row r="434" spans="3:10">
      <c r="C434" s="444"/>
      <c r="D434" s="444"/>
      <c r="E434" s="492"/>
      <c r="F434" s="444"/>
      <c r="G434" s="444"/>
      <c r="H434" s="444"/>
      <c r="I434" s="444"/>
      <c r="J434" s="444"/>
    </row>
    <row r="435" spans="3:10">
      <c r="C435" s="444"/>
      <c r="D435" s="444"/>
      <c r="E435" s="492"/>
      <c r="F435" s="444"/>
      <c r="G435" s="444"/>
      <c r="H435" s="444"/>
      <c r="I435" s="444"/>
      <c r="J435" s="444"/>
    </row>
    <row r="436" spans="3:10">
      <c r="C436" s="444"/>
      <c r="D436" s="444"/>
      <c r="E436" s="492"/>
      <c r="F436" s="444"/>
      <c r="G436" s="444"/>
      <c r="H436" s="444"/>
      <c r="I436" s="444"/>
      <c r="J436" s="444"/>
    </row>
    <row r="437" spans="3:10">
      <c r="C437" s="444"/>
      <c r="D437" s="444"/>
      <c r="E437" s="492"/>
      <c r="F437" s="444"/>
      <c r="G437" s="444"/>
      <c r="H437" s="444"/>
      <c r="I437" s="444"/>
      <c r="J437" s="444"/>
    </row>
    <row r="438" spans="3:10">
      <c r="C438" s="444"/>
      <c r="D438" s="444"/>
      <c r="E438" s="492"/>
      <c r="F438" s="444"/>
      <c r="G438" s="444"/>
      <c r="H438" s="444"/>
      <c r="I438" s="444"/>
      <c r="J438" s="444"/>
    </row>
    <row r="439" spans="3:10">
      <c r="C439" s="444"/>
      <c r="D439" s="444"/>
      <c r="E439" s="492"/>
      <c r="F439" s="444"/>
      <c r="G439" s="444"/>
      <c r="H439" s="444"/>
      <c r="I439" s="444"/>
      <c r="J439" s="444"/>
    </row>
    <row r="440" spans="3:10">
      <c r="C440" s="444"/>
      <c r="D440" s="444"/>
      <c r="E440" s="492"/>
      <c r="F440" s="444"/>
      <c r="G440" s="444"/>
      <c r="H440" s="444"/>
      <c r="I440" s="444"/>
      <c r="J440" s="444"/>
    </row>
    <row r="441" spans="3:10">
      <c r="C441" s="444"/>
      <c r="D441" s="444"/>
      <c r="E441" s="492"/>
      <c r="F441" s="444"/>
      <c r="G441" s="444"/>
      <c r="H441" s="444"/>
      <c r="I441" s="444"/>
      <c r="J441" s="444"/>
    </row>
    <row r="442" spans="3:10">
      <c r="C442" s="444"/>
      <c r="D442" s="444"/>
      <c r="E442" s="492"/>
      <c r="F442" s="444"/>
      <c r="G442" s="444"/>
      <c r="H442" s="444"/>
      <c r="I442" s="444"/>
      <c r="J442" s="444"/>
    </row>
    <row r="443" spans="3:10">
      <c r="C443" s="444"/>
      <c r="D443" s="444"/>
      <c r="E443" s="492"/>
      <c r="F443" s="444"/>
      <c r="G443" s="444"/>
      <c r="H443" s="444"/>
      <c r="I443" s="444"/>
      <c r="J443" s="444"/>
    </row>
    <row r="444" spans="3:10">
      <c r="C444" s="444"/>
      <c r="D444" s="444"/>
      <c r="E444" s="492"/>
      <c r="F444" s="444"/>
      <c r="G444" s="444"/>
      <c r="H444" s="444"/>
      <c r="I444" s="444"/>
      <c r="J444" s="444"/>
    </row>
    <row r="445" spans="3:10">
      <c r="C445" s="444"/>
      <c r="D445" s="444"/>
      <c r="E445" s="492"/>
      <c r="F445" s="444"/>
      <c r="G445" s="444"/>
      <c r="H445" s="444"/>
      <c r="I445" s="444"/>
      <c r="J445" s="444"/>
    </row>
    <row r="446" spans="3:10">
      <c r="C446" s="444"/>
      <c r="D446" s="444"/>
      <c r="E446" s="492"/>
      <c r="F446" s="444"/>
      <c r="G446" s="444"/>
      <c r="H446" s="444"/>
      <c r="I446" s="444"/>
      <c r="J446" s="444"/>
    </row>
    <row r="447" spans="3:10">
      <c r="C447" s="444"/>
      <c r="D447" s="444"/>
      <c r="E447" s="492"/>
      <c r="F447" s="444"/>
      <c r="G447" s="444"/>
      <c r="H447" s="444"/>
      <c r="I447" s="444"/>
      <c r="J447" s="444"/>
    </row>
    <row r="448" spans="3:10">
      <c r="C448" s="444"/>
      <c r="D448" s="444"/>
      <c r="E448" s="492"/>
      <c r="F448" s="444"/>
      <c r="G448" s="444"/>
      <c r="H448" s="444"/>
      <c r="I448" s="444"/>
      <c r="J448" s="444"/>
    </row>
  </sheetData>
  <sheetProtection selectLockedCells="1"/>
  <mergeCells count="25">
    <mergeCell ref="F425:I425"/>
    <mergeCell ref="A408:A415"/>
    <mergeCell ref="A62:A81"/>
    <mergeCell ref="A85:A100"/>
    <mergeCell ref="A104:A106"/>
    <mergeCell ref="A107:A119"/>
    <mergeCell ref="A358:A382"/>
    <mergeCell ref="A269:A272"/>
    <mergeCell ref="A222:A242"/>
    <mergeCell ref="A185:A198"/>
    <mergeCell ref="A200:A220"/>
    <mergeCell ref="A2:A19"/>
    <mergeCell ref="A27:A37"/>
    <mergeCell ref="A38:A55"/>
    <mergeCell ref="A301:A316"/>
    <mergeCell ref="A330:A351"/>
    <mergeCell ref="A278:A286"/>
    <mergeCell ref="A135:A148"/>
    <mergeCell ref="A167:A169"/>
    <mergeCell ref="A171:A172"/>
    <mergeCell ref="A173:A174"/>
    <mergeCell ref="A157:A162"/>
    <mergeCell ref="A251:A255"/>
    <mergeCell ref="A260:A263"/>
    <mergeCell ref="A292:A295"/>
  </mergeCells>
  <phoneticPr fontId="2" type="noConversion"/>
  <conditionalFormatting sqref="F425:I425">
    <cfRule type="expression" dxfId="55" priority="1">
      <formula>TODAY()&gt;=($E$427-30)</formula>
    </cfRule>
  </conditionalFormatting>
  <hyperlinks>
    <hyperlink ref="E397" r:id="rId1" display="contato@cactossolucoesemenergia.com.br" xr:uid="{60682DD4-CE50-4848-BB45-4D2257FA6A2D}"/>
    <hyperlink ref="E404" r:id="rId2" display="contato@cactossolucoesemenergia.com.br" xr:uid="{DD3A696A-03B1-4EC0-B0E5-1FBB19326CBF}"/>
  </hyperlinks>
  <pageMargins left="0.511811024" right="0.511811024" top="0.78740157499999996" bottom="0.78740157499999996" header="0.31496062000000002" footer="0.31496062000000002"/>
  <pageSetup paperSize="9" orientation="portrait" r:id="rId3"/>
  <legacyDrawing r:id="rId4"/>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D972C-23DC-430D-A289-F1624FFF134C}">
  <sheetPr codeName="Planilha20"/>
  <dimension ref="A1:AQ540"/>
  <sheetViews>
    <sheetView showGridLines="0" view="pageBreakPreview" zoomScale="70" zoomScaleNormal="100" zoomScaleSheetLayoutView="70" workbookViewId="0">
      <selection activeCell="AV7" sqref="AV7"/>
    </sheetView>
  </sheetViews>
  <sheetFormatPr defaultColWidth="8.85546875" defaultRowHeight="15" outlineLevelRow="1"/>
  <cols>
    <col min="1" max="1" width="6.28515625" customWidth="1"/>
    <col min="2" max="27" width="3.42578125" customWidth="1"/>
    <col min="28" max="28" width="3.28515625" customWidth="1"/>
    <col min="29" max="29" width="10.7109375" customWidth="1"/>
    <col min="30" max="34" width="3.42578125" customWidth="1"/>
  </cols>
  <sheetData>
    <row r="1" spans="1:39">
      <c r="A1" s="432" t="str">
        <f>" - Pré-Proposta - "&amp;Resumo!$F$5&amp;" - "&amp;Resumo!$E$160</f>
        <v xml:space="preserve"> - Pré-Proposta - FLAVIA LOUZADA - 8,19</v>
      </c>
      <c r="B1" s="433">
        <v>2</v>
      </c>
    </row>
    <row r="3" spans="1:39">
      <c r="AM3" s="353"/>
    </row>
    <row r="6" spans="1:39">
      <c r="AL6" t="s">
        <v>2805</v>
      </c>
    </row>
    <row r="7" spans="1:39">
      <c r="AL7" s="444">
        <v>2</v>
      </c>
    </row>
    <row r="18" ht="15" customHeight="1"/>
    <row r="19" ht="14.45" customHeight="1"/>
    <row r="20" ht="15" customHeight="1"/>
    <row r="37" spans="2:24" ht="15.75" thickBot="1"/>
    <row r="38" spans="2:24" ht="15.75" thickTop="1">
      <c r="F38" s="803" t="s">
        <v>2806</v>
      </c>
      <c r="G38" s="803"/>
      <c r="H38" s="803"/>
      <c r="I38" s="803"/>
      <c r="J38" s="803"/>
      <c r="K38" s="803"/>
      <c r="L38" s="803"/>
      <c r="M38" s="803"/>
      <c r="N38" s="803"/>
      <c r="O38" s="803"/>
      <c r="P38" s="803"/>
      <c r="Q38" s="803"/>
      <c r="R38" s="803"/>
      <c r="S38" s="803"/>
      <c r="T38" s="803"/>
      <c r="U38" s="803"/>
      <c r="V38" s="803"/>
      <c r="W38" s="803"/>
      <c r="X38" s="803"/>
    </row>
    <row r="39" spans="2:24">
      <c r="F39" s="804"/>
      <c r="G39" s="804"/>
      <c r="H39" s="804"/>
      <c r="I39" s="804"/>
      <c r="J39" s="804"/>
      <c r="K39" s="804"/>
      <c r="L39" s="804"/>
      <c r="M39" s="804"/>
      <c r="N39" s="804"/>
      <c r="O39" s="804"/>
      <c r="P39" s="804"/>
      <c r="Q39" s="804"/>
      <c r="R39" s="804"/>
      <c r="S39" s="804"/>
      <c r="T39" s="804"/>
      <c r="U39" s="804"/>
      <c r="V39" s="804"/>
      <c r="W39" s="804"/>
      <c r="X39" s="804"/>
    </row>
    <row r="40" spans="2:24">
      <c r="F40" s="804"/>
      <c r="G40" s="804"/>
      <c r="H40" s="804"/>
      <c r="I40" s="804"/>
      <c r="J40" s="804"/>
      <c r="K40" s="804"/>
      <c r="L40" s="804"/>
      <c r="M40" s="804"/>
      <c r="N40" s="804"/>
      <c r="O40" s="804"/>
      <c r="P40" s="804"/>
      <c r="Q40" s="804"/>
      <c r="R40" s="804"/>
      <c r="S40" s="804"/>
      <c r="T40" s="804"/>
      <c r="U40" s="804"/>
      <c r="V40" s="804"/>
      <c r="W40" s="804"/>
      <c r="X40" s="804"/>
    </row>
    <row r="41" spans="2:24" ht="15.75" thickBot="1">
      <c r="F41" s="805"/>
      <c r="G41" s="805"/>
      <c r="H41" s="805"/>
      <c r="I41" s="805"/>
      <c r="J41" s="805"/>
      <c r="K41" s="805"/>
      <c r="L41" s="805"/>
      <c r="M41" s="805"/>
      <c r="N41" s="805"/>
      <c r="O41" s="805"/>
      <c r="P41" s="805"/>
      <c r="Q41" s="805"/>
      <c r="R41" s="805"/>
      <c r="S41" s="805"/>
      <c r="T41" s="805"/>
      <c r="U41" s="805"/>
      <c r="V41" s="805"/>
      <c r="W41" s="805"/>
      <c r="X41" s="805"/>
    </row>
    <row r="42" spans="2:24" ht="15.75" thickTop="1"/>
    <row r="43" spans="2:24" ht="15.75" thickBot="1"/>
    <row r="44" spans="2:24" ht="15.75">
      <c r="B44" s="183" t="str">
        <f>"CLIENTE: "&amp;Resumo!$E$2</f>
        <v>CLIENTE: FLAVIA LOUZADA</v>
      </c>
      <c r="C44" s="184"/>
      <c r="D44" s="184"/>
      <c r="E44" s="184"/>
      <c r="F44" s="184"/>
      <c r="G44" s="184"/>
      <c r="H44" s="184"/>
      <c r="I44" s="184"/>
      <c r="J44" s="184"/>
      <c r="K44" s="184"/>
      <c r="L44" s="184"/>
      <c r="M44" s="184"/>
      <c r="N44" s="184"/>
      <c r="O44" s="184"/>
      <c r="P44" s="184"/>
    </row>
    <row r="45" spans="2:24" ht="15.75">
      <c r="B45" s="22" t="str">
        <f>"ENDEREÇO: "&amp;Resumo!$E$14&amp;" - "&amp;Resumo!$E$13&amp;"/"&amp;Resumo!$E$12</f>
        <v>ENDEREÇO:   - /RJ</v>
      </c>
    </row>
    <row r="46" spans="2:24" ht="16.5" thickBot="1">
      <c r="B46" s="185" t="str">
        <f>"CEP: "&amp;Resumo!$E$17</f>
        <v>CEP: 0</v>
      </c>
      <c r="C46" s="186"/>
      <c r="D46" s="186"/>
      <c r="E46" s="186"/>
      <c r="F46" s="186"/>
      <c r="G46" s="186"/>
      <c r="H46" s="186"/>
      <c r="I46" s="186"/>
      <c r="J46" s="186"/>
      <c r="K46" s="186"/>
      <c r="L46" s="186"/>
      <c r="M46" s="186"/>
      <c r="N46" s="186"/>
      <c r="O46" s="186"/>
      <c r="P46" s="186"/>
    </row>
    <row r="47" spans="2:24" ht="15.75">
      <c r="B47" s="22"/>
    </row>
    <row r="48" spans="2:24" ht="16.5" thickBot="1">
      <c r="B48" s="22"/>
    </row>
    <row r="49" spans="1:29" ht="15.75">
      <c r="B49" s="183" t="s">
        <v>2807</v>
      </c>
      <c r="C49" s="184"/>
      <c r="D49" s="184"/>
      <c r="E49" s="184"/>
      <c r="F49" s="184"/>
      <c r="G49" s="184"/>
      <c r="H49" s="184"/>
      <c r="I49" s="184"/>
      <c r="J49" s="184"/>
      <c r="K49" s="184"/>
      <c r="L49" s="184"/>
      <c r="M49" s="184"/>
      <c r="N49" s="184"/>
      <c r="O49" s="184"/>
      <c r="P49" s="184"/>
    </row>
    <row r="50" spans="1:29" ht="16.5" thickBot="1">
      <c r="B50" s="185" t="s">
        <v>2808</v>
      </c>
      <c r="C50" s="186"/>
      <c r="D50" s="186"/>
      <c r="E50" s="186"/>
      <c r="F50" s="186"/>
      <c r="G50" s="186"/>
      <c r="H50" s="186"/>
      <c r="I50" s="186"/>
      <c r="J50" s="186"/>
      <c r="K50" s="186"/>
      <c r="L50" s="186"/>
      <c r="M50" s="186"/>
      <c r="N50" s="186"/>
      <c r="O50" s="186"/>
      <c r="P50" s="186"/>
      <c r="U50" s="189"/>
    </row>
    <row r="51" spans="1:29" ht="15.75">
      <c r="B51" s="22"/>
      <c r="U51" s="189"/>
    </row>
    <row r="52" spans="1:29" ht="22.9" customHeight="1">
      <c r="O52" s="226" t="s">
        <v>2809</v>
      </c>
    </row>
    <row r="53" spans="1:29" ht="22.9" customHeight="1"/>
    <row r="54" spans="1:29" ht="20.25">
      <c r="A54" s="802" t="s">
        <v>2810</v>
      </c>
      <c r="B54" s="802"/>
      <c r="C54" s="802"/>
      <c r="D54" s="802"/>
      <c r="E54" s="802"/>
      <c r="F54" s="802"/>
      <c r="G54" s="802"/>
      <c r="H54" s="802"/>
      <c r="I54" s="802"/>
      <c r="J54" s="802"/>
      <c r="K54" s="802"/>
      <c r="L54" s="802"/>
      <c r="M54" s="802"/>
      <c r="N54" s="802"/>
      <c r="O54" s="802"/>
      <c r="P54" s="802"/>
      <c r="Q54" s="802"/>
      <c r="R54" s="802"/>
      <c r="S54" s="802"/>
      <c r="T54" s="802"/>
      <c r="U54" s="802"/>
      <c r="V54" s="802"/>
      <c r="W54" s="802"/>
      <c r="X54" s="802"/>
      <c r="Y54" s="802"/>
      <c r="Z54" s="802"/>
      <c r="AA54" s="802"/>
      <c r="AB54" s="802"/>
      <c r="AC54" s="802"/>
    </row>
    <row r="55" spans="1:29">
      <c r="E55" s="187"/>
    </row>
    <row r="56" spans="1:29">
      <c r="E56" s="187"/>
    </row>
    <row r="57" spans="1:29">
      <c r="E57" s="187"/>
    </row>
    <row r="59" spans="1:29">
      <c r="U59" s="133"/>
    </row>
    <row r="77" spans="1:29" ht="20.25">
      <c r="A77" s="802" t="s">
        <v>2811</v>
      </c>
      <c r="B77" s="802"/>
      <c r="C77" s="802"/>
      <c r="D77" s="802"/>
      <c r="E77" s="802"/>
      <c r="F77" s="802"/>
      <c r="G77" s="802"/>
      <c r="H77" s="802"/>
      <c r="I77" s="802"/>
      <c r="J77" s="802"/>
      <c r="K77" s="802"/>
      <c r="L77" s="802"/>
      <c r="M77" s="802"/>
      <c r="N77" s="802"/>
      <c r="O77" s="802"/>
      <c r="P77" s="802"/>
      <c r="Q77" s="802"/>
      <c r="R77" s="802"/>
      <c r="S77" s="802"/>
      <c r="T77" s="802"/>
      <c r="U77" s="802"/>
      <c r="V77" s="802"/>
      <c r="W77" s="802"/>
      <c r="X77" s="802"/>
      <c r="Y77" s="802"/>
      <c r="Z77" s="802"/>
      <c r="AA77" s="802"/>
      <c r="AB77" s="802"/>
      <c r="AC77" s="802"/>
    </row>
    <row r="78" spans="1:29" ht="14.45" customHeight="1"/>
    <row r="82" ht="14.45" customHeight="1"/>
    <row r="108" spans="1:29" ht="20.25">
      <c r="A108" s="802" t="s">
        <v>2812</v>
      </c>
      <c r="B108" s="802"/>
      <c r="C108" s="802"/>
      <c r="D108" s="802"/>
      <c r="E108" s="802"/>
      <c r="F108" s="802"/>
      <c r="G108" s="802"/>
      <c r="H108" s="802"/>
      <c r="I108" s="802"/>
      <c r="J108" s="802"/>
      <c r="K108" s="802"/>
      <c r="L108" s="802"/>
      <c r="M108" s="802"/>
      <c r="N108" s="802"/>
      <c r="O108" s="802"/>
      <c r="P108" s="802"/>
      <c r="Q108" s="802"/>
      <c r="R108" s="802"/>
      <c r="S108" s="802"/>
      <c r="T108" s="802"/>
      <c r="U108" s="802"/>
      <c r="V108" s="802"/>
      <c r="W108" s="802"/>
      <c r="X108" s="802"/>
      <c r="Y108" s="802"/>
      <c r="Z108" s="802"/>
      <c r="AA108" s="802"/>
      <c r="AB108" s="802"/>
      <c r="AC108" s="802"/>
    </row>
    <row r="143" ht="14.45" customHeight="1"/>
    <row r="144" ht="14.45" customHeight="1"/>
    <row r="145" ht="14.45" customHeight="1"/>
    <row r="146" ht="14.45" customHeight="1"/>
    <row r="147" ht="14.45" customHeight="1"/>
    <row r="148" ht="14.45" customHeight="1"/>
    <row r="149" ht="14.45" customHeight="1"/>
    <row r="150" ht="14.45" customHeight="1"/>
    <row r="151" ht="14.45" customHeight="1"/>
    <row r="152" ht="14.45" customHeight="1"/>
    <row r="153" ht="14.45" customHeight="1"/>
    <row r="154" ht="14.45" customHeight="1"/>
    <row r="155" ht="14.45" customHeight="1"/>
    <row r="156" ht="14.45" customHeight="1"/>
    <row r="157" ht="14.45" customHeight="1"/>
    <row r="158" ht="14.45" customHeight="1"/>
    <row r="159" ht="14.45" customHeight="1"/>
    <row r="160" ht="27.6" customHeight="1"/>
    <row r="161" spans="1:29" ht="20.25">
      <c r="A161" s="802" t="s">
        <v>2813</v>
      </c>
      <c r="B161" s="802"/>
      <c r="C161" s="802"/>
      <c r="D161" s="802"/>
      <c r="E161" s="802"/>
      <c r="F161" s="802"/>
      <c r="G161" s="802"/>
      <c r="H161" s="802"/>
      <c r="I161" s="802"/>
      <c r="J161" s="802"/>
      <c r="K161" s="802"/>
      <c r="L161" s="802"/>
      <c r="M161" s="802"/>
      <c r="N161" s="802"/>
      <c r="O161" s="802"/>
      <c r="P161" s="802"/>
      <c r="Q161" s="802"/>
      <c r="R161" s="802"/>
      <c r="S161" s="802"/>
      <c r="T161" s="802"/>
      <c r="U161" s="802"/>
      <c r="V161" s="802"/>
      <c r="W161" s="802"/>
      <c r="X161" s="802"/>
      <c r="Y161" s="802"/>
      <c r="Z161" s="802"/>
      <c r="AA161" s="802"/>
      <c r="AB161" s="802"/>
      <c r="AC161" s="802"/>
    </row>
    <row r="162" spans="1:29" ht="14.45" customHeight="1"/>
    <row r="163" spans="1:29" ht="14.45" customHeight="1"/>
    <row r="164" spans="1:29" ht="14.45" customHeight="1"/>
    <row r="165" spans="1:29" ht="14.45" customHeight="1"/>
    <row r="166" spans="1:29" ht="14.45" customHeight="1"/>
    <row r="167" spans="1:29" ht="14.45" customHeight="1"/>
    <row r="168" spans="1:29" ht="14.45" customHeight="1"/>
    <row r="169" spans="1:29" ht="14.45" customHeight="1"/>
    <row r="170" spans="1:29" ht="14.45" customHeight="1"/>
    <row r="171" spans="1:29" ht="14.45" customHeight="1"/>
    <row r="172" spans="1:29" ht="14.45" customHeight="1"/>
    <row r="173" spans="1:29" ht="14.45" customHeight="1"/>
    <row r="174" spans="1:29" ht="14.45" customHeight="1"/>
    <row r="175" spans="1:29" ht="14.45" customHeight="1"/>
    <row r="176" spans="1:29" ht="14.45" customHeight="1"/>
    <row r="177" ht="14.45" customHeight="1"/>
    <row r="178" ht="14.45" customHeight="1"/>
    <row r="179" ht="14.45" customHeight="1"/>
    <row r="180" ht="14.45" customHeight="1"/>
    <row r="181" ht="14.45" customHeight="1"/>
    <row r="182" ht="14.45" customHeight="1"/>
    <row r="183" ht="14.45" customHeight="1"/>
    <row r="184" ht="14.45" customHeight="1"/>
    <row r="185" ht="14.45" customHeight="1"/>
    <row r="186" ht="14.45" customHeight="1"/>
    <row r="187" ht="14.45" customHeight="1"/>
    <row r="188" ht="14.45" customHeight="1"/>
    <row r="189" ht="14.45" customHeight="1"/>
    <row r="190" ht="14.45" customHeight="1"/>
    <row r="191" ht="14.45" customHeight="1"/>
    <row r="192" ht="14.45" customHeight="1"/>
    <row r="193" ht="14.45" customHeight="1"/>
    <row r="194" ht="14.45" customHeight="1"/>
    <row r="195" ht="14.45" customHeight="1"/>
    <row r="196" ht="14.45" customHeight="1"/>
    <row r="197" ht="14.45" customHeight="1"/>
    <row r="198" ht="14.45" customHeight="1"/>
    <row r="199" ht="14.45" customHeight="1"/>
    <row r="200" ht="14.45" customHeight="1"/>
    <row r="201" ht="14.45" customHeight="1"/>
    <row r="202" ht="14.45" customHeight="1"/>
    <row r="203" ht="14.45" customHeight="1"/>
    <row r="204" ht="14.45" customHeight="1"/>
    <row r="205" ht="14.45" customHeight="1"/>
    <row r="206" ht="14.45" customHeight="1"/>
    <row r="207" ht="14.45" customHeight="1"/>
    <row r="208" ht="14.45" customHeight="1"/>
    <row r="209" spans="1:29" ht="14.45" customHeight="1"/>
    <row r="210" spans="1:29" ht="14.45" customHeight="1"/>
    <row r="211" spans="1:29" ht="14.45" customHeight="1"/>
    <row r="212" spans="1:29" ht="14.45" customHeight="1"/>
    <row r="213" spans="1:29" ht="14.45" customHeight="1"/>
    <row r="214" spans="1:29" ht="14.45" customHeight="1"/>
    <row r="215" spans="1:29" ht="14.45" customHeight="1"/>
    <row r="216" spans="1:29" ht="20.25">
      <c r="A216" s="802" t="s">
        <v>2814</v>
      </c>
      <c r="B216" s="802"/>
      <c r="C216" s="802"/>
      <c r="D216" s="802"/>
      <c r="E216" s="802"/>
      <c r="F216" s="802"/>
      <c r="G216" s="802"/>
      <c r="H216" s="802"/>
      <c r="I216" s="802"/>
      <c r="J216" s="802"/>
      <c r="K216" s="802"/>
      <c r="L216" s="802"/>
      <c r="M216" s="802"/>
      <c r="N216" s="802"/>
      <c r="O216" s="802"/>
      <c r="P216" s="802"/>
      <c r="Q216" s="802"/>
      <c r="R216" s="802"/>
      <c r="S216" s="802"/>
      <c r="T216" s="802"/>
      <c r="U216" s="802"/>
      <c r="V216" s="802"/>
      <c r="W216" s="802"/>
      <c r="X216" s="802"/>
      <c r="Y216" s="802"/>
      <c r="Z216" s="802"/>
      <c r="AA216" s="802"/>
      <c r="AB216" s="802"/>
      <c r="AC216" s="802"/>
    </row>
    <row r="221" spans="1:29">
      <c r="B221" s="578" t="str">
        <f ca="1">"Para este estudo foi previsto um aumento no consumo de "&amp;TEXT(Resumo!$E$58,"0,0%")&amp;"  e todas as informações descritas nesse material estarão baseadas neste aumento.
Foi considerado um consumo diurno de "&amp;TEXT(Resumo!$E$362,"0,0%")&amp;" em relação ao consumo total."</f>
        <v>Para este estudo foi previsto um aumento no consumo de 4,4%  e todas as informações descritas nesse material estarão baseadas neste aumento.
Foi considerado um consumo diurno de 30,0% em relação ao consumo total.</v>
      </c>
    </row>
    <row r="222" spans="1:29">
      <c r="C222" s="188"/>
    </row>
    <row r="227" spans="1:29">
      <c r="D227" s="640" t="str">
        <f>"Consumo Médio Atual: "&amp;TEXT(Resumo!$K$50,0)&amp;" kWh"</f>
        <v>Consumo Médio Atual: 808 kWh</v>
      </c>
      <c r="E227" s="641"/>
      <c r="F227" s="641"/>
      <c r="G227" s="641"/>
      <c r="H227" s="641"/>
      <c r="I227" s="641"/>
      <c r="J227" s="641"/>
      <c r="K227" s="641"/>
      <c r="L227" s="641"/>
      <c r="M227" s="642"/>
      <c r="Q227" s="640" t="str">
        <f ca="1">"Consumo Médio Futuro: "&amp;TEXT(Resumo!$E$385,0)&amp;" kWh"</f>
        <v>Consumo Médio Futuro: 844 kWh</v>
      </c>
      <c r="R227" s="641"/>
      <c r="S227" s="641"/>
      <c r="T227" s="641"/>
      <c r="U227" s="641"/>
      <c r="V227" s="641"/>
      <c r="W227" s="641"/>
      <c r="X227" s="641"/>
      <c r="Y227" s="641"/>
      <c r="Z227" s="642"/>
    </row>
    <row r="228" spans="1:29">
      <c r="D228" s="643" t="str">
        <f>"Consumo Anual: "&amp;TEXT(Resumo!$F$52,0)&amp;" kWh"</f>
        <v>Consumo Anual: 9696 kWh</v>
      </c>
      <c r="M228" s="644"/>
      <c r="Q228" s="643" t="str">
        <f ca="1">"Consumo Anual: "&amp;TEXT(Resumo!$E$385*12,0)&amp;" kWh"</f>
        <v>Consumo Anual: 10123 kWh</v>
      </c>
      <c r="Z228" s="644"/>
    </row>
    <row r="229" spans="1:29">
      <c r="D229" s="643" t="str">
        <f ca="1">"Valor médio pago em fatura: "&amp;TEXT(Resumo!$E$383,"R$ 0,00")</f>
        <v>Valor médio pago em fatura: R$ 999,49</v>
      </c>
      <c r="M229" s="644"/>
      <c r="Q229" s="643" t="str">
        <f ca="1">"Valor médio pago em fatura: "&amp;TEXT(Resumo!$E$379,"R$ 0,00")</f>
        <v>Valor médio pago em fatura: R$ 1099,44</v>
      </c>
      <c r="Z229" s="644"/>
    </row>
    <row r="230" spans="1:29">
      <c r="D230" s="647" t="str">
        <f ca="1">"Valor da tarifa: "&amp;TEXT(Resumo!$E$386,"R$ 0,00")</f>
        <v>Valor da tarifa: R$ 1,18</v>
      </c>
      <c r="E230" s="645"/>
      <c r="F230" s="645"/>
      <c r="G230" s="645"/>
      <c r="H230" s="645"/>
      <c r="I230" s="645"/>
      <c r="J230" s="645"/>
      <c r="K230" s="645"/>
      <c r="L230" s="645"/>
      <c r="M230" s="646"/>
      <c r="Q230" s="647" t="str">
        <f ca="1">"Valor da tarifa: "&amp;TEXT(Resumo!$F$386,"R$ 0,00")</f>
        <v>Valor da tarifa: R$ 1,30</v>
      </c>
      <c r="R230" s="645"/>
      <c r="S230" s="645"/>
      <c r="T230" s="645"/>
      <c r="U230" s="645"/>
      <c r="V230" s="645"/>
      <c r="W230" s="645"/>
      <c r="X230" s="645"/>
      <c r="Y230" s="645"/>
      <c r="Z230" s="646"/>
    </row>
    <row r="231" spans="1:29" ht="7.9" customHeight="1"/>
    <row r="232" spans="1:29" ht="19.149999999999999" customHeight="1">
      <c r="M232" s="659" t="str">
        <f ca="1">"LCOE: "&amp;TEXT(Financeiro!$T$197,"R$0,00")</f>
        <v>LCOE: R$0,16</v>
      </c>
    </row>
    <row r="233" spans="1:29" ht="20.25">
      <c r="A233" s="802" t="s">
        <v>2815</v>
      </c>
      <c r="B233" s="802"/>
      <c r="C233" s="802"/>
      <c r="D233" s="802"/>
      <c r="E233" s="802"/>
      <c r="F233" s="802"/>
      <c r="G233" s="802"/>
      <c r="H233" s="802"/>
      <c r="I233" s="802"/>
      <c r="J233" s="802"/>
      <c r="K233" s="802"/>
      <c r="L233" s="802"/>
      <c r="M233" s="802"/>
      <c r="N233" s="802"/>
      <c r="O233" s="802"/>
      <c r="P233" s="802"/>
      <c r="Q233" s="802"/>
      <c r="R233" s="802"/>
      <c r="S233" s="802"/>
      <c r="T233" s="802"/>
      <c r="U233" s="802"/>
      <c r="V233" s="802"/>
      <c r="W233" s="802"/>
      <c r="X233" s="802"/>
      <c r="Y233" s="802"/>
      <c r="Z233" s="802"/>
      <c r="AA233" s="802"/>
      <c r="AB233" s="802"/>
      <c r="AC233" s="802"/>
    </row>
    <row r="237" spans="1:29">
      <c r="B237" s="227"/>
    </row>
    <row r="241" spans="1:24" ht="18.75">
      <c r="A241" s="639" t="str">
        <f>Resumo!$E$187&amp;" Módulos FV de "&amp;Resumo!$F$225&amp;"Wp"</f>
        <v>14 Módulos FV de 585Wp</v>
      </c>
      <c r="X241" s="375" t="s">
        <v>2816</v>
      </c>
    </row>
    <row r="242" spans="1:24" ht="18.75">
      <c r="X242" s="375" t="str">
        <f>TEXT(Resumo!$F$161,"0,00")&amp;" m²"</f>
        <v>37,97 m²</v>
      </c>
    </row>
    <row r="270" spans="1:29" ht="20.25">
      <c r="A270" s="802" t="s">
        <v>2782</v>
      </c>
      <c r="B270" s="802"/>
      <c r="C270" s="802"/>
      <c r="D270" s="802"/>
      <c r="E270" s="802"/>
      <c r="F270" s="802"/>
      <c r="G270" s="802"/>
      <c r="H270" s="802"/>
      <c r="I270" s="802"/>
      <c r="J270" s="802"/>
      <c r="K270" s="802"/>
      <c r="L270" s="802"/>
      <c r="M270" s="802"/>
      <c r="N270" s="802"/>
      <c r="O270" s="802"/>
      <c r="P270" s="802"/>
      <c r="Q270" s="802"/>
      <c r="R270" s="802"/>
      <c r="S270" s="802"/>
      <c r="T270" s="802"/>
      <c r="U270" s="802"/>
      <c r="V270" s="802"/>
      <c r="W270" s="802"/>
      <c r="X270" s="802"/>
      <c r="Y270" s="802"/>
      <c r="Z270" s="802"/>
      <c r="AA270" s="802"/>
      <c r="AB270" s="802"/>
      <c r="AC270" s="802"/>
    </row>
    <row r="283" spans="6:25" ht="23.1" customHeight="1">
      <c r="G283" s="190"/>
      <c r="H283" s="190"/>
      <c r="I283" s="190"/>
      <c r="J283" s="190"/>
      <c r="K283" s="190"/>
      <c r="L283" s="190"/>
    </row>
    <row r="284" spans="6:25" ht="23.1" customHeight="1">
      <c r="F284" s="191" t="str">
        <f ca="1">TEXT(Resumo!$E$409,"0,00")&amp;" kg de CO₂/mês"</f>
        <v>63,90 kg de CO₂/mês</v>
      </c>
      <c r="G284" s="190"/>
      <c r="H284" s="190"/>
      <c r="I284" s="190"/>
      <c r="J284" s="190"/>
      <c r="K284" s="190"/>
      <c r="L284" s="190"/>
      <c r="Q284" s="806" t="str">
        <f ca="1">TEXT(Resumo!$E$414,0)&amp;" árvores/ano"</f>
        <v>62 árvores/ano</v>
      </c>
      <c r="R284" s="806"/>
      <c r="S284" s="806"/>
      <c r="T284" s="806"/>
      <c r="U284" s="806"/>
      <c r="V284" s="806"/>
      <c r="W284" s="806"/>
      <c r="X284" s="806"/>
    </row>
    <row r="285" spans="6:25" ht="15.75">
      <c r="F285" s="196" t="str">
        <f ca="1">TEXT(Resumo!$E$410,"0,00")&amp;" kg de CO₂/ano"</f>
        <v>766,79 kg de CO₂/ano</v>
      </c>
      <c r="G285" s="190"/>
      <c r="H285" s="190"/>
      <c r="I285" s="190"/>
      <c r="J285" s="190"/>
      <c r="K285" s="190"/>
      <c r="L285" s="190"/>
      <c r="P285" s="807" t="str">
        <f ca="1">Resumo!$E$415&amp;" equivalem a absorção de 1 árvore em 20 anos"</f>
        <v>3 meses e 28 dias equivalem a absorção de 1 árvore em 20 anos</v>
      </c>
      <c r="Q285" s="807"/>
      <c r="R285" s="807"/>
      <c r="S285" s="807"/>
      <c r="T285" s="807"/>
      <c r="U285" s="807"/>
      <c r="V285" s="807"/>
      <c r="W285" s="807"/>
      <c r="X285" s="807"/>
      <c r="Y285" s="807"/>
    </row>
    <row r="286" spans="6:25" ht="15.75">
      <c r="F286" s="664" t="str">
        <f ca="1">TEXT(Resumo!$E$411,"0,00")&amp;" kg de CO₂/25anos"</f>
        <v>19169,78 kg de CO₂/25anos</v>
      </c>
      <c r="P286" s="807"/>
      <c r="Q286" s="807"/>
      <c r="R286" s="807"/>
      <c r="S286" s="807"/>
      <c r="T286" s="807"/>
      <c r="U286" s="807"/>
      <c r="V286" s="807"/>
      <c r="W286" s="807"/>
      <c r="X286" s="807"/>
      <c r="Y286" s="807"/>
    </row>
    <row r="300" spans="1:29" ht="20.25">
      <c r="A300" s="802" t="s">
        <v>2817</v>
      </c>
      <c r="B300" s="802"/>
      <c r="C300" s="802"/>
      <c r="D300" s="802"/>
      <c r="E300" s="802"/>
      <c r="F300" s="802"/>
      <c r="G300" s="802"/>
      <c r="H300" s="802"/>
      <c r="I300" s="802"/>
      <c r="J300" s="802"/>
      <c r="K300" s="802"/>
      <c r="L300" s="802"/>
      <c r="M300" s="802"/>
      <c r="N300" s="802"/>
      <c r="O300" s="802"/>
      <c r="P300" s="802"/>
      <c r="Q300" s="802"/>
      <c r="R300" s="802"/>
      <c r="S300" s="802"/>
      <c r="T300" s="802"/>
      <c r="U300" s="802"/>
      <c r="V300" s="802"/>
      <c r="W300" s="802"/>
      <c r="X300" s="802"/>
      <c r="Y300" s="802"/>
      <c r="Z300" s="802"/>
      <c r="AA300" s="802"/>
      <c r="AB300" s="802"/>
      <c r="AC300" s="802"/>
    </row>
    <row r="319" spans="29:29">
      <c r="AC319" s="660" t="s">
        <v>2818</v>
      </c>
    </row>
    <row r="320" spans="29:29">
      <c r="AC320" s="661" t="s">
        <v>2819</v>
      </c>
    </row>
    <row r="321" spans="1:29">
      <c r="AB321" s="430"/>
      <c r="AC321" s="662" t="s">
        <v>2453</v>
      </c>
    </row>
    <row r="322" spans="1:29">
      <c r="A322" s="665" t="s">
        <v>2820</v>
      </c>
      <c r="AC322" s="663" t="s">
        <v>322</v>
      </c>
    </row>
    <row r="323" spans="1:29" ht="20.25">
      <c r="A323" s="802" t="s">
        <v>2821</v>
      </c>
      <c r="B323" s="802"/>
      <c r="C323" s="802"/>
      <c r="D323" s="802"/>
      <c r="E323" s="802"/>
      <c r="F323" s="802"/>
      <c r="G323" s="802"/>
      <c r="H323" s="802"/>
      <c r="I323" s="802"/>
      <c r="J323" s="802"/>
      <c r="K323" s="802"/>
      <c r="L323" s="802"/>
      <c r="M323" s="802"/>
      <c r="N323" s="802"/>
      <c r="O323" s="802"/>
      <c r="P323" s="802"/>
      <c r="Q323" s="802"/>
      <c r="R323" s="802"/>
      <c r="S323" s="802"/>
      <c r="T323" s="802"/>
      <c r="U323" s="802"/>
      <c r="V323" s="802"/>
      <c r="W323" s="802"/>
      <c r="X323" s="802"/>
      <c r="Y323" s="802"/>
      <c r="Z323" s="802"/>
      <c r="AA323" s="802"/>
      <c r="AB323" s="802"/>
      <c r="AC323" s="802"/>
    </row>
    <row r="326" spans="1:29">
      <c r="D326" s="215"/>
      <c r="E326" s="216" t="s">
        <v>2822</v>
      </c>
      <c r="F326" s="217" t="s">
        <v>2823</v>
      </c>
      <c r="G326" s="218"/>
      <c r="H326" s="218"/>
      <c r="I326" s="218"/>
      <c r="J326" s="218"/>
      <c r="K326" s="218"/>
      <c r="L326" s="218"/>
      <c r="M326" s="218"/>
      <c r="N326" s="218"/>
      <c r="O326" s="218"/>
      <c r="P326" s="218"/>
      <c r="Q326" s="218"/>
      <c r="R326" s="218"/>
      <c r="S326" s="218"/>
      <c r="T326" s="218"/>
      <c r="U326" s="218"/>
      <c r="V326" s="218"/>
      <c r="W326" s="218"/>
      <c r="X326" s="218"/>
      <c r="Y326" s="216"/>
    </row>
    <row r="327" spans="1:29" ht="15.75">
      <c r="B327" s="59"/>
      <c r="D327" s="215"/>
      <c r="E327" s="216" t="s">
        <v>2822</v>
      </c>
      <c r="F327" s="217" t="s">
        <v>2824</v>
      </c>
      <c r="G327" s="218"/>
      <c r="H327" s="218"/>
      <c r="I327" s="218"/>
      <c r="J327" s="218"/>
      <c r="K327" s="218"/>
      <c r="L327" s="218"/>
      <c r="M327" s="218"/>
      <c r="N327" s="218"/>
      <c r="O327" s="218"/>
      <c r="P327" s="218"/>
      <c r="Q327" s="218"/>
      <c r="R327" s="218"/>
      <c r="S327" s="218"/>
      <c r="T327" s="218"/>
      <c r="U327" s="218"/>
      <c r="V327" s="218"/>
      <c r="W327" s="218"/>
      <c r="X327" s="218"/>
      <c r="Y327" s="216"/>
    </row>
    <row r="328" spans="1:29">
      <c r="D328" s="215"/>
      <c r="E328" s="216" t="s">
        <v>2822</v>
      </c>
      <c r="F328" s="217" t="s">
        <v>1987</v>
      </c>
      <c r="G328" s="218"/>
      <c r="H328" s="218"/>
      <c r="I328" s="218"/>
      <c r="J328" s="218"/>
      <c r="K328" s="218"/>
      <c r="L328" s="218"/>
      <c r="M328" s="218"/>
      <c r="N328" s="218"/>
      <c r="O328" s="218"/>
      <c r="P328" s="218"/>
      <c r="Q328" s="218"/>
      <c r="R328" s="218"/>
      <c r="S328" s="218"/>
      <c r="T328" s="218"/>
      <c r="U328" s="218"/>
      <c r="V328" s="218"/>
      <c r="W328" s="218"/>
      <c r="X328" s="218"/>
      <c r="Y328" s="216"/>
    </row>
    <row r="329" spans="1:29">
      <c r="D329" s="215"/>
      <c r="E329" s="216" t="s">
        <v>2822</v>
      </c>
      <c r="F329" s="217" t="s">
        <v>1990</v>
      </c>
      <c r="G329" s="218"/>
      <c r="H329" s="218"/>
      <c r="I329" s="218"/>
      <c r="J329" s="218"/>
      <c r="K329" s="218"/>
      <c r="L329" s="218"/>
      <c r="M329" s="218"/>
      <c r="N329" s="218"/>
      <c r="O329" s="218"/>
      <c r="P329" s="218"/>
      <c r="Q329" s="218"/>
      <c r="R329" s="218"/>
      <c r="S329" s="218"/>
      <c r="T329" s="218"/>
      <c r="U329" s="218"/>
      <c r="V329" s="218"/>
      <c r="W329" s="218"/>
      <c r="X329" s="218"/>
      <c r="Y329" s="216"/>
    </row>
    <row r="331" spans="1:29">
      <c r="D331" s="215"/>
      <c r="E331" s="216" t="s">
        <v>2825</v>
      </c>
      <c r="F331" s="215" t="s">
        <v>1998</v>
      </c>
      <c r="G331" s="218"/>
      <c r="H331" s="218"/>
      <c r="I331" s="218"/>
      <c r="J331" s="218"/>
      <c r="K331" s="218"/>
      <c r="L331" s="218"/>
      <c r="M331" s="218"/>
      <c r="N331" s="218"/>
      <c r="O331" s="218"/>
      <c r="P331" s="218"/>
      <c r="Q331" s="218"/>
      <c r="R331" s="218"/>
      <c r="S331" s="218"/>
      <c r="T331" s="218"/>
      <c r="U331" s="218"/>
      <c r="V331" s="218"/>
      <c r="W331" s="218"/>
      <c r="X331" s="218"/>
      <c r="Y331" s="216"/>
    </row>
    <row r="332" spans="1:29">
      <c r="D332" s="215"/>
      <c r="E332" s="216" t="s">
        <v>2822</v>
      </c>
      <c r="F332" s="215" t="s">
        <v>2826</v>
      </c>
      <c r="G332" s="218"/>
      <c r="H332" s="218"/>
      <c r="I332" s="218"/>
      <c r="J332" s="218"/>
      <c r="K332" s="218"/>
      <c r="L332" s="218"/>
      <c r="M332" s="218"/>
      <c r="N332" s="218"/>
      <c r="O332" s="218"/>
      <c r="P332" s="218"/>
      <c r="Q332" s="218"/>
      <c r="R332" s="218"/>
      <c r="S332" s="218"/>
      <c r="T332" s="218"/>
      <c r="U332" s="218"/>
      <c r="V332" s="218"/>
      <c r="W332" s="218"/>
      <c r="X332" s="218"/>
      <c r="Y332" s="216"/>
    </row>
    <row r="333" spans="1:29">
      <c r="D333" s="215"/>
      <c r="E333" s="216" t="s">
        <v>2822</v>
      </c>
      <c r="F333" s="215" t="s">
        <v>2008</v>
      </c>
      <c r="G333" s="218"/>
      <c r="H333" s="218"/>
      <c r="I333" s="218"/>
      <c r="J333" s="218"/>
      <c r="K333" s="218"/>
      <c r="L333" s="218"/>
      <c r="M333" s="218"/>
      <c r="N333" s="218"/>
      <c r="O333" s="218"/>
      <c r="P333" s="218"/>
      <c r="Q333" s="218"/>
      <c r="R333" s="218"/>
      <c r="S333" s="218"/>
      <c r="T333" s="218"/>
      <c r="U333" s="218"/>
      <c r="V333" s="218"/>
      <c r="W333" s="218"/>
      <c r="X333" s="218"/>
      <c r="Y333" s="216"/>
    </row>
    <row r="335" spans="1:29">
      <c r="K335" s="217" t="s">
        <v>43</v>
      </c>
      <c r="L335" s="218"/>
      <c r="M335" s="218"/>
      <c r="N335" s="218"/>
      <c r="O335" s="216"/>
      <c r="P335" s="370" t="s">
        <v>2827</v>
      </c>
      <c r="Q335" s="370"/>
      <c r="R335" s="370"/>
      <c r="S335" s="371"/>
    </row>
    <row r="336" spans="1:29">
      <c r="K336" s="217" t="s">
        <v>143</v>
      </c>
      <c r="L336" s="218"/>
      <c r="M336" s="218"/>
      <c r="N336" s="218"/>
      <c r="O336" s="216"/>
      <c r="P336" s="370" t="s">
        <v>2827</v>
      </c>
      <c r="Q336" s="370"/>
      <c r="R336" s="370"/>
      <c r="S336" s="371"/>
    </row>
    <row r="337" spans="4:25">
      <c r="K337" s="217" t="s">
        <v>2828</v>
      </c>
      <c r="L337" s="218"/>
      <c r="M337" s="218"/>
      <c r="N337" s="218"/>
      <c r="O337" s="216"/>
      <c r="P337" s="370" t="s">
        <v>2827</v>
      </c>
      <c r="Q337" s="370"/>
      <c r="R337" s="370"/>
      <c r="S337" s="371"/>
    </row>
    <row r="338" spans="4:25">
      <c r="K338" s="217" t="s">
        <v>2829</v>
      </c>
      <c r="L338" s="218"/>
      <c r="M338" s="218"/>
      <c r="N338" s="218"/>
      <c r="O338" s="216"/>
      <c r="P338" s="370" t="s">
        <v>2827</v>
      </c>
      <c r="Q338" s="370"/>
      <c r="R338" s="370"/>
      <c r="S338" s="371"/>
    </row>
    <row r="339" spans="4:25">
      <c r="K339" s="217" t="s">
        <v>1738</v>
      </c>
      <c r="L339" s="218"/>
      <c r="M339" s="218"/>
      <c r="N339" s="218"/>
      <c r="O339" s="216"/>
      <c r="P339" s="370" t="s">
        <v>2827</v>
      </c>
      <c r="Q339" s="370"/>
      <c r="R339" s="370"/>
      <c r="S339" s="371"/>
    </row>
    <row r="340" spans="4:25">
      <c r="K340" s="217" t="s">
        <v>2830</v>
      </c>
      <c r="L340" s="218"/>
      <c r="M340" s="218"/>
      <c r="N340" s="218"/>
      <c r="O340" s="216"/>
      <c r="P340" s="370" t="s">
        <v>2827</v>
      </c>
      <c r="Q340" s="370"/>
      <c r="R340" s="370"/>
      <c r="S340" s="371"/>
    </row>
    <row r="342" spans="4:25">
      <c r="E342" s="364" t="s">
        <v>2831</v>
      </c>
      <c r="F342" s="190"/>
      <c r="G342" s="190"/>
      <c r="H342" s="190"/>
      <c r="I342" s="190"/>
      <c r="J342" s="190"/>
      <c r="K342" s="190"/>
      <c r="L342" s="190"/>
      <c r="M342" s="190"/>
      <c r="N342" s="190"/>
      <c r="O342" s="190"/>
      <c r="P342" s="190"/>
      <c r="Q342" s="190"/>
      <c r="R342" s="190"/>
      <c r="S342" s="190"/>
      <c r="T342" s="190"/>
      <c r="U342" s="190"/>
      <c r="V342" s="190"/>
      <c r="W342" s="190"/>
      <c r="X342" s="190"/>
    </row>
    <row r="343" spans="4:25">
      <c r="D343" s="217" t="s">
        <v>5715</v>
      </c>
      <c r="E343" s="218"/>
      <c r="F343" s="218"/>
      <c r="G343" s="218"/>
      <c r="H343" s="218"/>
      <c r="I343" s="218"/>
      <c r="J343" s="218"/>
      <c r="K343" s="218"/>
      <c r="L343" s="218"/>
      <c r="M343" s="218"/>
      <c r="N343" s="218"/>
      <c r="O343" s="218"/>
      <c r="P343" s="218"/>
      <c r="Q343" s="218"/>
      <c r="R343" s="218"/>
      <c r="S343" s="218"/>
      <c r="T343" s="218"/>
      <c r="U343" s="218"/>
      <c r="V343" s="218"/>
      <c r="W343" s="218"/>
      <c r="X343" s="218"/>
      <c r="Y343" s="216"/>
    </row>
    <row r="344" spans="4:25">
      <c r="D344" s="217" t="s">
        <v>3962</v>
      </c>
      <c r="E344" s="218"/>
      <c r="F344" s="218"/>
      <c r="G344" s="218"/>
      <c r="H344" s="218"/>
      <c r="I344" s="218"/>
      <c r="J344" s="218"/>
      <c r="K344" s="218"/>
      <c r="L344" s="218"/>
      <c r="M344" s="218"/>
      <c r="N344" s="218"/>
      <c r="O344" s="218"/>
      <c r="P344" s="218"/>
      <c r="Q344" s="218"/>
      <c r="R344" s="218"/>
      <c r="S344" s="218"/>
      <c r="T344" s="218"/>
      <c r="U344" s="218"/>
      <c r="V344" s="218"/>
      <c r="W344" s="218"/>
      <c r="X344" s="218"/>
      <c r="Y344" s="216"/>
    </row>
    <row r="345" spans="4:25">
      <c r="D345" s="217" t="s">
        <v>3963</v>
      </c>
      <c r="E345" s="218"/>
      <c r="F345" s="218"/>
      <c r="G345" s="218"/>
      <c r="H345" s="218"/>
      <c r="I345" s="218"/>
      <c r="J345" s="218"/>
      <c r="K345" s="218"/>
      <c r="L345" s="218"/>
      <c r="M345" s="218"/>
      <c r="N345" s="218"/>
      <c r="O345" s="218"/>
      <c r="P345" s="218"/>
      <c r="Q345" s="218"/>
      <c r="R345" s="218"/>
      <c r="S345" s="218"/>
      <c r="T345" s="218"/>
      <c r="U345" s="218"/>
      <c r="V345" s="218"/>
      <c r="W345" s="218"/>
      <c r="X345" s="218"/>
      <c r="Y345" s="216"/>
    </row>
    <row r="357" spans="1:29" ht="20.25">
      <c r="A357" s="802" t="s">
        <v>2699</v>
      </c>
      <c r="B357" s="802"/>
      <c r="C357" s="802"/>
      <c r="D357" s="802"/>
      <c r="E357" s="802"/>
      <c r="F357" s="802"/>
      <c r="G357" s="802"/>
      <c r="H357" s="802"/>
      <c r="I357" s="802"/>
      <c r="J357" s="802"/>
      <c r="K357" s="802"/>
      <c r="L357" s="802"/>
      <c r="M357" s="802"/>
      <c r="N357" s="802"/>
      <c r="O357" s="802"/>
      <c r="P357" s="802"/>
      <c r="Q357" s="802"/>
      <c r="R357" s="802"/>
      <c r="S357" s="802"/>
      <c r="T357" s="802"/>
      <c r="U357" s="802"/>
      <c r="V357" s="802"/>
      <c r="W357" s="802"/>
      <c r="X357" s="802"/>
      <c r="Y357" s="802"/>
      <c r="Z357" s="802"/>
      <c r="AA357" s="802"/>
      <c r="AB357" s="802"/>
      <c r="AC357" s="802"/>
    </row>
    <row r="369" spans="1:29" ht="15.75">
      <c r="E369" s="817">
        <f>Resumo!$E$294</f>
        <v>15</v>
      </c>
      <c r="F369" s="817"/>
      <c r="G369" s="817"/>
      <c r="H369" s="817"/>
      <c r="I369" s="817"/>
      <c r="J369" s="817"/>
      <c r="K369" s="817"/>
      <c r="M369" s="815" t="s">
        <v>2832</v>
      </c>
      <c r="N369" s="815"/>
      <c r="O369" s="815"/>
      <c r="P369" s="815"/>
      <c r="Q369" s="815"/>
      <c r="R369" s="815"/>
      <c r="S369" s="815"/>
      <c r="T369" s="232"/>
      <c r="U369" s="232"/>
      <c r="X369" s="320" t="s">
        <v>2833</v>
      </c>
      <c r="AA369" s="320"/>
    </row>
    <row r="370" spans="1:29" ht="15.75">
      <c r="E370" s="817" t="str">
        <f>"Performance: "&amp;Resumo!$E$295&amp;" anos"</f>
        <v>Performance: 30 anos</v>
      </c>
      <c r="F370" s="817"/>
      <c r="G370" s="817"/>
      <c r="H370" s="817"/>
      <c r="I370" s="817"/>
      <c r="J370" s="817"/>
      <c r="K370" s="817"/>
      <c r="M370" s="815"/>
      <c r="N370" s="815"/>
      <c r="O370" s="815"/>
      <c r="P370" s="815"/>
      <c r="Q370" s="815"/>
      <c r="R370" s="815"/>
      <c r="S370" s="815"/>
      <c r="T370" s="232"/>
      <c r="U370" s="232"/>
    </row>
    <row r="377" spans="1:29" ht="20.25" hidden="1" outlineLevel="1">
      <c r="A377" s="814" t="s">
        <v>2834</v>
      </c>
      <c r="B377" s="814"/>
      <c r="C377" s="814"/>
      <c r="D377" s="814"/>
      <c r="E377" s="814"/>
      <c r="F377" s="814"/>
      <c r="G377" s="814"/>
      <c r="H377" s="814"/>
      <c r="I377" s="814"/>
      <c r="J377" s="814"/>
      <c r="K377" s="814"/>
      <c r="L377" s="814"/>
      <c r="M377" s="814"/>
      <c r="N377" s="814"/>
      <c r="O377" s="814"/>
      <c r="P377" s="814"/>
      <c r="Q377" s="814"/>
      <c r="R377" s="814"/>
      <c r="S377" s="814"/>
      <c r="T377" s="814"/>
      <c r="U377" s="814"/>
      <c r="V377" s="814"/>
      <c r="W377" s="814"/>
      <c r="X377" s="814"/>
      <c r="Y377" s="814"/>
      <c r="Z377" s="814"/>
      <c r="AA377" s="814"/>
      <c r="AB377" s="814"/>
      <c r="AC377" s="814"/>
    </row>
    <row r="378" spans="1:29" hidden="1" outlineLevel="1"/>
    <row r="379" spans="1:29" hidden="1" outlineLevel="1"/>
    <row r="380" spans="1:29" hidden="1" outlineLevel="1"/>
    <row r="381" spans="1:29" hidden="1" outlineLevel="1"/>
    <row r="382" spans="1:29" hidden="1" outlineLevel="1"/>
    <row r="383" spans="1:29" hidden="1" outlineLevel="1"/>
    <row r="384" spans="1:29"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spans="1:29" hidden="1" outlineLevel="1"/>
    <row r="418" spans="1:29" hidden="1" outlineLevel="1"/>
    <row r="419" spans="1:29" hidden="1" outlineLevel="1"/>
    <row r="420" spans="1:29" hidden="1" outlineLevel="1"/>
    <row r="421" spans="1:29" hidden="1" outlineLevel="1"/>
    <row r="422" spans="1:29" hidden="1" outlineLevel="1"/>
    <row r="423" spans="1:29" hidden="1" outlineLevel="1"/>
    <row r="424" spans="1:29" hidden="1" outlineLevel="1"/>
    <row r="425" spans="1:29" hidden="1" outlineLevel="1"/>
    <row r="426" spans="1:29" hidden="1" outlineLevel="1"/>
    <row r="427" spans="1:29" hidden="1" outlineLevel="1"/>
    <row r="428" spans="1:29" hidden="1" outlineLevel="1"/>
    <row r="429" spans="1:29" hidden="1" outlineLevel="1"/>
    <row r="430" spans="1:29" hidden="1" outlineLevel="1"/>
    <row r="431" spans="1:29" hidden="1" outlineLevel="1"/>
    <row r="432" spans="1:29" ht="20.25" collapsed="1">
      <c r="A432" s="802" t="s">
        <v>2835</v>
      </c>
      <c r="B432" s="802"/>
      <c r="C432" s="802"/>
      <c r="D432" s="802"/>
      <c r="E432" s="802"/>
      <c r="F432" s="802"/>
      <c r="G432" s="802"/>
      <c r="H432" s="802"/>
      <c r="I432" s="802"/>
      <c r="J432" s="802"/>
      <c r="K432" s="802"/>
      <c r="L432" s="802"/>
      <c r="M432" s="802"/>
      <c r="N432" s="802"/>
      <c r="O432" s="802"/>
      <c r="P432" s="802"/>
      <c r="Q432" s="802"/>
      <c r="R432" s="802"/>
      <c r="S432" s="802"/>
      <c r="T432" s="802"/>
      <c r="U432" s="802"/>
      <c r="V432" s="802"/>
      <c r="W432" s="802"/>
      <c r="X432" s="802"/>
      <c r="Y432" s="802"/>
      <c r="Z432" s="802"/>
      <c r="AA432" s="802"/>
      <c r="AB432" s="802"/>
      <c r="AC432" s="802"/>
    </row>
    <row r="433" spans="1:29" s="749" customFormat="1" ht="9" customHeight="1">
      <c r="A433"/>
      <c r="B433"/>
      <c r="C433"/>
      <c r="D433"/>
      <c r="E433"/>
      <c r="F433"/>
      <c r="G433"/>
      <c r="H433"/>
      <c r="I433"/>
      <c r="J433"/>
      <c r="K433"/>
      <c r="L433"/>
      <c r="M433"/>
      <c r="N433"/>
      <c r="O433"/>
      <c r="P433"/>
      <c r="Q433"/>
      <c r="R433"/>
      <c r="S433"/>
      <c r="T433"/>
      <c r="U433"/>
      <c r="V433"/>
      <c r="W433"/>
      <c r="X433"/>
      <c r="Y433"/>
      <c r="Z433"/>
      <c r="AA433"/>
      <c r="AB433"/>
      <c r="AC433"/>
    </row>
    <row r="434" spans="1:29" s="749" customFormat="1">
      <c r="A434"/>
      <c r="B434"/>
      <c r="C434"/>
      <c r="D434"/>
      <c r="E434"/>
      <c r="F434"/>
      <c r="G434"/>
      <c r="H434"/>
      <c r="I434"/>
      <c r="J434"/>
      <c r="K434"/>
      <c r="L434"/>
      <c r="M434"/>
      <c r="N434"/>
      <c r="O434"/>
      <c r="P434"/>
      <c r="Q434"/>
      <c r="R434"/>
      <c r="S434"/>
      <c r="T434"/>
      <c r="U434"/>
      <c r="V434"/>
      <c r="W434"/>
      <c r="X434"/>
      <c r="Y434"/>
      <c r="Z434"/>
      <c r="AA434"/>
      <c r="AB434"/>
      <c r="AC434"/>
    </row>
    <row r="435" spans="1:29" s="749" customFormat="1" ht="14.45" customHeight="1">
      <c r="A435"/>
      <c r="B435"/>
      <c r="C435"/>
      <c r="D435"/>
      <c r="E435"/>
      <c r="F435"/>
      <c r="G435"/>
      <c r="H435"/>
      <c r="I435"/>
      <c r="J435"/>
      <c r="K435"/>
      <c r="L435"/>
      <c r="M435"/>
      <c r="N435"/>
      <c r="O435"/>
      <c r="P435"/>
      <c r="Q435"/>
      <c r="R435"/>
      <c r="S435"/>
      <c r="T435"/>
      <c r="U435"/>
      <c r="V435"/>
      <c r="W435"/>
      <c r="X435"/>
      <c r="Y435"/>
      <c r="Z435"/>
      <c r="AA435"/>
      <c r="AB435"/>
      <c r="AC435"/>
    </row>
    <row r="436" spans="1:29" s="749" customFormat="1" ht="14.45" customHeight="1">
      <c r="A436"/>
      <c r="B436"/>
      <c r="C436"/>
      <c r="D436"/>
      <c r="E436"/>
      <c r="F436"/>
      <c r="G436"/>
      <c r="H436"/>
      <c r="I436"/>
      <c r="J436"/>
      <c r="K436"/>
      <c r="L436"/>
      <c r="M436"/>
      <c r="N436"/>
      <c r="O436"/>
      <c r="P436"/>
      <c r="Q436"/>
      <c r="R436"/>
      <c r="S436"/>
      <c r="T436"/>
      <c r="U436"/>
      <c r="V436"/>
      <c r="W436"/>
      <c r="X436"/>
      <c r="Y436"/>
      <c r="Z436"/>
      <c r="AA436"/>
      <c r="AB436"/>
      <c r="AC436"/>
    </row>
    <row r="437" spans="1:29" s="749" customFormat="1" ht="14.45" customHeight="1">
      <c r="A437"/>
      <c r="B437"/>
      <c r="C437"/>
      <c r="D437"/>
      <c r="E437"/>
      <c r="F437"/>
      <c r="G437"/>
      <c r="H437"/>
      <c r="I437"/>
      <c r="J437"/>
      <c r="K437"/>
      <c r="L437"/>
      <c r="M437"/>
      <c r="N437"/>
      <c r="O437"/>
      <c r="P437"/>
      <c r="Q437"/>
      <c r="R437"/>
      <c r="S437"/>
      <c r="T437"/>
      <c r="U437"/>
      <c r="V437"/>
      <c r="W437"/>
      <c r="X437"/>
      <c r="Y437"/>
      <c r="Z437"/>
      <c r="AA437"/>
      <c r="AB437"/>
      <c r="AC437"/>
    </row>
    <row r="438" spans="1:29" s="749" customFormat="1" ht="14.45" customHeight="1">
      <c r="A438"/>
      <c r="B438"/>
      <c r="C438"/>
      <c r="D438"/>
      <c r="E438"/>
      <c r="F438"/>
      <c r="G438"/>
      <c r="H438"/>
      <c r="I438"/>
      <c r="J438"/>
      <c r="K438"/>
      <c r="L438"/>
      <c r="M438"/>
      <c r="N438"/>
      <c r="O438"/>
      <c r="P438"/>
      <c r="Q438"/>
      <c r="R438"/>
      <c r="S438"/>
      <c r="T438"/>
      <c r="U438"/>
      <c r="V438"/>
      <c r="W438"/>
      <c r="X438"/>
      <c r="Y438"/>
      <c r="Z438"/>
      <c r="AA438"/>
      <c r="AB438"/>
      <c r="AC438"/>
    </row>
    <row r="439" spans="1:29" s="749" customFormat="1" ht="14.45" customHeight="1">
      <c r="A439"/>
      <c r="B439"/>
      <c r="C439"/>
      <c r="D439"/>
      <c r="E439"/>
      <c r="F439"/>
      <c r="G439"/>
      <c r="H439"/>
      <c r="I439"/>
      <c r="J439"/>
      <c r="K439"/>
      <c r="L439"/>
      <c r="M439"/>
      <c r="N439"/>
      <c r="O439"/>
      <c r="P439"/>
      <c r="Q439"/>
      <c r="R439"/>
      <c r="S439"/>
      <c r="T439"/>
      <c r="U439"/>
      <c r="V439"/>
      <c r="W439"/>
      <c r="X439"/>
      <c r="Y439"/>
      <c r="Z439"/>
      <c r="AA439"/>
      <c r="AB439"/>
      <c r="AC439"/>
    </row>
    <row r="440" spans="1:29" s="749" customFormat="1" ht="14.45" customHeight="1">
      <c r="A440"/>
      <c r="B440"/>
      <c r="C440"/>
      <c r="D440"/>
      <c r="E440"/>
      <c r="F440"/>
      <c r="G440"/>
      <c r="H440"/>
      <c r="I440"/>
      <c r="J440"/>
      <c r="K440"/>
      <c r="L440"/>
      <c r="M440"/>
      <c r="N440"/>
      <c r="O440"/>
      <c r="P440"/>
      <c r="Q440"/>
      <c r="R440"/>
      <c r="S440"/>
      <c r="T440"/>
      <c r="U440"/>
      <c r="V440"/>
      <c r="W440"/>
      <c r="X440"/>
      <c r="Y440"/>
      <c r="Z440"/>
      <c r="AA440"/>
      <c r="AB440"/>
      <c r="AC440"/>
    </row>
    <row r="441" spans="1:29" s="749" customFormat="1" ht="14.45" customHeight="1">
      <c r="A441"/>
      <c r="B441"/>
      <c r="C441"/>
      <c r="D441"/>
      <c r="E441"/>
      <c r="F441"/>
      <c r="G441"/>
      <c r="H441"/>
      <c r="I441"/>
      <c r="J441"/>
      <c r="K441"/>
      <c r="L441"/>
      <c r="M441"/>
      <c r="N441"/>
      <c r="O441"/>
      <c r="P441"/>
      <c r="Q441"/>
      <c r="R441"/>
      <c r="S441"/>
      <c r="T441"/>
      <c r="U441"/>
      <c r="V441"/>
      <c r="W441"/>
      <c r="X441"/>
      <c r="Y441"/>
      <c r="Z441"/>
      <c r="AA441"/>
      <c r="AB441"/>
      <c r="AC441"/>
    </row>
    <row r="442" spans="1:29" s="749" customFormat="1" ht="14.45" customHeight="1">
      <c r="A442"/>
      <c r="B442"/>
      <c r="C442"/>
      <c r="D442"/>
      <c r="E442"/>
      <c r="F442"/>
      <c r="G442"/>
      <c r="H442"/>
      <c r="I442"/>
      <c r="J442"/>
      <c r="K442"/>
      <c r="L442"/>
      <c r="M442"/>
      <c r="N442"/>
      <c r="O442"/>
      <c r="P442"/>
      <c r="Q442"/>
      <c r="R442"/>
      <c r="S442"/>
      <c r="T442"/>
      <c r="U442"/>
      <c r="V442"/>
      <c r="W442"/>
      <c r="X442"/>
      <c r="Y442"/>
      <c r="Z442"/>
      <c r="AA442"/>
      <c r="AB442"/>
      <c r="AC442"/>
    </row>
    <row r="443" spans="1:29" s="749" customFormat="1" ht="14.45" customHeight="1">
      <c r="A443"/>
      <c r="B443"/>
      <c r="C443"/>
      <c r="D443"/>
      <c r="E443"/>
      <c r="F443"/>
      <c r="G443"/>
      <c r="H443"/>
      <c r="I443"/>
      <c r="J443"/>
      <c r="K443"/>
      <c r="L443"/>
      <c r="M443"/>
      <c r="N443"/>
      <c r="O443"/>
      <c r="P443"/>
      <c r="Q443"/>
      <c r="R443"/>
      <c r="S443"/>
      <c r="T443"/>
      <c r="U443"/>
      <c r="V443"/>
      <c r="W443"/>
      <c r="X443"/>
      <c r="Y443"/>
      <c r="Z443"/>
      <c r="AA443"/>
      <c r="AB443"/>
      <c r="AC443"/>
    </row>
    <row r="444" spans="1:29" s="749" customFormat="1" ht="14.45" customHeight="1">
      <c r="A444"/>
      <c r="B444"/>
      <c r="C444"/>
      <c r="D444"/>
      <c r="E444"/>
      <c r="F444"/>
      <c r="G444"/>
      <c r="H444"/>
      <c r="I444"/>
      <c r="J444"/>
      <c r="K444"/>
      <c r="L444"/>
      <c r="M444"/>
      <c r="N444"/>
      <c r="O444"/>
      <c r="P444"/>
      <c r="Q444"/>
      <c r="R444"/>
      <c r="S444"/>
      <c r="T444"/>
      <c r="U444"/>
      <c r="V444"/>
      <c r="W444"/>
      <c r="X444"/>
      <c r="Y444"/>
      <c r="Z444"/>
      <c r="AA444"/>
      <c r="AB444"/>
      <c r="AC444"/>
    </row>
    <row r="445" spans="1:29" s="749" customFormat="1" ht="14.45" customHeight="1">
      <c r="A445"/>
      <c r="B445"/>
      <c r="C445"/>
      <c r="D445"/>
      <c r="E445"/>
      <c r="F445"/>
      <c r="G445"/>
      <c r="H445"/>
      <c r="I445"/>
      <c r="J445"/>
      <c r="K445"/>
      <c r="L445"/>
      <c r="M445"/>
      <c r="N445"/>
      <c r="O445"/>
      <c r="P445"/>
      <c r="Q445"/>
      <c r="R445" s="194"/>
      <c r="S445"/>
      <c r="T445" s="809"/>
      <c r="U445" s="809"/>
      <c r="V445" s="809"/>
      <c r="W445" s="809"/>
      <c r="X445" s="809"/>
      <c r="Y445" s="809"/>
      <c r="Z445"/>
      <c r="AA445"/>
      <c r="AB445"/>
      <c r="AC445"/>
    </row>
    <row r="446" spans="1:29" s="749" customFormat="1" ht="14.45" customHeight="1">
      <c r="A446"/>
      <c r="B446"/>
      <c r="C446"/>
      <c r="D446"/>
      <c r="E446"/>
      <c r="F446"/>
      <c r="G446"/>
      <c r="H446"/>
      <c r="I446"/>
      <c r="J446"/>
      <c r="K446"/>
      <c r="L446"/>
      <c r="M446"/>
      <c r="N446"/>
      <c r="O446"/>
      <c r="P446"/>
      <c r="Q446"/>
      <c r="R446"/>
      <c r="S446"/>
      <c r="T446"/>
      <c r="U446"/>
      <c r="V446"/>
      <c r="W446"/>
      <c r="X446"/>
      <c r="Y446"/>
      <c r="Z446"/>
      <c r="AA446"/>
      <c r="AB446"/>
      <c r="AC446"/>
    </row>
    <row r="447" spans="1:29" s="749" customFormat="1" ht="14.45" customHeight="1">
      <c r="A447"/>
      <c r="B447"/>
      <c r="C447"/>
      <c r="D447"/>
      <c r="E447"/>
      <c r="F447"/>
      <c r="G447"/>
      <c r="H447"/>
      <c r="I447"/>
      <c r="J447"/>
      <c r="K447"/>
      <c r="L447"/>
      <c r="M447"/>
      <c r="N447"/>
      <c r="O447"/>
      <c r="P447"/>
      <c r="Q447"/>
      <c r="R447"/>
      <c r="S447"/>
      <c r="T447"/>
      <c r="U447"/>
      <c r="V447"/>
      <c r="W447"/>
      <c r="X447"/>
      <c r="Y447"/>
      <c r="Z447"/>
      <c r="AA447"/>
      <c r="AB447"/>
      <c r="AC447"/>
    </row>
    <row r="448" spans="1:29" s="749" customFormat="1" ht="14.45" customHeight="1">
      <c r="A448"/>
      <c r="B448"/>
      <c r="C448"/>
      <c r="D448"/>
      <c r="E448"/>
      <c r="F448"/>
      <c r="G448"/>
      <c r="H448"/>
      <c r="I448"/>
      <c r="J448"/>
      <c r="K448"/>
      <c r="L448"/>
      <c r="M448"/>
      <c r="N448"/>
      <c r="O448"/>
      <c r="P448"/>
      <c r="Q448"/>
      <c r="R448" s="193"/>
      <c r="S448"/>
      <c r="T448" s="810"/>
      <c r="U448" s="810"/>
      <c r="V448" s="810"/>
      <c r="W448" s="810"/>
      <c r="X448" s="810"/>
      <c r="Y448" s="810"/>
      <c r="Z448" s="810"/>
      <c r="AA448"/>
      <c r="AB448"/>
      <c r="AC448"/>
    </row>
    <row r="449" spans="1:43" s="749" customFormat="1" ht="14.45" customHeight="1">
      <c r="A449"/>
      <c r="B449"/>
      <c r="C449"/>
      <c r="D449"/>
      <c r="E449"/>
      <c r="F449"/>
      <c r="G449"/>
      <c r="H449"/>
      <c r="I449"/>
      <c r="J449"/>
      <c r="K449"/>
      <c r="L449"/>
      <c r="M449"/>
      <c r="N449"/>
      <c r="O449"/>
      <c r="P449"/>
      <c r="Q449"/>
      <c r="R449"/>
      <c r="S449"/>
      <c r="T449"/>
      <c r="U449"/>
      <c r="V449"/>
      <c r="W449"/>
      <c r="X449"/>
      <c r="Y449"/>
      <c r="Z449"/>
      <c r="AA449"/>
      <c r="AB449"/>
      <c r="AC449"/>
    </row>
    <row r="450" spans="1:43" s="749" customFormat="1" ht="14.45" customHeight="1">
      <c r="A450"/>
      <c r="B450"/>
      <c r="C450"/>
      <c r="D450"/>
      <c r="E450"/>
      <c r="F450"/>
      <c r="G450"/>
      <c r="H450"/>
      <c r="I450"/>
      <c r="J450"/>
      <c r="K450"/>
      <c r="L450"/>
      <c r="M450"/>
      <c r="N450"/>
      <c r="O450"/>
      <c r="P450"/>
      <c r="Q450"/>
      <c r="R450"/>
      <c r="S450"/>
      <c r="T450"/>
      <c r="U450"/>
      <c r="V450"/>
      <c r="W450"/>
      <c r="X450"/>
      <c r="Y450"/>
      <c r="Z450"/>
      <c r="AA450"/>
      <c r="AB450"/>
      <c r="AC450"/>
    </row>
    <row r="451" spans="1:43" s="749" customFormat="1" ht="14.45" customHeight="1">
      <c r="A451"/>
      <c r="B451"/>
      <c r="C451"/>
      <c r="D451"/>
      <c r="E451"/>
      <c r="F451"/>
      <c r="G451"/>
      <c r="H451"/>
      <c r="I451"/>
      <c r="J451"/>
      <c r="K451"/>
      <c r="L451"/>
      <c r="M451"/>
      <c r="N451"/>
      <c r="O451"/>
      <c r="P451"/>
      <c r="Q451"/>
      <c r="R451"/>
      <c r="S451"/>
      <c r="T451"/>
      <c r="U451"/>
      <c r="V451"/>
      <c r="W451"/>
      <c r="X451"/>
      <c r="Y451"/>
      <c r="Z451"/>
      <c r="AA451"/>
      <c r="AB451"/>
      <c r="AC451"/>
    </row>
    <row r="452" spans="1:43" s="749" customFormat="1">
      <c r="A452"/>
      <c r="B452"/>
      <c r="C452"/>
      <c r="D452"/>
      <c r="E452"/>
      <c r="F452"/>
      <c r="G452"/>
      <c r="H452"/>
      <c r="I452"/>
      <c r="J452"/>
      <c r="K452"/>
      <c r="L452"/>
      <c r="M452"/>
      <c r="N452"/>
      <c r="O452"/>
      <c r="P452"/>
      <c r="Q452"/>
      <c r="R452"/>
      <c r="S452"/>
      <c r="T452"/>
      <c r="U452"/>
      <c r="V452"/>
      <c r="W452"/>
      <c r="X452"/>
      <c r="Y452"/>
      <c r="Z452"/>
      <c r="AA452"/>
      <c r="AB452"/>
      <c r="AC452"/>
    </row>
    <row r="453" spans="1:43" s="749" customFormat="1">
      <c r="A453"/>
      <c r="B453"/>
      <c r="C453"/>
      <c r="D453"/>
      <c r="E453"/>
      <c r="F453"/>
      <c r="G453"/>
      <c r="H453"/>
      <c r="I453"/>
      <c r="J453"/>
      <c r="K453"/>
      <c r="L453"/>
      <c r="M453"/>
      <c r="N453"/>
      <c r="O453"/>
      <c r="P453"/>
      <c r="Q453"/>
      <c r="R453"/>
      <c r="S453"/>
      <c r="T453"/>
      <c r="U453"/>
      <c r="V453"/>
      <c r="W453"/>
      <c r="X453"/>
      <c r="Y453"/>
      <c r="Z453"/>
      <c r="AA453"/>
      <c r="AB453"/>
      <c r="AC453"/>
    </row>
    <row r="454" spans="1:43" s="749" customFormat="1" ht="15.75">
      <c r="A454"/>
      <c r="B454"/>
      <c r="C454"/>
      <c r="D454"/>
      <c r="E454"/>
      <c r="F454"/>
      <c r="G454"/>
      <c r="H454"/>
      <c r="I454"/>
      <c r="J454"/>
      <c r="K454"/>
      <c r="L454"/>
      <c r="M454"/>
      <c r="N454"/>
      <c r="O454"/>
      <c r="P454"/>
      <c r="Q454"/>
      <c r="R454"/>
      <c r="S454"/>
      <c r="T454"/>
      <c r="U454"/>
      <c r="V454"/>
      <c r="W454"/>
      <c r="X454"/>
      <c r="Y454"/>
      <c r="Z454"/>
      <c r="AA454"/>
      <c r="AB454"/>
      <c r="AC454"/>
      <c r="AQ454" s="750"/>
    </row>
    <row r="455" spans="1:43" s="749" customFormat="1">
      <c r="A455"/>
      <c r="B455"/>
      <c r="C455"/>
      <c r="D455"/>
      <c r="E455"/>
      <c r="F455"/>
      <c r="G455"/>
      <c r="H455"/>
      <c r="I455"/>
      <c r="J455"/>
      <c r="K455"/>
      <c r="L455"/>
      <c r="M455"/>
      <c r="N455"/>
      <c r="O455"/>
      <c r="P455"/>
      <c r="Q455"/>
      <c r="R455"/>
      <c r="S455"/>
      <c r="T455"/>
      <c r="U455"/>
      <c r="V455"/>
      <c r="W455"/>
      <c r="X455"/>
      <c r="Y455"/>
      <c r="Z455"/>
      <c r="AA455"/>
      <c r="AB455"/>
      <c r="AC455"/>
    </row>
    <row r="456" spans="1:43" s="749" customFormat="1">
      <c r="A456"/>
      <c r="B456"/>
      <c r="C456"/>
      <c r="D456"/>
      <c r="E456"/>
      <c r="F456"/>
      <c r="G456"/>
      <c r="H456"/>
      <c r="I456"/>
      <c r="J456"/>
      <c r="K456"/>
      <c r="L456"/>
      <c r="M456"/>
      <c r="N456"/>
      <c r="O456"/>
      <c r="P456"/>
      <c r="Q456"/>
      <c r="R456"/>
      <c r="S456"/>
      <c r="T456"/>
      <c r="U456"/>
      <c r="V456"/>
      <c r="W456"/>
      <c r="X456"/>
      <c r="Y456"/>
      <c r="Z456"/>
      <c r="AA456"/>
      <c r="AB456"/>
      <c r="AC456"/>
    </row>
    <row r="457" spans="1:43" s="749" customFormat="1" ht="28.5" customHeight="1">
      <c r="A457"/>
      <c r="B457" s="752" t="s">
        <v>2836</v>
      </c>
      <c r="C457"/>
      <c r="D457"/>
      <c r="E457"/>
      <c r="F457"/>
      <c r="G457"/>
      <c r="H457" s="246" t="s">
        <v>2837</v>
      </c>
      <c r="I457"/>
      <c r="J457" s="161"/>
      <c r="K457"/>
      <c r="L457"/>
      <c r="M457"/>
      <c r="N457"/>
      <c r="O457"/>
      <c r="P457"/>
      <c r="Q457"/>
      <c r="R457"/>
      <c r="S457"/>
      <c r="T457"/>
      <c r="U457"/>
      <c r="V457"/>
      <c r="W457"/>
      <c r="X457"/>
      <c r="Y457"/>
      <c r="Z457"/>
      <c r="AA457"/>
      <c r="AB457"/>
      <c r="AC457"/>
    </row>
    <row r="458" spans="1:43" s="749" customFormat="1">
      <c r="A458"/>
      <c r="B458" s="754" t="str">
        <f ca="1">"O valor mensal médio da fatura é de "&amp;TEXT(Resumo!$E$379,"R$#.###,00")</f>
        <v>O valor mensal médio da fatura é de R$1.099,44</v>
      </c>
      <c r="C458"/>
      <c r="D458"/>
      <c r="E458"/>
      <c r="F458"/>
      <c r="G458"/>
      <c r="H458"/>
      <c r="I458"/>
      <c r="J458"/>
      <c r="K458"/>
      <c r="L458"/>
      <c r="M458"/>
      <c r="N458"/>
      <c r="O458"/>
      <c r="P458" s="753" t="str">
        <f ca="1">"Em 10 anos sem Energia Solar gastará "&amp;TEXT(Resumo!$F$379,"R$#.#.000,00")</f>
        <v>Em 10 anos sem Energia Solar gastará R$191.152,43</v>
      </c>
      <c r="Q458"/>
      <c r="R458"/>
      <c r="S458"/>
      <c r="T458"/>
      <c r="U458"/>
      <c r="V458"/>
      <c r="W458"/>
      <c r="X458"/>
      <c r="Y458"/>
      <c r="Z458"/>
      <c r="AA458"/>
      <c r="AB458"/>
      <c r="AC458"/>
    </row>
    <row r="459" spans="1:43" s="749" customFormat="1">
      <c r="A459"/>
      <c r="B459"/>
      <c r="C459"/>
      <c r="D459"/>
      <c r="E459"/>
      <c r="F459"/>
      <c r="G459"/>
      <c r="H459"/>
      <c r="I459"/>
      <c r="J459"/>
      <c r="K459"/>
      <c r="L459"/>
      <c r="M459"/>
      <c r="N459"/>
      <c r="O459"/>
      <c r="P459"/>
      <c r="Q459"/>
      <c r="R459"/>
      <c r="S459"/>
      <c r="T459"/>
      <c r="U459"/>
      <c r="V459"/>
      <c r="W459"/>
      <c r="X459"/>
      <c r="Y459"/>
      <c r="Z459"/>
      <c r="AA459"/>
      <c r="AB459"/>
      <c r="AC459"/>
    </row>
    <row r="460" spans="1:43" s="749" customFormat="1">
      <c r="A460"/>
      <c r="B460"/>
      <c r="C460"/>
      <c r="D460"/>
      <c r="E460"/>
      <c r="F460"/>
      <c r="G460"/>
      <c r="H460"/>
      <c r="I460"/>
      <c r="J460"/>
      <c r="K460"/>
      <c r="L460"/>
      <c r="M460"/>
      <c r="N460"/>
      <c r="O460"/>
      <c r="P460"/>
      <c r="Q460"/>
      <c r="R460"/>
      <c r="S460"/>
      <c r="T460"/>
      <c r="U460"/>
      <c r="V460"/>
      <c r="W460"/>
      <c r="X460"/>
      <c r="Y460"/>
      <c r="Z460"/>
      <c r="AA460"/>
      <c r="AB460"/>
      <c r="AC460"/>
    </row>
    <row r="461" spans="1:43" ht="20.25">
      <c r="A461" s="802" t="s">
        <v>2838</v>
      </c>
      <c r="B461" s="802"/>
      <c r="C461" s="802"/>
      <c r="D461" s="802"/>
      <c r="E461" s="802"/>
      <c r="F461" s="802"/>
      <c r="G461" s="802"/>
      <c r="H461" s="802"/>
      <c r="I461" s="802"/>
      <c r="J461" s="802"/>
      <c r="K461" s="802"/>
      <c r="L461" s="802"/>
      <c r="M461" s="802"/>
      <c r="N461" s="802"/>
      <c r="O461" s="802"/>
      <c r="P461" s="802"/>
      <c r="Q461" s="802"/>
      <c r="R461" s="802"/>
      <c r="S461" s="802"/>
      <c r="T461" s="802"/>
      <c r="U461" s="802"/>
      <c r="V461" s="802"/>
      <c r="W461" s="802"/>
      <c r="X461" s="802"/>
      <c r="Y461" s="802"/>
      <c r="Z461" s="802"/>
      <c r="AA461" s="802"/>
      <c r="AB461" s="802"/>
      <c r="AC461" s="802"/>
    </row>
    <row r="511" ht="18" customHeight="1"/>
    <row r="531" spans="6:25" ht="14.45" customHeight="1">
      <c r="F531" s="811" t="s">
        <v>2839</v>
      </c>
      <c r="G531" s="811"/>
      <c r="H531" s="811"/>
      <c r="I531" s="811"/>
      <c r="J531" s="811"/>
      <c r="K531" s="811"/>
      <c r="L531" s="811" t="s">
        <v>2840</v>
      </c>
      <c r="M531" s="811"/>
      <c r="N531" s="811"/>
      <c r="O531" s="811"/>
      <c r="P531" s="811"/>
      <c r="Q531" s="811"/>
      <c r="R531" s="811" t="s">
        <v>2841</v>
      </c>
      <c r="S531" s="811"/>
      <c r="T531" s="811"/>
      <c r="U531" s="811"/>
      <c r="V531" s="811" t="s">
        <v>2262</v>
      </c>
      <c r="W531" s="811"/>
      <c r="X531" s="811"/>
      <c r="Y531" s="811"/>
    </row>
    <row r="532" spans="6:25">
      <c r="F532" s="811"/>
      <c r="G532" s="811"/>
      <c r="H532" s="811"/>
      <c r="I532" s="811"/>
      <c r="J532" s="811"/>
      <c r="K532" s="811"/>
      <c r="L532" s="811"/>
      <c r="M532" s="811"/>
      <c r="N532" s="811"/>
      <c r="O532" s="811"/>
      <c r="P532" s="811"/>
      <c r="Q532" s="811"/>
      <c r="R532" s="811"/>
      <c r="S532" s="811"/>
      <c r="T532" s="811"/>
      <c r="U532" s="811"/>
      <c r="V532" s="811"/>
      <c r="W532" s="811"/>
      <c r="X532" s="811"/>
      <c r="Y532" s="811"/>
    </row>
    <row r="533" spans="6:25">
      <c r="F533" s="812">
        <f ca="1">Resumo!$E$379</f>
        <v>1099.4440330811947</v>
      </c>
      <c r="G533" s="813"/>
      <c r="H533" s="813"/>
      <c r="I533" s="813"/>
      <c r="J533" s="813"/>
      <c r="K533" s="813"/>
      <c r="L533" s="812">
        <f ca="1">Resumo!$E$380</f>
        <v>190.3498353829211</v>
      </c>
      <c r="M533" s="813"/>
      <c r="N533" s="813"/>
      <c r="O533" s="813"/>
      <c r="P533" s="813"/>
      <c r="Q533" s="813"/>
      <c r="R533" s="812">
        <f ca="1">Resumo!$E$381</f>
        <v>909.09419769827355</v>
      </c>
      <c r="S533" s="813"/>
      <c r="T533" s="813"/>
      <c r="U533" s="813"/>
      <c r="V533" s="816">
        <f ca="1">Resumo!$E$382</f>
        <v>0.82686718954718852</v>
      </c>
      <c r="W533" s="816"/>
      <c r="X533" s="816"/>
      <c r="Y533" s="816"/>
    </row>
    <row r="534" spans="6:25" ht="14.45" customHeight="1">
      <c r="F534" s="808" t="s">
        <v>2842</v>
      </c>
      <c r="G534" s="808"/>
      <c r="H534" s="808"/>
      <c r="I534" s="808"/>
      <c r="J534" s="808"/>
      <c r="K534" s="808"/>
      <c r="L534" s="808"/>
      <c r="M534" s="808"/>
      <c r="N534" s="808"/>
      <c r="O534" s="808"/>
      <c r="P534" s="808"/>
      <c r="Q534" s="808"/>
      <c r="R534" s="808"/>
      <c r="S534" s="808"/>
      <c r="T534" s="808"/>
      <c r="U534" s="808"/>
      <c r="V534" s="808"/>
      <c r="W534" s="808"/>
      <c r="X534" s="808"/>
      <c r="Y534" s="808"/>
    </row>
    <row r="535" spans="6:25">
      <c r="F535" s="808"/>
      <c r="G535" s="808"/>
      <c r="H535" s="808"/>
      <c r="I535" s="808"/>
      <c r="J535" s="808"/>
      <c r="K535" s="808"/>
      <c r="L535" s="808"/>
      <c r="M535" s="808"/>
      <c r="N535" s="808"/>
      <c r="O535" s="808"/>
      <c r="P535" s="808"/>
      <c r="Q535" s="808"/>
      <c r="R535" s="808"/>
      <c r="S535" s="808"/>
      <c r="T535" s="808"/>
      <c r="U535" s="808"/>
      <c r="V535" s="808"/>
      <c r="W535" s="808"/>
      <c r="X535" s="808"/>
      <c r="Y535" s="808"/>
    </row>
    <row r="536" spans="6:25">
      <c r="F536" s="247"/>
      <c r="G536" s="247"/>
      <c r="H536" s="247"/>
      <c r="I536" s="247"/>
      <c r="J536" s="247"/>
      <c r="K536" s="247"/>
      <c r="L536" s="247"/>
      <c r="M536" s="247"/>
      <c r="N536" s="247"/>
      <c r="O536" s="247"/>
      <c r="P536" s="247"/>
      <c r="Q536" s="247"/>
      <c r="R536" s="247"/>
      <c r="S536" s="247"/>
      <c r="T536" s="247"/>
      <c r="U536" s="247"/>
      <c r="V536" s="247"/>
      <c r="W536" s="247"/>
      <c r="X536" s="247"/>
      <c r="Y536" s="249" t="s">
        <v>2843</v>
      </c>
    </row>
    <row r="540" spans="6:25" ht="18.75">
      <c r="P540" s="226" t="s">
        <v>2809</v>
      </c>
    </row>
  </sheetData>
  <sheetProtection formatRows="0" selectLockedCells="1"/>
  <mergeCells count="30">
    <mergeCell ref="A323:AC323"/>
    <mergeCell ref="A377:AC377"/>
    <mergeCell ref="M369:S370"/>
    <mergeCell ref="R533:U533"/>
    <mergeCell ref="V533:Y533"/>
    <mergeCell ref="A357:AC357"/>
    <mergeCell ref="E369:K369"/>
    <mergeCell ref="E370:K370"/>
    <mergeCell ref="A233:AC233"/>
    <mergeCell ref="A270:AC270"/>
    <mergeCell ref="Q284:X284"/>
    <mergeCell ref="P285:Y286"/>
    <mergeCell ref="F534:Y535"/>
    <mergeCell ref="A432:AC432"/>
    <mergeCell ref="T445:Y445"/>
    <mergeCell ref="T448:Z448"/>
    <mergeCell ref="A461:AC461"/>
    <mergeCell ref="F531:K532"/>
    <mergeCell ref="L531:Q532"/>
    <mergeCell ref="R531:U532"/>
    <mergeCell ref="V531:Y532"/>
    <mergeCell ref="A300:AC300"/>
    <mergeCell ref="F533:K533"/>
    <mergeCell ref="L533:Q533"/>
    <mergeCell ref="A216:AC216"/>
    <mergeCell ref="F38:X41"/>
    <mergeCell ref="A77:AC77"/>
    <mergeCell ref="A54:AC54"/>
    <mergeCell ref="A108:AC108"/>
    <mergeCell ref="A161:AC161"/>
  </mergeCells>
  <pageMargins left="7.874015748031496E-2" right="0" top="0.59055118110236227" bottom="0.59055118110236227" header="0.11811023622047245" footer="0.11811023622047245"/>
  <pageSetup paperSize="9" scale="94" orientation="portrait" r:id="rId1"/>
  <headerFooter differentFirst="1">
    <oddHeader>&amp;C&amp;"-,Negrito"&amp;16&amp;U&amp;K00-034Pré-Proposta - Cactos</oddHeader>
    <oddFooter>&amp;CPágina &amp;P de &amp;N</oddFooter>
    <firstFooter>&amp;L&amp;9CNPJ:35.807.980/0001-13&amp;C&amp;10&amp;D&amp;R&amp;9(21)97681-1065
www.cactossolucoesemenergia.com.br
contato@cactossolucoesemenergia.com.br</firstFooter>
  </headerFooter>
  <rowBreaks count="4" manualBreakCount="4">
    <brk id="53" max="28" man="1"/>
    <brk id="160" max="28" man="1"/>
    <brk id="215" max="28" man="1"/>
    <brk id="269" max="28" man="1"/>
  </rowBreaks>
  <drawing r:id="rId2"/>
  <legacyDrawing r:id="rId3"/>
  <mc:AlternateContent xmlns:mc="http://schemas.openxmlformats.org/markup-compatibility/2006">
    <mc:Choice Requires="x14">
      <controls>
        <mc:AlternateContent xmlns:mc="http://schemas.openxmlformats.org/markup-compatibility/2006">
          <mc:Choice Requires="x14">
            <control shapeId="270580" r:id="rId4" name="Spinner 244">
              <controlPr defaultSize="0" print="0" autoPict="0">
                <anchor moveWithCells="1">
                  <from>
                    <xdr:col>36</xdr:col>
                    <xdr:colOff>190500</xdr:colOff>
                    <xdr:row>5</xdr:row>
                    <xdr:rowOff>9525</xdr:rowOff>
                  </from>
                  <to>
                    <xdr:col>36</xdr:col>
                    <xdr:colOff>552450</xdr:colOff>
                    <xdr:row>7</xdr:row>
                    <xdr:rowOff>19050</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FCDD0-0963-4BEC-AE16-A4C9199D456A}">
  <sheetPr codeName="Planilha14"/>
  <dimension ref="A3:AM535"/>
  <sheetViews>
    <sheetView showGridLines="0" view="pageBreakPreview" topLeftCell="A357" zoomScaleNormal="100" zoomScaleSheetLayoutView="100" workbookViewId="0">
      <selection activeCell="D387" sqref="D387"/>
    </sheetView>
  </sheetViews>
  <sheetFormatPr defaultColWidth="8.85546875" defaultRowHeight="15"/>
  <cols>
    <col min="1" max="1" width="4.7109375" customWidth="1"/>
    <col min="2" max="27" width="3.42578125" customWidth="1"/>
    <col min="28" max="28" width="3.28515625" customWidth="1"/>
    <col min="29" max="29" width="6.28515625" customWidth="1"/>
    <col min="30" max="34" width="3.42578125" customWidth="1"/>
  </cols>
  <sheetData>
    <row r="3" spans="39:39">
      <c r="AM3" s="353" t="str">
        <f>"Versão Atual: "&amp;Resumo!$E$163</f>
        <v>Versão Atual: 1</v>
      </c>
    </row>
    <row r="18" ht="15" customHeight="1"/>
    <row r="19" ht="14.45" customHeight="1"/>
    <row r="20" ht="15" customHeight="1"/>
    <row r="34" spans="2:24" ht="15.75" thickBot="1"/>
    <row r="35" spans="2:24" ht="15.75" thickTop="1">
      <c r="F35" s="803" t="s">
        <v>2844</v>
      </c>
      <c r="G35" s="803"/>
      <c r="H35" s="803"/>
      <c r="I35" s="803"/>
      <c r="J35" s="803"/>
      <c r="K35" s="803"/>
      <c r="L35" s="803"/>
      <c r="M35" s="803"/>
      <c r="N35" s="803"/>
      <c r="O35" s="803"/>
      <c r="P35" s="803"/>
      <c r="Q35" s="803"/>
      <c r="R35" s="803"/>
      <c r="S35" s="803"/>
      <c r="T35" s="803"/>
      <c r="U35" s="803"/>
      <c r="V35" s="803"/>
      <c r="W35" s="803"/>
      <c r="X35" s="803"/>
    </row>
    <row r="36" spans="2:24">
      <c r="F36" s="804"/>
      <c r="G36" s="804"/>
      <c r="H36" s="804"/>
      <c r="I36" s="804"/>
      <c r="J36" s="804"/>
      <c r="K36" s="804"/>
      <c r="L36" s="804"/>
      <c r="M36" s="804"/>
      <c r="N36" s="804"/>
      <c r="O36" s="804"/>
      <c r="P36" s="804"/>
      <c r="Q36" s="804"/>
      <c r="R36" s="804"/>
      <c r="S36" s="804"/>
      <c r="T36" s="804"/>
      <c r="U36" s="804"/>
      <c r="V36" s="804"/>
      <c r="W36" s="804"/>
      <c r="X36" s="804"/>
    </row>
    <row r="37" spans="2:24">
      <c r="F37" s="804"/>
      <c r="G37" s="804"/>
      <c r="H37" s="804"/>
      <c r="I37" s="804"/>
      <c r="J37" s="804"/>
      <c r="K37" s="804"/>
      <c r="L37" s="804"/>
      <c r="M37" s="804"/>
      <c r="N37" s="804"/>
      <c r="O37" s="804"/>
      <c r="P37" s="804"/>
      <c r="Q37" s="804"/>
      <c r="R37" s="804"/>
      <c r="S37" s="804"/>
      <c r="T37" s="804"/>
      <c r="U37" s="804"/>
      <c r="V37" s="804"/>
      <c r="W37" s="804"/>
      <c r="X37" s="804"/>
    </row>
    <row r="38" spans="2:24" ht="15.75" thickBot="1">
      <c r="F38" s="805"/>
      <c r="G38" s="805"/>
      <c r="H38" s="805"/>
      <c r="I38" s="805"/>
      <c r="J38" s="805"/>
      <c r="K38" s="805"/>
      <c r="L38" s="805"/>
      <c r="M38" s="805"/>
      <c r="N38" s="805"/>
      <c r="O38" s="805"/>
      <c r="P38" s="805"/>
      <c r="Q38" s="805"/>
      <c r="R38" s="805"/>
      <c r="S38" s="805"/>
      <c r="T38" s="805"/>
      <c r="U38" s="805"/>
      <c r="V38" s="805"/>
      <c r="W38" s="805"/>
      <c r="X38" s="805"/>
    </row>
    <row r="39" spans="2:24" ht="15.75" thickTop="1"/>
    <row r="40" spans="2:24" ht="15.75" thickBot="1"/>
    <row r="41" spans="2:24" ht="15.75">
      <c r="B41" s="183" t="str">
        <f>"CLIENTE: "&amp;Resumo!$E$2</f>
        <v>CLIENTE: FLAVIA LOUZADA</v>
      </c>
      <c r="C41" s="184"/>
      <c r="D41" s="184"/>
      <c r="E41" s="184"/>
      <c r="F41" s="184"/>
      <c r="G41" s="184"/>
      <c r="H41" s="184"/>
      <c r="I41" s="184"/>
      <c r="J41" s="184"/>
      <c r="K41" s="184"/>
      <c r="L41" s="184"/>
      <c r="M41" s="184"/>
      <c r="N41" s="184"/>
      <c r="O41" s="184"/>
      <c r="P41" s="184"/>
    </row>
    <row r="42" spans="2:24" ht="15.75">
      <c r="B42" s="22" t="str">
        <f>"ENDEREÇO: "&amp;Resumo!$E$14&amp;" - "&amp;Resumo!$E$13&amp;"/"&amp;Resumo!$E$12</f>
        <v>ENDEREÇO:   - /RJ</v>
      </c>
    </row>
    <row r="43" spans="2:24" ht="16.5" thickBot="1">
      <c r="B43" s="185" t="str">
        <f>"CEP: "&amp;Resumo!$E$17</f>
        <v>CEP: 0</v>
      </c>
      <c r="C43" s="186"/>
      <c r="D43" s="186"/>
      <c r="E43" s="186"/>
      <c r="F43" s="186"/>
      <c r="G43" s="186"/>
      <c r="H43" s="186"/>
      <c r="I43" s="186"/>
      <c r="J43" s="186"/>
      <c r="K43" s="186"/>
      <c r="L43" s="186"/>
      <c r="M43" s="186"/>
      <c r="N43" s="186"/>
      <c r="O43" s="186"/>
      <c r="P43" s="186"/>
    </row>
    <row r="44" spans="2:24" ht="15.75">
      <c r="B44" s="22"/>
    </row>
    <row r="45" spans="2:24" ht="16.5" thickBot="1">
      <c r="B45" s="22"/>
    </row>
    <row r="46" spans="2:24" ht="15.75">
      <c r="B46" s="183" t="s">
        <v>2807</v>
      </c>
      <c r="C46" s="184"/>
      <c r="D46" s="184"/>
      <c r="E46" s="184"/>
      <c r="F46" s="184"/>
      <c r="G46" s="184"/>
      <c r="H46" s="184"/>
      <c r="I46" s="184"/>
      <c r="J46" s="184"/>
      <c r="K46" s="184"/>
      <c r="L46" s="184"/>
      <c r="M46" s="184"/>
      <c r="N46" s="184"/>
      <c r="O46" s="184"/>
      <c r="P46" s="184"/>
    </row>
    <row r="47" spans="2:24" ht="16.5" thickBot="1">
      <c r="B47" s="185" t="s">
        <v>2808</v>
      </c>
      <c r="C47" s="186"/>
      <c r="D47" s="186"/>
      <c r="E47" s="186"/>
      <c r="F47" s="186"/>
      <c r="G47" s="186"/>
      <c r="H47" s="186"/>
      <c r="I47" s="186"/>
      <c r="J47" s="186"/>
      <c r="K47" s="186"/>
      <c r="L47" s="186"/>
      <c r="M47" s="186"/>
      <c r="N47" s="186"/>
      <c r="O47" s="186"/>
      <c r="P47" s="186"/>
      <c r="U47" s="189"/>
    </row>
    <row r="48" spans="2:24" ht="15.75">
      <c r="B48" s="22"/>
      <c r="U48" s="189"/>
    </row>
    <row r="49" spans="1:29" ht="22.9" customHeight="1">
      <c r="O49" s="226" t="s">
        <v>5177</v>
      </c>
    </row>
    <row r="50" spans="1:29" ht="20.25">
      <c r="A50" s="802" t="s">
        <v>2810</v>
      </c>
      <c r="B50" s="802"/>
      <c r="C50" s="802"/>
      <c r="D50" s="802"/>
      <c r="E50" s="802"/>
      <c r="F50" s="802"/>
      <c r="G50" s="802"/>
      <c r="H50" s="802"/>
      <c r="I50" s="802"/>
      <c r="J50" s="802"/>
      <c r="K50" s="802"/>
      <c r="L50" s="802"/>
      <c r="M50" s="802"/>
      <c r="N50" s="802"/>
      <c r="O50" s="802"/>
      <c r="P50" s="802"/>
      <c r="Q50" s="802"/>
      <c r="R50" s="802"/>
      <c r="S50" s="802"/>
      <c r="T50" s="802"/>
      <c r="U50" s="802"/>
      <c r="V50" s="802"/>
      <c r="W50" s="802"/>
      <c r="X50" s="802"/>
      <c r="Y50" s="802"/>
      <c r="Z50" s="802"/>
      <c r="AA50" s="802"/>
      <c r="AB50" s="802"/>
      <c r="AC50" s="802"/>
    </row>
    <row r="51" spans="1:29">
      <c r="E51" s="187"/>
    </row>
    <row r="52" spans="1:29">
      <c r="E52" s="187"/>
    </row>
    <row r="53" spans="1:29">
      <c r="E53" s="187"/>
    </row>
    <row r="55" spans="1:29">
      <c r="U55" s="133"/>
    </row>
    <row r="74" spans="1:29" ht="20.25">
      <c r="A74" s="802" t="s">
        <v>2811</v>
      </c>
      <c r="B74" s="802"/>
      <c r="C74" s="802"/>
      <c r="D74" s="802"/>
      <c r="E74" s="802"/>
      <c r="F74" s="802"/>
      <c r="G74" s="802"/>
      <c r="H74" s="802"/>
      <c r="I74" s="802"/>
      <c r="J74" s="802"/>
      <c r="K74" s="802"/>
      <c r="L74" s="802"/>
      <c r="M74" s="802"/>
      <c r="N74" s="802"/>
      <c r="O74" s="802"/>
      <c r="P74" s="802"/>
      <c r="Q74" s="802"/>
      <c r="R74" s="802"/>
      <c r="S74" s="802"/>
      <c r="T74" s="802"/>
      <c r="U74" s="802"/>
      <c r="V74" s="802"/>
      <c r="W74" s="802"/>
      <c r="X74" s="802"/>
      <c r="Y74" s="802"/>
      <c r="Z74" s="802"/>
      <c r="AA74" s="802"/>
      <c r="AB74" s="802"/>
      <c r="AC74" s="802"/>
    </row>
    <row r="100" spans="1:29" ht="20.25">
      <c r="A100" s="802" t="s">
        <v>2812</v>
      </c>
      <c r="B100" s="802"/>
      <c r="C100" s="802"/>
      <c r="D100" s="802"/>
      <c r="E100" s="802"/>
      <c r="F100" s="802"/>
      <c r="G100" s="802"/>
      <c r="H100" s="802"/>
      <c r="I100" s="802"/>
      <c r="J100" s="802"/>
      <c r="K100" s="802"/>
      <c r="L100" s="802"/>
      <c r="M100" s="802"/>
      <c r="N100" s="802"/>
      <c r="O100" s="802"/>
      <c r="P100" s="802"/>
      <c r="Q100" s="802"/>
      <c r="R100" s="802"/>
      <c r="S100" s="802"/>
      <c r="T100" s="802"/>
      <c r="U100" s="802"/>
      <c r="V100" s="802"/>
      <c r="W100" s="802"/>
      <c r="X100" s="802"/>
      <c r="Y100" s="802"/>
      <c r="Z100" s="802"/>
      <c r="AA100" s="802"/>
      <c r="AB100" s="802"/>
      <c r="AC100" s="802"/>
    </row>
    <row r="135" ht="14.45" customHeight="1"/>
    <row r="136" ht="14.45" customHeight="1"/>
    <row r="137" ht="14.45" customHeight="1"/>
    <row r="138" ht="14.45" customHeight="1"/>
    <row r="139" ht="14.45" customHeight="1"/>
    <row r="140" ht="14.45" customHeight="1"/>
    <row r="141" ht="14.45" customHeight="1"/>
    <row r="142" ht="14.45" customHeight="1"/>
    <row r="143" ht="14.45" customHeight="1"/>
    <row r="144" ht="14.45" customHeight="1"/>
    <row r="145" spans="1:29" ht="14.45" customHeight="1"/>
    <row r="146" spans="1:29" ht="14.45" customHeight="1"/>
    <row r="147" spans="1:29" ht="14.45" customHeight="1"/>
    <row r="148" spans="1:29" ht="14.45" customHeight="1"/>
    <row r="149" spans="1:29" ht="14.45" customHeight="1"/>
    <row r="150" spans="1:29" ht="14.45" customHeight="1"/>
    <row r="151" spans="1:29" ht="14.45" customHeight="1"/>
    <row r="152" spans="1:29" ht="14.45" customHeight="1"/>
    <row r="153" spans="1:29" ht="14.45" customHeight="1"/>
    <row r="154" spans="1:29" ht="20.25">
      <c r="A154" s="802" t="s">
        <v>2813</v>
      </c>
      <c r="B154" s="802"/>
      <c r="C154" s="802"/>
      <c r="D154" s="802"/>
      <c r="E154" s="802"/>
      <c r="F154" s="802"/>
      <c r="G154" s="802"/>
      <c r="H154" s="802"/>
      <c r="I154" s="802"/>
      <c r="J154" s="802"/>
      <c r="K154" s="802"/>
      <c r="L154" s="802"/>
      <c r="M154" s="802"/>
      <c r="N154" s="802"/>
      <c r="O154" s="802"/>
      <c r="P154" s="802"/>
      <c r="Q154" s="802"/>
      <c r="R154" s="802"/>
      <c r="S154" s="802"/>
      <c r="T154" s="802"/>
      <c r="U154" s="802"/>
      <c r="V154" s="802"/>
      <c r="W154" s="802"/>
      <c r="X154" s="802"/>
      <c r="Y154" s="802"/>
      <c r="Z154" s="802"/>
      <c r="AA154" s="802"/>
      <c r="AB154" s="802"/>
      <c r="AC154" s="802"/>
    </row>
    <row r="155" spans="1:29" ht="14.45" customHeight="1"/>
    <row r="156" spans="1:29" ht="14.45" customHeight="1"/>
    <row r="157" spans="1:29" ht="14.45" customHeight="1"/>
    <row r="158" spans="1:29" ht="14.45" customHeight="1"/>
    <row r="159" spans="1:29" ht="14.45" customHeight="1"/>
    <row r="160" spans="1:29" ht="14.45" customHeight="1"/>
    <row r="161" ht="14.45" customHeight="1"/>
    <row r="162" ht="14.45" customHeight="1"/>
    <row r="163" ht="14.45" customHeight="1"/>
    <row r="164" ht="14.45" customHeight="1"/>
    <row r="165" ht="14.45" customHeight="1"/>
    <row r="166" ht="14.45" customHeight="1"/>
    <row r="167" ht="14.45" customHeight="1"/>
    <row r="168" ht="14.45" customHeight="1"/>
    <row r="169" ht="14.45" customHeight="1"/>
    <row r="170" ht="14.45" customHeight="1"/>
    <row r="171" ht="14.45" customHeight="1"/>
    <row r="172" ht="14.45" customHeight="1"/>
    <row r="173" ht="14.45" customHeight="1"/>
    <row r="174" ht="14.45" customHeight="1"/>
    <row r="175" ht="14.45" customHeight="1"/>
    <row r="176" ht="14.45" customHeight="1"/>
    <row r="177" ht="14.45" customHeight="1"/>
    <row r="178" ht="14.45" customHeight="1"/>
    <row r="179" ht="14.45" customHeight="1"/>
    <row r="180" ht="14.45" customHeight="1"/>
    <row r="181" ht="14.45" customHeight="1"/>
    <row r="182" ht="14.45" customHeight="1"/>
    <row r="183" ht="14.45" customHeight="1"/>
    <row r="184" ht="14.45" customHeight="1"/>
    <row r="185" ht="14.45" customHeight="1"/>
    <row r="186" ht="14.45" customHeight="1"/>
    <row r="187" ht="14.45" customHeight="1"/>
    <row r="188" ht="14.45" customHeight="1"/>
    <row r="189" ht="14.45" customHeight="1"/>
    <row r="190" ht="14.45" customHeight="1"/>
    <row r="191" ht="14.45" customHeight="1"/>
    <row r="192" ht="14.45" customHeight="1"/>
    <row r="193" spans="1:29" ht="14.45" customHeight="1"/>
    <row r="194" spans="1:29" ht="14.45" customHeight="1"/>
    <row r="195" spans="1:29" ht="14.45" customHeight="1"/>
    <row r="196" spans="1:29" ht="14.45" customHeight="1"/>
    <row r="197" spans="1:29" ht="14.45" customHeight="1"/>
    <row r="198" spans="1:29" ht="14.45" customHeight="1"/>
    <row r="199" spans="1:29" ht="14.45" customHeight="1"/>
    <row r="200" spans="1:29" ht="14.45" customHeight="1"/>
    <row r="201" spans="1:29" ht="14.45" customHeight="1"/>
    <row r="202" spans="1:29" ht="14.45" customHeight="1"/>
    <row r="203" spans="1:29" ht="14.45" customHeight="1"/>
    <row r="204" spans="1:29" ht="14.45" customHeight="1"/>
    <row r="205" spans="1:29" ht="14.45" customHeight="1"/>
    <row r="206" spans="1:29" ht="14.45" customHeight="1"/>
    <row r="207" spans="1:29" ht="20.25">
      <c r="A207" s="802" t="s">
        <v>2814</v>
      </c>
      <c r="B207" s="802"/>
      <c r="C207" s="802"/>
      <c r="D207" s="802"/>
      <c r="E207" s="802"/>
      <c r="F207" s="802"/>
      <c r="G207" s="802"/>
      <c r="H207" s="802"/>
      <c r="I207" s="802"/>
      <c r="J207" s="802"/>
      <c r="K207" s="802"/>
      <c r="L207" s="802"/>
      <c r="M207" s="802"/>
      <c r="N207" s="802"/>
      <c r="O207" s="802"/>
      <c r="P207" s="802"/>
      <c r="Q207" s="802"/>
      <c r="R207" s="802"/>
      <c r="S207" s="802"/>
      <c r="T207" s="802"/>
      <c r="U207" s="802"/>
      <c r="V207" s="802"/>
      <c r="W207" s="802"/>
      <c r="X207" s="802"/>
      <c r="Y207" s="802"/>
      <c r="Z207" s="802"/>
      <c r="AA207" s="802"/>
      <c r="AB207" s="802"/>
      <c r="AC207" s="802"/>
    </row>
    <row r="211" spans="1:29">
      <c r="B211" s="578" t="str">
        <f ca="1">"Para este estudo foi previsto um aumento no consumo de "&amp;TEXT(Resumo!$E$58,"0,0%")&amp;"  e todas as informações descritas nesse material estarão baseadas neste aumento.
Foi considerado um consumo diurno de "&amp;TEXT(Resumo!$E$362,"0,0%")&amp;" em relação ao consumo total."</f>
        <v>Para este estudo foi previsto um aumento no consumo de 4,4%  e todas as informações descritas nesse material estarão baseadas neste aumento.
Foi considerado um consumo diurno de 30,0% em relação ao consumo total.</v>
      </c>
    </row>
    <row r="212" spans="1:29">
      <c r="C212" s="188"/>
    </row>
    <row r="215" spans="1:29">
      <c r="D215" s="640" t="str">
        <f>"Consumo Médio Atual: "&amp;TEXT(Resumo!$K$50,0)&amp;" kWh"</f>
        <v>Consumo Médio Atual: 808 kWh</v>
      </c>
      <c r="E215" s="641"/>
      <c r="F215" s="641"/>
      <c r="G215" s="641"/>
      <c r="H215" s="641"/>
      <c r="I215" s="641"/>
      <c r="J215" s="641"/>
      <c r="K215" s="641"/>
      <c r="L215" s="641"/>
      <c r="M215" s="642"/>
      <c r="Q215" s="640" t="str">
        <f ca="1">"Consumo Médio Futuro: "&amp;TEXT(Resumo!$E$385,0)&amp;" kWh"</f>
        <v>Consumo Médio Futuro: 844 kWh</v>
      </c>
      <c r="R215" s="641"/>
      <c r="S215" s="641"/>
      <c r="T215" s="641"/>
      <c r="U215" s="641"/>
      <c r="V215" s="641"/>
      <c r="W215" s="641"/>
      <c r="X215" s="641"/>
      <c r="Y215" s="641"/>
      <c r="Z215" s="642"/>
    </row>
    <row r="216" spans="1:29">
      <c r="D216" s="643" t="str">
        <f>"Consumo Anual: "&amp;TEXT(Resumo!$F$52,0)&amp;" kWh"</f>
        <v>Consumo Anual: 9696 kWh</v>
      </c>
      <c r="M216" s="644"/>
      <c r="Q216" s="643" t="str">
        <f ca="1">"Consumo Anual: "&amp;TEXT(Resumo!$E$385*12,0)&amp;" kWh"</f>
        <v>Consumo Anual: 10123 kWh</v>
      </c>
      <c r="Z216" s="644"/>
    </row>
    <row r="217" spans="1:29">
      <c r="D217" s="643" t="str">
        <f ca="1">"Valor médio pago em fatura: "&amp;TEXT(Resumo!$E$383,"R$ 0,00")</f>
        <v>Valor médio pago em fatura: R$ 999,49</v>
      </c>
      <c r="M217" s="644"/>
      <c r="Q217" s="643" t="str">
        <f ca="1">"Valor médio pago em fatura: "&amp;TEXT(Resumo!$E$379,"R$ 0,00")</f>
        <v>Valor médio pago em fatura: R$ 1099,44</v>
      </c>
      <c r="Z217" s="644"/>
    </row>
    <row r="218" spans="1:29">
      <c r="D218" s="647" t="str">
        <f ca="1">"Valor da tarifa: "&amp;TEXT(Resumo!$E$386,"R$ 0,00")</f>
        <v>Valor da tarifa: R$ 1,18</v>
      </c>
      <c r="E218" s="645"/>
      <c r="F218" s="645"/>
      <c r="G218" s="645"/>
      <c r="H218" s="645"/>
      <c r="I218" s="645"/>
      <c r="J218" s="645"/>
      <c r="K218" s="645"/>
      <c r="L218" s="645"/>
      <c r="M218" s="646"/>
      <c r="Q218" s="647" t="str">
        <f ca="1">"Valor da tarifa: "&amp;TEXT(Resumo!$F$386,"R$ 0,00")</f>
        <v>Valor da tarifa: R$ 1,30</v>
      </c>
      <c r="R218" s="645"/>
      <c r="S218" s="645"/>
      <c r="T218" s="645"/>
      <c r="U218" s="645"/>
      <c r="V218" s="645"/>
      <c r="W218" s="645"/>
      <c r="X218" s="645"/>
      <c r="Y218" s="645"/>
      <c r="Z218" s="646"/>
    </row>
    <row r="219" spans="1:29" ht="7.9" customHeight="1"/>
    <row r="220" spans="1:29" ht="28.9" customHeight="1">
      <c r="M220" s="659" t="str">
        <f ca="1">"LCOE: "&amp;TEXT(Financeiro!$T$197,"R$0,00")</f>
        <v>LCOE: R$0,16</v>
      </c>
    </row>
    <row r="221" spans="1:29" ht="20.25">
      <c r="A221" s="802" t="s">
        <v>2815</v>
      </c>
      <c r="B221" s="802"/>
      <c r="C221" s="802"/>
      <c r="D221" s="802"/>
      <c r="E221" s="802"/>
      <c r="F221" s="802"/>
      <c r="G221" s="802"/>
      <c r="H221" s="802"/>
      <c r="I221" s="802"/>
      <c r="J221" s="802"/>
      <c r="K221" s="802"/>
      <c r="L221" s="802"/>
      <c r="M221" s="802"/>
      <c r="N221" s="802"/>
      <c r="O221" s="802"/>
      <c r="P221" s="802"/>
      <c r="Q221" s="802"/>
      <c r="R221" s="802"/>
      <c r="S221" s="802"/>
      <c r="T221" s="802"/>
      <c r="U221" s="802"/>
      <c r="V221" s="802"/>
      <c r="W221" s="802"/>
      <c r="X221" s="802"/>
      <c r="Y221" s="802"/>
      <c r="Z221" s="802"/>
      <c r="AA221" s="802"/>
      <c r="AB221" s="802"/>
      <c r="AC221" s="802"/>
    </row>
    <row r="222" spans="1:29" ht="7.9" customHeight="1"/>
    <row r="228" spans="1:26" ht="14.45" customHeight="1">
      <c r="D228" s="374"/>
      <c r="E228" s="374"/>
      <c r="F228" s="374"/>
      <c r="G228" s="374"/>
      <c r="H228" s="374"/>
      <c r="I228" s="374"/>
      <c r="J228" s="374"/>
      <c r="K228" s="374"/>
    </row>
    <row r="229" spans="1:26" ht="18.75">
      <c r="A229" s="822" t="str">
        <f>Resumo!$E$187&amp;" Módulos FV de "&amp;Resumo!$F$225&amp;"Wp"</f>
        <v>14 Módulos FV de 585Wp</v>
      </c>
      <c r="B229" s="822"/>
      <c r="C229" s="822"/>
      <c r="D229" s="822"/>
      <c r="E229" s="822"/>
      <c r="F229" s="822"/>
      <c r="G229" s="822"/>
      <c r="H229" s="822"/>
      <c r="I229" s="822"/>
      <c r="J229" s="822"/>
      <c r="K229" s="822"/>
      <c r="T229" s="375" t="s">
        <v>2816</v>
      </c>
      <c r="U229" s="190"/>
      <c r="V229" s="190"/>
      <c r="W229" s="190"/>
      <c r="X229" s="190"/>
      <c r="Y229" s="190"/>
      <c r="Z229" s="190"/>
    </row>
    <row r="230" spans="1:26" ht="18.75">
      <c r="A230" s="822"/>
      <c r="B230" s="822"/>
      <c r="C230" s="822"/>
      <c r="D230" s="822"/>
      <c r="E230" s="822"/>
      <c r="F230" s="822"/>
      <c r="G230" s="822"/>
      <c r="H230" s="822"/>
      <c r="I230" s="822"/>
      <c r="J230" s="822"/>
      <c r="K230" s="822"/>
      <c r="T230" s="375" t="str">
        <f>TEXT(Resumo!$F$161,"0,00")&amp;" m²"</f>
        <v>37,97 m²</v>
      </c>
      <c r="U230" s="190"/>
      <c r="V230" s="190"/>
      <c r="W230" s="190"/>
      <c r="X230" s="190"/>
      <c r="Y230" s="190"/>
      <c r="Z230" s="190"/>
    </row>
    <row r="260" spans="1:29" ht="20.25">
      <c r="A260" s="802" t="s">
        <v>2782</v>
      </c>
      <c r="B260" s="802"/>
      <c r="C260" s="802"/>
      <c r="D260" s="802"/>
      <c r="E260" s="802"/>
      <c r="F260" s="802"/>
      <c r="G260" s="802"/>
      <c r="H260" s="802"/>
      <c r="I260" s="802"/>
      <c r="J260" s="802"/>
      <c r="K260" s="802"/>
      <c r="L260" s="802"/>
      <c r="M260" s="802"/>
      <c r="N260" s="802"/>
      <c r="O260" s="802"/>
      <c r="P260" s="802"/>
      <c r="Q260" s="802"/>
      <c r="R260" s="802"/>
      <c r="S260" s="802"/>
      <c r="T260" s="802"/>
      <c r="U260" s="802"/>
      <c r="V260" s="802"/>
      <c r="W260" s="802"/>
      <c r="X260" s="802"/>
      <c r="Y260" s="802"/>
      <c r="Z260" s="802"/>
      <c r="AA260" s="802"/>
      <c r="AB260" s="802"/>
      <c r="AC260" s="802"/>
    </row>
    <row r="274" spans="6:25" ht="23.1" customHeight="1">
      <c r="F274" s="191" t="str">
        <f ca="1">TEXT(Resumo!$E$409,"0,00")&amp;" kg de CO₂/mês"</f>
        <v>63,90 kg de CO₂/mês</v>
      </c>
      <c r="G274" s="190"/>
      <c r="H274" s="190"/>
      <c r="I274" s="190"/>
      <c r="J274" s="190"/>
      <c r="K274" s="190"/>
      <c r="L274" s="190"/>
      <c r="Q274" s="806" t="str">
        <f ca="1">TEXT(Resumo!$E$414,0)&amp;" árvores/ano"</f>
        <v>62 árvores/ano</v>
      </c>
      <c r="R274" s="806"/>
      <c r="S274" s="806"/>
      <c r="T274" s="806"/>
      <c r="U274" s="806"/>
      <c r="V274" s="806"/>
      <c r="W274" s="806"/>
      <c r="X274" s="806"/>
    </row>
    <row r="275" spans="6:25" ht="23.1" customHeight="1">
      <c r="F275" s="196" t="str">
        <f ca="1">TEXT(Resumo!$E$410,"0,00")&amp;" kg de CO₂/ano"</f>
        <v>766,79 kg de CO₂/ano</v>
      </c>
      <c r="G275" s="190"/>
      <c r="H275" s="190"/>
      <c r="I275" s="190"/>
      <c r="J275" s="190"/>
      <c r="K275" s="190"/>
      <c r="L275" s="190"/>
      <c r="P275" s="807" t="str">
        <f ca="1">Resumo!$E$415&amp;" equivalem a absorção de 1 árvore em 20 anos"</f>
        <v>3 meses e 28 dias equivalem a absorção de 1 árvore em 20 anos</v>
      </c>
      <c r="Q275" s="807"/>
      <c r="R275" s="807"/>
      <c r="S275" s="807"/>
      <c r="T275" s="807"/>
      <c r="U275" s="807"/>
      <c r="V275" s="807"/>
      <c r="W275" s="807"/>
      <c r="X275" s="807"/>
      <c r="Y275" s="807"/>
    </row>
    <row r="276" spans="6:25" ht="15.75">
      <c r="F276" s="191" t="str">
        <f ca="1">TEXT(Resumo!$E$411,"0,00")&amp;" kg de CO₂/25anos"</f>
        <v>19169,78 kg de CO₂/25anos</v>
      </c>
      <c r="G276" s="190"/>
      <c r="H276" s="190"/>
      <c r="I276" s="190"/>
      <c r="J276" s="190"/>
      <c r="K276" s="190"/>
      <c r="L276" s="190"/>
      <c r="P276" s="807"/>
      <c r="Q276" s="807"/>
      <c r="R276" s="807"/>
      <c r="S276" s="807"/>
      <c r="T276" s="807"/>
      <c r="U276" s="807"/>
      <c r="V276" s="807"/>
      <c r="W276" s="807"/>
      <c r="X276" s="807"/>
      <c r="Y276" s="807"/>
    </row>
    <row r="290" spans="1:29" ht="20.25">
      <c r="A290" s="802" t="s">
        <v>2817</v>
      </c>
      <c r="B290" s="802"/>
      <c r="C290" s="802"/>
      <c r="D290" s="802"/>
      <c r="E290" s="802"/>
      <c r="F290" s="802"/>
      <c r="G290" s="802"/>
      <c r="H290" s="802"/>
      <c r="I290" s="802"/>
      <c r="J290" s="802"/>
      <c r="K290" s="802"/>
      <c r="L290" s="802"/>
      <c r="M290" s="802"/>
      <c r="N290" s="802"/>
      <c r="O290" s="802"/>
      <c r="P290" s="802"/>
      <c r="Q290" s="802"/>
      <c r="R290" s="802"/>
      <c r="S290" s="802"/>
      <c r="T290" s="802"/>
      <c r="U290" s="802"/>
      <c r="V290" s="802"/>
      <c r="W290" s="802"/>
      <c r="X290" s="802"/>
      <c r="Y290" s="802"/>
      <c r="Z290" s="802"/>
      <c r="AA290" s="802"/>
      <c r="AB290" s="802"/>
      <c r="AC290" s="802"/>
    </row>
    <row r="308" spans="1:29">
      <c r="AB308" s="666"/>
      <c r="AC308" s="660" t="s">
        <v>2818</v>
      </c>
    </row>
    <row r="309" spans="1:29">
      <c r="AB309" s="603"/>
      <c r="AC309" s="661" t="s">
        <v>2819</v>
      </c>
    </row>
    <row r="310" spans="1:29">
      <c r="AB310" s="667"/>
      <c r="AC310" s="662" t="s">
        <v>2453</v>
      </c>
    </row>
    <row r="311" spans="1:29">
      <c r="A311" s="665" t="s">
        <v>2820</v>
      </c>
      <c r="AB311" s="668"/>
      <c r="AC311" s="663" t="s">
        <v>322</v>
      </c>
    </row>
    <row r="312" spans="1:29" ht="20.25">
      <c r="A312" s="802" t="s">
        <v>2845</v>
      </c>
      <c r="B312" s="802"/>
      <c r="C312" s="802"/>
      <c r="D312" s="802"/>
      <c r="E312" s="802"/>
      <c r="F312" s="802"/>
      <c r="G312" s="802"/>
      <c r="H312" s="802"/>
      <c r="I312" s="802"/>
      <c r="J312" s="802"/>
      <c r="K312" s="802"/>
      <c r="L312" s="802"/>
      <c r="M312" s="802"/>
      <c r="N312" s="802"/>
      <c r="O312" s="802"/>
      <c r="P312" s="802"/>
      <c r="Q312" s="802"/>
      <c r="R312" s="802"/>
      <c r="S312" s="802"/>
      <c r="T312" s="802"/>
      <c r="U312" s="802"/>
      <c r="V312" s="802"/>
      <c r="W312" s="802"/>
      <c r="X312" s="802"/>
      <c r="Y312" s="802"/>
      <c r="Z312" s="802"/>
      <c r="AA312" s="802"/>
      <c r="AB312" s="802"/>
      <c r="AC312" s="802"/>
    </row>
    <row r="362" spans="1:29" ht="20.25">
      <c r="A362" s="802" t="s">
        <v>2821</v>
      </c>
      <c r="B362" s="802"/>
      <c r="C362" s="802"/>
      <c r="D362" s="802"/>
      <c r="E362" s="802"/>
      <c r="F362" s="802"/>
      <c r="G362" s="802"/>
      <c r="H362" s="802"/>
      <c r="I362" s="802"/>
      <c r="J362" s="802"/>
      <c r="K362" s="802"/>
      <c r="L362" s="802"/>
      <c r="M362" s="802"/>
      <c r="N362" s="802"/>
      <c r="O362" s="802"/>
      <c r="P362" s="802"/>
      <c r="Q362" s="802"/>
      <c r="R362" s="802"/>
      <c r="S362" s="802"/>
      <c r="T362" s="802"/>
      <c r="U362" s="802"/>
      <c r="V362" s="802"/>
      <c r="W362" s="802"/>
      <c r="X362" s="802"/>
      <c r="Y362" s="802"/>
      <c r="Z362" s="802"/>
      <c r="AA362" s="802"/>
      <c r="AB362" s="802"/>
      <c r="AC362" s="802"/>
    </row>
    <row r="364" spans="1:29">
      <c r="D364" s="215"/>
      <c r="E364" s="228">
        <f>Orçamento!B47</f>
        <v>1</v>
      </c>
      <c r="F364" s="217" t="str">
        <f>Orçamento!C47</f>
        <v>Kit Fotovoltaico</v>
      </c>
      <c r="G364" s="218"/>
      <c r="H364" s="218"/>
      <c r="I364" s="218"/>
      <c r="J364" s="218"/>
      <c r="K364" s="218"/>
      <c r="L364" s="218"/>
      <c r="M364" s="218"/>
      <c r="N364" s="218"/>
      <c r="O364" s="218"/>
      <c r="P364" s="218"/>
      <c r="Q364" s="218"/>
      <c r="R364" s="218"/>
      <c r="S364" s="218"/>
      <c r="T364" s="218"/>
      <c r="U364" s="218"/>
      <c r="V364" s="218"/>
      <c r="W364" s="218"/>
      <c r="X364" s="218"/>
      <c r="Y364" s="216"/>
    </row>
    <row r="365" spans="1:29">
      <c r="D365" s="820">
        <f>Orçamento!B48</f>
        <v>14</v>
      </c>
      <c r="E365" s="821"/>
      <c r="F365" s="217" t="str">
        <f>Orçamento!C48</f>
        <v xml:space="preserve">     Módulo DHN-72X16/BF/FS - 585W</v>
      </c>
      <c r="G365" s="218"/>
      <c r="H365" s="218"/>
      <c r="I365" s="218"/>
      <c r="J365" s="218"/>
      <c r="K365" s="218"/>
      <c r="L365" s="218"/>
      <c r="M365" s="218"/>
      <c r="N365" s="218"/>
      <c r="O365" s="218"/>
      <c r="P365" s="218"/>
      <c r="Q365" s="218"/>
      <c r="R365" s="218"/>
      <c r="S365" s="218"/>
      <c r="T365" s="218"/>
      <c r="U365" s="218"/>
      <c r="V365" s="218"/>
      <c r="W365" s="218"/>
      <c r="X365" s="218"/>
      <c r="Y365" s="216"/>
    </row>
    <row r="366" spans="1:29">
      <c r="D366" s="820">
        <f>Orçamento!B49</f>
        <v>4</v>
      </c>
      <c r="E366" s="821"/>
      <c r="F366" s="217" t="str">
        <f>Orçamento!C49</f>
        <v xml:space="preserve">     Microinversor Q1-2500-E</v>
      </c>
      <c r="G366" s="218"/>
      <c r="H366" s="218"/>
      <c r="I366" s="218"/>
      <c r="J366" s="218"/>
      <c r="K366" s="218"/>
      <c r="L366" s="218"/>
      <c r="M366" s="218"/>
      <c r="N366" s="218"/>
      <c r="O366" s="218"/>
      <c r="P366" s="218"/>
      <c r="Q366" s="218"/>
      <c r="R366" s="218"/>
      <c r="S366" s="218"/>
      <c r="T366" s="218"/>
      <c r="U366" s="218"/>
      <c r="V366" s="218"/>
      <c r="W366" s="218"/>
      <c r="X366" s="218"/>
      <c r="Y366" s="216"/>
    </row>
    <row r="367" spans="1:29">
      <c r="D367" s="215"/>
      <c r="E367" s="228">
        <f>Orçamento!B50</f>
        <v>1</v>
      </c>
      <c r="F367" s="217" t="str">
        <f>Orçamento!C50</f>
        <v xml:space="preserve">     Sistema de Monitoramento Remoto</v>
      </c>
      <c r="G367" s="218"/>
      <c r="H367" s="218"/>
      <c r="I367" s="218"/>
      <c r="J367" s="218"/>
      <c r="K367" s="218"/>
      <c r="L367" s="218"/>
      <c r="M367" s="218"/>
      <c r="N367" s="218"/>
      <c r="O367" s="218"/>
      <c r="P367" s="218"/>
      <c r="Q367" s="218"/>
      <c r="R367" s="218"/>
      <c r="S367" s="218"/>
      <c r="T367" s="218"/>
      <c r="U367" s="218"/>
      <c r="V367" s="218"/>
      <c r="W367" s="218"/>
      <c r="X367" s="218"/>
      <c r="Y367" s="216"/>
    </row>
    <row r="368" spans="1:29">
      <c r="D368" s="215"/>
      <c r="E368" s="228">
        <f>Orçamento!B51</f>
        <v>1</v>
      </c>
      <c r="F368" s="217" t="str">
        <f>Orçamento!C51</f>
        <v xml:space="preserve">     StringBox (caso seja necessário)</v>
      </c>
      <c r="G368" s="218"/>
      <c r="H368" s="218"/>
      <c r="I368" s="218"/>
      <c r="J368" s="218"/>
      <c r="K368" s="218"/>
      <c r="L368" s="218"/>
      <c r="M368" s="218"/>
      <c r="N368" s="218"/>
      <c r="O368" s="218"/>
      <c r="P368" s="218"/>
      <c r="Q368" s="218"/>
      <c r="R368" s="218"/>
      <c r="S368" s="218"/>
      <c r="T368" s="218"/>
      <c r="U368" s="218"/>
      <c r="V368" s="218"/>
      <c r="W368" s="218"/>
      <c r="X368" s="218"/>
      <c r="Y368" s="216"/>
    </row>
    <row r="369" spans="4:25">
      <c r="D369" s="818">
        <f>Orçamento!B52</f>
        <v>20</v>
      </c>
      <c r="E369" s="819"/>
      <c r="F369" s="217" t="str">
        <f>Orçamento!C52</f>
        <v xml:space="preserve">     Cabos CC - Solar 4,0mm²  - Preto</v>
      </c>
      <c r="G369" s="218"/>
      <c r="H369" s="218"/>
      <c r="I369" s="218"/>
      <c r="J369" s="218"/>
      <c r="K369" s="218"/>
      <c r="L369" s="218"/>
      <c r="M369" s="218"/>
      <c r="N369" s="218"/>
      <c r="O369" s="218"/>
      <c r="P369" s="218"/>
      <c r="Q369" s="218"/>
      <c r="R369" s="218"/>
      <c r="S369" s="218"/>
      <c r="T369" s="218"/>
      <c r="U369" s="218"/>
      <c r="V369" s="218"/>
      <c r="W369" s="218"/>
      <c r="X369" s="218"/>
      <c r="Y369" s="216"/>
    </row>
    <row r="370" spans="4:25">
      <c r="D370" s="818">
        <f>Orçamento!B53</f>
        <v>20</v>
      </c>
      <c r="E370" s="819"/>
      <c r="F370" s="217" t="str">
        <f>Orçamento!C53</f>
        <v xml:space="preserve">     Cabos CC - Solar 4,0mm²  - Vermelho</v>
      </c>
      <c r="G370" s="218"/>
      <c r="H370" s="218"/>
      <c r="I370" s="218"/>
      <c r="J370" s="218"/>
      <c r="K370" s="218"/>
      <c r="L370" s="218"/>
      <c r="M370" s="218"/>
      <c r="N370" s="218"/>
      <c r="O370" s="218"/>
      <c r="P370" s="218"/>
      <c r="Q370" s="218"/>
      <c r="R370" s="218"/>
      <c r="S370" s="218"/>
      <c r="T370" s="218"/>
      <c r="U370" s="218"/>
      <c r="V370" s="218"/>
      <c r="W370" s="218"/>
      <c r="X370" s="218"/>
      <c r="Y370" s="216"/>
    </row>
    <row r="371" spans="4:25">
      <c r="D371" s="820">
        <f>Orçamento!B54</f>
        <v>4</v>
      </c>
      <c r="E371" s="821"/>
      <c r="F371" s="217" t="str">
        <f>Orçamento!C54</f>
        <v xml:space="preserve">     Kit de Perfis, emendas, ganchos e parafuso estrutural</v>
      </c>
      <c r="G371" s="218"/>
      <c r="H371" s="218"/>
      <c r="I371" s="218"/>
      <c r="J371" s="218"/>
      <c r="K371" s="218"/>
      <c r="L371" s="218"/>
      <c r="M371" s="218"/>
      <c r="N371" s="218"/>
      <c r="O371" s="218"/>
      <c r="P371" s="218"/>
      <c r="Q371" s="218"/>
      <c r="R371" s="218"/>
      <c r="S371" s="218"/>
      <c r="T371" s="218"/>
      <c r="U371" s="218"/>
      <c r="V371" s="218"/>
      <c r="W371" s="218"/>
      <c r="X371" s="218"/>
      <c r="Y371" s="216"/>
    </row>
    <row r="372" spans="4:25">
      <c r="D372" s="215"/>
      <c r="E372" s="228">
        <f>Orçamento!B55</f>
        <v>1</v>
      </c>
      <c r="F372" s="217" t="str">
        <f>Orçamento!C55</f>
        <v xml:space="preserve">     Kit de Conectores</v>
      </c>
      <c r="G372" s="218"/>
      <c r="H372" s="218"/>
      <c r="I372" s="218"/>
      <c r="J372" s="218"/>
      <c r="K372" s="218"/>
      <c r="L372" s="218"/>
      <c r="M372" s="218"/>
      <c r="N372" s="218"/>
      <c r="O372" s="218"/>
      <c r="P372" s="218"/>
      <c r="Q372" s="218"/>
      <c r="R372" s="218"/>
      <c r="S372" s="218"/>
      <c r="T372" s="218"/>
      <c r="U372" s="218"/>
      <c r="V372" s="218"/>
      <c r="W372" s="218"/>
      <c r="X372" s="218"/>
      <c r="Y372" s="216"/>
    </row>
    <row r="374" spans="4:25">
      <c r="D374" s="215"/>
      <c r="E374" s="228">
        <f>Orçamento!B57</f>
        <v>3</v>
      </c>
      <c r="F374" s="215" t="str">
        <f>Orçamento!C57</f>
        <v xml:space="preserve">    Protetor surto DPS CA</v>
      </c>
      <c r="G374" s="218"/>
      <c r="H374" s="218"/>
      <c r="I374" s="218"/>
      <c r="J374" s="218"/>
      <c r="K374" s="218"/>
      <c r="L374" s="218"/>
      <c r="M374" s="218"/>
      <c r="N374" s="218"/>
      <c r="O374" s="218"/>
      <c r="P374" s="218"/>
      <c r="Q374" s="218"/>
      <c r="R374" s="218"/>
      <c r="S374" s="218"/>
      <c r="T374" s="218"/>
      <c r="U374" s="218"/>
      <c r="V374" s="218"/>
      <c r="W374" s="218"/>
      <c r="X374" s="218"/>
      <c r="Y374" s="216"/>
    </row>
    <row r="375" spans="4:25">
      <c r="D375" s="818">
        <f>Orçamento!B58</f>
        <v>24</v>
      </c>
      <c r="E375" s="819"/>
      <c r="F375" s="215" t="str">
        <f>Orçamento!C58</f>
        <v xml:space="preserve">    Cabo de Cobre 10 mm² - Preto</v>
      </c>
      <c r="G375" s="218"/>
      <c r="H375" s="218"/>
      <c r="I375" s="218"/>
      <c r="J375" s="218"/>
      <c r="K375" s="218"/>
      <c r="L375" s="218"/>
      <c r="M375" s="218"/>
      <c r="N375" s="218"/>
      <c r="O375" s="218"/>
      <c r="P375" s="218"/>
      <c r="Q375" s="218"/>
      <c r="R375" s="218"/>
      <c r="S375" s="218"/>
      <c r="T375" s="218"/>
      <c r="U375" s="218"/>
      <c r="V375" s="218"/>
      <c r="W375" s="218"/>
      <c r="X375" s="218"/>
      <c r="Y375" s="216"/>
    </row>
    <row r="376" spans="4:25">
      <c r="D376" s="818">
        <f>Orçamento!B59</f>
        <v>12</v>
      </c>
      <c r="E376" s="819"/>
      <c r="F376" s="215" t="str">
        <f>Orçamento!C59</f>
        <v xml:space="preserve">    Cabo de Cobre 10 mm² - Verde</v>
      </c>
      <c r="G376" s="218"/>
      <c r="H376" s="218"/>
      <c r="I376" s="218"/>
      <c r="J376" s="218"/>
      <c r="K376" s="218"/>
      <c r="L376" s="218"/>
      <c r="M376" s="218"/>
      <c r="N376" s="218"/>
      <c r="O376" s="218"/>
      <c r="P376" s="218"/>
      <c r="Q376" s="218"/>
      <c r="R376" s="218"/>
      <c r="S376" s="218"/>
      <c r="T376" s="218"/>
      <c r="U376" s="218"/>
      <c r="V376" s="218"/>
      <c r="W376" s="218"/>
      <c r="X376" s="218"/>
      <c r="Y376" s="216"/>
    </row>
    <row r="377" spans="4:25">
      <c r="D377" s="215"/>
      <c r="E377" s="228">
        <f>Orçamento!B60</f>
        <v>1</v>
      </c>
      <c r="F377" s="215" t="str">
        <f>Orçamento!C60</f>
        <v xml:space="preserve">    Kit acessórios AC (eletrodutos, terminais, caixas, etc)</v>
      </c>
      <c r="G377" s="218"/>
      <c r="H377" s="218"/>
      <c r="I377" s="218"/>
      <c r="J377" s="218"/>
      <c r="K377" s="218"/>
      <c r="L377" s="218"/>
      <c r="M377" s="218"/>
      <c r="N377" s="218"/>
      <c r="O377" s="218"/>
      <c r="P377" s="218"/>
      <c r="Q377" s="218"/>
      <c r="R377" s="218"/>
      <c r="S377" s="218"/>
      <c r="T377" s="218"/>
      <c r="U377" s="218"/>
      <c r="V377" s="218"/>
      <c r="W377" s="218"/>
      <c r="X377" s="218"/>
      <c r="Y377" s="216"/>
    </row>
    <row r="378" spans="4:25">
      <c r="D378" s="388"/>
      <c r="E378" s="389"/>
      <c r="F378" s="390"/>
      <c r="G378" s="388"/>
      <c r="H378" s="388"/>
      <c r="I378" s="388"/>
      <c r="J378" s="388"/>
      <c r="K378" s="388"/>
      <c r="L378" s="388"/>
      <c r="M378" s="388"/>
      <c r="N378" s="388"/>
      <c r="O378" s="388"/>
      <c r="P378" s="388"/>
      <c r="Q378" s="388"/>
      <c r="R378" s="388"/>
      <c r="S378" s="388"/>
      <c r="T378" s="388"/>
      <c r="U378" s="388"/>
      <c r="V378" s="388"/>
      <c r="W378" s="388"/>
      <c r="X378" s="388"/>
      <c r="Y378" s="388"/>
    </row>
    <row r="379" spans="4:25">
      <c r="K379" s="217" t="s">
        <v>43</v>
      </c>
      <c r="L379" s="218"/>
      <c r="M379" s="218"/>
      <c r="N379" s="218"/>
      <c r="O379" s="216"/>
      <c r="P379" s="370" t="s">
        <v>2827</v>
      </c>
      <c r="Q379" s="370"/>
      <c r="R379" s="370"/>
      <c r="S379" s="371"/>
    </row>
    <row r="380" spans="4:25">
      <c r="K380" s="217" t="s">
        <v>143</v>
      </c>
      <c r="L380" s="218"/>
      <c r="M380" s="218"/>
      <c r="N380" s="218"/>
      <c r="O380" s="216"/>
      <c r="P380" s="370" t="s">
        <v>2827</v>
      </c>
      <c r="Q380" s="370"/>
      <c r="R380" s="370"/>
      <c r="S380" s="371"/>
    </row>
    <row r="381" spans="4:25">
      <c r="K381" s="217" t="s">
        <v>2828</v>
      </c>
      <c r="L381" s="218"/>
      <c r="M381" s="218"/>
      <c r="N381" s="218"/>
      <c r="O381" s="216"/>
      <c r="P381" s="370" t="s">
        <v>2827</v>
      </c>
      <c r="Q381" s="370"/>
      <c r="R381" s="370"/>
      <c r="S381" s="371"/>
    </row>
    <row r="382" spans="4:25">
      <c r="K382" s="217" t="s">
        <v>2829</v>
      </c>
      <c r="L382" s="218"/>
      <c r="M382" s="218"/>
      <c r="N382" s="218"/>
      <c r="O382" s="216"/>
      <c r="P382" s="370" t="s">
        <v>2827</v>
      </c>
      <c r="Q382" s="370"/>
      <c r="R382" s="370"/>
      <c r="S382" s="371"/>
    </row>
    <row r="383" spans="4:25">
      <c r="K383" s="217" t="s">
        <v>1738</v>
      </c>
      <c r="L383" s="218"/>
      <c r="M383" s="218"/>
      <c r="N383" s="218"/>
      <c r="O383" s="216"/>
      <c r="P383" s="370" t="s">
        <v>2827</v>
      </c>
      <c r="Q383" s="370"/>
      <c r="R383" s="370"/>
      <c r="S383" s="371"/>
    </row>
    <row r="384" spans="4:25">
      <c r="K384" s="217" t="s">
        <v>2830</v>
      </c>
      <c r="L384" s="218"/>
      <c r="M384" s="218"/>
      <c r="N384" s="218"/>
      <c r="O384" s="216"/>
      <c r="P384" s="370" t="s">
        <v>2827</v>
      </c>
      <c r="Q384" s="370"/>
      <c r="R384" s="370"/>
      <c r="S384" s="371"/>
    </row>
    <row r="386" spans="1:29">
      <c r="E386" s="364" t="s">
        <v>2831</v>
      </c>
      <c r="F386" s="190"/>
      <c r="G386" s="190"/>
      <c r="H386" s="190"/>
      <c r="I386" s="190"/>
      <c r="J386" s="190"/>
      <c r="K386" s="190"/>
      <c r="L386" s="190"/>
      <c r="M386" s="190"/>
      <c r="N386" s="190"/>
      <c r="O386" s="190"/>
      <c r="P386" s="190"/>
      <c r="Q386" s="190"/>
      <c r="R386" s="190"/>
      <c r="S386" s="190"/>
      <c r="T386" s="190"/>
      <c r="U386" s="190"/>
      <c r="V386" s="190"/>
      <c r="W386" s="190"/>
      <c r="X386" s="190"/>
    </row>
    <row r="387" spans="1:29">
      <c r="D387" s="217" t="s">
        <v>5715</v>
      </c>
      <c r="E387" s="218"/>
      <c r="F387" s="218"/>
      <c r="G387" s="218"/>
      <c r="H387" s="218"/>
      <c r="I387" s="218"/>
      <c r="J387" s="218"/>
      <c r="K387" s="218"/>
      <c r="L387" s="218"/>
      <c r="M387" s="218"/>
      <c r="N387" s="218"/>
      <c r="O387" s="218"/>
      <c r="P387" s="218"/>
      <c r="Q387" s="218"/>
      <c r="R387" s="218"/>
      <c r="S387" s="218"/>
      <c r="T387" s="218"/>
      <c r="U387" s="218"/>
      <c r="V387" s="218"/>
      <c r="W387" s="218"/>
      <c r="X387" s="218"/>
      <c r="Y387" s="216"/>
    </row>
    <row r="388" spans="1:29">
      <c r="D388" s="217" t="s">
        <v>3962</v>
      </c>
      <c r="E388" s="218"/>
      <c r="F388" s="218"/>
      <c r="G388" s="218"/>
      <c r="H388" s="218"/>
      <c r="I388" s="218"/>
      <c r="J388" s="218"/>
      <c r="K388" s="218"/>
      <c r="L388" s="218"/>
      <c r="M388" s="218"/>
      <c r="N388" s="218"/>
      <c r="O388" s="218"/>
      <c r="P388" s="218"/>
      <c r="Q388" s="218"/>
      <c r="R388" s="218"/>
      <c r="S388" s="218"/>
      <c r="T388" s="218"/>
      <c r="U388" s="218"/>
      <c r="V388" s="218"/>
      <c r="W388" s="218"/>
      <c r="X388" s="218"/>
      <c r="Y388" s="216"/>
    </row>
    <row r="389" spans="1:29">
      <c r="D389" s="217" t="s">
        <v>3963</v>
      </c>
      <c r="E389" s="218"/>
      <c r="F389" s="218"/>
      <c r="G389" s="218"/>
      <c r="H389" s="218"/>
      <c r="I389" s="218"/>
      <c r="J389" s="218"/>
      <c r="K389" s="218"/>
      <c r="L389" s="218"/>
      <c r="M389" s="218"/>
      <c r="N389" s="218"/>
      <c r="O389" s="218"/>
      <c r="P389" s="218"/>
      <c r="Q389" s="218"/>
      <c r="R389" s="218"/>
      <c r="S389" s="218"/>
      <c r="T389" s="218"/>
      <c r="U389" s="218"/>
      <c r="V389" s="218"/>
      <c r="W389" s="218"/>
      <c r="X389" s="218"/>
      <c r="Y389" s="216"/>
    </row>
    <row r="394" spans="1:29" ht="20.25">
      <c r="A394" s="802" t="s">
        <v>2699</v>
      </c>
      <c r="B394" s="802"/>
      <c r="C394" s="802"/>
      <c r="D394" s="802"/>
      <c r="E394" s="802"/>
      <c r="F394" s="802"/>
      <c r="G394" s="802"/>
      <c r="H394" s="802"/>
      <c r="I394" s="802"/>
      <c r="J394" s="802"/>
      <c r="K394" s="802"/>
      <c r="L394" s="802"/>
      <c r="M394" s="802"/>
      <c r="N394" s="802"/>
      <c r="O394" s="802"/>
      <c r="P394" s="802"/>
      <c r="Q394" s="802"/>
      <c r="R394" s="802"/>
      <c r="S394" s="802"/>
      <c r="T394" s="802"/>
      <c r="U394" s="802"/>
      <c r="V394" s="802"/>
      <c r="W394" s="802"/>
      <c r="X394" s="802"/>
      <c r="Y394" s="802"/>
      <c r="Z394" s="802"/>
      <c r="AA394" s="802"/>
      <c r="AB394" s="802"/>
      <c r="AC394" s="802"/>
    </row>
    <row r="405" spans="1:29" ht="15.75">
      <c r="D405" s="817">
        <f>Resumo!$E$294</f>
        <v>15</v>
      </c>
      <c r="E405" s="817"/>
      <c r="F405" s="817"/>
      <c r="G405" s="817"/>
      <c r="H405" s="817"/>
      <c r="I405" s="817"/>
      <c r="J405" s="817"/>
      <c r="L405" s="817">
        <f>Resumo!$E$292</f>
        <v>15</v>
      </c>
      <c r="M405" s="817"/>
      <c r="N405" s="817"/>
      <c r="O405" s="817"/>
      <c r="P405" s="817"/>
      <c r="Q405" s="817"/>
      <c r="R405" s="817"/>
      <c r="S405" s="232"/>
      <c r="T405" s="232"/>
      <c r="W405" s="320" t="s">
        <v>2833</v>
      </c>
      <c r="AA405" s="320"/>
    </row>
    <row r="406" spans="1:29" ht="15.75">
      <c r="D406" s="817" t="str">
        <f>"Performance: "&amp;Resumo!$E$295&amp;" anos"</f>
        <v>Performance: 30 anos</v>
      </c>
      <c r="E406" s="817"/>
      <c r="F406" s="817"/>
      <c r="G406" s="817"/>
      <c r="H406" s="817"/>
      <c r="I406" s="817"/>
      <c r="J406" s="817"/>
      <c r="L406" s="817" t="str">
        <f>"Expansível até "&amp;Resumo!$E$293&amp;" anos"</f>
        <v>Expansível até 15 anos</v>
      </c>
      <c r="M406" s="817"/>
      <c r="N406" s="817"/>
      <c r="O406" s="817"/>
      <c r="P406" s="817"/>
      <c r="Q406" s="817"/>
      <c r="R406" s="817"/>
      <c r="S406" s="232"/>
      <c r="T406" s="232"/>
    </row>
    <row r="411" spans="1:29" ht="20.25" collapsed="1">
      <c r="A411" s="802" t="s">
        <v>2835</v>
      </c>
      <c r="B411" s="802"/>
      <c r="C411" s="802"/>
      <c r="D411" s="802"/>
      <c r="E411" s="802"/>
      <c r="F411" s="802"/>
      <c r="G411" s="802"/>
      <c r="H411" s="802"/>
      <c r="I411" s="802"/>
      <c r="J411" s="802"/>
      <c r="K411" s="802"/>
      <c r="L411" s="802"/>
      <c r="M411" s="802"/>
      <c r="N411" s="802"/>
      <c r="O411" s="802"/>
      <c r="P411" s="802"/>
      <c r="Q411" s="802"/>
      <c r="R411" s="802"/>
      <c r="S411" s="802"/>
      <c r="T411" s="802"/>
      <c r="U411" s="802"/>
      <c r="V411" s="802"/>
      <c r="W411" s="802"/>
      <c r="X411" s="802"/>
      <c r="Y411" s="802"/>
      <c r="Z411" s="802"/>
      <c r="AA411" s="802"/>
      <c r="AB411" s="802"/>
      <c r="AC411" s="802"/>
    </row>
    <row r="417" spans="2:26" ht="18.75">
      <c r="R417" s="194"/>
      <c r="T417" s="809"/>
      <c r="U417" s="809"/>
      <c r="V417" s="809"/>
      <c r="W417" s="809"/>
      <c r="X417" s="809"/>
      <c r="Y417" s="809"/>
    </row>
    <row r="420" spans="2:26" ht="23.25">
      <c r="R420" s="193"/>
      <c r="T420" s="810"/>
      <c r="U420" s="810"/>
      <c r="V420" s="810"/>
      <c r="W420" s="810"/>
      <c r="X420" s="810"/>
      <c r="Y420" s="810"/>
      <c r="Z420" s="810"/>
    </row>
    <row r="425" spans="2:26">
      <c r="B425" t="s">
        <v>2836</v>
      </c>
      <c r="H425" s="246" t="s">
        <v>2837</v>
      </c>
      <c r="J425" s="161"/>
    </row>
    <row r="426" spans="2:26">
      <c r="B426" s="248" t="str">
        <f ca="1">"O valor mensal médio da fatura é de "&amp;TEXT(Resumo!$E$379,"R$0,00")</f>
        <v>O valor mensal médio da fatura é de R$1099,44</v>
      </c>
    </row>
    <row r="428" spans="2:26">
      <c r="B428" s="372" t="str">
        <f ca="1">"Em 10 anos sem Energia Solar gastará "&amp;TEXT(Resumo!$F$379,"R$#.#.000,00")</f>
        <v>Em 10 anos sem Energia Solar gastará R$191.152,43</v>
      </c>
    </row>
    <row r="434" spans="1:29" ht="20.25">
      <c r="A434" s="802" t="s">
        <v>2838</v>
      </c>
      <c r="B434" s="802"/>
      <c r="C434" s="802"/>
      <c r="D434" s="802"/>
      <c r="E434" s="802"/>
      <c r="F434" s="802"/>
      <c r="G434" s="802"/>
      <c r="H434" s="802"/>
      <c r="I434" s="802"/>
      <c r="J434" s="802"/>
      <c r="K434" s="802"/>
      <c r="L434" s="802"/>
      <c r="M434" s="802"/>
      <c r="N434" s="802"/>
      <c r="O434" s="802"/>
      <c r="P434" s="802"/>
      <c r="Q434" s="802"/>
      <c r="R434" s="802"/>
      <c r="S434" s="802"/>
      <c r="T434" s="802"/>
      <c r="U434" s="802"/>
      <c r="V434" s="802"/>
      <c r="W434" s="802"/>
      <c r="X434" s="802"/>
      <c r="Y434" s="802"/>
      <c r="Z434" s="802"/>
      <c r="AA434" s="802"/>
      <c r="AB434" s="802"/>
      <c r="AC434" s="802"/>
    </row>
    <row r="484" ht="18" customHeight="1"/>
    <row r="504" spans="1:29" ht="14.45" customHeight="1">
      <c r="F504" s="811" t="s">
        <v>2839</v>
      </c>
      <c r="G504" s="811"/>
      <c r="H504" s="811"/>
      <c r="I504" s="811"/>
      <c r="J504" s="811"/>
      <c r="K504" s="811"/>
      <c r="L504" s="811" t="s">
        <v>2840</v>
      </c>
      <c r="M504" s="811"/>
      <c r="N504" s="811"/>
      <c r="O504" s="811"/>
      <c r="P504" s="811"/>
      <c r="Q504" s="811"/>
      <c r="R504" s="811" t="s">
        <v>2841</v>
      </c>
      <c r="S504" s="811"/>
      <c r="T504" s="811"/>
      <c r="U504" s="811"/>
      <c r="V504" s="811" t="s">
        <v>2262</v>
      </c>
      <c r="W504" s="811"/>
      <c r="X504" s="811"/>
      <c r="Y504" s="811"/>
    </row>
    <row r="505" spans="1:29">
      <c r="F505" s="811"/>
      <c r="G505" s="811"/>
      <c r="H505" s="811"/>
      <c r="I505" s="811"/>
      <c r="J505" s="811"/>
      <c r="K505" s="811"/>
      <c r="L505" s="811"/>
      <c r="M505" s="811"/>
      <c r="N505" s="811"/>
      <c r="O505" s="811"/>
      <c r="P505" s="811"/>
      <c r="Q505" s="811"/>
      <c r="R505" s="811"/>
      <c r="S505" s="811"/>
      <c r="T505" s="811"/>
      <c r="U505" s="811"/>
      <c r="V505" s="811"/>
      <c r="W505" s="811"/>
      <c r="X505" s="811"/>
      <c r="Y505" s="811"/>
    </row>
    <row r="506" spans="1:29">
      <c r="F506" s="812">
        <f ca="1">Resumo!$E$379</f>
        <v>1099.4440330811947</v>
      </c>
      <c r="G506" s="813"/>
      <c r="H506" s="813"/>
      <c r="I506" s="813"/>
      <c r="J506" s="813"/>
      <c r="K506" s="813"/>
      <c r="L506" s="812">
        <f ca="1">Resumo!$E$380</f>
        <v>190.3498353829211</v>
      </c>
      <c r="M506" s="813"/>
      <c r="N506" s="813"/>
      <c r="O506" s="813"/>
      <c r="P506" s="813"/>
      <c r="Q506" s="813"/>
      <c r="R506" s="812">
        <f ca="1">Resumo!$E$381</f>
        <v>909.09419769827355</v>
      </c>
      <c r="S506" s="813"/>
      <c r="T506" s="813"/>
      <c r="U506" s="813"/>
      <c r="V506" s="816">
        <f ca="1">Resumo!$E$382</f>
        <v>0.82686718954718852</v>
      </c>
      <c r="W506" s="816"/>
      <c r="X506" s="816"/>
      <c r="Y506" s="816"/>
    </row>
    <row r="507" spans="1:29" ht="14.45" customHeight="1">
      <c r="F507" s="808" t="s">
        <v>2842</v>
      </c>
      <c r="G507" s="808"/>
      <c r="H507" s="808"/>
      <c r="I507" s="808"/>
      <c r="J507" s="808"/>
      <c r="K507" s="808"/>
      <c r="L507" s="808"/>
      <c r="M507" s="808"/>
      <c r="N507" s="808"/>
      <c r="O507" s="808"/>
      <c r="P507" s="808"/>
      <c r="Q507" s="808"/>
      <c r="R507" s="808"/>
      <c r="S507" s="808"/>
      <c r="T507" s="808"/>
      <c r="U507" s="808"/>
      <c r="V507" s="808"/>
      <c r="W507" s="808"/>
      <c r="X507" s="808"/>
      <c r="Y507" s="808"/>
    </row>
    <row r="508" spans="1:29">
      <c r="F508" s="808"/>
      <c r="G508" s="808"/>
      <c r="H508" s="808"/>
      <c r="I508" s="808"/>
      <c r="J508" s="808"/>
      <c r="K508" s="808"/>
      <c r="L508" s="808"/>
      <c r="M508" s="808"/>
      <c r="N508" s="808"/>
      <c r="O508" s="808"/>
      <c r="P508" s="808"/>
      <c r="Q508" s="808"/>
      <c r="R508" s="808"/>
      <c r="S508" s="808"/>
      <c r="T508" s="808"/>
      <c r="U508" s="808"/>
      <c r="V508" s="808"/>
      <c r="W508" s="808"/>
      <c r="X508" s="808"/>
      <c r="Y508" s="808"/>
    </row>
    <row r="509" spans="1:29">
      <c r="F509" s="247"/>
      <c r="G509" s="247"/>
      <c r="H509" s="247"/>
      <c r="I509" s="247"/>
      <c r="J509" s="247"/>
      <c r="K509" s="247"/>
      <c r="L509" s="247"/>
      <c r="M509" s="247"/>
      <c r="N509" s="247"/>
      <c r="O509" s="247"/>
      <c r="P509" s="247"/>
      <c r="Q509" s="247"/>
      <c r="R509" s="247"/>
      <c r="S509" s="247"/>
      <c r="T509" s="247"/>
      <c r="U509" s="247"/>
      <c r="V509" s="247"/>
      <c r="W509" s="247"/>
      <c r="X509" s="247"/>
      <c r="Y509" s="249" t="s">
        <v>2843</v>
      </c>
    </row>
    <row r="511" spans="1:29" ht="20.25">
      <c r="A511" s="802" t="s">
        <v>2846</v>
      </c>
      <c r="B511" s="802"/>
      <c r="C511" s="802"/>
      <c r="D511" s="802"/>
      <c r="E511" s="802"/>
      <c r="F511" s="802"/>
      <c r="G511" s="802"/>
      <c r="H511" s="802"/>
      <c r="I511" s="802"/>
      <c r="J511" s="802"/>
      <c r="K511" s="802"/>
      <c r="L511" s="802"/>
      <c r="M511" s="802"/>
      <c r="N511" s="802"/>
      <c r="O511" s="802"/>
      <c r="P511" s="802"/>
      <c r="Q511" s="802"/>
      <c r="R511" s="802"/>
      <c r="S511" s="802"/>
      <c r="T511" s="802"/>
      <c r="U511" s="802"/>
      <c r="V511" s="802"/>
      <c r="W511" s="802"/>
      <c r="X511" s="802"/>
      <c r="Y511" s="802"/>
      <c r="Z511" s="802"/>
      <c r="AA511" s="802"/>
      <c r="AB511" s="802"/>
      <c r="AC511" s="802"/>
    </row>
    <row r="524" spans="3:15" ht="15" customHeight="1">
      <c r="C524" s="59" t="str">
        <f ca="1">"Proposta n° "&amp;Resumo!$E$163-1&amp;" com geração anual previsa de "&amp;TEXT(Resumo!$F$149,"#.#.#")&amp;"kWh."</f>
        <v>Proposta n° 0 com geração anual previsa de 10.142kWh.</v>
      </c>
    </row>
    <row r="525" spans="3:15" ht="15" customHeight="1">
      <c r="C525" s="59"/>
    </row>
    <row r="527" spans="3:15">
      <c r="O527" s="43" t="s">
        <v>2847</v>
      </c>
    </row>
    <row r="528" spans="3:15" ht="15.75">
      <c r="O528" s="60" t="str">
        <f>"("&amp;Resumo!$E$2&amp;")"</f>
        <v>(FLAVIA LOUZADA)</v>
      </c>
    </row>
    <row r="529" spans="15:15">
      <c r="O529" s="321" t="str">
        <f>Resumo!$D$4&amp;": "&amp;Resumo!$E$4</f>
        <v xml:space="preserve">CPF: </v>
      </c>
    </row>
    <row r="532" spans="15:15">
      <c r="O532" s="43"/>
    </row>
    <row r="533" spans="15:15" ht="15.75">
      <c r="O533" s="60" t="s">
        <v>2848</v>
      </c>
    </row>
    <row r="534" spans="15:15">
      <c r="O534" s="324" t="s">
        <v>2849</v>
      </c>
    </row>
    <row r="535" spans="15:15">
      <c r="O535" s="324" t="s">
        <v>2808</v>
      </c>
    </row>
  </sheetData>
  <sheetProtection formatRows="0" selectLockedCells="1"/>
  <mergeCells count="40">
    <mergeCell ref="A74:AC74"/>
    <mergeCell ref="D371:E371"/>
    <mergeCell ref="A207:AC207"/>
    <mergeCell ref="D365:E365"/>
    <mergeCell ref="F35:X38"/>
    <mergeCell ref="A50:AC50"/>
    <mergeCell ref="A100:AC100"/>
    <mergeCell ref="A221:AC221"/>
    <mergeCell ref="A260:AC260"/>
    <mergeCell ref="Q274:X274"/>
    <mergeCell ref="P275:Y276"/>
    <mergeCell ref="A362:AC362"/>
    <mergeCell ref="A229:K230"/>
    <mergeCell ref="A154:AC154"/>
    <mergeCell ref="D366:E366"/>
    <mergeCell ref="A394:AC394"/>
    <mergeCell ref="V506:Y506"/>
    <mergeCell ref="A411:AC411"/>
    <mergeCell ref="T417:Y417"/>
    <mergeCell ref="D405:J405"/>
    <mergeCell ref="L405:R405"/>
    <mergeCell ref="D406:J406"/>
    <mergeCell ref="L406:R406"/>
    <mergeCell ref="T420:Z420"/>
    <mergeCell ref="A511:AC511"/>
    <mergeCell ref="F507:Y508"/>
    <mergeCell ref="A290:AC290"/>
    <mergeCell ref="A312:AC312"/>
    <mergeCell ref="D370:E370"/>
    <mergeCell ref="D369:E369"/>
    <mergeCell ref="D376:E376"/>
    <mergeCell ref="D375:E375"/>
    <mergeCell ref="A434:AC434"/>
    <mergeCell ref="F504:K505"/>
    <mergeCell ref="L504:Q505"/>
    <mergeCell ref="R504:U505"/>
    <mergeCell ref="V504:Y505"/>
    <mergeCell ref="F506:K506"/>
    <mergeCell ref="L506:Q506"/>
    <mergeCell ref="R506:U506"/>
  </mergeCells>
  <pageMargins left="7.874015748031496E-2" right="0" top="0.35433070866141736" bottom="0.31496062992125984" header="3.937007874015748E-2" footer="3.937007874015748E-2"/>
  <pageSetup paperSize="9" scale="99" orientation="portrait" r:id="rId1"/>
  <headerFooter differentFirst="1">
    <oddHeader>&amp;C&amp;"-,Negrito"&amp;16&amp;U&amp;K00-034Proposta Comercial - Cactos</oddHeader>
    <oddFooter>&amp;CPágina &amp;P de &amp;N</oddFooter>
    <firstFooter>&amp;L&amp;9CNPJ:35.807.980/0001-13&amp;C&amp;10&amp;D&amp;R&amp;9(21)97681-1065
www.cactossolucoesemenergia.com.br
contato@cactossolucoesemenergia.com.br</firstFooter>
  </headerFooter>
  <rowBreaks count="9" manualBreakCount="9">
    <brk id="49" max="16383" man="1"/>
    <brk id="99" max="16383" man="1"/>
    <brk id="206" max="28" man="1"/>
    <brk id="259" max="16383" man="1"/>
    <brk id="311" max="16383" man="1"/>
    <brk id="361" max="16383" man="1"/>
    <brk id="410" max="16383" man="1"/>
    <brk id="458" max="16383" man="1"/>
    <brk id="510"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76579" r:id="rId4" name="Spinner 1827">
              <controlPr defaultSize="0" autoPict="0">
                <anchor moveWithCells="1" sizeWithCells="1">
                  <from>
                    <xdr:col>40</xdr:col>
                    <xdr:colOff>66675</xdr:colOff>
                    <xdr:row>0</xdr:row>
                    <xdr:rowOff>161925</xdr:rowOff>
                  </from>
                  <to>
                    <xdr:col>40</xdr:col>
                    <xdr:colOff>447675</xdr:colOff>
                    <xdr:row>4</xdr:row>
                    <xdr:rowOff>19050</xdr:rowOff>
                  </to>
                </anchor>
              </controlPr>
            </control>
          </mc:Choice>
        </mc:AlternateContent>
      </controls>
    </mc:Choice>
  </mc:AlternateConten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DFB7A-483A-412F-A5D6-8987F06640E8}">
  <sheetPr codeName="Planilha15"/>
  <dimension ref="A1:AD25"/>
  <sheetViews>
    <sheetView showGridLines="0" workbookViewId="0">
      <selection activeCell="B8" sqref="B8"/>
    </sheetView>
  </sheetViews>
  <sheetFormatPr defaultRowHeight="15"/>
  <cols>
    <col min="1" max="1" width="12.7109375" bestFit="1" customWidth="1"/>
    <col min="2" max="2" width="46.7109375" bestFit="1" customWidth="1"/>
    <col min="3" max="3" width="17.7109375" bestFit="1" customWidth="1"/>
    <col min="4" max="4" width="8.140625" bestFit="1" customWidth="1"/>
    <col min="5" max="5" width="11.7109375" bestFit="1" customWidth="1"/>
    <col min="6" max="6" width="16.140625" bestFit="1" customWidth="1"/>
    <col min="7" max="7" width="11.7109375" bestFit="1" customWidth="1"/>
    <col min="8" max="8" width="6.85546875" bestFit="1" customWidth="1"/>
    <col min="9" max="9" width="7.42578125" bestFit="1" customWidth="1"/>
    <col min="10" max="11" width="6.85546875" bestFit="1" customWidth="1"/>
    <col min="12" max="12" width="18.28515625" bestFit="1" customWidth="1"/>
    <col min="13" max="13" width="19.5703125" bestFit="1" customWidth="1"/>
    <col min="14" max="14" width="17.85546875" bestFit="1" customWidth="1"/>
    <col min="15" max="15" width="16.85546875" bestFit="1" customWidth="1"/>
    <col min="16" max="16" width="18.140625" bestFit="1" customWidth="1"/>
    <col min="17" max="17" width="21.85546875" bestFit="1" customWidth="1"/>
    <col min="18" max="18" width="22.140625" bestFit="1" customWidth="1"/>
    <col min="19" max="19" width="8" bestFit="1" customWidth="1"/>
    <col min="20" max="20" width="15.7109375" bestFit="1" customWidth="1"/>
    <col min="21" max="21" width="9.7109375" bestFit="1" customWidth="1"/>
    <col min="22" max="22" width="15.5703125" bestFit="1" customWidth="1"/>
    <col min="23" max="23" width="11.28515625" bestFit="1" customWidth="1"/>
    <col min="24" max="24" width="16" bestFit="1" customWidth="1"/>
    <col min="25" max="25" width="13" bestFit="1" customWidth="1"/>
    <col min="26" max="26" width="10.85546875" bestFit="1" customWidth="1"/>
    <col min="27" max="27" width="14.7109375" bestFit="1" customWidth="1"/>
    <col min="28" max="28" width="30.5703125" bestFit="1" customWidth="1"/>
    <col min="29" max="29" width="81.140625" bestFit="1" customWidth="1"/>
    <col min="30" max="30" width="49.7109375" bestFit="1" customWidth="1"/>
  </cols>
  <sheetData>
    <row r="1" spans="1:30">
      <c r="A1" t="s">
        <v>219</v>
      </c>
      <c r="D1" s="29"/>
      <c r="G1" s="44"/>
      <c r="I1" s="44"/>
      <c r="S1" s="94"/>
      <c r="T1" s="95"/>
      <c r="Z1" s="45"/>
    </row>
    <row r="2" spans="1:30">
      <c r="A2" t="s">
        <v>1771</v>
      </c>
      <c r="B2" t="s">
        <v>1772</v>
      </c>
      <c r="C2" t="s">
        <v>2850</v>
      </c>
      <c r="D2" t="s">
        <v>2851</v>
      </c>
      <c r="E2" t="s">
        <v>2634</v>
      </c>
      <c r="F2" t="s">
        <v>2852</v>
      </c>
      <c r="G2" t="s">
        <v>2853</v>
      </c>
      <c r="H2" t="s">
        <v>2854</v>
      </c>
      <c r="I2" t="s">
        <v>2436</v>
      </c>
      <c r="J2" t="s">
        <v>2855</v>
      </c>
      <c r="K2" t="s">
        <v>2433</v>
      </c>
      <c r="L2" t="s">
        <v>2856</v>
      </c>
      <c r="M2" t="s">
        <v>2857</v>
      </c>
      <c r="N2" t="s">
        <v>2858</v>
      </c>
      <c r="O2" t="s">
        <v>2859</v>
      </c>
      <c r="P2" t="s">
        <v>2860</v>
      </c>
      <c r="Q2" t="s">
        <v>2861</v>
      </c>
      <c r="R2" t="s">
        <v>2862</v>
      </c>
      <c r="S2" t="s">
        <v>2863</v>
      </c>
      <c r="T2" t="s">
        <v>2704</v>
      </c>
      <c r="U2" t="s">
        <v>2705</v>
      </c>
      <c r="V2" t="s">
        <v>2864</v>
      </c>
      <c r="W2" t="s">
        <v>2865</v>
      </c>
      <c r="X2" t="s">
        <v>2866</v>
      </c>
      <c r="Y2" t="s">
        <v>2867</v>
      </c>
      <c r="Z2" t="s">
        <v>2868</v>
      </c>
      <c r="AA2" t="s">
        <v>2869</v>
      </c>
      <c r="AB2" t="s">
        <v>2870</v>
      </c>
      <c r="AC2" t="s">
        <v>2871</v>
      </c>
      <c r="AD2" t="s">
        <v>2227</v>
      </c>
    </row>
    <row r="3" spans="1:30">
      <c r="A3" t="s">
        <v>2884</v>
      </c>
      <c r="B3" t="s">
        <v>2885</v>
      </c>
      <c r="C3" t="s">
        <v>2877</v>
      </c>
      <c r="D3" s="219">
        <v>570</v>
      </c>
      <c r="E3" s="220">
        <v>0.221</v>
      </c>
      <c r="F3" s="43">
        <v>144</v>
      </c>
      <c r="G3" s="43" t="s">
        <v>337</v>
      </c>
      <c r="H3" s="221">
        <v>13.04</v>
      </c>
      <c r="I3" s="222">
        <v>43.7</v>
      </c>
      <c r="J3" s="221">
        <v>13.79</v>
      </c>
      <c r="K3" s="222">
        <v>52</v>
      </c>
      <c r="L3" s="221" t="s">
        <v>2873</v>
      </c>
      <c r="M3" s="325">
        <v>-2.8999999999999998E-3</v>
      </c>
      <c r="N3" s="325">
        <v>-2.5000000000000001E-3</v>
      </c>
      <c r="O3" s="325">
        <v>4.2999999999999999E-4</v>
      </c>
      <c r="P3" s="221">
        <v>25</v>
      </c>
      <c r="Q3" s="223">
        <v>-40</v>
      </c>
      <c r="R3" s="223">
        <v>85</v>
      </c>
      <c r="S3" s="224">
        <v>32.1</v>
      </c>
      <c r="T3" s="225">
        <v>2278</v>
      </c>
      <c r="U3" s="225">
        <v>1134</v>
      </c>
      <c r="V3" s="225">
        <v>30</v>
      </c>
      <c r="W3" s="225" t="s">
        <v>2874</v>
      </c>
      <c r="X3" s="326"/>
      <c r="Y3" s="326"/>
      <c r="Z3" s="192">
        <v>15</v>
      </c>
      <c r="AA3" s="192">
        <v>30</v>
      </c>
      <c r="AB3" s="23">
        <v>4.1999999999999997E-3</v>
      </c>
      <c r="AC3" s="327"/>
      <c r="AD3" t="s">
        <v>2886</v>
      </c>
    </row>
    <row r="4" spans="1:30">
      <c r="A4" t="s">
        <v>2876</v>
      </c>
      <c r="B4" t="s">
        <v>4463</v>
      </c>
      <c r="C4" t="s">
        <v>2877</v>
      </c>
      <c r="D4" s="219">
        <v>570</v>
      </c>
      <c r="E4" s="220">
        <v>0.221</v>
      </c>
      <c r="F4" s="43">
        <v>144</v>
      </c>
      <c r="G4" s="43" t="s">
        <v>337</v>
      </c>
      <c r="H4" s="221">
        <v>13.19</v>
      </c>
      <c r="I4" s="222">
        <v>43.2</v>
      </c>
      <c r="J4" s="221">
        <v>14.02</v>
      </c>
      <c r="K4" s="222">
        <v>51</v>
      </c>
      <c r="L4" s="221" t="s">
        <v>2873</v>
      </c>
      <c r="M4" s="325">
        <v>-2.8999999999999998E-3</v>
      </c>
      <c r="N4" s="325">
        <v>2.5000000000000001E-3</v>
      </c>
      <c r="O4" s="325">
        <v>4.6000000000000001E-4</v>
      </c>
      <c r="P4" s="221">
        <v>30</v>
      </c>
      <c r="Q4" s="223">
        <v>-40</v>
      </c>
      <c r="R4" s="223">
        <v>85</v>
      </c>
      <c r="S4" s="224">
        <v>31.2</v>
      </c>
      <c r="T4" s="225">
        <v>2278</v>
      </c>
      <c r="U4" s="225">
        <v>1134</v>
      </c>
      <c r="V4" s="225">
        <v>30</v>
      </c>
      <c r="W4" s="225" t="s">
        <v>2874</v>
      </c>
      <c r="X4" s="326">
        <v>3</v>
      </c>
      <c r="Y4" s="326"/>
      <c r="Z4" s="192">
        <v>15</v>
      </c>
      <c r="AA4" s="192">
        <v>30</v>
      </c>
      <c r="AB4" s="23"/>
      <c r="AC4" s="327" t="s">
        <v>4464</v>
      </c>
    </row>
    <row r="5" spans="1:30">
      <c r="A5" t="s">
        <v>2884</v>
      </c>
      <c r="B5" t="s">
        <v>2887</v>
      </c>
      <c r="C5" t="s">
        <v>2877</v>
      </c>
      <c r="D5" s="219">
        <v>575</v>
      </c>
      <c r="E5" s="220">
        <v>0.223</v>
      </c>
      <c r="F5" s="43">
        <v>144</v>
      </c>
      <c r="G5" s="43" t="s">
        <v>337</v>
      </c>
      <c r="H5" s="221">
        <v>13.12</v>
      </c>
      <c r="I5" s="222">
        <v>43.82</v>
      </c>
      <c r="J5" s="221">
        <v>13.89</v>
      </c>
      <c r="K5" s="222">
        <v>52.3</v>
      </c>
      <c r="L5" s="221" t="s">
        <v>2873</v>
      </c>
      <c r="M5" s="325">
        <v>-2.8999999999999998E-3</v>
      </c>
      <c r="N5" s="325">
        <v>-2.5000000000000001E-3</v>
      </c>
      <c r="O5" s="325">
        <v>4.2999999999999999E-4</v>
      </c>
      <c r="P5" s="221">
        <v>25</v>
      </c>
      <c r="Q5" s="223">
        <v>-40</v>
      </c>
      <c r="R5" s="223">
        <v>85</v>
      </c>
      <c r="S5" s="224">
        <v>32.1</v>
      </c>
      <c r="T5" s="225">
        <v>2278</v>
      </c>
      <c r="U5" s="225">
        <v>1134</v>
      </c>
      <c r="V5" s="225">
        <v>30</v>
      </c>
      <c r="W5" s="225" t="s">
        <v>2874</v>
      </c>
      <c r="X5" s="326">
        <v>3</v>
      </c>
      <c r="Y5" s="326"/>
      <c r="Z5" s="192">
        <v>15</v>
      </c>
      <c r="AA5" s="192">
        <v>30</v>
      </c>
      <c r="AB5" s="23">
        <v>4.1999999999999997E-3</v>
      </c>
      <c r="AC5" s="327"/>
      <c r="AD5" t="s">
        <v>2886</v>
      </c>
    </row>
    <row r="6" spans="1:30">
      <c r="A6" t="s">
        <v>2876</v>
      </c>
      <c r="B6" t="s">
        <v>5173</v>
      </c>
      <c r="C6" t="s">
        <v>5711</v>
      </c>
      <c r="D6" s="219">
        <v>585</v>
      </c>
      <c r="E6" s="220">
        <v>0.22650000000000001</v>
      </c>
      <c r="F6" s="43">
        <v>144</v>
      </c>
      <c r="G6" s="43" t="s">
        <v>337</v>
      </c>
      <c r="H6" s="221">
        <v>13.36</v>
      </c>
      <c r="I6" s="222">
        <v>43.8</v>
      </c>
      <c r="J6" s="221">
        <v>14.2</v>
      </c>
      <c r="K6" s="222">
        <v>51.6</v>
      </c>
      <c r="L6" s="221" t="s">
        <v>2873</v>
      </c>
      <c r="M6" s="325">
        <v>-3.0000000000000001E-3</v>
      </c>
      <c r="N6" s="325">
        <v>-2.5000000000000001E-3</v>
      </c>
      <c r="O6" s="325">
        <v>4.6000000000000001E-4</v>
      </c>
      <c r="P6" s="221">
        <v>25</v>
      </c>
      <c r="Q6" s="223">
        <v>-40</v>
      </c>
      <c r="R6" s="223">
        <v>85</v>
      </c>
      <c r="S6" s="224">
        <v>29</v>
      </c>
      <c r="T6" s="225">
        <v>2278</v>
      </c>
      <c r="U6" s="225">
        <v>1134</v>
      </c>
      <c r="V6" s="225">
        <v>32</v>
      </c>
      <c r="W6" s="225" t="s">
        <v>2874</v>
      </c>
      <c r="X6" s="326">
        <v>3</v>
      </c>
      <c r="Y6" s="326"/>
      <c r="Z6" s="192">
        <v>15</v>
      </c>
      <c r="AA6" s="192">
        <v>30</v>
      </c>
      <c r="AB6" s="23"/>
      <c r="AC6" s="327" t="s">
        <v>5174</v>
      </c>
    </row>
    <row r="7" spans="1:30">
      <c r="A7" t="s">
        <v>2882</v>
      </c>
      <c r="B7" t="s">
        <v>4798</v>
      </c>
      <c r="C7" t="s">
        <v>2877</v>
      </c>
      <c r="D7" s="219">
        <v>585</v>
      </c>
      <c r="E7" s="220">
        <v>0.22650000000000001</v>
      </c>
      <c r="F7" s="43">
        <v>132</v>
      </c>
      <c r="G7" s="43" t="s">
        <v>337</v>
      </c>
      <c r="H7" s="221">
        <v>14.44</v>
      </c>
      <c r="I7" s="222">
        <v>40.51</v>
      </c>
      <c r="J7" s="221">
        <v>15.27</v>
      </c>
      <c r="K7" s="222">
        <v>48.42</v>
      </c>
      <c r="L7" s="221" t="s">
        <v>2873</v>
      </c>
      <c r="M7" s="325">
        <v>-3.0000000000000001E-3</v>
      </c>
      <c r="N7" s="325">
        <v>-2.5000000000000001E-3</v>
      </c>
      <c r="O7" s="325">
        <v>4.6000000000000001E-4</v>
      </c>
      <c r="P7" s="221">
        <v>25</v>
      </c>
      <c r="Q7" s="223">
        <v>-40</v>
      </c>
      <c r="R7" s="223">
        <v>85</v>
      </c>
      <c r="S7" s="224">
        <v>27</v>
      </c>
      <c r="T7" s="225">
        <v>2278</v>
      </c>
      <c r="U7" s="225">
        <v>1134</v>
      </c>
      <c r="V7" s="225">
        <v>30</v>
      </c>
      <c r="W7" s="225" t="s">
        <v>2874</v>
      </c>
      <c r="X7" s="326">
        <v>3</v>
      </c>
      <c r="Y7" s="326"/>
      <c r="Z7" s="192">
        <v>25</v>
      </c>
      <c r="AA7" s="192">
        <v>30</v>
      </c>
      <c r="AB7" s="23"/>
      <c r="AC7" s="327" t="s">
        <v>4799</v>
      </c>
    </row>
    <row r="8" spans="1:30">
      <c r="A8" t="s">
        <v>2882</v>
      </c>
      <c r="B8" t="s">
        <v>2888</v>
      </c>
      <c r="C8" t="s">
        <v>2877</v>
      </c>
      <c r="D8" s="219">
        <v>590</v>
      </c>
      <c r="E8" s="220">
        <v>0.21299999999999999</v>
      </c>
      <c r="F8" s="43">
        <v>156</v>
      </c>
      <c r="G8" s="43" t="s">
        <v>337</v>
      </c>
      <c r="H8" s="221">
        <v>13.32</v>
      </c>
      <c r="I8" s="222">
        <v>45.4</v>
      </c>
      <c r="J8" s="221">
        <v>14.15</v>
      </c>
      <c r="K8" s="222">
        <v>45.4</v>
      </c>
      <c r="L8" s="221" t="s">
        <v>2873</v>
      </c>
      <c r="M8" s="325">
        <v>-3.5999999999999999E-3</v>
      </c>
      <c r="N8" s="325">
        <v>-2.8E-3</v>
      </c>
      <c r="O8" s="325">
        <v>5.0000000000000001E-4</v>
      </c>
      <c r="P8" s="221">
        <v>25</v>
      </c>
      <c r="Q8" s="223">
        <v>-40</v>
      </c>
      <c r="R8" s="223">
        <v>85</v>
      </c>
      <c r="S8" s="224">
        <v>31</v>
      </c>
      <c r="T8" s="225">
        <v>2443</v>
      </c>
      <c r="U8" s="225">
        <v>1134</v>
      </c>
      <c r="V8" s="225">
        <v>35</v>
      </c>
      <c r="W8" s="225" t="s">
        <v>2874</v>
      </c>
      <c r="X8" s="326"/>
      <c r="Y8" s="326"/>
      <c r="Z8" s="192">
        <v>15</v>
      </c>
      <c r="AA8" s="192">
        <v>25</v>
      </c>
      <c r="AB8" s="23">
        <v>8.0000000000000002E-3</v>
      </c>
      <c r="AC8" s="327"/>
      <c r="AD8" t="s">
        <v>2889</v>
      </c>
    </row>
    <row r="9" spans="1:30">
      <c r="A9" t="s">
        <v>2884</v>
      </c>
      <c r="B9" t="s">
        <v>5712</v>
      </c>
      <c r="C9" t="s">
        <v>5711</v>
      </c>
      <c r="D9" s="219">
        <v>600</v>
      </c>
      <c r="E9" s="220">
        <v>0.222</v>
      </c>
      <c r="F9" s="43">
        <v>132</v>
      </c>
      <c r="G9" s="43" t="s">
        <v>337</v>
      </c>
      <c r="H9" s="221">
        <v>14.62</v>
      </c>
      <c r="I9" s="222">
        <v>41.05</v>
      </c>
      <c r="J9" s="221">
        <v>15.78</v>
      </c>
      <c r="K9" s="222">
        <v>48.44</v>
      </c>
      <c r="L9" s="221" t="s">
        <v>2873</v>
      </c>
      <c r="M9" s="325">
        <v>-2.8999999999999998E-3</v>
      </c>
      <c r="N9" s="325">
        <v>-2.5000000000000001E-3</v>
      </c>
      <c r="O9" s="325">
        <v>4.2999999999999999E-4</v>
      </c>
      <c r="P9" s="221">
        <v>35</v>
      </c>
      <c r="Q9" s="223"/>
      <c r="R9" s="223"/>
      <c r="S9" s="224">
        <v>32.799999999999997</v>
      </c>
      <c r="T9" s="225">
        <v>2382</v>
      </c>
      <c r="U9" s="225">
        <v>1134</v>
      </c>
      <c r="V9" s="225">
        <v>30</v>
      </c>
      <c r="W9" s="225" t="s">
        <v>5713</v>
      </c>
      <c r="X9" s="326">
        <v>3</v>
      </c>
      <c r="Y9" s="326"/>
      <c r="Z9" s="192">
        <v>15</v>
      </c>
      <c r="AA9" s="192">
        <v>30</v>
      </c>
      <c r="AB9" s="23">
        <v>4.1999999999999997E-3</v>
      </c>
      <c r="AC9" s="327" t="s">
        <v>5714</v>
      </c>
      <c r="AD9" t="s">
        <v>2886</v>
      </c>
    </row>
    <row r="10" spans="1:30">
      <c r="A10" t="s">
        <v>2882</v>
      </c>
      <c r="B10" t="s">
        <v>7524</v>
      </c>
      <c r="C10" t="s">
        <v>5711</v>
      </c>
      <c r="D10" s="219">
        <v>600</v>
      </c>
      <c r="E10" s="220">
        <v>0.222</v>
      </c>
      <c r="F10" s="43">
        <v>132</v>
      </c>
      <c r="G10" s="43" t="s">
        <v>337</v>
      </c>
      <c r="H10" s="221">
        <v>14.9</v>
      </c>
      <c r="I10" s="222">
        <v>40.26</v>
      </c>
      <c r="J10" s="221">
        <v>15.78</v>
      </c>
      <c r="K10" s="222">
        <v>48.45</v>
      </c>
      <c r="L10" s="221" t="s">
        <v>2873</v>
      </c>
      <c r="M10" s="325">
        <v>-3.0000000000000001E-3</v>
      </c>
      <c r="N10" s="325">
        <v>2.5000000000000001E-3</v>
      </c>
      <c r="O10" s="325">
        <v>4.6000000000000001E-4</v>
      </c>
      <c r="P10" s="221">
        <v>25</v>
      </c>
      <c r="Q10" s="223">
        <v>-40</v>
      </c>
      <c r="R10" s="223">
        <v>85</v>
      </c>
      <c r="S10" s="224">
        <v>34.5</v>
      </c>
      <c r="T10" s="225">
        <v>2384</v>
      </c>
      <c r="U10" s="225">
        <v>1134</v>
      </c>
      <c r="V10" s="225">
        <v>30</v>
      </c>
      <c r="W10" s="225" t="s">
        <v>2874</v>
      </c>
      <c r="X10" s="326"/>
      <c r="Y10" s="326"/>
      <c r="Z10" s="192">
        <v>25</v>
      </c>
      <c r="AA10" s="192">
        <v>30</v>
      </c>
      <c r="AB10" s="23">
        <v>4.1999999999999997E-3</v>
      </c>
      <c r="AC10" s="327" t="s">
        <v>7525</v>
      </c>
    </row>
    <row r="11" spans="1:30">
      <c r="A11" t="s">
        <v>2876</v>
      </c>
      <c r="B11" t="s">
        <v>5175</v>
      </c>
      <c r="C11" t="s">
        <v>5711</v>
      </c>
      <c r="D11" s="219">
        <v>610</v>
      </c>
      <c r="E11" s="220">
        <v>0.22600000000000001</v>
      </c>
      <c r="F11" s="43">
        <v>144</v>
      </c>
      <c r="G11" s="43" t="s">
        <v>337</v>
      </c>
      <c r="H11" s="221">
        <v>13.68</v>
      </c>
      <c r="I11" s="222">
        <v>44.6</v>
      </c>
      <c r="J11" s="221">
        <v>14.72</v>
      </c>
      <c r="K11" s="222">
        <v>52.4</v>
      </c>
      <c r="L11" s="221" t="s">
        <v>2873</v>
      </c>
      <c r="M11" s="325">
        <v>-2.8999999999999998E-3</v>
      </c>
      <c r="N11" s="325">
        <v>-2.5000000000000001E-3</v>
      </c>
      <c r="O11" s="325">
        <v>4.6000000000000001E-4</v>
      </c>
      <c r="P11" s="221">
        <v>25</v>
      </c>
      <c r="Q11" s="223">
        <v>-40</v>
      </c>
      <c r="R11" s="223">
        <v>85</v>
      </c>
      <c r="S11" s="224">
        <v>27.2</v>
      </c>
      <c r="T11" s="225">
        <v>2384</v>
      </c>
      <c r="U11" s="225">
        <v>1134</v>
      </c>
      <c r="V11" s="225">
        <v>30</v>
      </c>
      <c r="W11" s="225" t="s">
        <v>2874</v>
      </c>
      <c r="X11" s="326">
        <v>3</v>
      </c>
      <c r="Y11" s="326"/>
      <c r="Z11" s="192">
        <v>15</v>
      </c>
      <c r="AA11" s="192">
        <v>30</v>
      </c>
      <c r="AB11" s="23"/>
      <c r="AC11" s="327" t="s">
        <v>5176</v>
      </c>
    </row>
    <row r="12" spans="1:30">
      <c r="A12" t="s">
        <v>5631</v>
      </c>
      <c r="B12" t="s">
        <v>5632</v>
      </c>
      <c r="C12" t="s">
        <v>7526</v>
      </c>
      <c r="D12" s="219">
        <v>610</v>
      </c>
      <c r="E12" s="220">
        <v>0.22559999999999999</v>
      </c>
      <c r="F12" s="43">
        <v>132</v>
      </c>
      <c r="G12" s="43" t="s">
        <v>337</v>
      </c>
      <c r="H12" s="221">
        <v>14.53</v>
      </c>
      <c r="I12" s="222">
        <v>42</v>
      </c>
      <c r="J12" s="221">
        <v>15.32</v>
      </c>
      <c r="K12" s="222">
        <v>50.63</v>
      </c>
      <c r="L12" s="221" t="s">
        <v>2873</v>
      </c>
      <c r="M12" s="325">
        <v>-2.5999999999999999E-3</v>
      </c>
      <c r="N12" s="325">
        <v>-2.3999999999999998E-3</v>
      </c>
      <c r="O12" s="325">
        <v>4.0000000000000002E-4</v>
      </c>
      <c r="P12" s="221">
        <v>30</v>
      </c>
      <c r="Q12" s="223">
        <v>-40</v>
      </c>
      <c r="R12" s="223">
        <v>85</v>
      </c>
      <c r="S12" s="224">
        <v>33.6</v>
      </c>
      <c r="T12" s="225">
        <v>2382</v>
      </c>
      <c r="U12" s="225">
        <v>1134</v>
      </c>
      <c r="V12" s="225">
        <v>30</v>
      </c>
      <c r="W12" s="225" t="s">
        <v>2874</v>
      </c>
      <c r="X12" s="326"/>
      <c r="Y12" s="326"/>
      <c r="Z12" s="192">
        <v>15</v>
      </c>
      <c r="AA12" s="192">
        <v>30</v>
      </c>
      <c r="AB12" s="23">
        <v>4.1999999999999997E-3</v>
      </c>
      <c r="AC12" s="327" t="s">
        <v>5633</v>
      </c>
      <c r="AD12" t="s">
        <v>5634</v>
      </c>
    </row>
    <row r="13" spans="1:30">
      <c r="A13" t="s">
        <v>2884</v>
      </c>
      <c r="B13" t="s">
        <v>2890</v>
      </c>
      <c r="C13" t="s">
        <v>5711</v>
      </c>
      <c r="D13" s="219">
        <v>620</v>
      </c>
      <c r="E13" s="220">
        <v>0.222</v>
      </c>
      <c r="F13" s="43">
        <v>156</v>
      </c>
      <c r="G13" s="43" t="s">
        <v>337</v>
      </c>
      <c r="H13" s="221">
        <v>13.44</v>
      </c>
      <c r="I13" s="222">
        <v>46.12</v>
      </c>
      <c r="J13" s="221">
        <v>14.03</v>
      </c>
      <c r="K13" s="222">
        <v>55.81</v>
      </c>
      <c r="L13" s="221" t="s">
        <v>2873</v>
      </c>
      <c r="M13" s="325">
        <v>-2.8999999999999998E-3</v>
      </c>
      <c r="N13" s="325">
        <v>-2.5000000000000001E-3</v>
      </c>
      <c r="O13" s="325">
        <v>4.2999999999999999E-4</v>
      </c>
      <c r="P13" s="221">
        <v>30</v>
      </c>
      <c r="Q13" s="223">
        <v>-40</v>
      </c>
      <c r="R13" s="223">
        <v>85</v>
      </c>
      <c r="S13" s="224">
        <v>34.700000000000003</v>
      </c>
      <c r="T13" s="225">
        <v>2465</v>
      </c>
      <c r="U13" s="225">
        <v>1134</v>
      </c>
      <c r="V13" s="225">
        <v>30</v>
      </c>
      <c r="W13" s="225" t="s">
        <v>2874</v>
      </c>
      <c r="X13" s="326">
        <v>3</v>
      </c>
      <c r="Y13" s="326"/>
      <c r="Z13" s="192">
        <v>15</v>
      </c>
      <c r="AA13" s="192">
        <v>30</v>
      </c>
      <c r="AB13" s="23">
        <v>4.1999999999999997E-3</v>
      </c>
      <c r="AC13" s="327" t="s">
        <v>2891</v>
      </c>
      <c r="AD13" t="s">
        <v>2886</v>
      </c>
    </row>
    <row r="14" spans="1:30">
      <c r="A14" t="s">
        <v>2884</v>
      </c>
      <c r="B14" t="s">
        <v>2892</v>
      </c>
      <c r="C14" t="s">
        <v>5711</v>
      </c>
      <c r="D14" s="219">
        <v>625</v>
      </c>
      <c r="E14" s="220">
        <v>0.224</v>
      </c>
      <c r="F14" s="43">
        <v>156</v>
      </c>
      <c r="G14" s="43" t="s">
        <v>337</v>
      </c>
      <c r="H14" s="221">
        <v>13.5</v>
      </c>
      <c r="I14" s="222">
        <v>46.29</v>
      </c>
      <c r="J14" s="221">
        <v>14.11</v>
      </c>
      <c r="K14" s="222">
        <v>56.01</v>
      </c>
      <c r="L14" s="221" t="s">
        <v>2873</v>
      </c>
      <c r="M14" s="325">
        <v>-2.8999999999999998E-3</v>
      </c>
      <c r="N14" s="325">
        <v>-2.5000000000000001E-3</v>
      </c>
      <c r="O14" s="325">
        <v>4.2999999999999999E-4</v>
      </c>
      <c r="P14" s="221">
        <v>30</v>
      </c>
      <c r="Q14" s="223">
        <v>-40</v>
      </c>
      <c r="R14" s="223">
        <v>85</v>
      </c>
      <c r="S14" s="224">
        <v>34.700000000000003</v>
      </c>
      <c r="T14" s="225">
        <v>2465</v>
      </c>
      <c r="U14" s="225">
        <v>1134</v>
      </c>
      <c r="V14" s="225">
        <v>30</v>
      </c>
      <c r="W14" s="225" t="s">
        <v>2874</v>
      </c>
      <c r="X14" s="326">
        <v>3</v>
      </c>
      <c r="Y14" s="326"/>
      <c r="Z14" s="192">
        <v>15</v>
      </c>
      <c r="AA14" s="192">
        <v>30</v>
      </c>
      <c r="AB14" s="23">
        <v>4.1999999999999997E-3</v>
      </c>
      <c r="AC14" s="327" t="s">
        <v>2891</v>
      </c>
      <c r="AD14" t="s">
        <v>2886</v>
      </c>
    </row>
    <row r="15" spans="1:30">
      <c r="A15" t="s">
        <v>2875</v>
      </c>
      <c r="B15" t="s">
        <v>2893</v>
      </c>
      <c r="C15" t="s">
        <v>5711</v>
      </c>
      <c r="D15" s="219">
        <v>655</v>
      </c>
      <c r="E15" s="220">
        <v>0.21099999999999999</v>
      </c>
      <c r="F15" s="43">
        <v>132</v>
      </c>
      <c r="G15" s="43" t="s">
        <v>337</v>
      </c>
      <c r="H15" s="221">
        <v>17.2</v>
      </c>
      <c r="I15" s="222">
        <v>38.1</v>
      </c>
      <c r="J15" s="221">
        <v>18.43</v>
      </c>
      <c r="K15" s="222">
        <v>45.2</v>
      </c>
      <c r="L15" s="221" t="s">
        <v>2894</v>
      </c>
      <c r="M15" s="325">
        <v>-3.3999999999999998E-3</v>
      </c>
      <c r="N15" s="325">
        <v>-2.5999999999999999E-3</v>
      </c>
      <c r="O15" s="325">
        <v>5.0000000000000001E-4</v>
      </c>
      <c r="P15" s="221">
        <v>35</v>
      </c>
      <c r="Q15" s="223">
        <v>-40</v>
      </c>
      <c r="R15" s="223">
        <v>85</v>
      </c>
      <c r="S15" s="224">
        <v>37.9</v>
      </c>
      <c r="T15" s="225">
        <v>2384</v>
      </c>
      <c r="U15" s="225">
        <v>1303</v>
      </c>
      <c r="V15" s="225">
        <v>35</v>
      </c>
      <c r="W15" s="225" t="s">
        <v>2874</v>
      </c>
      <c r="X15" s="326"/>
      <c r="Y15" s="326"/>
      <c r="Z15" s="192">
        <v>12</v>
      </c>
      <c r="AA15" s="192">
        <v>30</v>
      </c>
      <c r="AB15" s="23">
        <v>5.0166666669999999E-3</v>
      </c>
      <c r="AC15" s="327"/>
      <c r="AD15" t="s">
        <v>2895</v>
      </c>
    </row>
    <row r="16" spans="1:30">
      <c r="A16" t="s">
        <v>2882</v>
      </c>
      <c r="B16" t="s">
        <v>2897</v>
      </c>
      <c r="C16" t="s">
        <v>5711</v>
      </c>
      <c r="D16" s="219">
        <v>665</v>
      </c>
      <c r="E16" s="220">
        <v>0.214</v>
      </c>
      <c r="F16" s="43">
        <v>132</v>
      </c>
      <c r="G16" s="43" t="s">
        <v>337</v>
      </c>
      <c r="H16" s="221">
        <v>17.399999999999999</v>
      </c>
      <c r="I16" s="222">
        <v>38.21</v>
      </c>
      <c r="J16" s="221">
        <v>18.309999999999999</v>
      </c>
      <c r="K16" s="222">
        <v>46.18</v>
      </c>
      <c r="L16" s="221" t="s">
        <v>2873</v>
      </c>
      <c r="M16" s="325">
        <v>-3.5999999999999999E-3</v>
      </c>
      <c r="N16" s="325">
        <v>-2.8E-3</v>
      </c>
      <c r="O16" s="325">
        <v>5.0000000000000001E-4</v>
      </c>
      <c r="P16" s="221">
        <v>30</v>
      </c>
      <c r="Q16" s="223">
        <v>-40</v>
      </c>
      <c r="R16" s="223">
        <v>85</v>
      </c>
      <c r="S16" s="224">
        <v>34</v>
      </c>
      <c r="T16" s="225">
        <v>2384</v>
      </c>
      <c r="U16" s="225">
        <v>1303</v>
      </c>
      <c r="V16" s="225">
        <v>35</v>
      </c>
      <c r="W16" s="225" t="s">
        <v>2874</v>
      </c>
      <c r="X16" s="326"/>
      <c r="Y16" s="326"/>
      <c r="Z16" s="192">
        <v>15</v>
      </c>
      <c r="AA16" s="192">
        <v>25</v>
      </c>
      <c r="AB16" s="23">
        <v>8.0000000000000002E-3</v>
      </c>
      <c r="AC16" s="327"/>
      <c r="AD16" t="s">
        <v>2889</v>
      </c>
    </row>
    <row r="17" spans="1:30">
      <c r="A17" t="s">
        <v>2882</v>
      </c>
      <c r="B17" t="s">
        <v>2896</v>
      </c>
      <c r="C17" t="s">
        <v>5711</v>
      </c>
      <c r="D17" s="219">
        <v>665</v>
      </c>
      <c r="E17" s="220">
        <v>0.214</v>
      </c>
      <c r="F17" s="43">
        <v>132</v>
      </c>
      <c r="G17" s="43" t="s">
        <v>337</v>
      </c>
      <c r="H17" s="221">
        <v>17.399999999999999</v>
      </c>
      <c r="I17" s="222">
        <v>38.21</v>
      </c>
      <c r="J17" s="221">
        <v>18.309999999999999</v>
      </c>
      <c r="K17" s="222">
        <v>46.18</v>
      </c>
      <c r="L17" s="221" t="s">
        <v>2873</v>
      </c>
      <c r="M17" s="325">
        <v>-3.3999999999999998E-3</v>
      </c>
      <c r="N17" s="325">
        <v>-2.5000000000000001E-3</v>
      </c>
      <c r="O17" s="325">
        <v>4.0000000000000002E-4</v>
      </c>
      <c r="P17" s="221">
        <v>30</v>
      </c>
      <c r="Q17" s="223">
        <v>-40</v>
      </c>
      <c r="R17" s="223">
        <v>85</v>
      </c>
      <c r="S17" s="224">
        <v>34</v>
      </c>
      <c r="T17" s="225">
        <v>2384</v>
      </c>
      <c r="U17" s="225">
        <v>1303</v>
      </c>
      <c r="V17" s="225">
        <v>35</v>
      </c>
      <c r="W17" s="225" t="s">
        <v>2874</v>
      </c>
      <c r="X17" s="326"/>
      <c r="Y17" s="326"/>
      <c r="Z17" s="192">
        <v>15</v>
      </c>
      <c r="AA17" s="192">
        <v>30</v>
      </c>
      <c r="AB17" s="23">
        <v>5.0166666669999999E-3</v>
      </c>
      <c r="AC17" s="327"/>
      <c r="AD17" t="s">
        <v>2895</v>
      </c>
    </row>
    <row r="18" spans="1:30">
      <c r="A18" t="s">
        <v>4465</v>
      </c>
      <c r="B18" t="s">
        <v>4466</v>
      </c>
      <c r="C18" t="s">
        <v>7526</v>
      </c>
      <c r="D18" s="219">
        <v>695</v>
      </c>
      <c r="E18" s="220">
        <v>0.224</v>
      </c>
      <c r="F18" s="43">
        <v>132</v>
      </c>
      <c r="G18" s="43" t="s">
        <v>337</v>
      </c>
      <c r="H18" s="221">
        <v>17.25</v>
      </c>
      <c r="I18" s="222">
        <v>40.299999999999997</v>
      </c>
      <c r="J18" s="221">
        <v>18.28</v>
      </c>
      <c r="K18" s="222">
        <v>48.3</v>
      </c>
      <c r="L18" s="221" t="s">
        <v>2883</v>
      </c>
      <c r="M18" s="325">
        <v>-2.8999999999999998E-3</v>
      </c>
      <c r="N18" s="325">
        <v>-2.3999999999999998E-3</v>
      </c>
      <c r="O18" s="325">
        <v>4.0000000000000002E-4</v>
      </c>
      <c r="P18" s="221">
        <v>35</v>
      </c>
      <c r="Q18" s="223">
        <v>-40</v>
      </c>
      <c r="R18" s="223">
        <v>85</v>
      </c>
      <c r="S18" s="224">
        <v>38.299999999999997</v>
      </c>
      <c r="T18" s="225">
        <v>2384</v>
      </c>
      <c r="U18" s="225">
        <v>1303</v>
      </c>
      <c r="V18" s="225">
        <v>33</v>
      </c>
      <c r="W18" s="225" t="s">
        <v>2874</v>
      </c>
      <c r="X18" s="326"/>
      <c r="Y18" s="326"/>
      <c r="Z18" s="192">
        <v>12</v>
      </c>
      <c r="AA18" s="192">
        <v>30</v>
      </c>
      <c r="AB18" s="23">
        <v>4.0000000000000001E-3</v>
      </c>
      <c r="AC18" s="327" t="s">
        <v>4467</v>
      </c>
    </row>
    <row r="23" spans="1:30">
      <c r="A23" s="705" t="s">
        <v>2898</v>
      </c>
      <c r="B23" s="706" t="s">
        <v>2899</v>
      </c>
      <c r="C23" s="706" t="s">
        <v>2872</v>
      </c>
      <c r="D23" s="707">
        <v>325</v>
      </c>
      <c r="E23" s="708"/>
      <c r="F23" s="709"/>
      <c r="G23" s="709"/>
      <c r="H23" s="710"/>
      <c r="I23" s="711">
        <v>37.799999999999997</v>
      </c>
      <c r="J23" s="710"/>
      <c r="K23" s="711">
        <v>46.08</v>
      </c>
      <c r="L23" s="710"/>
      <c r="M23" s="712">
        <v>-4.0000000000000001E-3</v>
      </c>
      <c r="N23" s="712">
        <v>-3.0000000000000001E-3</v>
      </c>
      <c r="O23" s="712">
        <v>5.9999999999999995E-4</v>
      </c>
      <c r="P23" s="710"/>
    </row>
    <row r="25" spans="1:30">
      <c r="A25" s="256" t="s">
        <v>2878</v>
      </c>
      <c r="B25" s="257" t="s">
        <v>2879</v>
      </c>
      <c r="C25" s="257" t="s">
        <v>2877</v>
      </c>
      <c r="D25" s="259">
        <v>440</v>
      </c>
      <c r="E25" s="260">
        <v>0.19800000000000001</v>
      </c>
      <c r="F25" s="261">
        <v>144</v>
      </c>
      <c r="G25" s="261" t="s">
        <v>337</v>
      </c>
      <c r="H25" s="262">
        <v>10.74</v>
      </c>
      <c r="I25" s="263">
        <v>41</v>
      </c>
      <c r="J25" s="262">
        <v>11.33</v>
      </c>
      <c r="K25" s="263">
        <v>49.6</v>
      </c>
      <c r="L25" s="262" t="s">
        <v>2900</v>
      </c>
      <c r="M25" s="264">
        <v>-3.5000000000000001E-3</v>
      </c>
      <c r="N25" s="264">
        <v>-2.7000000000000001E-3</v>
      </c>
      <c r="O25" s="264">
        <v>4.8000000000000001E-4</v>
      </c>
      <c r="P25" s="262">
        <v>20</v>
      </c>
      <c r="Q25" s="265">
        <v>-40</v>
      </c>
      <c r="R25" s="265">
        <v>85</v>
      </c>
      <c r="S25" s="266">
        <v>24</v>
      </c>
      <c r="T25" s="267">
        <v>2115</v>
      </c>
      <c r="U25" s="267">
        <v>1052</v>
      </c>
      <c r="V25" s="267">
        <v>35</v>
      </c>
      <c r="W25" s="267"/>
      <c r="X25" s="261">
        <v>3</v>
      </c>
      <c r="Y25" s="261"/>
      <c r="Z25" s="268">
        <v>10</v>
      </c>
      <c r="AA25" s="268">
        <v>25</v>
      </c>
      <c r="AB25" s="269">
        <v>6.0800000000000012E-3</v>
      </c>
      <c r="AC25" s="270"/>
      <c r="AD25" s="258" t="s">
        <v>2880</v>
      </c>
    </row>
  </sheetData>
  <sheetProtection formatRows="0" selectLockedCells="1"/>
  <phoneticPr fontId="2" type="noConversion"/>
  <dataValidations disablePrompts="1" count="1">
    <dataValidation type="list" allowBlank="1" showInputMessage="1" showErrorMessage="1" sqref="C25" xr:uid="{F5B5F615-CB08-4D91-837A-6DE7C1989F1C}">
      <formula1>"POLICRISTALINO,MONOCRISTALINO"</formula1>
    </dataValidation>
  </dataValidations>
  <pageMargins left="0.511811024" right="0.511811024" top="0.78740157499999996" bottom="0.78740157499999996" header="0.31496062000000002" footer="0.31496062000000002"/>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D6B1-CD25-42E5-BDE1-CCEC61F95845}">
  <sheetPr codeName="Planilha16"/>
  <dimension ref="A1:AQ53"/>
  <sheetViews>
    <sheetView showGridLines="0" topLeftCell="A13" workbookViewId="0">
      <selection activeCell="A34" sqref="A34"/>
    </sheetView>
  </sheetViews>
  <sheetFormatPr defaultRowHeight="15"/>
  <cols>
    <col min="1" max="1" width="12.5703125" bestFit="1" customWidth="1"/>
    <col min="2" max="2" width="34.28515625" bestFit="1" customWidth="1"/>
    <col min="3" max="3" width="13.42578125" bestFit="1" customWidth="1"/>
    <col min="4" max="4" width="11.5703125" bestFit="1" customWidth="1"/>
    <col min="5" max="6" width="11.7109375" bestFit="1" customWidth="1"/>
    <col min="7" max="7" width="14.140625" bestFit="1" customWidth="1"/>
    <col min="8" max="8" width="14.42578125" bestFit="1" customWidth="1"/>
    <col min="9" max="9" width="11" bestFit="1" customWidth="1"/>
    <col min="10" max="10" width="10.28515625" bestFit="1" customWidth="1"/>
    <col min="11" max="11" width="14.85546875" bestFit="1" customWidth="1"/>
    <col min="12" max="12" width="6" bestFit="1" customWidth="1"/>
    <col min="13" max="13" width="8.140625" bestFit="1" customWidth="1"/>
    <col min="14" max="14" width="8" bestFit="1" customWidth="1"/>
    <col min="15" max="15" width="6" bestFit="1" customWidth="1"/>
    <col min="16" max="16" width="11" bestFit="1" customWidth="1"/>
    <col min="17" max="17" width="13.5703125" bestFit="1" customWidth="1"/>
    <col min="18" max="18" width="17.7109375" bestFit="1" customWidth="1"/>
    <col min="19" max="19" width="5.5703125" bestFit="1" customWidth="1"/>
    <col min="20" max="20" width="7.42578125" bestFit="1" customWidth="1"/>
    <col min="21" max="21" width="16.7109375" bestFit="1" customWidth="1"/>
    <col min="22" max="22" width="14.5703125" bestFit="1" customWidth="1"/>
    <col min="23" max="23" width="17.42578125" bestFit="1" customWidth="1"/>
    <col min="24" max="24" width="21.5703125" bestFit="1" customWidth="1"/>
    <col min="25" max="25" width="16.28515625" bestFit="1" customWidth="1"/>
    <col min="26" max="26" width="16.140625" bestFit="1" customWidth="1"/>
    <col min="27" max="27" width="19.140625" bestFit="1" customWidth="1"/>
    <col min="28" max="28" width="21.28515625" bestFit="1" customWidth="1"/>
    <col min="29" max="29" width="10.7109375" bestFit="1" customWidth="1"/>
    <col min="30" max="30" width="7.5703125" bestFit="1" customWidth="1"/>
    <col min="31" max="31" width="8.7109375" bestFit="1" customWidth="1"/>
    <col min="32" max="32" width="9.7109375" bestFit="1" customWidth="1"/>
    <col min="33" max="33" width="15.5703125" bestFit="1" customWidth="1"/>
    <col min="34" max="34" width="18.85546875" bestFit="1" customWidth="1"/>
    <col min="35" max="35" width="10.7109375" bestFit="1" customWidth="1"/>
    <col min="36" max="36" width="10.85546875" bestFit="1" customWidth="1"/>
    <col min="37" max="37" width="13.7109375" bestFit="1" customWidth="1"/>
    <col min="38" max="38" width="81.140625" bestFit="1" customWidth="1"/>
    <col min="39" max="39" width="13.7109375" bestFit="1" customWidth="1"/>
    <col min="40" max="40" width="22.85546875" bestFit="1" customWidth="1"/>
    <col min="41" max="41" width="14.5703125" bestFit="1" customWidth="1"/>
    <col min="42" max="42" width="20.5703125" bestFit="1" customWidth="1"/>
    <col min="43" max="43" width="80.85546875" bestFit="1" customWidth="1"/>
  </cols>
  <sheetData>
    <row r="1" spans="1:42">
      <c r="A1" t="s">
        <v>2901</v>
      </c>
      <c r="D1" s="780" t="s">
        <v>2902</v>
      </c>
      <c r="E1" s="823"/>
      <c r="F1" s="823"/>
      <c r="G1" s="823"/>
      <c r="H1" s="823"/>
      <c r="I1" s="823"/>
      <c r="J1" s="823"/>
      <c r="K1" s="781"/>
      <c r="L1" s="780" t="s">
        <v>2903</v>
      </c>
      <c r="M1" s="823"/>
      <c r="N1" s="823"/>
      <c r="O1" s="823"/>
      <c r="P1" s="823"/>
      <c r="Q1" s="823"/>
      <c r="R1" s="781"/>
      <c r="X1" s="790" t="s">
        <v>2904</v>
      </c>
      <c r="Y1" s="790"/>
      <c r="Z1" s="790"/>
      <c r="AA1" s="790"/>
      <c r="AB1" s="790"/>
    </row>
    <row r="2" spans="1:42">
      <c r="A2" t="s">
        <v>1771</v>
      </c>
      <c r="B2" t="s">
        <v>1772</v>
      </c>
      <c r="C2" t="s">
        <v>2905</v>
      </c>
      <c r="D2" t="s">
        <v>2906</v>
      </c>
      <c r="E2" t="s">
        <v>2907</v>
      </c>
      <c r="F2" t="s">
        <v>2908</v>
      </c>
      <c r="G2" t="s">
        <v>2909</v>
      </c>
      <c r="H2" t="s">
        <v>2910</v>
      </c>
      <c r="I2" t="s">
        <v>2911</v>
      </c>
      <c r="J2" t="s">
        <v>2912</v>
      </c>
      <c r="K2" t="s">
        <v>2913</v>
      </c>
      <c r="L2" t="s">
        <v>2914</v>
      </c>
      <c r="M2" t="s">
        <v>2851</v>
      </c>
      <c r="N2" t="s">
        <v>2915</v>
      </c>
      <c r="O2" t="s">
        <v>1782</v>
      </c>
      <c r="P2" t="s">
        <v>2916</v>
      </c>
      <c r="Q2" t="s">
        <v>2917</v>
      </c>
      <c r="R2" t="s">
        <v>2918</v>
      </c>
      <c r="S2" t="s">
        <v>2919</v>
      </c>
      <c r="T2" t="s">
        <v>2920</v>
      </c>
      <c r="U2" t="s">
        <v>2921</v>
      </c>
      <c r="V2" t="s">
        <v>2922</v>
      </c>
      <c r="W2" t="s">
        <v>2923</v>
      </c>
      <c r="X2" t="s">
        <v>2924</v>
      </c>
      <c r="Y2" t="s">
        <v>2925</v>
      </c>
      <c r="Z2" t="s">
        <v>2926</v>
      </c>
      <c r="AA2" t="s">
        <v>2927</v>
      </c>
      <c r="AB2" t="s">
        <v>2928</v>
      </c>
      <c r="AC2" t="s">
        <v>2929</v>
      </c>
      <c r="AD2" t="s">
        <v>2863</v>
      </c>
      <c r="AE2" t="s">
        <v>2391</v>
      </c>
      <c r="AF2" t="s">
        <v>2705</v>
      </c>
      <c r="AG2" t="s">
        <v>2864</v>
      </c>
      <c r="AH2" t="s">
        <v>2930</v>
      </c>
      <c r="AI2" t="s">
        <v>2931</v>
      </c>
      <c r="AJ2" t="s">
        <v>2868</v>
      </c>
      <c r="AK2" t="s">
        <v>2932</v>
      </c>
      <c r="AL2" t="s">
        <v>2871</v>
      </c>
      <c r="AM2" t="s">
        <v>2933</v>
      </c>
      <c r="AN2" t="s">
        <v>2934</v>
      </c>
      <c r="AO2" t="s">
        <v>2935</v>
      </c>
      <c r="AP2" t="s">
        <v>2936</v>
      </c>
    </row>
    <row r="3" spans="1:42">
      <c r="A3" t="s">
        <v>2937</v>
      </c>
      <c r="B3" t="s">
        <v>2944</v>
      </c>
      <c r="C3" t="s">
        <v>2938</v>
      </c>
      <c r="D3">
        <v>670</v>
      </c>
      <c r="E3">
        <v>65</v>
      </c>
      <c r="F3">
        <v>22</v>
      </c>
      <c r="G3">
        <v>36</v>
      </c>
      <c r="H3">
        <v>55</v>
      </c>
      <c r="I3">
        <v>14</v>
      </c>
      <c r="J3">
        <v>25</v>
      </c>
      <c r="K3">
        <v>1</v>
      </c>
      <c r="L3">
        <v>475</v>
      </c>
      <c r="M3">
        <v>475</v>
      </c>
      <c r="N3">
        <v>220</v>
      </c>
      <c r="O3">
        <v>1.44</v>
      </c>
      <c r="P3">
        <v>2.15</v>
      </c>
      <c r="Q3" t="s">
        <v>2939</v>
      </c>
      <c r="R3" t="s">
        <v>337</v>
      </c>
      <c r="S3" t="s">
        <v>7527</v>
      </c>
      <c r="U3">
        <v>0.97570000000000001</v>
      </c>
      <c r="V3">
        <v>0.97499999999999998</v>
      </c>
      <c r="W3">
        <v>0.97570000000000001</v>
      </c>
      <c r="AA3" t="s">
        <v>2941</v>
      </c>
      <c r="AB3" t="s">
        <v>2942</v>
      </c>
      <c r="AC3" t="s">
        <v>2943</v>
      </c>
      <c r="AD3">
        <v>1.6</v>
      </c>
      <c r="AE3">
        <v>265</v>
      </c>
      <c r="AF3">
        <v>200</v>
      </c>
      <c r="AG3">
        <v>35</v>
      </c>
      <c r="AJ3">
        <v>25</v>
      </c>
      <c r="AL3" t="s">
        <v>2945</v>
      </c>
    </row>
    <row r="4" spans="1:42">
      <c r="A4" t="s">
        <v>2881</v>
      </c>
      <c r="B4" t="s">
        <v>237</v>
      </c>
      <c r="C4" t="s">
        <v>2938</v>
      </c>
      <c r="D4">
        <v>2400</v>
      </c>
      <c r="E4">
        <v>60</v>
      </c>
      <c r="F4">
        <v>18</v>
      </c>
      <c r="G4">
        <v>20</v>
      </c>
      <c r="H4">
        <v>60</v>
      </c>
      <c r="I4">
        <v>12.5</v>
      </c>
      <c r="J4">
        <v>16</v>
      </c>
      <c r="K4">
        <v>4</v>
      </c>
      <c r="L4">
        <v>2000</v>
      </c>
      <c r="M4">
        <v>2000</v>
      </c>
      <c r="N4">
        <v>220</v>
      </c>
      <c r="O4">
        <v>9.1</v>
      </c>
      <c r="P4">
        <v>9.6</v>
      </c>
      <c r="Q4" t="s">
        <v>2939</v>
      </c>
      <c r="R4" t="s">
        <v>337</v>
      </c>
      <c r="S4" t="s">
        <v>2947</v>
      </c>
      <c r="U4">
        <v>0.96499999999999997</v>
      </c>
      <c r="V4">
        <v>0.95</v>
      </c>
      <c r="W4">
        <v>0.99</v>
      </c>
      <c r="X4" t="s">
        <v>77</v>
      </c>
      <c r="Y4" t="s">
        <v>77</v>
      </c>
      <c r="Z4" t="s">
        <v>77</v>
      </c>
      <c r="AA4" t="s">
        <v>77</v>
      </c>
      <c r="AB4" t="s">
        <v>2942</v>
      </c>
      <c r="AC4" t="s">
        <v>2943</v>
      </c>
      <c r="AD4">
        <v>5.2</v>
      </c>
      <c r="AE4">
        <v>267</v>
      </c>
      <c r="AF4">
        <v>300</v>
      </c>
      <c r="AG4">
        <v>42</v>
      </c>
      <c r="AJ4">
        <v>15</v>
      </c>
      <c r="AK4">
        <v>15</v>
      </c>
    </row>
    <row r="5" spans="1:42">
      <c r="A5" t="s">
        <v>2948</v>
      </c>
      <c r="B5" t="s">
        <v>2949</v>
      </c>
      <c r="C5" t="s">
        <v>2938</v>
      </c>
      <c r="D5">
        <v>2400</v>
      </c>
      <c r="E5">
        <v>60</v>
      </c>
      <c r="F5">
        <v>20</v>
      </c>
      <c r="G5">
        <v>25</v>
      </c>
      <c r="H5">
        <v>55</v>
      </c>
      <c r="I5">
        <v>13</v>
      </c>
      <c r="J5">
        <v>16</v>
      </c>
      <c r="K5">
        <v>4</v>
      </c>
      <c r="L5">
        <v>2000</v>
      </c>
      <c r="M5">
        <v>2000</v>
      </c>
      <c r="N5">
        <v>220</v>
      </c>
      <c r="O5">
        <v>9.1</v>
      </c>
      <c r="P5">
        <v>9.1</v>
      </c>
      <c r="Q5" t="s">
        <v>2939</v>
      </c>
      <c r="R5" t="s">
        <v>337</v>
      </c>
      <c r="S5" t="s">
        <v>2947</v>
      </c>
      <c r="U5">
        <v>0.96499999999999997</v>
      </c>
      <c r="V5">
        <v>0.95</v>
      </c>
      <c r="W5">
        <v>0.99</v>
      </c>
      <c r="X5" t="s">
        <v>77</v>
      </c>
      <c r="Y5" t="s">
        <v>77</v>
      </c>
      <c r="Z5" t="s">
        <v>77</v>
      </c>
      <c r="AA5" t="s">
        <v>77</v>
      </c>
      <c r="AB5" t="s">
        <v>2942</v>
      </c>
      <c r="AC5" t="s">
        <v>2943</v>
      </c>
      <c r="AD5">
        <v>5.2</v>
      </c>
      <c r="AE5">
        <v>267</v>
      </c>
      <c r="AF5">
        <v>300</v>
      </c>
      <c r="AG5">
        <v>42</v>
      </c>
      <c r="AJ5">
        <v>15</v>
      </c>
    </row>
    <row r="6" spans="1:42">
      <c r="A6" t="s">
        <v>2946</v>
      </c>
      <c r="B6" t="s">
        <v>2950</v>
      </c>
      <c r="C6" t="s">
        <v>2938</v>
      </c>
      <c r="D6">
        <v>2680</v>
      </c>
      <c r="E6">
        <v>65</v>
      </c>
      <c r="F6">
        <v>22</v>
      </c>
      <c r="G6">
        <v>16</v>
      </c>
      <c r="H6">
        <v>60</v>
      </c>
      <c r="I6">
        <v>14</v>
      </c>
      <c r="J6">
        <v>20</v>
      </c>
      <c r="K6">
        <v>4</v>
      </c>
      <c r="L6">
        <v>2000</v>
      </c>
      <c r="M6">
        <v>2000</v>
      </c>
      <c r="N6">
        <v>220</v>
      </c>
      <c r="O6">
        <v>9.09</v>
      </c>
      <c r="P6">
        <v>9.09</v>
      </c>
      <c r="Q6" t="s">
        <v>2939</v>
      </c>
      <c r="R6" t="s">
        <v>337</v>
      </c>
      <c r="S6" t="s">
        <v>2947</v>
      </c>
      <c r="T6">
        <v>0.03</v>
      </c>
      <c r="U6">
        <v>0.96499999999999997</v>
      </c>
      <c r="V6">
        <v>0.96499999999999997</v>
      </c>
      <c r="W6">
        <v>0.998</v>
      </c>
      <c r="AB6" t="s">
        <v>2942</v>
      </c>
      <c r="AC6" t="s">
        <v>2943</v>
      </c>
      <c r="AD6">
        <v>4.7</v>
      </c>
      <c r="AE6">
        <v>218</v>
      </c>
      <c r="AF6">
        <v>331</v>
      </c>
      <c r="AG6">
        <v>37</v>
      </c>
      <c r="AI6">
        <v>25</v>
      </c>
      <c r="AJ6">
        <v>12</v>
      </c>
      <c r="AK6">
        <v>25</v>
      </c>
    </row>
    <row r="7" spans="1:42">
      <c r="A7" t="s">
        <v>2948</v>
      </c>
      <c r="B7" t="s">
        <v>2951</v>
      </c>
      <c r="C7" t="s">
        <v>2938</v>
      </c>
      <c r="D7">
        <v>3160</v>
      </c>
      <c r="E7">
        <v>60</v>
      </c>
      <c r="F7">
        <v>20</v>
      </c>
      <c r="G7">
        <v>25</v>
      </c>
      <c r="H7">
        <v>55</v>
      </c>
      <c r="I7">
        <v>18</v>
      </c>
      <c r="J7">
        <v>27</v>
      </c>
      <c r="K7">
        <v>4</v>
      </c>
      <c r="L7">
        <v>2250</v>
      </c>
      <c r="M7">
        <v>2250</v>
      </c>
      <c r="N7">
        <v>220</v>
      </c>
      <c r="O7">
        <v>10</v>
      </c>
      <c r="P7">
        <v>10</v>
      </c>
      <c r="Q7" t="s">
        <v>2939</v>
      </c>
      <c r="R7" t="s">
        <v>337</v>
      </c>
      <c r="S7" t="s">
        <v>2947</v>
      </c>
      <c r="T7">
        <v>0.03</v>
      </c>
      <c r="U7">
        <v>0.96499999999999997</v>
      </c>
      <c r="V7">
        <v>0.96</v>
      </c>
      <c r="W7">
        <v>0.99</v>
      </c>
      <c r="X7" t="s">
        <v>337</v>
      </c>
      <c r="Z7" t="s">
        <v>337</v>
      </c>
      <c r="AA7" t="s">
        <v>2952</v>
      </c>
      <c r="AB7" t="s">
        <v>2942</v>
      </c>
      <c r="AC7" t="s">
        <v>2943</v>
      </c>
      <c r="AD7">
        <v>5.0999999999999996</v>
      </c>
      <c r="AE7">
        <v>250</v>
      </c>
      <c r="AF7">
        <v>311</v>
      </c>
      <c r="AG7">
        <v>36</v>
      </c>
      <c r="AI7">
        <v>20</v>
      </c>
      <c r="AJ7">
        <v>15</v>
      </c>
      <c r="AK7">
        <v>15</v>
      </c>
      <c r="AL7" t="s">
        <v>2953</v>
      </c>
    </row>
    <row r="8" spans="1:42">
      <c r="A8" t="s">
        <v>4199</v>
      </c>
      <c r="B8" t="s">
        <v>4206</v>
      </c>
      <c r="C8" t="s">
        <v>2938</v>
      </c>
      <c r="D8">
        <v>3000</v>
      </c>
      <c r="E8">
        <v>60</v>
      </c>
      <c r="F8">
        <v>24</v>
      </c>
      <c r="G8">
        <v>22</v>
      </c>
      <c r="H8">
        <v>55</v>
      </c>
      <c r="I8">
        <v>19</v>
      </c>
      <c r="J8">
        <v>19</v>
      </c>
      <c r="K8">
        <v>4</v>
      </c>
      <c r="L8">
        <v>2250</v>
      </c>
      <c r="M8">
        <v>2250</v>
      </c>
      <c r="N8">
        <v>220</v>
      </c>
      <c r="O8">
        <v>10.23</v>
      </c>
      <c r="P8">
        <v>10.23</v>
      </c>
      <c r="Q8" t="s">
        <v>2939</v>
      </c>
      <c r="R8" t="s">
        <v>337</v>
      </c>
      <c r="S8" t="s">
        <v>2947</v>
      </c>
      <c r="T8">
        <v>0.03</v>
      </c>
      <c r="U8">
        <v>0.97299999999999998</v>
      </c>
      <c r="V8">
        <v>0.96499999999999997</v>
      </c>
      <c r="W8">
        <v>0.995</v>
      </c>
      <c r="AA8" t="s">
        <v>2965</v>
      </c>
      <c r="AB8" t="s">
        <v>2942</v>
      </c>
      <c r="AC8" t="s">
        <v>2943</v>
      </c>
      <c r="AD8">
        <v>6</v>
      </c>
      <c r="AE8">
        <v>276</v>
      </c>
      <c r="AF8">
        <v>351</v>
      </c>
      <c r="AG8">
        <v>40</v>
      </c>
      <c r="AI8">
        <v>20</v>
      </c>
      <c r="AJ8">
        <v>15</v>
      </c>
      <c r="AK8">
        <v>25</v>
      </c>
      <c r="AL8" t="s">
        <v>4200</v>
      </c>
    </row>
    <row r="9" spans="1:42">
      <c r="A9" t="s">
        <v>7528</v>
      </c>
      <c r="B9" t="s">
        <v>7529</v>
      </c>
      <c r="C9" t="s">
        <v>2938</v>
      </c>
      <c r="D9">
        <v>2800</v>
      </c>
      <c r="E9">
        <v>60</v>
      </c>
      <c r="F9">
        <v>32</v>
      </c>
      <c r="G9">
        <v>24</v>
      </c>
      <c r="H9">
        <v>50</v>
      </c>
      <c r="I9">
        <v>20</v>
      </c>
      <c r="J9">
        <v>26</v>
      </c>
      <c r="K9">
        <v>4</v>
      </c>
      <c r="L9">
        <v>2500</v>
      </c>
      <c r="M9">
        <v>2500</v>
      </c>
      <c r="N9">
        <v>220</v>
      </c>
      <c r="O9">
        <v>11.36</v>
      </c>
      <c r="P9">
        <v>11.36</v>
      </c>
      <c r="Q9" t="s">
        <v>2939</v>
      </c>
      <c r="R9" t="s">
        <v>337</v>
      </c>
      <c r="S9" t="s">
        <v>2947</v>
      </c>
      <c r="T9">
        <v>3</v>
      </c>
      <c r="U9">
        <v>0.95499999999999996</v>
      </c>
      <c r="W9">
        <v>0.998</v>
      </c>
      <c r="X9" t="s">
        <v>77</v>
      </c>
      <c r="Y9" t="s">
        <v>77</v>
      </c>
      <c r="Z9" t="s">
        <v>77</v>
      </c>
      <c r="AA9" t="s">
        <v>2965</v>
      </c>
      <c r="AB9" t="s">
        <v>2942</v>
      </c>
      <c r="AC9" t="s">
        <v>2943</v>
      </c>
      <c r="AD9">
        <v>6</v>
      </c>
      <c r="AE9">
        <v>276</v>
      </c>
      <c r="AF9">
        <v>358</v>
      </c>
      <c r="AG9">
        <v>36</v>
      </c>
      <c r="AI9">
        <v>20</v>
      </c>
      <c r="AJ9">
        <v>15</v>
      </c>
      <c r="AK9">
        <v>15</v>
      </c>
      <c r="AL9" t="s">
        <v>7530</v>
      </c>
    </row>
    <row r="10" spans="1:42">
      <c r="A10" t="s">
        <v>1748</v>
      </c>
      <c r="B10" t="s">
        <v>2956</v>
      </c>
      <c r="C10" t="s">
        <v>2955</v>
      </c>
      <c r="D10">
        <v>3500</v>
      </c>
      <c r="E10">
        <v>600</v>
      </c>
      <c r="F10">
        <v>90</v>
      </c>
      <c r="G10">
        <v>80</v>
      </c>
      <c r="H10">
        <v>500</v>
      </c>
      <c r="I10">
        <v>11</v>
      </c>
      <c r="J10">
        <v>17.2</v>
      </c>
      <c r="K10">
        <v>1</v>
      </c>
      <c r="L10">
        <v>3000</v>
      </c>
      <c r="M10">
        <v>3300</v>
      </c>
      <c r="N10">
        <v>220</v>
      </c>
      <c r="O10">
        <v>13.6</v>
      </c>
      <c r="P10">
        <v>15.7</v>
      </c>
      <c r="Q10" t="s">
        <v>2939</v>
      </c>
      <c r="R10" t="s">
        <v>337</v>
      </c>
      <c r="S10" t="s">
        <v>7527</v>
      </c>
      <c r="T10">
        <v>0.03</v>
      </c>
      <c r="U10">
        <v>0.97499999999999998</v>
      </c>
      <c r="V10">
        <v>0.96799999999999997</v>
      </c>
      <c r="W10">
        <v>0.995</v>
      </c>
      <c r="X10" t="s">
        <v>337</v>
      </c>
      <c r="Y10" t="s">
        <v>337</v>
      </c>
      <c r="Z10" t="s">
        <v>337</v>
      </c>
      <c r="AA10" t="s">
        <v>337</v>
      </c>
      <c r="AB10" t="s">
        <v>307</v>
      </c>
      <c r="AC10" t="s">
        <v>337</v>
      </c>
      <c r="AD10">
        <v>7.7</v>
      </c>
      <c r="AE10">
        <v>373</v>
      </c>
      <c r="AF10">
        <v>310</v>
      </c>
      <c r="AG10">
        <v>160</v>
      </c>
      <c r="AH10">
        <v>20</v>
      </c>
      <c r="AI10">
        <v>20</v>
      </c>
      <c r="AJ10">
        <v>5</v>
      </c>
      <c r="AK10">
        <v>20</v>
      </c>
      <c r="AL10" t="s">
        <v>2957</v>
      </c>
    </row>
    <row r="11" spans="1:42">
      <c r="A11" t="s">
        <v>2881</v>
      </c>
      <c r="B11" t="s">
        <v>2958</v>
      </c>
      <c r="C11" t="s">
        <v>2955</v>
      </c>
      <c r="D11">
        <v>5200</v>
      </c>
      <c r="E11">
        <v>550</v>
      </c>
      <c r="F11">
        <v>100</v>
      </c>
      <c r="G11">
        <v>70</v>
      </c>
      <c r="H11">
        <v>550</v>
      </c>
      <c r="I11">
        <v>13</v>
      </c>
      <c r="J11">
        <v>19.5</v>
      </c>
      <c r="K11">
        <v>2</v>
      </c>
      <c r="L11">
        <v>4000</v>
      </c>
      <c r="M11">
        <v>4400</v>
      </c>
      <c r="N11">
        <v>220</v>
      </c>
      <c r="O11">
        <v>18.100000000000001</v>
      </c>
      <c r="P11">
        <v>20</v>
      </c>
      <c r="Q11" t="s">
        <v>2939</v>
      </c>
      <c r="R11" t="s">
        <v>337</v>
      </c>
      <c r="S11" t="s">
        <v>7527</v>
      </c>
      <c r="T11">
        <v>0.03</v>
      </c>
      <c r="U11">
        <v>0.97499999999999998</v>
      </c>
      <c r="V11">
        <v>0.97299999999999998</v>
      </c>
      <c r="W11">
        <v>0.99</v>
      </c>
      <c r="X11" t="s">
        <v>337</v>
      </c>
      <c r="Y11" t="s">
        <v>337</v>
      </c>
      <c r="Z11" t="s">
        <v>337</v>
      </c>
      <c r="AA11" t="s">
        <v>337</v>
      </c>
      <c r="AB11" t="s">
        <v>2942</v>
      </c>
      <c r="AC11" t="s">
        <v>337</v>
      </c>
      <c r="AD11">
        <v>11</v>
      </c>
      <c r="AE11">
        <v>330</v>
      </c>
      <c r="AF11">
        <v>310</v>
      </c>
      <c r="AG11">
        <v>172</v>
      </c>
      <c r="AJ11">
        <v>10</v>
      </c>
      <c r="AK11">
        <v>10</v>
      </c>
    </row>
    <row r="12" spans="1:42">
      <c r="A12" t="s">
        <v>2954</v>
      </c>
      <c r="B12" t="s">
        <v>239</v>
      </c>
      <c r="C12" t="s">
        <v>2955</v>
      </c>
      <c r="D12">
        <v>5880</v>
      </c>
      <c r="E12">
        <v>550</v>
      </c>
      <c r="F12">
        <v>100</v>
      </c>
      <c r="G12">
        <v>60</v>
      </c>
      <c r="H12">
        <v>550</v>
      </c>
      <c r="I12">
        <v>12.5</v>
      </c>
      <c r="J12">
        <v>16</v>
      </c>
      <c r="K12">
        <v>2</v>
      </c>
      <c r="L12">
        <v>4200</v>
      </c>
      <c r="M12">
        <v>4200</v>
      </c>
      <c r="N12">
        <v>220</v>
      </c>
      <c r="O12">
        <v>19</v>
      </c>
      <c r="P12">
        <v>19</v>
      </c>
      <c r="Q12" t="s">
        <v>2939</v>
      </c>
      <c r="R12" t="s">
        <v>337</v>
      </c>
      <c r="S12" t="s">
        <v>7527</v>
      </c>
      <c r="T12">
        <v>0.03</v>
      </c>
      <c r="U12">
        <v>0.98399999999999999</v>
      </c>
      <c r="V12">
        <v>0.97499999999999998</v>
      </c>
      <c r="W12">
        <v>0.999</v>
      </c>
      <c r="X12" t="s">
        <v>337</v>
      </c>
      <c r="AA12" t="s">
        <v>337</v>
      </c>
      <c r="AB12" t="s">
        <v>307</v>
      </c>
      <c r="AC12" t="s">
        <v>337</v>
      </c>
      <c r="AD12">
        <v>10.8</v>
      </c>
      <c r="AE12">
        <v>350</v>
      </c>
      <c r="AF12">
        <v>375</v>
      </c>
      <c r="AG12">
        <v>160</v>
      </c>
      <c r="AH12">
        <v>35</v>
      </c>
      <c r="AJ12">
        <v>10</v>
      </c>
      <c r="AK12">
        <v>10</v>
      </c>
    </row>
    <row r="13" spans="1:42">
      <c r="A13" t="s">
        <v>2881</v>
      </c>
      <c r="B13" t="s">
        <v>2959</v>
      </c>
      <c r="C13" t="s">
        <v>2955</v>
      </c>
      <c r="D13">
        <v>6500</v>
      </c>
      <c r="E13">
        <v>550</v>
      </c>
      <c r="F13">
        <v>70</v>
      </c>
      <c r="G13">
        <v>70</v>
      </c>
      <c r="H13">
        <v>550</v>
      </c>
      <c r="I13">
        <v>13</v>
      </c>
      <c r="J13">
        <v>19.5</v>
      </c>
      <c r="K13">
        <v>2</v>
      </c>
      <c r="L13">
        <v>5000</v>
      </c>
      <c r="M13">
        <v>5500</v>
      </c>
      <c r="N13">
        <v>220</v>
      </c>
      <c r="O13">
        <v>22.7</v>
      </c>
      <c r="P13">
        <v>25</v>
      </c>
      <c r="Q13" t="s">
        <v>2939</v>
      </c>
      <c r="R13" t="s">
        <v>337</v>
      </c>
      <c r="S13" t="s">
        <v>7527</v>
      </c>
      <c r="T13">
        <v>0.03</v>
      </c>
      <c r="U13">
        <v>0.97499999999999998</v>
      </c>
      <c r="V13">
        <v>0.97299999999999998</v>
      </c>
      <c r="W13">
        <v>0.99</v>
      </c>
      <c r="X13" t="s">
        <v>337</v>
      </c>
      <c r="Y13" t="s">
        <v>337</v>
      </c>
      <c r="Z13" t="s">
        <v>337</v>
      </c>
      <c r="AA13" t="s">
        <v>337</v>
      </c>
      <c r="AB13" t="s">
        <v>2942</v>
      </c>
      <c r="AC13" t="s">
        <v>337</v>
      </c>
      <c r="AD13">
        <v>11</v>
      </c>
      <c r="AE13">
        <v>330</v>
      </c>
      <c r="AF13">
        <v>310</v>
      </c>
      <c r="AG13">
        <v>172</v>
      </c>
      <c r="AJ13">
        <v>10</v>
      </c>
      <c r="AK13">
        <v>10</v>
      </c>
    </row>
    <row r="14" spans="1:42">
      <c r="A14" t="s">
        <v>2875</v>
      </c>
      <c r="B14" t="s">
        <v>2960</v>
      </c>
      <c r="C14" t="s">
        <v>2955</v>
      </c>
      <c r="D14">
        <v>7500</v>
      </c>
      <c r="E14">
        <v>600</v>
      </c>
      <c r="F14">
        <v>110</v>
      </c>
      <c r="G14">
        <v>100</v>
      </c>
      <c r="H14">
        <v>550</v>
      </c>
      <c r="I14">
        <v>12</v>
      </c>
      <c r="J14">
        <v>15</v>
      </c>
      <c r="K14">
        <v>2</v>
      </c>
      <c r="L14">
        <v>5000</v>
      </c>
      <c r="M14">
        <v>5500</v>
      </c>
      <c r="N14">
        <v>220</v>
      </c>
      <c r="O14">
        <v>25</v>
      </c>
      <c r="P14">
        <v>25</v>
      </c>
      <c r="Q14" t="s">
        <v>2939</v>
      </c>
      <c r="R14" t="s">
        <v>337</v>
      </c>
      <c r="S14" t="s">
        <v>7527</v>
      </c>
      <c r="T14">
        <v>0.03</v>
      </c>
      <c r="U14">
        <v>0.98</v>
      </c>
      <c r="V14">
        <v>0.97499999999999998</v>
      </c>
      <c r="W14">
        <v>0.999</v>
      </c>
      <c r="X14" t="s">
        <v>337</v>
      </c>
      <c r="Y14" t="s">
        <v>337</v>
      </c>
      <c r="Z14" t="s">
        <v>337</v>
      </c>
      <c r="AA14" t="s">
        <v>2961</v>
      </c>
      <c r="AB14" t="s">
        <v>2942</v>
      </c>
      <c r="AC14" t="s">
        <v>2962</v>
      </c>
      <c r="AD14">
        <v>15</v>
      </c>
      <c r="AE14">
        <v>572</v>
      </c>
      <c r="AF14">
        <v>355</v>
      </c>
      <c r="AG14">
        <v>158</v>
      </c>
      <c r="AH14">
        <v>25</v>
      </c>
      <c r="AJ14">
        <v>7</v>
      </c>
      <c r="AK14">
        <v>10</v>
      </c>
    </row>
    <row r="15" spans="1:42">
      <c r="A15" t="s">
        <v>2948</v>
      </c>
      <c r="B15" t="s">
        <v>3710</v>
      </c>
      <c r="C15" t="s">
        <v>2955</v>
      </c>
      <c r="D15">
        <v>6500</v>
      </c>
      <c r="E15">
        <v>500</v>
      </c>
      <c r="F15">
        <v>125</v>
      </c>
      <c r="G15">
        <v>150</v>
      </c>
      <c r="H15">
        <v>425</v>
      </c>
      <c r="I15">
        <v>13</v>
      </c>
      <c r="J15">
        <v>22</v>
      </c>
      <c r="K15">
        <v>1</v>
      </c>
      <c r="L15">
        <v>5000</v>
      </c>
      <c r="M15">
        <v>5500</v>
      </c>
      <c r="N15">
        <v>220</v>
      </c>
      <c r="O15">
        <v>24</v>
      </c>
      <c r="P15">
        <v>26.4</v>
      </c>
      <c r="Q15" t="s">
        <v>2939</v>
      </c>
      <c r="R15" t="s">
        <v>337</v>
      </c>
      <c r="S15" t="s">
        <v>7527</v>
      </c>
      <c r="T15">
        <v>0.03</v>
      </c>
      <c r="U15">
        <v>0.97599999999999998</v>
      </c>
      <c r="V15">
        <v>0.97</v>
      </c>
      <c r="W15">
        <v>0.999</v>
      </c>
      <c r="X15" t="s">
        <v>337</v>
      </c>
      <c r="Y15" t="s">
        <v>337</v>
      </c>
      <c r="Z15" t="s">
        <v>337</v>
      </c>
      <c r="AA15" t="s">
        <v>2965</v>
      </c>
      <c r="AB15" t="s">
        <v>2976</v>
      </c>
      <c r="AC15" t="s">
        <v>337</v>
      </c>
      <c r="AD15">
        <v>32</v>
      </c>
      <c r="AE15">
        <v>670</v>
      </c>
      <c r="AF15">
        <v>420</v>
      </c>
      <c r="AG15">
        <v>233</v>
      </c>
      <c r="AH15">
        <v>30</v>
      </c>
      <c r="AJ15">
        <v>10</v>
      </c>
      <c r="AK15">
        <v>10</v>
      </c>
      <c r="AL15" t="s">
        <v>3711</v>
      </c>
    </row>
    <row r="16" spans="1:42">
      <c r="A16" t="s">
        <v>2963</v>
      </c>
      <c r="B16" t="s">
        <v>2964</v>
      </c>
      <c r="C16" t="s">
        <v>2955</v>
      </c>
      <c r="D16">
        <v>8250</v>
      </c>
      <c r="E16">
        <v>600</v>
      </c>
      <c r="F16">
        <v>90</v>
      </c>
      <c r="G16">
        <v>240</v>
      </c>
      <c r="H16">
        <v>520</v>
      </c>
      <c r="I16">
        <v>11</v>
      </c>
      <c r="J16">
        <v>15</v>
      </c>
      <c r="K16">
        <v>2</v>
      </c>
      <c r="L16">
        <v>5000</v>
      </c>
      <c r="M16">
        <v>5500</v>
      </c>
      <c r="N16">
        <v>220</v>
      </c>
      <c r="O16">
        <v>25</v>
      </c>
      <c r="P16">
        <v>25</v>
      </c>
      <c r="Q16" t="s">
        <v>2939</v>
      </c>
      <c r="R16" t="s">
        <v>337</v>
      </c>
      <c r="S16" t="s">
        <v>7527</v>
      </c>
      <c r="T16">
        <v>0.03</v>
      </c>
      <c r="U16">
        <v>0.97799999999999998</v>
      </c>
      <c r="X16" t="s">
        <v>337</v>
      </c>
      <c r="Y16" t="s">
        <v>337</v>
      </c>
      <c r="Z16" t="s">
        <v>337</v>
      </c>
      <c r="AA16" t="s">
        <v>2965</v>
      </c>
      <c r="AB16" t="s">
        <v>2942</v>
      </c>
      <c r="AC16" t="s">
        <v>2943</v>
      </c>
      <c r="AD16">
        <v>12.8</v>
      </c>
      <c r="AE16">
        <v>426</v>
      </c>
      <c r="AF16">
        <v>335</v>
      </c>
      <c r="AG16">
        <v>125</v>
      </c>
      <c r="AH16">
        <v>30</v>
      </c>
      <c r="AJ16">
        <v>10</v>
      </c>
      <c r="AK16">
        <v>10</v>
      </c>
    </row>
    <row r="17" spans="1:43">
      <c r="A17" t="s">
        <v>1748</v>
      </c>
      <c r="B17" t="s">
        <v>2966</v>
      </c>
      <c r="C17" t="s">
        <v>2955</v>
      </c>
      <c r="D17">
        <v>7500</v>
      </c>
      <c r="E17">
        <v>600</v>
      </c>
      <c r="F17">
        <v>120</v>
      </c>
      <c r="G17">
        <v>90</v>
      </c>
      <c r="H17">
        <v>520</v>
      </c>
      <c r="I17">
        <v>11</v>
      </c>
      <c r="J17">
        <v>17.2</v>
      </c>
      <c r="K17">
        <v>2</v>
      </c>
      <c r="L17">
        <v>5000</v>
      </c>
      <c r="M17">
        <v>5000</v>
      </c>
      <c r="N17">
        <v>220</v>
      </c>
      <c r="O17">
        <v>22.7</v>
      </c>
      <c r="P17">
        <v>25</v>
      </c>
      <c r="Q17" t="s">
        <v>2939</v>
      </c>
      <c r="R17" t="s">
        <v>337</v>
      </c>
      <c r="S17" t="s">
        <v>2947</v>
      </c>
      <c r="T17">
        <v>0.03</v>
      </c>
      <c r="U17">
        <v>0.98099999999999998</v>
      </c>
      <c r="V17">
        <v>0.97299999999999998</v>
      </c>
      <c r="X17" t="s">
        <v>337</v>
      </c>
      <c r="Y17" t="s">
        <v>337</v>
      </c>
      <c r="Z17" t="s">
        <v>337</v>
      </c>
      <c r="AA17" t="s">
        <v>337</v>
      </c>
      <c r="AB17" t="s">
        <v>2942</v>
      </c>
      <c r="AC17" t="s">
        <v>2967</v>
      </c>
      <c r="AD17">
        <v>11.5</v>
      </c>
      <c r="AE17">
        <v>543</v>
      </c>
      <c r="AF17">
        <v>310</v>
      </c>
      <c r="AG17">
        <v>160</v>
      </c>
      <c r="AJ17">
        <v>5</v>
      </c>
      <c r="AK17">
        <v>10</v>
      </c>
    </row>
    <row r="18" spans="1:43">
      <c r="A18" t="s">
        <v>2954</v>
      </c>
      <c r="B18" t="s">
        <v>2968</v>
      </c>
      <c r="C18" t="s">
        <v>2955</v>
      </c>
      <c r="D18">
        <v>8100</v>
      </c>
      <c r="E18">
        <v>550</v>
      </c>
      <c r="F18">
        <v>100</v>
      </c>
      <c r="G18">
        <v>60</v>
      </c>
      <c r="H18">
        <v>550</v>
      </c>
      <c r="I18">
        <v>12.5</v>
      </c>
      <c r="J18">
        <v>16</v>
      </c>
      <c r="K18">
        <v>2</v>
      </c>
      <c r="L18">
        <v>6000</v>
      </c>
      <c r="M18">
        <v>6000</v>
      </c>
      <c r="N18">
        <v>220</v>
      </c>
      <c r="O18">
        <v>27.2</v>
      </c>
      <c r="P18">
        <v>27.2</v>
      </c>
      <c r="Q18" t="s">
        <v>2939</v>
      </c>
      <c r="R18" t="s">
        <v>337</v>
      </c>
      <c r="S18" t="s">
        <v>7527</v>
      </c>
      <c r="T18">
        <v>0.03</v>
      </c>
      <c r="U18">
        <v>0.98399999999999999</v>
      </c>
      <c r="V18">
        <v>0.97499999999999998</v>
      </c>
      <c r="W18">
        <v>0.999</v>
      </c>
      <c r="X18" t="s">
        <v>337</v>
      </c>
      <c r="Y18" t="s">
        <v>337</v>
      </c>
      <c r="Z18" t="s">
        <v>337</v>
      </c>
      <c r="AA18" t="s">
        <v>2969</v>
      </c>
      <c r="AB18" t="s">
        <v>2942</v>
      </c>
      <c r="AC18" t="s">
        <v>2962</v>
      </c>
      <c r="AD18">
        <v>10.8</v>
      </c>
      <c r="AE18">
        <v>350</v>
      </c>
      <c r="AF18">
        <v>375</v>
      </c>
      <c r="AG18">
        <v>160</v>
      </c>
      <c r="AH18">
        <v>35</v>
      </c>
      <c r="AJ18">
        <v>10</v>
      </c>
      <c r="AK18">
        <v>10</v>
      </c>
    </row>
    <row r="19" spans="1:43">
      <c r="A19" t="s">
        <v>2963</v>
      </c>
      <c r="B19" t="s">
        <v>2970</v>
      </c>
      <c r="C19" t="s">
        <v>2955</v>
      </c>
      <c r="D19">
        <v>9000</v>
      </c>
      <c r="E19">
        <v>600</v>
      </c>
      <c r="F19">
        <v>90</v>
      </c>
      <c r="G19">
        <v>300</v>
      </c>
      <c r="H19">
        <v>520</v>
      </c>
      <c r="I19">
        <v>11</v>
      </c>
      <c r="J19">
        <v>15</v>
      </c>
      <c r="K19">
        <v>2</v>
      </c>
      <c r="L19">
        <v>6000</v>
      </c>
      <c r="M19">
        <v>6600</v>
      </c>
      <c r="N19">
        <v>220</v>
      </c>
      <c r="O19">
        <v>27.2</v>
      </c>
      <c r="P19">
        <v>28.6</v>
      </c>
      <c r="Q19" t="s">
        <v>2939</v>
      </c>
      <c r="R19" t="s">
        <v>337</v>
      </c>
      <c r="S19" t="s">
        <v>7527</v>
      </c>
      <c r="T19">
        <v>0.03</v>
      </c>
      <c r="U19">
        <v>0.97799999999999998</v>
      </c>
      <c r="X19" t="s">
        <v>337</v>
      </c>
      <c r="Y19" t="s">
        <v>337</v>
      </c>
      <c r="Z19" t="s">
        <v>337</v>
      </c>
      <c r="AA19" t="s">
        <v>2965</v>
      </c>
      <c r="AB19" t="s">
        <v>2942</v>
      </c>
      <c r="AC19" t="s">
        <v>2943</v>
      </c>
      <c r="AD19">
        <v>12.8</v>
      </c>
      <c r="AE19">
        <v>426</v>
      </c>
      <c r="AF19">
        <v>335</v>
      </c>
      <c r="AG19">
        <v>125</v>
      </c>
      <c r="AH19">
        <v>30</v>
      </c>
      <c r="AJ19">
        <v>10</v>
      </c>
      <c r="AK19">
        <v>10</v>
      </c>
    </row>
    <row r="20" spans="1:43">
      <c r="A20" t="s">
        <v>2948</v>
      </c>
      <c r="B20" t="s">
        <v>3980</v>
      </c>
      <c r="C20" t="s">
        <v>2955</v>
      </c>
      <c r="D20">
        <v>8600</v>
      </c>
      <c r="E20">
        <v>550</v>
      </c>
      <c r="F20">
        <v>80</v>
      </c>
      <c r="G20">
        <v>70</v>
      </c>
      <c r="H20">
        <v>500</v>
      </c>
      <c r="I20">
        <v>18</v>
      </c>
      <c r="J20">
        <v>27</v>
      </c>
      <c r="K20">
        <v>2</v>
      </c>
      <c r="L20">
        <v>6600</v>
      </c>
      <c r="M20">
        <v>7</v>
      </c>
      <c r="N20">
        <v>220</v>
      </c>
      <c r="O20">
        <v>30</v>
      </c>
      <c r="P20">
        <v>33</v>
      </c>
      <c r="Q20" t="s">
        <v>2939</v>
      </c>
      <c r="R20" t="s">
        <v>337</v>
      </c>
      <c r="S20" t="s">
        <v>7527</v>
      </c>
      <c r="T20">
        <v>0.03</v>
      </c>
      <c r="U20">
        <v>0.97499999999999998</v>
      </c>
      <c r="V20">
        <v>0.97</v>
      </c>
      <c r="W20">
        <v>0.99</v>
      </c>
      <c r="X20" t="s">
        <v>337</v>
      </c>
      <c r="Y20" t="s">
        <v>337</v>
      </c>
      <c r="Z20" t="s">
        <v>337</v>
      </c>
      <c r="AA20" t="s">
        <v>2965</v>
      </c>
      <c r="AB20" t="s">
        <v>2942</v>
      </c>
      <c r="AD20">
        <v>7.7</v>
      </c>
      <c r="AE20">
        <v>280</v>
      </c>
      <c r="AF20">
        <v>305</v>
      </c>
      <c r="AG20">
        <v>180</v>
      </c>
      <c r="AH20">
        <v>30</v>
      </c>
      <c r="AJ20">
        <v>10</v>
      </c>
      <c r="AK20">
        <v>10</v>
      </c>
    </row>
    <row r="21" spans="1:43">
      <c r="A21" t="s">
        <v>1748</v>
      </c>
      <c r="B21" t="s">
        <v>2971</v>
      </c>
      <c r="C21" t="s">
        <v>2955</v>
      </c>
      <c r="D21">
        <v>10500</v>
      </c>
      <c r="E21">
        <v>600</v>
      </c>
      <c r="F21">
        <v>120</v>
      </c>
      <c r="G21">
        <v>90</v>
      </c>
      <c r="H21">
        <v>520</v>
      </c>
      <c r="I21">
        <v>12.5</v>
      </c>
      <c r="J21">
        <v>19.5</v>
      </c>
      <c r="K21">
        <v>2</v>
      </c>
      <c r="L21">
        <v>7000</v>
      </c>
      <c r="M21">
        <v>7700</v>
      </c>
      <c r="N21">
        <v>220</v>
      </c>
      <c r="O21">
        <v>31.8</v>
      </c>
      <c r="P21">
        <v>35</v>
      </c>
      <c r="Q21" t="s">
        <v>2939</v>
      </c>
      <c r="R21" t="s">
        <v>337</v>
      </c>
      <c r="S21" t="s">
        <v>7527</v>
      </c>
      <c r="T21">
        <v>0.03</v>
      </c>
      <c r="U21">
        <v>0.98099999999999998</v>
      </c>
      <c r="V21">
        <v>0.97299999999999998</v>
      </c>
      <c r="W21">
        <v>0.995</v>
      </c>
      <c r="X21" t="s">
        <v>337</v>
      </c>
      <c r="Y21" t="s">
        <v>337</v>
      </c>
      <c r="Z21" t="s">
        <v>337</v>
      </c>
      <c r="AA21" t="s">
        <v>337</v>
      </c>
      <c r="AB21" t="s">
        <v>2942</v>
      </c>
      <c r="AC21" t="s">
        <v>2967</v>
      </c>
      <c r="AD21">
        <v>13.3</v>
      </c>
      <c r="AE21">
        <v>543</v>
      </c>
      <c r="AF21">
        <v>310</v>
      </c>
      <c r="AG21">
        <v>180</v>
      </c>
      <c r="AJ21">
        <v>5</v>
      </c>
      <c r="AK21">
        <v>10</v>
      </c>
      <c r="AL21" t="s">
        <v>2972</v>
      </c>
    </row>
    <row r="22" spans="1:43">
      <c r="A22" t="s">
        <v>2948</v>
      </c>
      <c r="B22" t="s">
        <v>2973</v>
      </c>
      <c r="C22" t="s">
        <v>2955</v>
      </c>
      <c r="D22">
        <v>9800</v>
      </c>
      <c r="E22">
        <v>550</v>
      </c>
      <c r="F22">
        <v>80</v>
      </c>
      <c r="G22">
        <v>70</v>
      </c>
      <c r="H22">
        <v>500</v>
      </c>
      <c r="I22">
        <v>13</v>
      </c>
      <c r="J22">
        <v>19.5</v>
      </c>
      <c r="K22">
        <v>2</v>
      </c>
      <c r="L22">
        <v>7500</v>
      </c>
      <c r="M22">
        <v>8250</v>
      </c>
      <c r="N22">
        <v>220</v>
      </c>
      <c r="O22">
        <v>32.6</v>
      </c>
      <c r="P22">
        <v>35.9</v>
      </c>
      <c r="Q22" t="s">
        <v>2939</v>
      </c>
      <c r="R22" t="s">
        <v>337</v>
      </c>
      <c r="S22" t="s">
        <v>7527</v>
      </c>
      <c r="T22">
        <v>0.03</v>
      </c>
      <c r="U22">
        <v>0.97699999999999998</v>
      </c>
      <c r="V22">
        <v>0.97499999999999998</v>
      </c>
      <c r="W22">
        <v>0.99</v>
      </c>
      <c r="X22" t="s">
        <v>337</v>
      </c>
      <c r="Y22" t="s">
        <v>337</v>
      </c>
      <c r="Z22" t="s">
        <v>337</v>
      </c>
      <c r="AA22" t="s">
        <v>337</v>
      </c>
      <c r="AB22" t="s">
        <v>2942</v>
      </c>
      <c r="AC22" t="s">
        <v>2967</v>
      </c>
      <c r="AD22">
        <v>15.7</v>
      </c>
      <c r="AE22">
        <v>410</v>
      </c>
      <c r="AF22">
        <v>330</v>
      </c>
      <c r="AG22">
        <v>198</v>
      </c>
      <c r="AH22">
        <v>25</v>
      </c>
      <c r="AJ22">
        <v>10</v>
      </c>
      <c r="AK22">
        <v>10</v>
      </c>
    </row>
    <row r="23" spans="1:43">
      <c r="A23" t="s">
        <v>1748</v>
      </c>
      <c r="B23" t="s">
        <v>2974</v>
      </c>
      <c r="C23" t="s">
        <v>2955</v>
      </c>
      <c r="D23">
        <v>11550</v>
      </c>
      <c r="E23">
        <v>600</v>
      </c>
      <c r="F23">
        <v>120</v>
      </c>
      <c r="G23">
        <v>90</v>
      </c>
      <c r="H23">
        <v>520</v>
      </c>
      <c r="I23">
        <v>12.5</v>
      </c>
      <c r="J23">
        <v>19.5</v>
      </c>
      <c r="K23">
        <v>2</v>
      </c>
      <c r="L23">
        <v>7700</v>
      </c>
      <c r="M23">
        <v>7700</v>
      </c>
      <c r="N23">
        <v>220</v>
      </c>
      <c r="O23">
        <v>35</v>
      </c>
      <c r="P23">
        <v>35</v>
      </c>
      <c r="Q23" t="s">
        <v>2939</v>
      </c>
      <c r="R23" t="s">
        <v>337</v>
      </c>
      <c r="S23" t="s">
        <v>7527</v>
      </c>
      <c r="T23">
        <v>0.03</v>
      </c>
      <c r="U23">
        <v>0.98099999999999998</v>
      </c>
      <c r="V23">
        <v>0.97299999999999998</v>
      </c>
      <c r="W23">
        <v>0.995</v>
      </c>
      <c r="X23" t="s">
        <v>337</v>
      </c>
      <c r="Y23" t="s">
        <v>337</v>
      </c>
      <c r="Z23" t="s">
        <v>337</v>
      </c>
      <c r="AA23" t="s">
        <v>337</v>
      </c>
      <c r="AB23" t="s">
        <v>2942</v>
      </c>
      <c r="AC23" t="s">
        <v>2967</v>
      </c>
      <c r="AD23">
        <v>13.3</v>
      </c>
      <c r="AE23">
        <v>543</v>
      </c>
      <c r="AF23">
        <v>310</v>
      </c>
      <c r="AG23">
        <v>180</v>
      </c>
      <c r="AJ23">
        <v>5</v>
      </c>
      <c r="AK23">
        <v>10</v>
      </c>
      <c r="AL23" t="s">
        <v>2972</v>
      </c>
    </row>
    <row r="24" spans="1:43">
      <c r="A24" t="s">
        <v>2948</v>
      </c>
      <c r="B24" t="s">
        <v>2975</v>
      </c>
      <c r="C24" t="s">
        <v>2955</v>
      </c>
      <c r="D24">
        <v>10400</v>
      </c>
      <c r="E24">
        <v>500</v>
      </c>
      <c r="F24">
        <v>125</v>
      </c>
      <c r="G24">
        <v>150</v>
      </c>
      <c r="H24">
        <v>425</v>
      </c>
      <c r="I24">
        <v>26</v>
      </c>
      <c r="J24">
        <v>44</v>
      </c>
      <c r="K24">
        <v>2</v>
      </c>
      <c r="L24">
        <v>8000</v>
      </c>
      <c r="M24">
        <v>8800</v>
      </c>
      <c r="N24">
        <v>220</v>
      </c>
      <c r="O24">
        <v>36.4</v>
      </c>
      <c r="P24">
        <v>40</v>
      </c>
      <c r="Q24" t="s">
        <v>2939</v>
      </c>
      <c r="R24" t="s">
        <v>337</v>
      </c>
      <c r="S24" t="s">
        <v>7527</v>
      </c>
      <c r="T24">
        <v>0.03</v>
      </c>
      <c r="U24">
        <v>0.97599999999999998</v>
      </c>
      <c r="V24">
        <v>0.97</v>
      </c>
      <c r="W24">
        <v>0.999</v>
      </c>
      <c r="X24" t="s">
        <v>337</v>
      </c>
      <c r="Y24" t="s">
        <v>337</v>
      </c>
      <c r="Z24" t="s">
        <v>337</v>
      </c>
      <c r="AA24" t="s">
        <v>2965</v>
      </c>
      <c r="AB24" t="s">
        <v>2976</v>
      </c>
      <c r="AC24" t="s">
        <v>337</v>
      </c>
      <c r="AD24">
        <v>32</v>
      </c>
      <c r="AE24">
        <v>670</v>
      </c>
      <c r="AF24">
        <v>420</v>
      </c>
      <c r="AG24">
        <v>233</v>
      </c>
      <c r="AH24">
        <v>30</v>
      </c>
      <c r="AJ24">
        <v>10</v>
      </c>
      <c r="AK24">
        <v>10</v>
      </c>
    </row>
    <row r="25" spans="1:43">
      <c r="A25" t="s">
        <v>1748</v>
      </c>
      <c r="B25" t="s">
        <v>2977</v>
      </c>
      <c r="C25" t="s">
        <v>2955</v>
      </c>
      <c r="D25">
        <v>22500</v>
      </c>
      <c r="E25">
        <v>1100</v>
      </c>
      <c r="F25">
        <v>180</v>
      </c>
      <c r="G25">
        <v>200</v>
      </c>
      <c r="H25">
        <v>1000</v>
      </c>
      <c r="I25">
        <v>32</v>
      </c>
      <c r="J25">
        <v>40</v>
      </c>
      <c r="K25">
        <v>3</v>
      </c>
      <c r="L25">
        <v>15000</v>
      </c>
      <c r="M25">
        <v>16500</v>
      </c>
      <c r="N25">
        <v>220</v>
      </c>
      <c r="O25">
        <v>39.4</v>
      </c>
      <c r="P25">
        <v>43.3</v>
      </c>
      <c r="Q25" t="s">
        <v>2978</v>
      </c>
      <c r="R25" t="s">
        <v>2979</v>
      </c>
      <c r="S25" t="s">
        <v>7527</v>
      </c>
      <c r="T25">
        <v>0.03</v>
      </c>
      <c r="U25">
        <v>0.97799999999999998</v>
      </c>
      <c r="V25">
        <v>0.97299999999999998</v>
      </c>
      <c r="W25">
        <v>0.995</v>
      </c>
      <c r="X25" t="s">
        <v>337</v>
      </c>
      <c r="Y25" t="s">
        <v>337</v>
      </c>
      <c r="Z25" t="s">
        <v>337</v>
      </c>
      <c r="AA25" t="s">
        <v>337</v>
      </c>
      <c r="AB25" t="s">
        <v>2980</v>
      </c>
      <c r="AC25" t="s">
        <v>2967</v>
      </c>
      <c r="AD25">
        <v>37</v>
      </c>
      <c r="AE25">
        <v>629</v>
      </c>
      <c r="AF25">
        <v>647</v>
      </c>
      <c r="AG25">
        <v>252</v>
      </c>
      <c r="AJ25">
        <v>7</v>
      </c>
      <c r="AK25">
        <v>10</v>
      </c>
    </row>
    <row r="26" spans="1:43">
      <c r="A26" t="s">
        <v>2954</v>
      </c>
      <c r="B26" t="s">
        <v>2981</v>
      </c>
      <c r="C26" t="s">
        <v>2955</v>
      </c>
      <c r="D26">
        <v>30000</v>
      </c>
      <c r="E26">
        <v>1100</v>
      </c>
      <c r="F26">
        <v>250</v>
      </c>
      <c r="G26">
        <v>200</v>
      </c>
      <c r="H26">
        <v>850</v>
      </c>
      <c r="I26">
        <v>26</v>
      </c>
      <c r="J26">
        <v>32</v>
      </c>
      <c r="K26">
        <v>4</v>
      </c>
      <c r="L26">
        <v>20000</v>
      </c>
      <c r="M26">
        <v>20000</v>
      </c>
      <c r="N26">
        <v>220</v>
      </c>
      <c r="O26">
        <v>58.3</v>
      </c>
      <c r="P26">
        <v>58.3</v>
      </c>
      <c r="Q26" t="s">
        <v>2978</v>
      </c>
      <c r="R26" t="s">
        <v>2979</v>
      </c>
      <c r="S26" t="s">
        <v>7527</v>
      </c>
      <c r="T26">
        <v>0.03</v>
      </c>
      <c r="U26">
        <v>0.98399999999999999</v>
      </c>
      <c r="V26">
        <v>0.97499999999999998</v>
      </c>
      <c r="W26">
        <v>0.999</v>
      </c>
      <c r="X26" t="s">
        <v>337</v>
      </c>
      <c r="Y26" t="s">
        <v>337</v>
      </c>
      <c r="Z26" t="s">
        <v>337</v>
      </c>
      <c r="AA26" t="s">
        <v>2982</v>
      </c>
      <c r="AB26" t="s">
        <v>2980</v>
      </c>
      <c r="AC26" t="s">
        <v>2962</v>
      </c>
      <c r="AD26">
        <v>31</v>
      </c>
      <c r="AE26">
        <v>435</v>
      </c>
      <c r="AF26">
        <v>480</v>
      </c>
      <c r="AG26">
        <v>230</v>
      </c>
      <c r="AJ26">
        <v>10</v>
      </c>
      <c r="AK26">
        <v>10</v>
      </c>
    </row>
    <row r="27" spans="1:43">
      <c r="A27" t="s">
        <v>2983</v>
      </c>
      <c r="B27" t="s">
        <v>2984</v>
      </c>
      <c r="C27" t="s">
        <v>2955</v>
      </c>
      <c r="D27">
        <v>38000</v>
      </c>
      <c r="E27">
        <v>1100</v>
      </c>
      <c r="F27">
        <v>200</v>
      </c>
      <c r="G27">
        <v>200</v>
      </c>
      <c r="H27">
        <v>850</v>
      </c>
      <c r="I27">
        <v>28.5</v>
      </c>
      <c r="J27">
        <v>44.5</v>
      </c>
      <c r="K27">
        <v>2</v>
      </c>
      <c r="L27">
        <v>25000</v>
      </c>
      <c r="M27">
        <v>25000</v>
      </c>
      <c r="N27">
        <v>220</v>
      </c>
      <c r="O27">
        <v>65.599999999999994</v>
      </c>
      <c r="P27">
        <v>65.599999999999994</v>
      </c>
      <c r="Q27" t="s">
        <v>2978</v>
      </c>
      <c r="R27" t="s">
        <v>2979</v>
      </c>
      <c r="S27" t="s">
        <v>7527</v>
      </c>
      <c r="T27">
        <v>0.03</v>
      </c>
      <c r="U27">
        <v>0.97</v>
      </c>
      <c r="V27">
        <v>0.96499999999999997</v>
      </c>
      <c r="W27">
        <v>0.995</v>
      </c>
      <c r="X27" t="s">
        <v>337</v>
      </c>
      <c r="Y27" t="s">
        <v>337</v>
      </c>
      <c r="Z27" t="s">
        <v>337</v>
      </c>
      <c r="AB27" t="s">
        <v>2980</v>
      </c>
      <c r="AC27" t="s">
        <v>2967</v>
      </c>
      <c r="AD27">
        <v>63</v>
      </c>
      <c r="AE27">
        <v>700</v>
      </c>
      <c r="AF27">
        <v>630</v>
      </c>
      <c r="AG27">
        <v>357</v>
      </c>
      <c r="AJ27">
        <v>10</v>
      </c>
      <c r="AK27">
        <v>10</v>
      </c>
      <c r="AQ27" s="283"/>
    </row>
    <row r="28" spans="1:43">
      <c r="A28" t="s">
        <v>2954</v>
      </c>
      <c r="B28" t="s">
        <v>2985</v>
      </c>
      <c r="C28" t="s">
        <v>2955</v>
      </c>
      <c r="D28">
        <v>39000</v>
      </c>
      <c r="E28">
        <v>1100</v>
      </c>
      <c r="F28">
        <v>250</v>
      </c>
      <c r="G28">
        <v>200</v>
      </c>
      <c r="H28">
        <v>1000</v>
      </c>
      <c r="I28">
        <v>52</v>
      </c>
      <c r="J28">
        <v>55</v>
      </c>
      <c r="K28">
        <v>3</v>
      </c>
      <c r="L28">
        <v>30000</v>
      </c>
      <c r="M28">
        <v>30000</v>
      </c>
      <c r="N28">
        <v>220</v>
      </c>
      <c r="O28">
        <v>78.8</v>
      </c>
      <c r="P28">
        <v>84.4</v>
      </c>
      <c r="Q28" t="s">
        <v>2978</v>
      </c>
      <c r="R28" t="s">
        <v>2979</v>
      </c>
      <c r="S28" t="s">
        <v>7527</v>
      </c>
      <c r="T28">
        <v>0.03</v>
      </c>
      <c r="U28">
        <v>0.98799999999999999</v>
      </c>
      <c r="V28">
        <v>0.98199999999999998</v>
      </c>
      <c r="W28">
        <v>0.999</v>
      </c>
      <c r="X28" t="s">
        <v>337</v>
      </c>
      <c r="Y28" t="s">
        <v>337</v>
      </c>
      <c r="Z28" t="s">
        <v>337</v>
      </c>
      <c r="AA28" t="s">
        <v>2982</v>
      </c>
      <c r="AB28" t="s">
        <v>2980</v>
      </c>
      <c r="AC28" t="s">
        <v>2962</v>
      </c>
      <c r="AD28">
        <v>52</v>
      </c>
      <c r="AE28">
        <v>508</v>
      </c>
      <c r="AF28">
        <v>680</v>
      </c>
      <c r="AG28">
        <v>281</v>
      </c>
      <c r="AH28">
        <v>60</v>
      </c>
      <c r="AJ28">
        <v>10</v>
      </c>
      <c r="AK28">
        <v>10</v>
      </c>
      <c r="AL28" t="s">
        <v>2986</v>
      </c>
      <c r="AM28">
        <v>500</v>
      </c>
      <c r="AN28">
        <v>1000</v>
      </c>
      <c r="AO28">
        <v>500</v>
      </c>
      <c r="AP28" t="s">
        <v>2987</v>
      </c>
    </row>
    <row r="29" spans="1:43">
      <c r="A29" t="s">
        <v>2954</v>
      </c>
      <c r="B29" t="s">
        <v>2988</v>
      </c>
      <c r="C29" t="s">
        <v>2955</v>
      </c>
      <c r="D29">
        <v>46800</v>
      </c>
      <c r="E29">
        <v>1100</v>
      </c>
      <c r="F29">
        <v>250</v>
      </c>
      <c r="G29">
        <v>200</v>
      </c>
      <c r="H29">
        <v>1000</v>
      </c>
      <c r="I29">
        <v>52</v>
      </c>
      <c r="J29">
        <v>55</v>
      </c>
      <c r="K29">
        <v>3</v>
      </c>
      <c r="L29">
        <v>36000</v>
      </c>
      <c r="M29">
        <v>36000</v>
      </c>
      <c r="N29">
        <v>220</v>
      </c>
      <c r="O29">
        <v>94.5</v>
      </c>
      <c r="P29">
        <v>94.5</v>
      </c>
      <c r="Q29" t="s">
        <v>2978</v>
      </c>
      <c r="R29" t="s">
        <v>2979</v>
      </c>
      <c r="S29" t="s">
        <v>7527</v>
      </c>
      <c r="T29">
        <v>0.03</v>
      </c>
      <c r="U29">
        <v>0.98799999999999999</v>
      </c>
      <c r="V29">
        <v>0.98199999999999998</v>
      </c>
      <c r="W29">
        <v>0.999</v>
      </c>
      <c r="X29" t="s">
        <v>337</v>
      </c>
      <c r="Y29" t="s">
        <v>337</v>
      </c>
      <c r="Z29" t="s">
        <v>337</v>
      </c>
      <c r="AA29" t="s">
        <v>2982</v>
      </c>
      <c r="AB29" t="s">
        <v>2980</v>
      </c>
      <c r="AC29" t="s">
        <v>2962</v>
      </c>
      <c r="AD29">
        <v>52</v>
      </c>
      <c r="AE29">
        <v>508</v>
      </c>
      <c r="AF29">
        <v>680</v>
      </c>
      <c r="AG29">
        <v>281</v>
      </c>
      <c r="AH29">
        <v>60</v>
      </c>
      <c r="AJ29">
        <v>10</v>
      </c>
      <c r="AK29">
        <v>10</v>
      </c>
      <c r="AL29" t="s">
        <v>2986</v>
      </c>
      <c r="AM29">
        <v>500</v>
      </c>
      <c r="AN29">
        <v>1000</v>
      </c>
      <c r="AO29">
        <v>500</v>
      </c>
      <c r="AP29" t="s">
        <v>2987</v>
      </c>
    </row>
    <row r="30" spans="1:43">
      <c r="A30" t="s">
        <v>2948</v>
      </c>
      <c r="B30" t="s">
        <v>3601</v>
      </c>
      <c r="C30" t="s">
        <v>2955</v>
      </c>
      <c r="L30">
        <v>45000</v>
      </c>
      <c r="AJ30">
        <v>10</v>
      </c>
      <c r="AK30">
        <v>10</v>
      </c>
      <c r="AL30" t="s">
        <v>2990</v>
      </c>
    </row>
    <row r="31" spans="1:43">
      <c r="A31" t="s">
        <v>2983</v>
      </c>
      <c r="B31" t="s">
        <v>2989</v>
      </c>
      <c r="C31" t="s">
        <v>2955</v>
      </c>
      <c r="D31">
        <v>84000</v>
      </c>
      <c r="E31">
        <v>1100</v>
      </c>
      <c r="F31">
        <v>195</v>
      </c>
      <c r="G31">
        <v>180</v>
      </c>
      <c r="H31">
        <v>1000</v>
      </c>
      <c r="I31">
        <v>26</v>
      </c>
      <c r="J31">
        <v>40</v>
      </c>
      <c r="K31">
        <v>45997</v>
      </c>
      <c r="L31">
        <v>50000</v>
      </c>
      <c r="M31">
        <v>55000</v>
      </c>
      <c r="N31">
        <v>220</v>
      </c>
      <c r="O31">
        <v>131.19999999999999</v>
      </c>
      <c r="P31">
        <v>144.30000000000001</v>
      </c>
      <c r="Q31" t="s">
        <v>2978</v>
      </c>
      <c r="R31" t="s">
        <v>2979</v>
      </c>
      <c r="S31" t="s">
        <v>7527</v>
      </c>
      <c r="T31">
        <v>0.03</v>
      </c>
      <c r="U31">
        <v>0.98499999999999999</v>
      </c>
      <c r="V31">
        <v>0.98099999999999998</v>
      </c>
      <c r="W31">
        <v>0.995</v>
      </c>
      <c r="X31" t="s">
        <v>337</v>
      </c>
      <c r="Y31" t="s">
        <v>337</v>
      </c>
      <c r="Z31" t="s">
        <v>337</v>
      </c>
      <c r="AA31" t="s">
        <v>2982</v>
      </c>
      <c r="AB31" t="s">
        <v>2980</v>
      </c>
      <c r="AC31" t="s">
        <v>2967</v>
      </c>
      <c r="AD31">
        <v>84</v>
      </c>
      <c r="AE31">
        <v>567</v>
      </c>
      <c r="AF31">
        <v>1065</v>
      </c>
      <c r="AG31">
        <v>344</v>
      </c>
      <c r="AJ31">
        <v>5</v>
      </c>
      <c r="AK31">
        <v>10</v>
      </c>
      <c r="AL31" t="s">
        <v>2990</v>
      </c>
    </row>
    <row r="32" spans="1:43">
      <c r="A32" t="s">
        <v>2983</v>
      </c>
      <c r="B32" t="s">
        <v>2991</v>
      </c>
      <c r="C32" t="s">
        <v>2955</v>
      </c>
      <c r="D32">
        <v>112000</v>
      </c>
      <c r="E32">
        <v>1100</v>
      </c>
      <c r="F32">
        <v>195</v>
      </c>
      <c r="G32">
        <v>180</v>
      </c>
      <c r="H32">
        <v>1000</v>
      </c>
      <c r="I32">
        <v>26</v>
      </c>
      <c r="J32">
        <v>40</v>
      </c>
      <c r="L32">
        <v>60000</v>
      </c>
      <c r="M32">
        <v>66000</v>
      </c>
      <c r="N32">
        <v>220</v>
      </c>
      <c r="O32">
        <v>157.5</v>
      </c>
      <c r="P32">
        <v>173.2</v>
      </c>
      <c r="Q32" t="s">
        <v>2978</v>
      </c>
      <c r="R32" t="s">
        <v>2979</v>
      </c>
      <c r="S32" t="s">
        <v>7527</v>
      </c>
      <c r="T32">
        <v>0.03</v>
      </c>
      <c r="U32">
        <v>0.98499999999999999</v>
      </c>
      <c r="V32">
        <v>0.98099999999999998</v>
      </c>
      <c r="W32">
        <v>0.995</v>
      </c>
      <c r="X32" t="s">
        <v>337</v>
      </c>
      <c r="Y32" t="s">
        <v>337</v>
      </c>
      <c r="Z32" t="s">
        <v>337</v>
      </c>
      <c r="AA32" t="s">
        <v>2982</v>
      </c>
      <c r="AB32" t="s">
        <v>2980</v>
      </c>
      <c r="AC32" t="s">
        <v>2967</v>
      </c>
      <c r="AD32">
        <v>84</v>
      </c>
      <c r="AE32">
        <v>567</v>
      </c>
      <c r="AF32">
        <v>1065</v>
      </c>
      <c r="AG32">
        <v>344</v>
      </c>
      <c r="AJ32">
        <v>5</v>
      </c>
      <c r="AK32">
        <v>10</v>
      </c>
      <c r="AL32" t="s">
        <v>2990</v>
      </c>
    </row>
    <row r="33" spans="1:38">
      <c r="A33" t="s">
        <v>2983</v>
      </c>
      <c r="B33" t="s">
        <v>4640</v>
      </c>
      <c r="C33" t="s">
        <v>2955</v>
      </c>
      <c r="D33">
        <v>126000</v>
      </c>
      <c r="E33">
        <v>1100</v>
      </c>
      <c r="F33">
        <v>195</v>
      </c>
      <c r="G33">
        <v>180</v>
      </c>
      <c r="H33">
        <v>1000</v>
      </c>
      <c r="I33">
        <v>26</v>
      </c>
      <c r="J33">
        <v>40</v>
      </c>
      <c r="L33">
        <v>75000</v>
      </c>
      <c r="M33">
        <v>75000</v>
      </c>
      <c r="N33">
        <v>220</v>
      </c>
      <c r="O33">
        <v>114</v>
      </c>
      <c r="P33">
        <v>114</v>
      </c>
      <c r="Q33" t="s">
        <v>2978</v>
      </c>
      <c r="R33" t="s">
        <v>2979</v>
      </c>
      <c r="S33" t="s">
        <v>7527</v>
      </c>
      <c r="T33">
        <v>0.03</v>
      </c>
      <c r="U33">
        <v>0.98699999999999999</v>
      </c>
      <c r="V33">
        <v>0.98299999999999998</v>
      </c>
      <c r="W33">
        <v>0.995</v>
      </c>
      <c r="X33" t="s">
        <v>337</v>
      </c>
      <c r="Y33" t="s">
        <v>337</v>
      </c>
      <c r="Z33" t="s">
        <v>337</v>
      </c>
      <c r="AA33" t="s">
        <v>2982</v>
      </c>
      <c r="AB33" t="s">
        <v>2980</v>
      </c>
      <c r="AC33" t="s">
        <v>2967</v>
      </c>
      <c r="AD33">
        <v>82</v>
      </c>
      <c r="AE33">
        <v>567</v>
      </c>
      <c r="AF33">
        <v>1050</v>
      </c>
      <c r="AG33">
        <v>314</v>
      </c>
      <c r="AL33" t="s">
        <v>4641</v>
      </c>
    </row>
    <row r="53" spans="1:42">
      <c r="A53" s="256" t="s">
        <v>2954</v>
      </c>
      <c r="B53" s="257" t="s">
        <v>239</v>
      </c>
      <c r="C53" s="257" t="s">
        <v>2955</v>
      </c>
      <c r="D53" s="257">
        <v>5880</v>
      </c>
      <c r="E53" s="271">
        <v>550</v>
      </c>
      <c r="F53" s="271">
        <v>100</v>
      </c>
      <c r="G53" s="271">
        <v>60</v>
      </c>
      <c r="H53" s="271">
        <v>550</v>
      </c>
      <c r="I53" s="272">
        <v>12.5</v>
      </c>
      <c r="J53" s="272"/>
      <c r="K53" s="257">
        <v>2</v>
      </c>
      <c r="L53" s="273">
        <v>4200</v>
      </c>
      <c r="M53" s="273">
        <v>4200</v>
      </c>
      <c r="N53" s="274">
        <v>220</v>
      </c>
      <c r="O53" s="272">
        <v>19</v>
      </c>
      <c r="P53" s="272">
        <v>19</v>
      </c>
      <c r="Q53" s="257" t="s">
        <v>2939</v>
      </c>
      <c r="R53" s="257" t="s">
        <v>337</v>
      </c>
      <c r="S53" s="275" t="s">
        <v>2940</v>
      </c>
      <c r="T53" s="276">
        <v>0.03</v>
      </c>
      <c r="U53" s="277">
        <v>0.98399999999999999</v>
      </c>
      <c r="V53" s="277">
        <v>0.97499999999999998</v>
      </c>
      <c r="W53" s="277">
        <v>0.999</v>
      </c>
      <c r="X53" s="257" t="s">
        <v>337</v>
      </c>
      <c r="Y53" s="257"/>
      <c r="Z53" s="272"/>
      <c r="AA53" s="272" t="s">
        <v>337</v>
      </c>
      <c r="AB53" s="272" t="s">
        <v>307</v>
      </c>
      <c r="AC53" s="272" t="s">
        <v>337</v>
      </c>
      <c r="AD53" s="278">
        <v>10.8</v>
      </c>
      <c r="AE53" s="279">
        <v>350</v>
      </c>
      <c r="AF53" s="279">
        <v>375</v>
      </c>
      <c r="AG53" s="279">
        <v>160</v>
      </c>
      <c r="AH53" s="280">
        <v>35</v>
      </c>
      <c r="AI53" s="281"/>
      <c r="AJ53" s="282">
        <v>5</v>
      </c>
      <c r="AK53" s="282">
        <v>10</v>
      </c>
      <c r="AL53" s="282"/>
      <c r="AM53" s="46"/>
      <c r="AN53" s="46"/>
      <c r="AO53" s="46"/>
      <c r="AP53" s="46"/>
    </row>
  </sheetData>
  <sheetProtection formatRows="0" selectLockedCells="1"/>
  <mergeCells count="3">
    <mergeCell ref="D1:K1"/>
    <mergeCell ref="L1:R1"/>
    <mergeCell ref="X1:AB1"/>
  </mergeCells>
  <phoneticPr fontId="2" type="noConversion"/>
  <pageMargins left="0.511811024" right="0.511811024" top="0.78740157499999996" bottom="0.78740157499999996" header="0.31496062000000002" footer="0.31496062000000002"/>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2DEA3-6F7E-457F-B45A-D51D5C6A4534}">
  <sheetPr codeName="Planilha17"/>
  <dimension ref="A1:AB338"/>
  <sheetViews>
    <sheetView showGridLines="0" topLeftCell="A71" workbookViewId="0">
      <selection activeCell="C11" sqref="C11"/>
    </sheetView>
  </sheetViews>
  <sheetFormatPr defaultRowHeight="15"/>
  <cols>
    <col min="1" max="1" width="11.85546875" style="43" customWidth="1"/>
    <col min="2" max="2" width="48.7109375" customWidth="1"/>
    <col min="3" max="3" width="13.85546875" style="43" customWidth="1"/>
    <col min="4" max="4" width="13.7109375" customWidth="1"/>
    <col min="5" max="5" width="13.85546875" customWidth="1"/>
    <col min="6" max="13" width="13.7109375" customWidth="1"/>
    <col min="14" max="14" width="14.7109375" customWidth="1"/>
    <col min="15" max="15" width="14.42578125" customWidth="1"/>
    <col min="16" max="16" width="13.7109375" customWidth="1"/>
    <col min="18" max="18" width="30.85546875" bestFit="1" customWidth="1"/>
    <col min="19" max="19" width="10.140625" bestFit="1" customWidth="1"/>
    <col min="257" max="257" width="10.28515625" customWidth="1"/>
    <col min="258" max="258" width="48.7109375" customWidth="1"/>
    <col min="259" max="259" width="13.85546875" customWidth="1"/>
    <col min="260" max="272" width="13.7109375" customWidth="1"/>
    <col min="513" max="513" width="10.28515625" customWidth="1"/>
    <col min="514" max="514" width="48.7109375" customWidth="1"/>
    <col min="515" max="515" width="13.85546875" customWidth="1"/>
    <col min="516" max="528" width="13.7109375" customWidth="1"/>
    <col min="769" max="769" width="10.28515625" customWidth="1"/>
    <col min="770" max="770" width="48.7109375" customWidth="1"/>
    <col min="771" max="771" width="13.85546875" customWidth="1"/>
    <col min="772" max="784" width="13.7109375" customWidth="1"/>
    <col min="1025" max="1025" width="10.28515625" customWidth="1"/>
    <col min="1026" max="1026" width="48.7109375" customWidth="1"/>
    <col min="1027" max="1027" width="13.85546875" customWidth="1"/>
    <col min="1028" max="1040" width="13.7109375" customWidth="1"/>
    <col min="1281" max="1281" width="10.28515625" customWidth="1"/>
    <col min="1282" max="1282" width="48.7109375" customWidth="1"/>
    <col min="1283" max="1283" width="13.85546875" customWidth="1"/>
    <col min="1284" max="1296" width="13.7109375" customWidth="1"/>
    <col min="1537" max="1537" width="10.28515625" customWidth="1"/>
    <col min="1538" max="1538" width="48.7109375" customWidth="1"/>
    <col min="1539" max="1539" width="13.85546875" customWidth="1"/>
    <col min="1540" max="1552" width="13.7109375" customWidth="1"/>
    <col min="1793" max="1793" width="10.28515625" customWidth="1"/>
    <col min="1794" max="1794" width="48.7109375" customWidth="1"/>
    <col min="1795" max="1795" width="13.85546875" customWidth="1"/>
    <col min="1796" max="1808" width="13.7109375" customWidth="1"/>
    <col min="2049" max="2049" width="10.28515625" customWidth="1"/>
    <col min="2050" max="2050" width="48.7109375" customWidth="1"/>
    <col min="2051" max="2051" width="13.85546875" customWidth="1"/>
    <col min="2052" max="2064" width="13.7109375" customWidth="1"/>
    <col min="2305" max="2305" width="10.28515625" customWidth="1"/>
    <col min="2306" max="2306" width="48.7109375" customWidth="1"/>
    <col min="2307" max="2307" width="13.85546875" customWidth="1"/>
    <col min="2308" max="2320" width="13.7109375" customWidth="1"/>
    <col min="2561" max="2561" width="10.28515625" customWidth="1"/>
    <col min="2562" max="2562" width="48.7109375" customWidth="1"/>
    <col min="2563" max="2563" width="13.85546875" customWidth="1"/>
    <col min="2564" max="2576" width="13.7109375" customWidth="1"/>
    <col min="2817" max="2817" width="10.28515625" customWidth="1"/>
    <col min="2818" max="2818" width="48.7109375" customWidth="1"/>
    <col min="2819" max="2819" width="13.85546875" customWidth="1"/>
    <col min="2820" max="2832" width="13.7109375" customWidth="1"/>
    <col min="3073" max="3073" width="10.28515625" customWidth="1"/>
    <col min="3074" max="3074" width="48.7109375" customWidth="1"/>
    <col min="3075" max="3075" width="13.85546875" customWidth="1"/>
    <col min="3076" max="3088" width="13.7109375" customWidth="1"/>
    <col min="3329" max="3329" width="10.28515625" customWidth="1"/>
    <col min="3330" max="3330" width="48.7109375" customWidth="1"/>
    <col min="3331" max="3331" width="13.85546875" customWidth="1"/>
    <col min="3332" max="3344" width="13.7109375" customWidth="1"/>
    <col min="3585" max="3585" width="10.28515625" customWidth="1"/>
    <col min="3586" max="3586" width="48.7109375" customWidth="1"/>
    <col min="3587" max="3587" width="13.85546875" customWidth="1"/>
    <col min="3588" max="3600" width="13.7109375" customWidth="1"/>
    <col min="3841" max="3841" width="10.28515625" customWidth="1"/>
    <col min="3842" max="3842" width="48.7109375" customWidth="1"/>
    <col min="3843" max="3843" width="13.85546875" customWidth="1"/>
    <col min="3844" max="3856" width="13.7109375" customWidth="1"/>
    <col min="4097" max="4097" width="10.28515625" customWidth="1"/>
    <col min="4098" max="4098" width="48.7109375" customWidth="1"/>
    <col min="4099" max="4099" width="13.85546875" customWidth="1"/>
    <col min="4100" max="4112" width="13.7109375" customWidth="1"/>
    <col min="4353" max="4353" width="10.28515625" customWidth="1"/>
    <col min="4354" max="4354" width="48.7109375" customWidth="1"/>
    <col min="4355" max="4355" width="13.85546875" customWidth="1"/>
    <col min="4356" max="4368" width="13.7109375" customWidth="1"/>
    <col min="4609" max="4609" width="10.28515625" customWidth="1"/>
    <col min="4610" max="4610" width="48.7109375" customWidth="1"/>
    <col min="4611" max="4611" width="13.85546875" customWidth="1"/>
    <col min="4612" max="4624" width="13.7109375" customWidth="1"/>
    <col min="4865" max="4865" width="10.28515625" customWidth="1"/>
    <col min="4866" max="4866" width="48.7109375" customWidth="1"/>
    <col min="4867" max="4867" width="13.85546875" customWidth="1"/>
    <col min="4868" max="4880" width="13.7109375" customWidth="1"/>
    <col min="5121" max="5121" width="10.28515625" customWidth="1"/>
    <col min="5122" max="5122" width="48.7109375" customWidth="1"/>
    <col min="5123" max="5123" width="13.85546875" customWidth="1"/>
    <col min="5124" max="5136" width="13.7109375" customWidth="1"/>
    <col min="5377" max="5377" width="10.28515625" customWidth="1"/>
    <col min="5378" max="5378" width="48.7109375" customWidth="1"/>
    <col min="5379" max="5379" width="13.85546875" customWidth="1"/>
    <col min="5380" max="5392" width="13.7109375" customWidth="1"/>
    <col min="5633" max="5633" width="10.28515625" customWidth="1"/>
    <col min="5634" max="5634" width="48.7109375" customWidth="1"/>
    <col min="5635" max="5635" width="13.85546875" customWidth="1"/>
    <col min="5636" max="5648" width="13.7109375" customWidth="1"/>
    <col min="5889" max="5889" width="10.28515625" customWidth="1"/>
    <col min="5890" max="5890" width="48.7109375" customWidth="1"/>
    <col min="5891" max="5891" width="13.85546875" customWidth="1"/>
    <col min="5892" max="5904" width="13.7109375" customWidth="1"/>
    <col min="6145" max="6145" width="10.28515625" customWidth="1"/>
    <col min="6146" max="6146" width="48.7109375" customWidth="1"/>
    <col min="6147" max="6147" width="13.85546875" customWidth="1"/>
    <col min="6148" max="6160" width="13.7109375" customWidth="1"/>
    <col min="6401" max="6401" width="10.28515625" customWidth="1"/>
    <col min="6402" max="6402" width="48.7109375" customWidth="1"/>
    <col min="6403" max="6403" width="13.85546875" customWidth="1"/>
    <col min="6404" max="6416" width="13.7109375" customWidth="1"/>
    <col min="6657" max="6657" width="10.28515625" customWidth="1"/>
    <col min="6658" max="6658" width="48.7109375" customWidth="1"/>
    <col min="6659" max="6659" width="13.85546875" customWidth="1"/>
    <col min="6660" max="6672" width="13.7109375" customWidth="1"/>
    <col min="6913" max="6913" width="10.28515625" customWidth="1"/>
    <col min="6914" max="6914" width="48.7109375" customWidth="1"/>
    <col min="6915" max="6915" width="13.85546875" customWidth="1"/>
    <col min="6916" max="6928" width="13.7109375" customWidth="1"/>
    <col min="7169" max="7169" width="10.28515625" customWidth="1"/>
    <col min="7170" max="7170" width="48.7109375" customWidth="1"/>
    <col min="7171" max="7171" width="13.85546875" customWidth="1"/>
    <col min="7172" max="7184" width="13.7109375" customWidth="1"/>
    <col min="7425" max="7425" width="10.28515625" customWidth="1"/>
    <col min="7426" max="7426" width="48.7109375" customWidth="1"/>
    <col min="7427" max="7427" width="13.85546875" customWidth="1"/>
    <col min="7428" max="7440" width="13.7109375" customWidth="1"/>
    <col min="7681" max="7681" width="10.28515625" customWidth="1"/>
    <col min="7682" max="7682" width="48.7109375" customWidth="1"/>
    <col min="7683" max="7683" width="13.85546875" customWidth="1"/>
    <col min="7684" max="7696" width="13.7109375" customWidth="1"/>
    <col min="7937" max="7937" width="10.28515625" customWidth="1"/>
    <col min="7938" max="7938" width="48.7109375" customWidth="1"/>
    <col min="7939" max="7939" width="13.85546875" customWidth="1"/>
    <col min="7940" max="7952" width="13.7109375" customWidth="1"/>
    <col min="8193" max="8193" width="10.28515625" customWidth="1"/>
    <col min="8194" max="8194" width="48.7109375" customWidth="1"/>
    <col min="8195" max="8195" width="13.85546875" customWidth="1"/>
    <col min="8196" max="8208" width="13.7109375" customWidth="1"/>
    <col min="8449" max="8449" width="10.28515625" customWidth="1"/>
    <col min="8450" max="8450" width="48.7109375" customWidth="1"/>
    <col min="8451" max="8451" width="13.85546875" customWidth="1"/>
    <col min="8452" max="8464" width="13.7109375" customWidth="1"/>
    <col min="8705" max="8705" width="10.28515625" customWidth="1"/>
    <col min="8706" max="8706" width="48.7109375" customWidth="1"/>
    <col min="8707" max="8707" width="13.85546875" customWidth="1"/>
    <col min="8708" max="8720" width="13.7109375" customWidth="1"/>
    <col min="8961" max="8961" width="10.28515625" customWidth="1"/>
    <col min="8962" max="8962" width="48.7109375" customWidth="1"/>
    <col min="8963" max="8963" width="13.85546875" customWidth="1"/>
    <col min="8964" max="8976" width="13.7109375" customWidth="1"/>
    <col min="9217" max="9217" width="10.28515625" customWidth="1"/>
    <col min="9218" max="9218" width="48.7109375" customWidth="1"/>
    <col min="9219" max="9219" width="13.85546875" customWidth="1"/>
    <col min="9220" max="9232" width="13.7109375" customWidth="1"/>
    <col min="9473" max="9473" width="10.28515625" customWidth="1"/>
    <col min="9474" max="9474" width="48.7109375" customWidth="1"/>
    <col min="9475" max="9475" width="13.85546875" customWidth="1"/>
    <col min="9476" max="9488" width="13.7109375" customWidth="1"/>
    <col min="9729" max="9729" width="10.28515625" customWidth="1"/>
    <col min="9730" max="9730" width="48.7109375" customWidth="1"/>
    <col min="9731" max="9731" width="13.85546875" customWidth="1"/>
    <col min="9732" max="9744" width="13.7109375" customWidth="1"/>
    <col min="9985" max="9985" width="10.28515625" customWidth="1"/>
    <col min="9986" max="9986" width="48.7109375" customWidth="1"/>
    <col min="9987" max="9987" width="13.85546875" customWidth="1"/>
    <col min="9988" max="10000" width="13.7109375" customWidth="1"/>
    <col min="10241" max="10241" width="10.28515625" customWidth="1"/>
    <col min="10242" max="10242" width="48.7109375" customWidth="1"/>
    <col min="10243" max="10243" width="13.85546875" customWidth="1"/>
    <col min="10244" max="10256" width="13.7109375" customWidth="1"/>
    <col min="10497" max="10497" width="10.28515625" customWidth="1"/>
    <col min="10498" max="10498" width="48.7109375" customWidth="1"/>
    <col min="10499" max="10499" width="13.85546875" customWidth="1"/>
    <col min="10500" max="10512" width="13.7109375" customWidth="1"/>
    <col min="10753" max="10753" width="10.28515625" customWidth="1"/>
    <col min="10754" max="10754" width="48.7109375" customWidth="1"/>
    <col min="10755" max="10755" width="13.85546875" customWidth="1"/>
    <col min="10756" max="10768" width="13.7109375" customWidth="1"/>
    <col min="11009" max="11009" width="10.28515625" customWidth="1"/>
    <col min="11010" max="11010" width="48.7109375" customWidth="1"/>
    <col min="11011" max="11011" width="13.85546875" customWidth="1"/>
    <col min="11012" max="11024" width="13.7109375" customWidth="1"/>
    <col min="11265" max="11265" width="10.28515625" customWidth="1"/>
    <col min="11266" max="11266" width="48.7109375" customWidth="1"/>
    <col min="11267" max="11267" width="13.85546875" customWidth="1"/>
    <col min="11268" max="11280" width="13.7109375" customWidth="1"/>
    <col min="11521" max="11521" width="10.28515625" customWidth="1"/>
    <col min="11522" max="11522" width="48.7109375" customWidth="1"/>
    <col min="11523" max="11523" width="13.85546875" customWidth="1"/>
    <col min="11524" max="11536" width="13.7109375" customWidth="1"/>
    <col min="11777" max="11777" width="10.28515625" customWidth="1"/>
    <col min="11778" max="11778" width="48.7109375" customWidth="1"/>
    <col min="11779" max="11779" width="13.85546875" customWidth="1"/>
    <col min="11780" max="11792" width="13.7109375" customWidth="1"/>
    <col min="12033" max="12033" width="10.28515625" customWidth="1"/>
    <col min="12034" max="12034" width="48.7109375" customWidth="1"/>
    <col min="12035" max="12035" width="13.85546875" customWidth="1"/>
    <col min="12036" max="12048" width="13.7109375" customWidth="1"/>
    <col min="12289" max="12289" width="10.28515625" customWidth="1"/>
    <col min="12290" max="12290" width="48.7109375" customWidth="1"/>
    <col min="12291" max="12291" width="13.85546875" customWidth="1"/>
    <col min="12292" max="12304" width="13.7109375" customWidth="1"/>
    <col min="12545" max="12545" width="10.28515625" customWidth="1"/>
    <col min="12546" max="12546" width="48.7109375" customWidth="1"/>
    <col min="12547" max="12547" width="13.85546875" customWidth="1"/>
    <col min="12548" max="12560" width="13.7109375" customWidth="1"/>
    <col min="12801" max="12801" width="10.28515625" customWidth="1"/>
    <col min="12802" max="12802" width="48.7109375" customWidth="1"/>
    <col min="12803" max="12803" width="13.85546875" customWidth="1"/>
    <col min="12804" max="12816" width="13.7109375" customWidth="1"/>
    <col min="13057" max="13057" width="10.28515625" customWidth="1"/>
    <col min="13058" max="13058" width="48.7109375" customWidth="1"/>
    <col min="13059" max="13059" width="13.85546875" customWidth="1"/>
    <col min="13060" max="13072" width="13.7109375" customWidth="1"/>
    <col min="13313" max="13313" width="10.28515625" customWidth="1"/>
    <col min="13314" max="13314" width="48.7109375" customWidth="1"/>
    <col min="13315" max="13315" width="13.85546875" customWidth="1"/>
    <col min="13316" max="13328" width="13.7109375" customWidth="1"/>
    <col min="13569" max="13569" width="10.28515625" customWidth="1"/>
    <col min="13570" max="13570" width="48.7109375" customWidth="1"/>
    <col min="13571" max="13571" width="13.85546875" customWidth="1"/>
    <col min="13572" max="13584" width="13.7109375" customWidth="1"/>
    <col min="13825" max="13825" width="10.28515625" customWidth="1"/>
    <col min="13826" max="13826" width="48.7109375" customWidth="1"/>
    <col min="13827" max="13827" width="13.85546875" customWidth="1"/>
    <col min="13828" max="13840" width="13.7109375" customWidth="1"/>
    <col min="14081" max="14081" width="10.28515625" customWidth="1"/>
    <col min="14082" max="14082" width="48.7109375" customWidth="1"/>
    <col min="14083" max="14083" width="13.85546875" customWidth="1"/>
    <col min="14084" max="14096" width="13.7109375" customWidth="1"/>
    <col min="14337" max="14337" width="10.28515625" customWidth="1"/>
    <col min="14338" max="14338" width="48.7109375" customWidth="1"/>
    <col min="14339" max="14339" width="13.85546875" customWidth="1"/>
    <col min="14340" max="14352" width="13.7109375" customWidth="1"/>
    <col min="14593" max="14593" width="10.28515625" customWidth="1"/>
    <col min="14594" max="14594" width="48.7109375" customWidth="1"/>
    <col min="14595" max="14595" width="13.85546875" customWidth="1"/>
    <col min="14596" max="14608" width="13.7109375" customWidth="1"/>
    <col min="14849" max="14849" width="10.28515625" customWidth="1"/>
    <col min="14850" max="14850" width="48.7109375" customWidth="1"/>
    <col min="14851" max="14851" width="13.85546875" customWidth="1"/>
    <col min="14852" max="14864" width="13.7109375" customWidth="1"/>
    <col min="15105" max="15105" width="10.28515625" customWidth="1"/>
    <col min="15106" max="15106" width="48.7109375" customWidth="1"/>
    <col min="15107" max="15107" width="13.85546875" customWidth="1"/>
    <col min="15108" max="15120" width="13.7109375" customWidth="1"/>
    <col min="15361" max="15361" width="10.28515625" customWidth="1"/>
    <col min="15362" max="15362" width="48.7109375" customWidth="1"/>
    <col min="15363" max="15363" width="13.85546875" customWidth="1"/>
    <col min="15364" max="15376" width="13.7109375" customWidth="1"/>
    <col min="15617" max="15617" width="10.28515625" customWidth="1"/>
    <col min="15618" max="15618" width="48.7109375" customWidth="1"/>
    <col min="15619" max="15619" width="13.85546875" customWidth="1"/>
    <col min="15620" max="15632" width="13.7109375" customWidth="1"/>
    <col min="15873" max="15873" width="10.28515625" customWidth="1"/>
    <col min="15874" max="15874" width="48.7109375" customWidth="1"/>
    <col min="15875" max="15875" width="13.85546875" customWidth="1"/>
    <col min="15876" max="15888" width="13.7109375" customWidth="1"/>
    <col min="16129" max="16129" width="10.28515625" customWidth="1"/>
    <col min="16130" max="16130" width="48.7109375" customWidth="1"/>
    <col min="16131" max="16131" width="13.85546875" customWidth="1"/>
    <col min="16132" max="16144" width="13.7109375" customWidth="1"/>
  </cols>
  <sheetData>
    <row r="1" spans="1:28">
      <c r="A1" s="64" t="s">
        <v>2992</v>
      </c>
      <c r="B1" s="65"/>
      <c r="C1" s="65"/>
      <c r="D1" s="65"/>
      <c r="E1" s="65"/>
      <c r="F1" s="65"/>
      <c r="G1" s="65"/>
      <c r="H1" s="65"/>
      <c r="I1" s="65"/>
      <c r="J1" s="65"/>
      <c r="K1" s="65"/>
      <c r="L1" s="65"/>
      <c r="M1" s="65"/>
      <c r="N1" s="65"/>
      <c r="O1" s="65"/>
      <c r="P1" s="66"/>
    </row>
    <row r="2" spans="1:28" ht="22.5">
      <c r="A2" s="67" t="s">
        <v>2993</v>
      </c>
      <c r="B2" s="68"/>
      <c r="C2" s="68"/>
      <c r="D2" s="68"/>
      <c r="E2" s="68"/>
      <c r="F2" s="68"/>
      <c r="G2" s="68"/>
      <c r="H2" s="68"/>
      <c r="I2" s="68"/>
      <c r="J2" s="68"/>
      <c r="K2" s="68"/>
      <c r="L2" s="68"/>
      <c r="M2" s="68"/>
      <c r="N2" s="68"/>
      <c r="O2" s="68"/>
      <c r="P2" s="69"/>
    </row>
    <row r="3" spans="1:28" ht="27">
      <c r="A3" s="70" t="s">
        <v>2994</v>
      </c>
      <c r="B3" s="71"/>
      <c r="C3" s="71"/>
      <c r="D3" s="71"/>
      <c r="E3" s="71"/>
      <c r="F3" s="71"/>
      <c r="G3" s="71"/>
      <c r="H3" s="71"/>
      <c r="I3" s="71"/>
      <c r="J3" s="71"/>
      <c r="K3" s="71"/>
      <c r="L3" s="71"/>
      <c r="M3" s="71"/>
      <c r="N3" s="71"/>
      <c r="O3" s="71"/>
      <c r="P3" s="72"/>
    </row>
    <row r="4" spans="1:28" ht="19.5" thickBot="1">
      <c r="A4" s="52" t="s">
        <v>2995</v>
      </c>
      <c r="B4" s="53" t="s">
        <v>1604</v>
      </c>
      <c r="C4" s="53" t="s">
        <v>2996</v>
      </c>
      <c r="D4" s="53" t="s">
        <v>2997</v>
      </c>
      <c r="E4" s="53" t="s">
        <v>2998</v>
      </c>
      <c r="F4" s="53" t="s">
        <v>2999</v>
      </c>
      <c r="G4" s="53" t="s">
        <v>3000</v>
      </c>
      <c r="H4" s="53" t="s">
        <v>3001</v>
      </c>
      <c r="I4" s="53" t="s">
        <v>3002</v>
      </c>
      <c r="J4" s="53" t="s">
        <v>3003</v>
      </c>
      <c r="K4" s="53" t="s">
        <v>3004</v>
      </c>
      <c r="L4" s="53" t="s">
        <v>3005</v>
      </c>
      <c r="M4" s="53" t="s">
        <v>3006</v>
      </c>
      <c r="N4" s="53" t="s">
        <v>3007</v>
      </c>
      <c r="O4" s="53" t="s">
        <v>3008</v>
      </c>
      <c r="P4" s="54" t="s">
        <v>2229</v>
      </c>
      <c r="AA4" s="59" t="s">
        <v>171</v>
      </c>
      <c r="AB4">
        <f t="shared" ref="AB4:AB30" si="0">COUNTIF(C:C,AA4)</f>
        <v>3</v>
      </c>
    </row>
    <row r="5" spans="1:28" s="59" customFormat="1" ht="15.75">
      <c r="A5" s="55">
        <v>82704</v>
      </c>
      <c r="B5" s="56" t="s">
        <v>3009</v>
      </c>
      <c r="C5" s="57" t="s">
        <v>171</v>
      </c>
      <c r="D5" s="58">
        <v>31.5</v>
      </c>
      <c r="E5" s="58">
        <v>31.5</v>
      </c>
      <c r="F5" s="58">
        <v>31.6</v>
      </c>
      <c r="G5" s="58">
        <v>31.5</v>
      </c>
      <c r="H5" s="58">
        <v>31</v>
      </c>
      <c r="I5" s="58">
        <v>30.9</v>
      </c>
      <c r="J5" s="58">
        <v>31.5</v>
      </c>
      <c r="K5" s="58">
        <v>32.5</v>
      </c>
      <c r="L5" s="58">
        <v>32.799999999999997</v>
      </c>
      <c r="M5" s="58">
        <v>32.700000000000003</v>
      </c>
      <c r="N5" s="58">
        <v>32</v>
      </c>
      <c r="O5" s="58">
        <v>31.6</v>
      </c>
      <c r="P5" s="58">
        <v>31.8</v>
      </c>
      <c r="Q5"/>
      <c r="R5"/>
      <c r="S5"/>
      <c r="T5"/>
      <c r="U5"/>
      <c r="V5"/>
      <c r="W5"/>
      <c r="X5"/>
      <c r="AA5" s="59" t="s">
        <v>3010</v>
      </c>
      <c r="AB5">
        <f t="shared" si="0"/>
        <v>5</v>
      </c>
    </row>
    <row r="6" spans="1:28" s="59" customFormat="1" ht="15.75">
      <c r="A6" s="60">
        <v>82915</v>
      </c>
      <c r="B6" s="61" t="s">
        <v>3011</v>
      </c>
      <c r="C6" s="62" t="s">
        <v>171</v>
      </c>
      <c r="D6" s="63">
        <v>30.9</v>
      </c>
      <c r="E6" s="63">
        <v>30.8</v>
      </c>
      <c r="F6" s="63">
        <v>31.1</v>
      </c>
      <c r="G6" s="63">
        <v>31</v>
      </c>
      <c r="H6" s="63">
        <v>30.4</v>
      </c>
      <c r="I6" s="63">
        <v>30.3</v>
      </c>
      <c r="J6" s="63">
        <v>31.3</v>
      </c>
      <c r="K6" s="63">
        <v>32.9</v>
      </c>
      <c r="L6" s="63">
        <v>33.200000000000003</v>
      </c>
      <c r="M6" s="63">
        <v>32.9</v>
      </c>
      <c r="N6" s="63">
        <v>31.8</v>
      </c>
      <c r="O6" s="63">
        <v>31</v>
      </c>
      <c r="P6" s="63">
        <v>31.5</v>
      </c>
      <c r="Q6"/>
      <c r="R6"/>
      <c r="S6"/>
      <c r="T6"/>
      <c r="U6"/>
      <c r="V6"/>
      <c r="W6"/>
      <c r="X6"/>
      <c r="AA6" s="59" t="s">
        <v>3012</v>
      </c>
      <c r="AB6">
        <f t="shared" si="0"/>
        <v>14</v>
      </c>
    </row>
    <row r="7" spans="1:28" s="59" customFormat="1" ht="15.75">
      <c r="A7" s="55">
        <v>82807</v>
      </c>
      <c r="B7" s="56" t="s">
        <v>3013</v>
      </c>
      <c r="C7" s="57" t="s">
        <v>171</v>
      </c>
      <c r="D7" s="58">
        <v>31.1</v>
      </c>
      <c r="E7" s="58">
        <v>31.1</v>
      </c>
      <c r="F7" s="58">
        <v>31.3</v>
      </c>
      <c r="G7" s="58">
        <v>31.5</v>
      </c>
      <c r="H7" s="58">
        <v>30.9</v>
      </c>
      <c r="I7" s="58">
        <v>30.8</v>
      </c>
      <c r="J7" s="58">
        <v>31.8</v>
      </c>
      <c r="K7" s="58">
        <v>32.9</v>
      </c>
      <c r="L7" s="58">
        <v>33.200000000000003</v>
      </c>
      <c r="M7" s="58">
        <v>32.6</v>
      </c>
      <c r="N7" s="58">
        <v>31.8</v>
      </c>
      <c r="O7" s="58">
        <v>31.3</v>
      </c>
      <c r="P7" s="58">
        <v>31.7</v>
      </c>
      <c r="Q7"/>
      <c r="R7"/>
      <c r="S7"/>
      <c r="T7"/>
      <c r="U7"/>
      <c r="V7"/>
      <c r="W7"/>
      <c r="X7"/>
      <c r="AA7" s="59" t="s">
        <v>3014</v>
      </c>
      <c r="AB7">
        <f t="shared" si="0"/>
        <v>2</v>
      </c>
    </row>
    <row r="8" spans="1:28" s="59" customFormat="1" ht="15.75">
      <c r="A8" s="60">
        <v>82989</v>
      </c>
      <c r="B8" s="61" t="s">
        <v>3015</v>
      </c>
      <c r="C8" s="62" t="s">
        <v>3010</v>
      </c>
      <c r="D8" s="63">
        <v>30.9</v>
      </c>
      <c r="E8" s="63">
        <v>31.1</v>
      </c>
      <c r="F8" s="63">
        <v>30.5</v>
      </c>
      <c r="G8" s="63">
        <v>29</v>
      </c>
      <c r="H8" s="63">
        <v>26.9</v>
      </c>
      <c r="I8" s="63">
        <v>24.7</v>
      </c>
      <c r="J8" s="63">
        <v>24.1</v>
      </c>
      <c r="K8" s="63">
        <v>24.9</v>
      </c>
      <c r="L8" s="63">
        <v>27.6</v>
      </c>
      <c r="M8" s="63">
        <v>30</v>
      </c>
      <c r="N8" s="63">
        <v>31.2</v>
      </c>
      <c r="O8" s="63">
        <v>31.3</v>
      </c>
      <c r="P8" s="63">
        <v>28.5</v>
      </c>
      <c r="Q8"/>
      <c r="R8"/>
      <c r="S8"/>
      <c r="T8"/>
      <c r="U8"/>
      <c r="V8"/>
      <c r="W8"/>
      <c r="X8"/>
      <c r="AA8" s="59" t="s">
        <v>3016</v>
      </c>
      <c r="AB8">
        <f t="shared" si="0"/>
        <v>29</v>
      </c>
    </row>
    <row r="9" spans="1:28" s="59" customFormat="1" ht="15.75">
      <c r="A9" s="55">
        <v>82994</v>
      </c>
      <c r="B9" s="56" t="s">
        <v>3017</v>
      </c>
      <c r="C9" s="57" t="s">
        <v>3010</v>
      </c>
      <c r="D9" s="58">
        <v>31</v>
      </c>
      <c r="E9" s="58">
        <v>31.4</v>
      </c>
      <c r="F9" s="58">
        <v>31.5</v>
      </c>
      <c r="G9" s="58">
        <v>30.6</v>
      </c>
      <c r="H9" s="58">
        <v>29.5</v>
      </c>
      <c r="I9" s="58">
        <v>28.3</v>
      </c>
      <c r="J9" s="58">
        <v>27.6</v>
      </c>
      <c r="K9" s="58">
        <v>27.6</v>
      </c>
      <c r="L9" s="58">
        <v>28.4</v>
      </c>
      <c r="M9" s="58">
        <v>29.9</v>
      </c>
      <c r="N9" s="58">
        <v>30.8</v>
      </c>
      <c r="O9" s="58">
        <v>31.2</v>
      </c>
      <c r="P9" s="58">
        <v>29.8</v>
      </c>
      <c r="Q9"/>
      <c r="R9"/>
      <c r="S9"/>
      <c r="T9"/>
      <c r="U9"/>
      <c r="V9"/>
      <c r="W9"/>
      <c r="X9"/>
      <c r="AA9" s="59" t="s">
        <v>3018</v>
      </c>
      <c r="AB9">
        <f t="shared" si="0"/>
        <v>12</v>
      </c>
    </row>
    <row r="10" spans="1:28" s="59" customFormat="1" ht="15.75">
      <c r="A10" s="60">
        <v>82992</v>
      </c>
      <c r="B10" s="61" t="s">
        <v>3019</v>
      </c>
      <c r="C10" s="62" t="s">
        <v>3010</v>
      </c>
      <c r="D10" s="63">
        <v>33.200000000000003</v>
      </c>
      <c r="E10" s="63">
        <v>33.200000000000003</v>
      </c>
      <c r="F10" s="63">
        <v>32.9</v>
      </c>
      <c r="G10" s="63">
        <v>31.1</v>
      </c>
      <c r="H10" s="63">
        <v>29.2</v>
      </c>
      <c r="I10" s="63">
        <v>27</v>
      </c>
      <c r="J10" s="63">
        <v>26.5</v>
      </c>
      <c r="K10" s="63">
        <v>26.8</v>
      </c>
      <c r="L10" s="63">
        <v>28.7</v>
      </c>
      <c r="M10" s="63">
        <v>31.3</v>
      </c>
      <c r="N10" s="63">
        <v>32.9</v>
      </c>
      <c r="O10" s="63">
        <v>33.4</v>
      </c>
      <c r="P10" s="63">
        <v>30.5</v>
      </c>
      <c r="Q10"/>
      <c r="R10"/>
      <c r="S10"/>
      <c r="T10"/>
      <c r="U10"/>
      <c r="V10"/>
      <c r="W10"/>
      <c r="X10"/>
      <c r="AA10" s="59" t="s">
        <v>3020</v>
      </c>
      <c r="AB10">
        <f t="shared" si="0"/>
        <v>2</v>
      </c>
    </row>
    <row r="11" spans="1:28" s="59" customFormat="1" ht="15.75">
      <c r="A11" s="55">
        <v>82990</v>
      </c>
      <c r="B11" s="56" t="s">
        <v>3021</v>
      </c>
      <c r="C11" s="57" t="s">
        <v>3010</v>
      </c>
      <c r="D11" s="58">
        <v>36.299999999999997</v>
      </c>
      <c r="E11" s="58">
        <v>36.200000000000003</v>
      </c>
      <c r="F11" s="58">
        <v>36</v>
      </c>
      <c r="G11" s="58">
        <v>34.4</v>
      </c>
      <c r="H11" s="58">
        <v>31.9</v>
      </c>
      <c r="I11" s="58">
        <v>29.6</v>
      </c>
      <c r="J11" s="58">
        <v>29.2</v>
      </c>
      <c r="K11" s="58">
        <v>29.9</v>
      </c>
      <c r="L11" s="58">
        <v>32.299999999999997</v>
      </c>
      <c r="M11" s="58">
        <v>34.700000000000003</v>
      </c>
      <c r="N11" s="58">
        <v>36.1</v>
      </c>
      <c r="O11" s="58">
        <v>36.700000000000003</v>
      </c>
      <c r="P11" s="58">
        <v>33.6</v>
      </c>
      <c r="Q11"/>
      <c r="R11"/>
      <c r="S11"/>
      <c r="T11"/>
      <c r="U11"/>
      <c r="V11"/>
      <c r="W11"/>
      <c r="X11"/>
      <c r="AA11" s="59" t="s">
        <v>3022</v>
      </c>
      <c r="AB11">
        <f t="shared" si="0"/>
        <v>11</v>
      </c>
    </row>
    <row r="12" spans="1:28" s="59" customFormat="1" ht="15.75">
      <c r="A12" s="60">
        <v>82996</v>
      </c>
      <c r="B12" s="61" t="s">
        <v>3023</v>
      </c>
      <c r="C12" s="62" t="s">
        <v>3010</v>
      </c>
      <c r="D12" s="63">
        <v>30.2</v>
      </c>
      <c r="E12" s="63">
        <v>30.6</v>
      </c>
      <c r="F12" s="63">
        <v>30.5</v>
      </c>
      <c r="G12" s="63">
        <v>30</v>
      </c>
      <c r="H12" s="63">
        <v>29.1</v>
      </c>
      <c r="I12" s="63">
        <v>28</v>
      </c>
      <c r="J12" s="63">
        <v>27.4</v>
      </c>
      <c r="K12" s="63">
        <v>27.4</v>
      </c>
      <c r="L12" s="63">
        <v>28.2</v>
      </c>
      <c r="M12" s="63">
        <v>29.3</v>
      </c>
      <c r="N12" s="63">
        <v>29.9</v>
      </c>
      <c r="O12" s="63">
        <v>30.3</v>
      </c>
      <c r="P12" s="63">
        <v>29.2</v>
      </c>
      <c r="Q12"/>
      <c r="R12"/>
      <c r="S12"/>
      <c r="T12"/>
      <c r="U12"/>
      <c r="V12"/>
      <c r="W12"/>
      <c r="X12"/>
      <c r="AA12" s="59" t="s">
        <v>3024</v>
      </c>
      <c r="AB12">
        <f t="shared" si="0"/>
        <v>12</v>
      </c>
    </row>
    <row r="13" spans="1:28" s="59" customFormat="1" ht="15.75">
      <c r="A13" s="55">
        <v>82113</v>
      </c>
      <c r="B13" s="56" t="s">
        <v>3025</v>
      </c>
      <c r="C13" s="57" t="s">
        <v>3012</v>
      </c>
      <c r="D13" s="58">
        <v>32.6</v>
      </c>
      <c r="E13" s="58">
        <v>32.5</v>
      </c>
      <c r="F13" s="58">
        <v>32.299999999999997</v>
      </c>
      <c r="G13" s="58">
        <v>31.8</v>
      </c>
      <c r="H13" s="58">
        <v>31.2</v>
      </c>
      <c r="I13" s="58">
        <v>31.3</v>
      </c>
      <c r="J13" s="58">
        <v>31.8</v>
      </c>
      <c r="K13" s="58">
        <v>32.5</v>
      </c>
      <c r="L13" s="58">
        <v>33</v>
      </c>
      <c r="M13" s="58">
        <v>33.4</v>
      </c>
      <c r="N13" s="58">
        <v>33.1</v>
      </c>
      <c r="O13" s="58">
        <v>32.9</v>
      </c>
      <c r="P13" s="58">
        <v>32.4</v>
      </c>
      <c r="Q13"/>
      <c r="R13"/>
      <c r="S13"/>
      <c r="T13"/>
      <c r="U13"/>
      <c r="V13"/>
      <c r="W13"/>
      <c r="X13"/>
      <c r="AA13" s="59" t="s">
        <v>3026</v>
      </c>
      <c r="AB13">
        <f t="shared" si="0"/>
        <v>13</v>
      </c>
    </row>
    <row r="14" spans="1:28" s="59" customFormat="1" ht="15.75">
      <c r="A14" s="60">
        <v>82410</v>
      </c>
      <c r="B14" s="61" t="s">
        <v>3027</v>
      </c>
      <c r="C14" s="62" t="s">
        <v>3012</v>
      </c>
      <c r="D14" s="63">
        <v>31.3</v>
      </c>
      <c r="E14" s="63">
        <v>31.2</v>
      </c>
      <c r="F14" s="63">
        <v>31.6</v>
      </c>
      <c r="G14" s="63">
        <v>31.6</v>
      </c>
      <c r="H14" s="63">
        <v>31.1</v>
      </c>
      <c r="I14" s="63">
        <v>30.9</v>
      </c>
      <c r="J14" s="63">
        <v>31.3</v>
      </c>
      <c r="K14" s="63">
        <v>32.299999999999997</v>
      </c>
      <c r="L14" s="63">
        <v>32.5</v>
      </c>
      <c r="M14" s="63">
        <v>32.799999999999997</v>
      </c>
      <c r="N14" s="63">
        <v>32.1</v>
      </c>
      <c r="O14" s="63">
        <v>31.3</v>
      </c>
      <c r="P14" s="63">
        <v>31.7</v>
      </c>
      <c r="Q14"/>
      <c r="R14"/>
      <c r="S14"/>
      <c r="T14"/>
      <c r="U14"/>
      <c r="V14"/>
      <c r="W14"/>
      <c r="X14"/>
      <c r="AA14" s="59" t="s">
        <v>3028</v>
      </c>
      <c r="AB14">
        <f t="shared" si="0"/>
        <v>65</v>
      </c>
    </row>
    <row r="15" spans="1:28" s="59" customFormat="1" ht="15.75">
      <c r="A15" s="55">
        <v>82425</v>
      </c>
      <c r="B15" s="56" t="s">
        <v>3029</v>
      </c>
      <c r="C15" s="57" t="s">
        <v>3012</v>
      </c>
      <c r="D15" s="58">
        <v>31.8</v>
      </c>
      <c r="E15" s="58">
        <v>31.9</v>
      </c>
      <c r="F15" s="58">
        <v>32</v>
      </c>
      <c r="G15" s="58">
        <v>31.9</v>
      </c>
      <c r="H15" s="58">
        <v>31.7</v>
      </c>
      <c r="I15" s="58">
        <v>31.7</v>
      </c>
      <c r="J15" s="58">
        <v>32.200000000000003</v>
      </c>
      <c r="K15" s="58">
        <v>33.200000000000003</v>
      </c>
      <c r="L15" s="58">
        <v>33.299999999999997</v>
      </c>
      <c r="M15" s="58">
        <v>33.200000000000003</v>
      </c>
      <c r="N15" s="58">
        <v>32.6</v>
      </c>
      <c r="O15" s="58">
        <v>32.1</v>
      </c>
      <c r="P15" s="58">
        <v>32.299999999999997</v>
      </c>
      <c r="Q15"/>
      <c r="R15"/>
      <c r="S15"/>
      <c r="T15"/>
      <c r="U15"/>
      <c r="V15"/>
      <c r="W15"/>
      <c r="X15"/>
      <c r="AA15" s="59" t="s">
        <v>3030</v>
      </c>
      <c r="AB15">
        <f t="shared" si="0"/>
        <v>8</v>
      </c>
    </row>
    <row r="16" spans="1:28" s="59" customFormat="1" ht="15.75">
      <c r="A16" s="60">
        <v>82326</v>
      </c>
      <c r="B16" s="61" t="s">
        <v>3031</v>
      </c>
      <c r="C16" s="62" t="s">
        <v>3012</v>
      </c>
      <c r="D16" s="63">
        <v>31.8</v>
      </c>
      <c r="E16" s="63">
        <v>31.6</v>
      </c>
      <c r="F16" s="63">
        <v>31.5</v>
      </c>
      <c r="G16" s="63">
        <v>31.3</v>
      </c>
      <c r="H16" s="63">
        <v>31.2</v>
      </c>
      <c r="I16" s="63">
        <v>31.4</v>
      </c>
      <c r="J16" s="63">
        <v>32.200000000000003</v>
      </c>
      <c r="K16" s="63">
        <v>33.1</v>
      </c>
      <c r="L16" s="63">
        <v>33.299999999999997</v>
      </c>
      <c r="M16" s="63">
        <v>33.299999999999997</v>
      </c>
      <c r="N16" s="63">
        <v>32.799999999999997</v>
      </c>
      <c r="O16" s="63">
        <v>32</v>
      </c>
      <c r="P16" s="63">
        <v>32.1</v>
      </c>
      <c r="Q16"/>
      <c r="R16"/>
      <c r="S16"/>
      <c r="T16"/>
      <c r="U16"/>
      <c r="V16"/>
      <c r="W16"/>
      <c r="X16"/>
      <c r="AA16" s="59" t="s">
        <v>3032</v>
      </c>
      <c r="AB16">
        <f t="shared" si="0"/>
        <v>12</v>
      </c>
    </row>
    <row r="17" spans="1:28" s="59" customFormat="1" ht="15.75">
      <c r="A17" s="55">
        <v>82610</v>
      </c>
      <c r="B17" s="56" t="s">
        <v>3033</v>
      </c>
      <c r="C17" s="57" t="s">
        <v>3012</v>
      </c>
      <c r="D17" s="58">
        <v>32.6</v>
      </c>
      <c r="E17" s="58">
        <v>32.6</v>
      </c>
      <c r="F17" s="58">
        <v>32.799999999999997</v>
      </c>
      <c r="G17" s="58">
        <v>32.9</v>
      </c>
      <c r="H17" s="58">
        <v>32.200000000000003</v>
      </c>
      <c r="I17" s="58">
        <v>32</v>
      </c>
      <c r="J17" s="58">
        <v>32.700000000000003</v>
      </c>
      <c r="K17" s="58">
        <v>33.700000000000003</v>
      </c>
      <c r="L17" s="58">
        <v>34</v>
      </c>
      <c r="M17" s="58">
        <v>33.9</v>
      </c>
      <c r="N17" s="58">
        <v>33.5</v>
      </c>
      <c r="O17" s="58">
        <v>33.1</v>
      </c>
      <c r="P17" s="58">
        <v>33</v>
      </c>
      <c r="Q17"/>
      <c r="R17"/>
      <c r="S17"/>
      <c r="T17"/>
      <c r="U17"/>
      <c r="V17"/>
      <c r="W17"/>
      <c r="X17"/>
      <c r="AA17" s="59" t="s">
        <v>3034</v>
      </c>
      <c r="AB17">
        <f t="shared" si="0"/>
        <v>15</v>
      </c>
    </row>
    <row r="18" spans="1:28" s="59" customFormat="1" ht="15.75">
      <c r="A18" s="60">
        <v>82212</v>
      </c>
      <c r="B18" s="61" t="s">
        <v>3035</v>
      </c>
      <c r="C18" s="62" t="s">
        <v>3012</v>
      </c>
      <c r="D18" s="63">
        <v>31.7</v>
      </c>
      <c r="E18" s="63">
        <v>31.8</v>
      </c>
      <c r="F18" s="63">
        <v>31.7</v>
      </c>
      <c r="G18" s="63">
        <v>31.4</v>
      </c>
      <c r="H18" s="63">
        <v>31.1</v>
      </c>
      <c r="I18" s="63">
        <v>30.9</v>
      </c>
      <c r="J18" s="63">
        <v>31.3</v>
      </c>
      <c r="K18" s="63">
        <v>32.299999999999997</v>
      </c>
      <c r="L18" s="63">
        <v>32.6</v>
      </c>
      <c r="M18" s="63">
        <v>32.799999999999997</v>
      </c>
      <c r="N18" s="63">
        <v>32.4</v>
      </c>
      <c r="O18" s="63">
        <v>32</v>
      </c>
      <c r="P18" s="63">
        <v>31.8</v>
      </c>
      <c r="Q18"/>
      <c r="R18"/>
      <c r="S18"/>
      <c r="T18"/>
      <c r="U18"/>
      <c r="V18"/>
      <c r="W18"/>
      <c r="X18"/>
      <c r="AA18" s="59" t="s">
        <v>226</v>
      </c>
      <c r="AB18">
        <f t="shared" si="0"/>
        <v>6</v>
      </c>
    </row>
    <row r="19" spans="1:28" s="59" customFormat="1" ht="15.75">
      <c r="A19" s="55">
        <v>82067</v>
      </c>
      <c r="B19" s="56" t="s">
        <v>3036</v>
      </c>
      <c r="C19" s="57" t="s">
        <v>3012</v>
      </c>
      <c r="D19" s="58">
        <v>32.4</v>
      </c>
      <c r="E19" s="58">
        <v>32.1</v>
      </c>
      <c r="F19" s="58">
        <v>32.299999999999997</v>
      </c>
      <c r="G19" s="58">
        <v>31.9</v>
      </c>
      <c r="H19" s="58">
        <v>31.4</v>
      </c>
      <c r="I19" s="58">
        <v>31</v>
      </c>
      <c r="J19" s="58">
        <v>30.8</v>
      </c>
      <c r="K19" s="58">
        <v>31.6</v>
      </c>
      <c r="L19" s="58">
        <v>32.6</v>
      </c>
      <c r="M19" s="58">
        <v>32.700000000000003</v>
      </c>
      <c r="N19" s="58">
        <v>32.4</v>
      </c>
      <c r="O19" s="58">
        <v>32.200000000000003</v>
      </c>
      <c r="P19" s="58">
        <v>32</v>
      </c>
      <c r="Q19"/>
      <c r="R19"/>
      <c r="S19"/>
      <c r="T19"/>
      <c r="U19"/>
      <c r="V19"/>
      <c r="W19"/>
      <c r="X19"/>
      <c r="AA19" s="59" t="s">
        <v>3037</v>
      </c>
      <c r="AB19">
        <f t="shared" si="0"/>
        <v>9</v>
      </c>
    </row>
    <row r="20" spans="1:28" s="59" customFormat="1" ht="15.75">
      <c r="A20" s="60">
        <v>82336</v>
      </c>
      <c r="B20" s="61" t="s">
        <v>669</v>
      </c>
      <c r="C20" s="62" t="s">
        <v>3012</v>
      </c>
      <c r="D20" s="63">
        <v>31.1</v>
      </c>
      <c r="E20" s="63">
        <v>30.9</v>
      </c>
      <c r="F20" s="63">
        <v>31</v>
      </c>
      <c r="G20" s="63">
        <v>31.1</v>
      </c>
      <c r="H20" s="63">
        <v>31.4</v>
      </c>
      <c r="I20" s="63">
        <v>31.8</v>
      </c>
      <c r="J20" s="63">
        <v>32.200000000000003</v>
      </c>
      <c r="K20" s="63">
        <v>33</v>
      </c>
      <c r="L20" s="63">
        <v>33.700000000000003</v>
      </c>
      <c r="M20" s="63">
        <v>33.799999999999997</v>
      </c>
      <c r="N20" s="63">
        <v>33.1</v>
      </c>
      <c r="O20" s="63">
        <v>32.1</v>
      </c>
      <c r="P20" s="63">
        <v>32.1</v>
      </c>
      <c r="Q20"/>
      <c r="R20"/>
      <c r="S20"/>
      <c r="T20"/>
      <c r="U20"/>
      <c r="V20"/>
      <c r="W20"/>
      <c r="X20"/>
      <c r="AA20" s="59" t="s">
        <v>3038</v>
      </c>
      <c r="AB20">
        <f t="shared" si="0"/>
        <v>14</v>
      </c>
    </row>
    <row r="21" spans="1:28" s="59" customFormat="1" ht="15.75">
      <c r="A21" s="55">
        <v>82723</v>
      </c>
      <c r="B21" s="56" t="s">
        <v>3039</v>
      </c>
      <c r="C21" s="57" t="s">
        <v>3012</v>
      </c>
      <c r="D21" s="58">
        <v>31.5</v>
      </c>
      <c r="E21" s="58">
        <v>31.4</v>
      </c>
      <c r="F21" s="58">
        <v>31.6</v>
      </c>
      <c r="G21" s="58">
        <v>31.8</v>
      </c>
      <c r="H21" s="58">
        <v>31.5</v>
      </c>
      <c r="I21" s="58">
        <v>31.5</v>
      </c>
      <c r="J21" s="58">
        <v>32.700000000000003</v>
      </c>
      <c r="K21" s="58">
        <v>33.6</v>
      </c>
      <c r="L21" s="58">
        <v>33.6</v>
      </c>
      <c r="M21" s="58">
        <v>33.1</v>
      </c>
      <c r="N21" s="58">
        <v>32.200000000000003</v>
      </c>
      <c r="O21" s="58">
        <v>31.6</v>
      </c>
      <c r="P21" s="58">
        <v>32.200000000000003</v>
      </c>
      <c r="Q21"/>
      <c r="R21"/>
      <c r="S21"/>
      <c r="T21"/>
      <c r="U21"/>
      <c r="V21"/>
      <c r="W21"/>
      <c r="X21"/>
      <c r="AA21" s="59" t="s">
        <v>2582</v>
      </c>
      <c r="AB21">
        <f t="shared" si="0"/>
        <v>10</v>
      </c>
    </row>
    <row r="22" spans="1:28" s="59" customFormat="1" ht="15.75">
      <c r="A22" s="60">
        <v>82331</v>
      </c>
      <c r="B22" s="61" t="s">
        <v>3040</v>
      </c>
      <c r="C22" s="62" t="s">
        <v>3012</v>
      </c>
      <c r="D22" s="63">
        <v>30.9</v>
      </c>
      <c r="E22" s="63">
        <v>30.8</v>
      </c>
      <c r="F22" s="63">
        <v>30.9</v>
      </c>
      <c r="G22" s="63">
        <v>31</v>
      </c>
      <c r="H22" s="63">
        <v>31.1</v>
      </c>
      <c r="I22" s="63">
        <v>31.4</v>
      </c>
      <c r="J22" s="63">
        <v>32.1</v>
      </c>
      <c r="K22" s="63">
        <v>33.1</v>
      </c>
      <c r="L22" s="63">
        <v>33.5</v>
      </c>
      <c r="M22" s="63">
        <v>33.4</v>
      </c>
      <c r="N22" s="63">
        <v>32.6</v>
      </c>
      <c r="O22" s="63">
        <v>31.7</v>
      </c>
      <c r="P22" s="63">
        <v>31.9</v>
      </c>
      <c r="Q22"/>
      <c r="R22"/>
      <c r="S22"/>
      <c r="T22"/>
      <c r="U22"/>
      <c r="V22"/>
      <c r="W22"/>
      <c r="X22"/>
      <c r="AA22" s="59" t="s">
        <v>320</v>
      </c>
      <c r="AB22">
        <f t="shared" si="0"/>
        <v>26</v>
      </c>
    </row>
    <row r="23" spans="1:28" s="59" customFormat="1" ht="15.75">
      <c r="A23" s="55">
        <v>82533</v>
      </c>
      <c r="B23" s="56" t="s">
        <v>3041</v>
      </c>
      <c r="C23" s="57" t="s">
        <v>3012</v>
      </c>
      <c r="D23" s="58">
        <v>32</v>
      </c>
      <c r="E23" s="58">
        <v>31.8</v>
      </c>
      <c r="F23" s="58">
        <v>32.1</v>
      </c>
      <c r="G23" s="58">
        <v>32.200000000000003</v>
      </c>
      <c r="H23" s="58">
        <v>32</v>
      </c>
      <c r="I23" s="58">
        <v>32.5</v>
      </c>
      <c r="J23" s="58">
        <v>33.299999999999997</v>
      </c>
      <c r="K23" s="58">
        <v>34.200000000000003</v>
      </c>
      <c r="L23" s="58">
        <v>34</v>
      </c>
      <c r="M23" s="58">
        <v>33.6</v>
      </c>
      <c r="N23" s="58">
        <v>33.1</v>
      </c>
      <c r="O23" s="58">
        <v>32.299999999999997</v>
      </c>
      <c r="P23" s="58">
        <v>32.799999999999997</v>
      </c>
      <c r="Q23"/>
      <c r="R23"/>
      <c r="S23"/>
      <c r="T23"/>
      <c r="U23"/>
      <c r="V23"/>
      <c r="W23"/>
      <c r="X23"/>
      <c r="AA23" s="59" t="s">
        <v>3042</v>
      </c>
      <c r="AB23">
        <f t="shared" si="0"/>
        <v>8</v>
      </c>
    </row>
    <row r="24" spans="1:28" s="59" customFormat="1" ht="15.75">
      <c r="A24" s="60">
        <v>82240</v>
      </c>
      <c r="B24" s="61" t="s">
        <v>3043</v>
      </c>
      <c r="C24" s="62" t="s">
        <v>3012</v>
      </c>
      <c r="D24" s="63">
        <v>31.3</v>
      </c>
      <c r="E24" s="63">
        <v>31</v>
      </c>
      <c r="F24" s="63">
        <v>31.1</v>
      </c>
      <c r="G24" s="63">
        <v>31.2</v>
      </c>
      <c r="H24" s="63">
        <v>31.3</v>
      </c>
      <c r="I24" s="63">
        <v>31.9</v>
      </c>
      <c r="J24" s="63">
        <v>32.200000000000003</v>
      </c>
      <c r="K24" s="63">
        <v>33.4</v>
      </c>
      <c r="L24" s="63">
        <v>34.299999999999997</v>
      </c>
      <c r="M24" s="63">
        <v>34.4</v>
      </c>
      <c r="N24" s="63">
        <v>33.6</v>
      </c>
      <c r="O24" s="63">
        <v>32.5</v>
      </c>
      <c r="P24" s="63">
        <v>32.4</v>
      </c>
      <c r="Q24"/>
      <c r="R24"/>
      <c r="S24"/>
      <c r="T24"/>
      <c r="U24"/>
      <c r="V24"/>
      <c r="W24"/>
      <c r="X24"/>
      <c r="AA24" s="59" t="s">
        <v>3044</v>
      </c>
      <c r="AB24">
        <f t="shared" si="0"/>
        <v>1</v>
      </c>
    </row>
    <row r="25" spans="1:28" s="59" customFormat="1" ht="15.75">
      <c r="A25" s="55">
        <v>82106</v>
      </c>
      <c r="B25" s="56" t="s">
        <v>3045</v>
      </c>
      <c r="C25" s="57" t="s">
        <v>3012</v>
      </c>
      <c r="D25" s="58">
        <v>32.200000000000003</v>
      </c>
      <c r="E25" s="58">
        <v>32.5</v>
      </c>
      <c r="F25" s="58">
        <v>32.6</v>
      </c>
      <c r="G25" s="58">
        <v>32.200000000000003</v>
      </c>
      <c r="H25" s="58">
        <v>31.2</v>
      </c>
      <c r="I25" s="58">
        <v>30.8</v>
      </c>
      <c r="J25" s="58">
        <v>30.8</v>
      </c>
      <c r="K25" s="58">
        <v>31.9</v>
      </c>
      <c r="L25" s="58">
        <v>32.700000000000003</v>
      </c>
      <c r="M25" s="58">
        <v>32.799999999999997</v>
      </c>
      <c r="N25" s="58">
        <v>32.9</v>
      </c>
      <c r="O25" s="58">
        <v>32.4</v>
      </c>
      <c r="P25" s="58">
        <v>32.1</v>
      </c>
      <c r="Q25"/>
      <c r="R25"/>
      <c r="S25"/>
      <c r="T25"/>
      <c r="U25"/>
      <c r="V25"/>
      <c r="W25"/>
      <c r="X25"/>
      <c r="AA25" s="59" t="s">
        <v>3046</v>
      </c>
      <c r="AB25">
        <f t="shared" si="0"/>
        <v>2</v>
      </c>
    </row>
    <row r="26" spans="1:28" s="59" customFormat="1" ht="15.75">
      <c r="A26" s="60">
        <v>82317</v>
      </c>
      <c r="B26" s="61" t="s">
        <v>3047</v>
      </c>
      <c r="C26" s="62" t="s">
        <v>3012</v>
      </c>
      <c r="D26" s="63">
        <v>32.1</v>
      </c>
      <c r="E26" s="63">
        <v>32.1</v>
      </c>
      <c r="F26" s="63">
        <v>32.299999999999997</v>
      </c>
      <c r="G26" s="63">
        <v>32.1</v>
      </c>
      <c r="H26" s="63">
        <v>31.7</v>
      </c>
      <c r="I26" s="63">
        <v>31.7</v>
      </c>
      <c r="J26" s="63">
        <v>32.200000000000003</v>
      </c>
      <c r="K26" s="63">
        <v>33</v>
      </c>
      <c r="L26" s="63">
        <v>33.4</v>
      </c>
      <c r="M26" s="63">
        <v>33.299999999999997</v>
      </c>
      <c r="N26" s="63">
        <v>32.799999999999997</v>
      </c>
      <c r="O26" s="63">
        <v>32.5</v>
      </c>
      <c r="P26" s="63">
        <v>32.4</v>
      </c>
      <c r="Q26"/>
      <c r="R26"/>
      <c r="S26"/>
      <c r="T26"/>
      <c r="U26"/>
      <c r="V26"/>
      <c r="W26"/>
      <c r="X26"/>
      <c r="AA26" s="59" t="s">
        <v>3048</v>
      </c>
      <c r="AB26">
        <f t="shared" si="0"/>
        <v>22</v>
      </c>
    </row>
    <row r="27" spans="1:28" s="59" customFormat="1" ht="15.75">
      <c r="A27" s="55">
        <v>82098</v>
      </c>
      <c r="B27" s="56" t="s">
        <v>3049</v>
      </c>
      <c r="C27" s="57" t="s">
        <v>3014</v>
      </c>
      <c r="D27" s="58">
        <v>30.2</v>
      </c>
      <c r="E27" s="58">
        <v>29.9</v>
      </c>
      <c r="F27" s="58">
        <v>30</v>
      </c>
      <c r="G27" s="58">
        <v>30.4</v>
      </c>
      <c r="H27" s="58">
        <v>30.8</v>
      </c>
      <c r="I27" s="58">
        <v>31.3</v>
      </c>
      <c r="J27" s="58">
        <v>31.6</v>
      </c>
      <c r="K27" s="58">
        <v>32.4</v>
      </c>
      <c r="L27" s="58">
        <v>33.1</v>
      </c>
      <c r="M27" s="58">
        <v>33.299999999999997</v>
      </c>
      <c r="N27" s="58">
        <v>33</v>
      </c>
      <c r="O27" s="58">
        <v>31.9</v>
      </c>
      <c r="P27" s="58">
        <v>31.5</v>
      </c>
      <c r="Q27"/>
      <c r="R27"/>
      <c r="S27"/>
      <c r="T27"/>
      <c r="U27"/>
      <c r="V27"/>
      <c r="W27"/>
      <c r="X27"/>
      <c r="AA27" s="59" t="s">
        <v>3050</v>
      </c>
      <c r="AB27">
        <f t="shared" si="0"/>
        <v>7</v>
      </c>
    </row>
    <row r="28" spans="1:28" s="59" customFormat="1" ht="15.75">
      <c r="A28" s="60">
        <v>82092</v>
      </c>
      <c r="B28" s="61" t="s">
        <v>3051</v>
      </c>
      <c r="C28" s="62" t="s">
        <v>3014</v>
      </c>
      <c r="D28" s="63">
        <v>29.9</v>
      </c>
      <c r="E28" s="63">
        <v>29.5</v>
      </c>
      <c r="F28" s="63">
        <v>30</v>
      </c>
      <c r="G28" s="63">
        <v>30.1</v>
      </c>
      <c r="H28" s="63">
        <v>29.8</v>
      </c>
      <c r="I28" s="63">
        <v>30.2</v>
      </c>
      <c r="J28" s="63">
        <v>30.8</v>
      </c>
      <c r="K28" s="63">
        <v>31.4</v>
      </c>
      <c r="L28" s="63">
        <v>32.200000000000003</v>
      </c>
      <c r="M28" s="63">
        <v>32.5</v>
      </c>
      <c r="N28" s="63">
        <v>32.1</v>
      </c>
      <c r="O28" s="63">
        <v>30.8</v>
      </c>
      <c r="P28" s="63">
        <v>30.8</v>
      </c>
      <c r="Q28"/>
      <c r="R28"/>
      <c r="S28"/>
      <c r="T28"/>
      <c r="U28"/>
      <c r="V28"/>
      <c r="W28"/>
      <c r="X28"/>
      <c r="AA28" s="59" t="s">
        <v>3052</v>
      </c>
      <c r="AB28">
        <f t="shared" si="0"/>
        <v>3</v>
      </c>
    </row>
    <row r="29" spans="1:28" s="59" customFormat="1" ht="15.75">
      <c r="A29" s="55">
        <v>83249</v>
      </c>
      <c r="B29" s="56" t="s">
        <v>3053</v>
      </c>
      <c r="C29" s="57" t="s">
        <v>3016</v>
      </c>
      <c r="D29" s="58">
        <v>33.1</v>
      </c>
      <c r="E29" s="58">
        <v>32.9</v>
      </c>
      <c r="F29" s="58">
        <v>32.799999999999997</v>
      </c>
      <c r="G29" s="58">
        <v>31</v>
      </c>
      <c r="H29" s="58">
        <v>29.2</v>
      </c>
      <c r="I29" s="58">
        <v>27.5</v>
      </c>
      <c r="J29" s="58">
        <v>27.1</v>
      </c>
      <c r="K29" s="58">
        <v>27.3</v>
      </c>
      <c r="L29" s="58">
        <v>28.7</v>
      </c>
      <c r="M29" s="58">
        <v>30.6</v>
      </c>
      <c r="N29" s="58">
        <v>31.9</v>
      </c>
      <c r="O29" s="58">
        <v>32.700000000000003</v>
      </c>
      <c r="P29" s="58">
        <v>30.4</v>
      </c>
      <c r="Q29"/>
      <c r="R29"/>
      <c r="S29"/>
      <c r="T29"/>
      <c r="U29"/>
      <c r="V29"/>
      <c r="W29"/>
      <c r="X29"/>
      <c r="AA29" s="59" t="s">
        <v>3054</v>
      </c>
      <c r="AB29">
        <f t="shared" si="0"/>
        <v>17</v>
      </c>
    </row>
    <row r="30" spans="1:28" s="59" customFormat="1" ht="15.75">
      <c r="A30" s="60">
        <v>83179</v>
      </c>
      <c r="B30" s="61" t="s">
        <v>3055</v>
      </c>
      <c r="C30" s="62" t="s">
        <v>3016</v>
      </c>
      <c r="D30" s="63">
        <v>33.1</v>
      </c>
      <c r="E30" s="63">
        <v>33.200000000000003</v>
      </c>
      <c r="F30" s="63">
        <v>32.6</v>
      </c>
      <c r="G30" s="63">
        <v>32.700000000000003</v>
      </c>
      <c r="H30" s="63">
        <v>32.6</v>
      </c>
      <c r="I30" s="63">
        <v>32.200000000000003</v>
      </c>
      <c r="J30" s="63">
        <v>32.299999999999997</v>
      </c>
      <c r="K30" s="63">
        <v>33.200000000000003</v>
      </c>
      <c r="L30" s="63">
        <v>34.799999999999997</v>
      </c>
      <c r="M30" s="63">
        <v>35.4</v>
      </c>
      <c r="N30" s="63">
        <v>34.200000000000003</v>
      </c>
      <c r="O30" s="63">
        <v>33.200000000000003</v>
      </c>
      <c r="P30" s="63">
        <v>33.299999999999997</v>
      </c>
      <c r="Q30"/>
      <c r="R30"/>
      <c r="S30"/>
      <c r="T30"/>
      <c r="U30"/>
      <c r="V30"/>
      <c r="W30"/>
      <c r="X30"/>
      <c r="AA30" s="59" t="s">
        <v>3056</v>
      </c>
      <c r="AB30">
        <f t="shared" si="0"/>
        <v>6</v>
      </c>
    </row>
    <row r="31" spans="1:28" s="59" customFormat="1" ht="15.75">
      <c r="A31" s="55">
        <v>83236</v>
      </c>
      <c r="B31" s="56" t="s">
        <v>3057</v>
      </c>
      <c r="C31" s="57" t="s">
        <v>3016</v>
      </c>
      <c r="D31" s="58">
        <v>31.7</v>
      </c>
      <c r="E31" s="58">
        <v>31.6</v>
      </c>
      <c r="F31" s="58">
        <v>31.3</v>
      </c>
      <c r="G31" s="58">
        <v>31.9</v>
      </c>
      <c r="H31" s="58">
        <v>32.299999999999997</v>
      </c>
      <c r="I31" s="58">
        <v>32</v>
      </c>
      <c r="J31" s="58">
        <v>32.299999999999997</v>
      </c>
      <c r="K31" s="58">
        <v>33.700000000000003</v>
      </c>
      <c r="L31" s="58">
        <v>35.5</v>
      </c>
      <c r="M31" s="58">
        <v>35.5</v>
      </c>
      <c r="N31" s="58">
        <v>32.799999999999997</v>
      </c>
      <c r="O31" s="58">
        <v>31.7</v>
      </c>
      <c r="P31" s="58">
        <v>32.700000000000003</v>
      </c>
      <c r="Q31"/>
      <c r="R31"/>
      <c r="S31"/>
      <c r="T31"/>
      <c r="U31"/>
      <c r="V31"/>
      <c r="W31"/>
      <c r="X31"/>
      <c r="AA31"/>
    </row>
    <row r="32" spans="1:28" s="59" customFormat="1" ht="15.75">
      <c r="A32" s="60">
        <v>83288</v>
      </c>
      <c r="B32" s="61" t="s">
        <v>3058</v>
      </c>
      <c r="C32" s="62" t="s">
        <v>3016</v>
      </c>
      <c r="D32" s="63">
        <v>32.200000000000003</v>
      </c>
      <c r="E32" s="63">
        <v>32.700000000000003</v>
      </c>
      <c r="F32" s="63">
        <v>32.200000000000003</v>
      </c>
      <c r="G32" s="63">
        <v>32.299999999999997</v>
      </c>
      <c r="H32" s="63">
        <v>32.299999999999997</v>
      </c>
      <c r="I32" s="63">
        <v>31.6</v>
      </c>
      <c r="J32" s="63">
        <v>31.6</v>
      </c>
      <c r="K32" s="63">
        <v>33</v>
      </c>
      <c r="L32" s="63">
        <v>34.799999999999997</v>
      </c>
      <c r="M32" s="63">
        <v>35.299999999999997</v>
      </c>
      <c r="N32" s="63">
        <v>33</v>
      </c>
      <c r="O32" s="63">
        <v>32</v>
      </c>
      <c r="P32" s="63">
        <v>32.799999999999997</v>
      </c>
      <c r="Q32"/>
      <c r="R32"/>
      <c r="S32"/>
      <c r="T32"/>
      <c r="U32"/>
      <c r="V32"/>
      <c r="W32"/>
      <c r="X32"/>
      <c r="AA32"/>
      <c r="AB32" s="59">
        <f>MAX(AB4:AB30)</f>
        <v>65</v>
      </c>
    </row>
    <row r="33" spans="1:24" s="59" customFormat="1" ht="15.75">
      <c r="A33" s="55">
        <v>83339</v>
      </c>
      <c r="B33" s="56" t="s">
        <v>3059</v>
      </c>
      <c r="C33" s="57" t="s">
        <v>3016</v>
      </c>
      <c r="D33" s="58">
        <v>28.2</v>
      </c>
      <c r="E33" s="58">
        <v>29.2</v>
      </c>
      <c r="F33" s="58">
        <v>28.1</v>
      </c>
      <c r="G33" s="58">
        <v>27.6</v>
      </c>
      <c r="H33" s="58">
        <v>26.9</v>
      </c>
      <c r="I33" s="58">
        <v>25.2</v>
      </c>
      <c r="J33" s="58">
        <v>25.1</v>
      </c>
      <c r="K33" s="58">
        <v>26.3</v>
      </c>
      <c r="L33" s="58">
        <v>28.3</v>
      </c>
      <c r="M33" s="58">
        <v>29.4</v>
      </c>
      <c r="N33" s="58">
        <v>28.4</v>
      </c>
      <c r="O33" s="58">
        <v>27.9</v>
      </c>
      <c r="P33" s="58">
        <v>27.6</v>
      </c>
      <c r="Q33"/>
      <c r="R33"/>
      <c r="S33"/>
      <c r="T33"/>
      <c r="U33"/>
      <c r="V33"/>
      <c r="W33"/>
      <c r="X33"/>
    </row>
    <row r="34" spans="1:24" s="59" customFormat="1" ht="15.75">
      <c r="A34" s="60">
        <v>83226</v>
      </c>
      <c r="B34" s="61" t="s">
        <v>3060</v>
      </c>
      <c r="C34" s="62" t="s">
        <v>3016</v>
      </c>
      <c r="D34" s="63">
        <v>31.7</v>
      </c>
      <c r="E34" s="63">
        <v>31.6</v>
      </c>
      <c r="F34" s="63">
        <v>31.4</v>
      </c>
      <c r="G34" s="63">
        <v>30.2</v>
      </c>
      <c r="H34" s="63">
        <v>29</v>
      </c>
      <c r="I34" s="63">
        <v>27.5</v>
      </c>
      <c r="J34" s="63">
        <v>27.1</v>
      </c>
      <c r="K34" s="63">
        <v>27.1</v>
      </c>
      <c r="L34" s="63">
        <v>28.3</v>
      </c>
      <c r="M34" s="63">
        <v>29.7</v>
      </c>
      <c r="N34" s="63">
        <v>30.5</v>
      </c>
      <c r="O34" s="63">
        <v>31.4</v>
      </c>
      <c r="P34" s="63">
        <v>29.6</v>
      </c>
      <c r="Q34"/>
      <c r="R34"/>
      <c r="S34"/>
      <c r="T34"/>
      <c r="U34"/>
      <c r="V34"/>
      <c r="W34"/>
      <c r="X34"/>
    </row>
    <row r="35" spans="1:24" s="59" customFormat="1" ht="15.75">
      <c r="A35" s="55">
        <v>83398</v>
      </c>
      <c r="B35" s="56" t="s">
        <v>3061</v>
      </c>
      <c r="C35" s="57" t="s">
        <v>3016</v>
      </c>
      <c r="D35" s="58">
        <v>30.1</v>
      </c>
      <c r="E35" s="58">
        <v>30.5</v>
      </c>
      <c r="F35" s="58">
        <v>30.3</v>
      </c>
      <c r="G35" s="58">
        <v>29.7</v>
      </c>
      <c r="H35" s="58">
        <v>28.5</v>
      </c>
      <c r="I35" s="58">
        <v>27.3</v>
      </c>
      <c r="J35" s="58">
        <v>26.8</v>
      </c>
      <c r="K35" s="58">
        <v>26.6</v>
      </c>
      <c r="L35" s="58">
        <v>27.3</v>
      </c>
      <c r="M35" s="58">
        <v>28.2</v>
      </c>
      <c r="N35" s="58">
        <v>28.7</v>
      </c>
      <c r="O35" s="58">
        <v>29.5</v>
      </c>
      <c r="P35" s="58">
        <v>28.6</v>
      </c>
      <c r="Q35"/>
      <c r="R35"/>
      <c r="S35"/>
      <c r="T35"/>
      <c r="U35"/>
      <c r="V35"/>
      <c r="W35"/>
      <c r="X35"/>
    </row>
    <row r="36" spans="1:24" s="59" customFormat="1" ht="15.75">
      <c r="A36" s="60">
        <v>83498</v>
      </c>
      <c r="B36" s="61" t="s">
        <v>3062</v>
      </c>
      <c r="C36" s="62" t="s">
        <v>3016</v>
      </c>
      <c r="D36" s="63">
        <v>30.5</v>
      </c>
      <c r="E36" s="63">
        <v>31</v>
      </c>
      <c r="F36" s="63">
        <v>30.6</v>
      </c>
      <c r="G36" s="63">
        <v>29.6</v>
      </c>
      <c r="H36" s="63">
        <v>28.3</v>
      </c>
      <c r="I36" s="63">
        <v>26.8</v>
      </c>
      <c r="J36" s="63">
        <v>26.4</v>
      </c>
      <c r="K36" s="63">
        <v>26.6</v>
      </c>
      <c r="L36" s="63">
        <v>27.3</v>
      </c>
      <c r="M36" s="63">
        <v>28.1</v>
      </c>
      <c r="N36" s="63">
        <v>28.6</v>
      </c>
      <c r="O36" s="63">
        <v>29.7</v>
      </c>
      <c r="P36" s="63">
        <v>28.6</v>
      </c>
      <c r="Q36"/>
      <c r="R36"/>
      <c r="S36"/>
      <c r="T36"/>
      <c r="U36"/>
      <c r="V36"/>
      <c r="W36"/>
      <c r="X36"/>
    </row>
    <row r="37" spans="1:24" s="59" customFormat="1" ht="15.75">
      <c r="A37" s="55">
        <v>83408</v>
      </c>
      <c r="B37" s="56" t="s">
        <v>3063</v>
      </c>
      <c r="C37" s="57" t="s">
        <v>3016</v>
      </c>
      <c r="D37" s="58">
        <v>32</v>
      </c>
      <c r="E37" s="58">
        <v>32.9</v>
      </c>
      <c r="F37" s="58">
        <v>32.1</v>
      </c>
      <c r="G37" s="58">
        <v>32.4</v>
      </c>
      <c r="H37" s="58">
        <v>32.200000000000003</v>
      </c>
      <c r="I37" s="58">
        <v>31.1</v>
      </c>
      <c r="J37" s="58">
        <v>30.9</v>
      </c>
      <c r="K37" s="58">
        <v>32.1</v>
      </c>
      <c r="L37" s="58">
        <v>33.9</v>
      </c>
      <c r="M37" s="58">
        <v>34.700000000000003</v>
      </c>
      <c r="N37" s="58">
        <v>32.6</v>
      </c>
      <c r="O37" s="58">
        <v>31.6</v>
      </c>
      <c r="P37" s="58">
        <v>32.4</v>
      </c>
      <c r="Q37"/>
      <c r="R37"/>
      <c r="S37"/>
      <c r="T37"/>
      <c r="U37"/>
      <c r="V37"/>
      <c r="W37"/>
      <c r="X37"/>
    </row>
    <row r="38" spans="1:24" s="59" customFormat="1" ht="15.75">
      <c r="A38" s="60">
        <v>83192</v>
      </c>
      <c r="B38" s="61" t="s">
        <v>3064</v>
      </c>
      <c r="C38" s="62" t="s">
        <v>3016</v>
      </c>
      <c r="D38" s="63">
        <v>34.6</v>
      </c>
      <c r="E38" s="63">
        <v>34.6</v>
      </c>
      <c r="F38" s="63">
        <v>34.200000000000003</v>
      </c>
      <c r="G38" s="63">
        <v>32.799999999999997</v>
      </c>
      <c r="H38" s="63">
        <v>30.7</v>
      </c>
      <c r="I38" s="63">
        <v>28.8</v>
      </c>
      <c r="J38" s="63">
        <v>28.2</v>
      </c>
      <c r="K38" s="63">
        <v>28.8</v>
      </c>
      <c r="L38" s="63">
        <v>30.8</v>
      </c>
      <c r="M38" s="63">
        <v>32.9</v>
      </c>
      <c r="N38" s="63">
        <v>34</v>
      </c>
      <c r="O38" s="63">
        <v>34.5</v>
      </c>
      <c r="P38" s="63">
        <v>32.1</v>
      </c>
      <c r="Q38"/>
      <c r="R38"/>
      <c r="S38"/>
      <c r="T38"/>
      <c r="U38"/>
      <c r="V38"/>
      <c r="W38"/>
      <c r="X38"/>
    </row>
    <row r="39" spans="1:24" s="59" customFormat="1" ht="15.75">
      <c r="A39" s="55">
        <v>83286</v>
      </c>
      <c r="B39" s="56" t="s">
        <v>3065</v>
      </c>
      <c r="C39" s="57" t="s">
        <v>3016</v>
      </c>
      <c r="D39" s="58">
        <v>31</v>
      </c>
      <c r="E39" s="58">
        <v>31.4</v>
      </c>
      <c r="F39" s="58">
        <v>30.9</v>
      </c>
      <c r="G39" s="58">
        <v>31.1</v>
      </c>
      <c r="H39" s="58">
        <v>31.3</v>
      </c>
      <c r="I39" s="58">
        <v>30.4</v>
      </c>
      <c r="J39" s="58">
        <v>30.6</v>
      </c>
      <c r="K39" s="58">
        <v>31.8</v>
      </c>
      <c r="L39" s="58">
        <v>33.6</v>
      </c>
      <c r="M39" s="58">
        <v>34.1</v>
      </c>
      <c r="N39" s="58">
        <v>31.8</v>
      </c>
      <c r="O39" s="58">
        <v>30.8</v>
      </c>
      <c r="P39" s="58">
        <v>31.6</v>
      </c>
      <c r="Q39"/>
      <c r="R39"/>
      <c r="S39"/>
      <c r="T39"/>
      <c r="U39"/>
      <c r="V39"/>
      <c r="W39"/>
      <c r="X39"/>
    </row>
    <row r="40" spans="1:24" s="59" customFormat="1" ht="15.75">
      <c r="A40" s="60">
        <v>83222</v>
      </c>
      <c r="B40" s="61" t="s">
        <v>3066</v>
      </c>
      <c r="C40" s="62" t="s">
        <v>3016</v>
      </c>
      <c r="D40" s="63">
        <v>31.8</v>
      </c>
      <c r="E40" s="63">
        <v>31.9</v>
      </c>
      <c r="F40" s="63">
        <v>31.3</v>
      </c>
      <c r="G40" s="63">
        <v>29.4</v>
      </c>
      <c r="H40" s="63">
        <v>28</v>
      </c>
      <c r="I40" s="63">
        <v>26.2</v>
      </c>
      <c r="J40" s="63">
        <v>25.9</v>
      </c>
      <c r="K40" s="63">
        <v>26</v>
      </c>
      <c r="L40" s="63">
        <v>27.5</v>
      </c>
      <c r="M40" s="63">
        <v>29.3</v>
      </c>
      <c r="N40" s="63">
        <v>30.3</v>
      </c>
      <c r="O40" s="63">
        <v>31.3</v>
      </c>
      <c r="P40" s="63">
        <v>29.1</v>
      </c>
      <c r="Q40"/>
      <c r="R40"/>
      <c r="S40"/>
      <c r="T40"/>
      <c r="U40"/>
      <c r="V40"/>
      <c r="W40"/>
      <c r="X40"/>
    </row>
    <row r="41" spans="1:24" s="59" customFormat="1" ht="15.75">
      <c r="A41" s="55">
        <v>83221</v>
      </c>
      <c r="B41" s="56" t="s">
        <v>3067</v>
      </c>
      <c r="C41" s="57" t="s">
        <v>3016</v>
      </c>
      <c r="D41" s="58">
        <v>32.5</v>
      </c>
      <c r="E41" s="58">
        <v>32.700000000000003</v>
      </c>
      <c r="F41" s="58">
        <v>32.5</v>
      </c>
      <c r="G41" s="58">
        <v>30.4</v>
      </c>
      <c r="H41" s="58">
        <v>28.5</v>
      </c>
      <c r="I41" s="58">
        <v>26.7</v>
      </c>
      <c r="J41" s="58">
        <v>26.2</v>
      </c>
      <c r="K41" s="58">
        <v>26.7</v>
      </c>
      <c r="L41" s="58">
        <v>28.5</v>
      </c>
      <c r="M41" s="58">
        <v>30.5</v>
      </c>
      <c r="N41" s="58">
        <v>31.9</v>
      </c>
      <c r="O41" s="58">
        <v>32.6</v>
      </c>
      <c r="P41" s="58">
        <v>30</v>
      </c>
      <c r="Q41"/>
      <c r="R41"/>
      <c r="S41"/>
      <c r="T41"/>
      <c r="U41"/>
      <c r="V41"/>
      <c r="W41"/>
      <c r="X41"/>
    </row>
    <row r="42" spans="1:24" s="59" customFormat="1" ht="15.75">
      <c r="A42" s="60">
        <v>83446</v>
      </c>
      <c r="B42" s="61" t="s">
        <v>3068</v>
      </c>
      <c r="C42" s="62" t="s">
        <v>3016</v>
      </c>
      <c r="D42" s="63">
        <v>32</v>
      </c>
      <c r="E42" s="63">
        <v>32.4</v>
      </c>
      <c r="F42" s="63">
        <v>31.6</v>
      </c>
      <c r="G42" s="63">
        <v>30.2</v>
      </c>
      <c r="H42" s="63">
        <v>28.5</v>
      </c>
      <c r="I42" s="63">
        <v>27</v>
      </c>
      <c r="J42" s="63">
        <v>26.3</v>
      </c>
      <c r="K42" s="63">
        <v>26.8</v>
      </c>
      <c r="L42" s="63">
        <v>28.1</v>
      </c>
      <c r="M42" s="63">
        <v>29.5</v>
      </c>
      <c r="N42" s="63">
        <v>29.8</v>
      </c>
      <c r="O42" s="63">
        <v>31.1</v>
      </c>
      <c r="P42" s="63">
        <v>29.4</v>
      </c>
      <c r="Q42"/>
      <c r="R42"/>
      <c r="S42"/>
      <c r="T42"/>
      <c r="U42"/>
      <c r="V42"/>
      <c r="W42"/>
      <c r="X42"/>
    </row>
    <row r="43" spans="1:24" s="59" customFormat="1" ht="15.75">
      <c r="A43" s="55">
        <v>83182</v>
      </c>
      <c r="B43" s="56" t="s">
        <v>3069</v>
      </c>
      <c r="C43" s="57" t="s">
        <v>3016</v>
      </c>
      <c r="D43" s="58">
        <v>30.7</v>
      </c>
      <c r="E43" s="58">
        <v>31.4</v>
      </c>
      <c r="F43" s="58">
        <v>30.6</v>
      </c>
      <c r="G43" s="58">
        <v>30.3</v>
      </c>
      <c r="H43" s="58">
        <v>29.4</v>
      </c>
      <c r="I43" s="58">
        <v>28.1</v>
      </c>
      <c r="J43" s="58">
        <v>28</v>
      </c>
      <c r="K43" s="58">
        <v>28.8</v>
      </c>
      <c r="L43" s="58">
        <v>30.8</v>
      </c>
      <c r="M43" s="58">
        <v>32.1</v>
      </c>
      <c r="N43" s="58">
        <v>31.5</v>
      </c>
      <c r="O43" s="58">
        <v>30.7</v>
      </c>
      <c r="P43" s="58">
        <v>30.2</v>
      </c>
      <c r="Q43"/>
      <c r="R43"/>
      <c r="S43"/>
      <c r="T43"/>
      <c r="U43"/>
      <c r="V43"/>
      <c r="W43"/>
      <c r="X43"/>
    </row>
    <row r="44" spans="1:24" s="59" customFormat="1" ht="15.75">
      <c r="A44" s="60">
        <v>83244</v>
      </c>
      <c r="B44" s="61" t="s">
        <v>3070</v>
      </c>
      <c r="C44" s="62" t="s">
        <v>3016</v>
      </c>
      <c r="D44" s="63">
        <v>33.299999999999997</v>
      </c>
      <c r="E44" s="63">
        <v>33.700000000000003</v>
      </c>
      <c r="F44" s="63">
        <v>33</v>
      </c>
      <c r="G44" s="63">
        <v>31.8</v>
      </c>
      <c r="H44" s="63">
        <v>30.6</v>
      </c>
      <c r="I44" s="63">
        <v>28.7</v>
      </c>
      <c r="J44" s="63">
        <v>28.4</v>
      </c>
      <c r="K44" s="63">
        <v>29.2</v>
      </c>
      <c r="L44" s="63">
        <v>30.8</v>
      </c>
      <c r="M44" s="63">
        <v>32.4</v>
      </c>
      <c r="N44" s="63">
        <v>32.6</v>
      </c>
      <c r="O44" s="63">
        <v>32.700000000000003</v>
      </c>
      <c r="P44" s="63">
        <v>31.4</v>
      </c>
      <c r="Q44"/>
      <c r="R44"/>
      <c r="S44"/>
      <c r="T44"/>
      <c r="U44"/>
      <c r="V44"/>
      <c r="W44"/>
      <c r="X44"/>
    </row>
    <row r="45" spans="1:24" s="59" customFormat="1" ht="15.75">
      <c r="A45" s="55">
        <v>83295</v>
      </c>
      <c r="B45" s="56" t="s">
        <v>3071</v>
      </c>
      <c r="C45" s="57" t="s">
        <v>3016</v>
      </c>
      <c r="D45" s="58">
        <v>29.1</v>
      </c>
      <c r="E45" s="58">
        <v>29.3</v>
      </c>
      <c r="F45" s="58">
        <v>28.6</v>
      </c>
      <c r="G45" s="58">
        <v>27.3</v>
      </c>
      <c r="H45" s="58">
        <v>25.8</v>
      </c>
      <c r="I45" s="58">
        <v>23.6</v>
      </c>
      <c r="J45" s="58">
        <v>23.3</v>
      </c>
      <c r="K45" s="58">
        <v>23.9</v>
      </c>
      <c r="L45" s="58">
        <v>25.7</v>
      </c>
      <c r="M45" s="58">
        <v>27.5</v>
      </c>
      <c r="N45" s="58">
        <v>28</v>
      </c>
      <c r="O45" s="58">
        <v>28.6</v>
      </c>
      <c r="P45" s="58">
        <v>26.7</v>
      </c>
      <c r="Q45"/>
      <c r="R45"/>
      <c r="S45"/>
      <c r="T45"/>
      <c r="U45"/>
      <c r="V45"/>
      <c r="W45"/>
      <c r="X45"/>
    </row>
    <row r="46" spans="1:24" s="59" customFormat="1" ht="15.75">
      <c r="A46" s="60">
        <v>83292</v>
      </c>
      <c r="B46" s="61" t="s">
        <v>3072</v>
      </c>
      <c r="C46" s="62" t="s">
        <v>3016</v>
      </c>
      <c r="D46" s="63">
        <v>31.6</v>
      </c>
      <c r="E46" s="63">
        <v>32.5</v>
      </c>
      <c r="F46" s="63">
        <v>31.4</v>
      </c>
      <c r="G46" s="63">
        <v>30.6</v>
      </c>
      <c r="H46" s="63">
        <v>29.5</v>
      </c>
      <c r="I46" s="63">
        <v>27.6</v>
      </c>
      <c r="J46" s="63">
        <v>27.5</v>
      </c>
      <c r="K46" s="63">
        <v>28.4</v>
      </c>
      <c r="L46" s="63">
        <v>30</v>
      </c>
      <c r="M46" s="63">
        <v>31.3</v>
      </c>
      <c r="N46" s="63">
        <v>30.9</v>
      </c>
      <c r="O46" s="63">
        <v>30.8</v>
      </c>
      <c r="P46" s="63">
        <v>30.2</v>
      </c>
      <c r="Q46"/>
      <c r="R46"/>
      <c r="S46"/>
      <c r="T46"/>
      <c r="U46"/>
      <c r="V46"/>
      <c r="W46"/>
      <c r="X46"/>
    </row>
    <row r="47" spans="1:24" s="59" customFormat="1" ht="15.75">
      <c r="A47" s="55">
        <v>83186</v>
      </c>
      <c r="B47" s="56" t="s">
        <v>3073</v>
      </c>
      <c r="C47" s="57" t="s">
        <v>3016</v>
      </c>
      <c r="D47" s="58">
        <v>31.9</v>
      </c>
      <c r="E47" s="58">
        <v>32.299999999999997</v>
      </c>
      <c r="F47" s="58">
        <v>31.6</v>
      </c>
      <c r="G47" s="58">
        <v>30.1</v>
      </c>
      <c r="H47" s="58">
        <v>28.3</v>
      </c>
      <c r="I47" s="58">
        <v>26.5</v>
      </c>
      <c r="J47" s="58">
        <v>26.3</v>
      </c>
      <c r="K47" s="58">
        <v>27.4</v>
      </c>
      <c r="L47" s="58">
        <v>29.6</v>
      </c>
      <c r="M47" s="58">
        <v>31.5</v>
      </c>
      <c r="N47" s="58">
        <v>31.7</v>
      </c>
      <c r="O47" s="58">
        <v>31.5</v>
      </c>
      <c r="P47" s="58">
        <v>29.9</v>
      </c>
      <c r="Q47"/>
      <c r="R47"/>
      <c r="S47"/>
      <c r="T47"/>
      <c r="U47"/>
      <c r="V47"/>
      <c r="W47"/>
      <c r="X47"/>
    </row>
    <row r="48" spans="1:24" s="59" customFormat="1" ht="15.75">
      <c r="A48" s="60">
        <v>83242</v>
      </c>
      <c r="B48" s="61" t="s">
        <v>3074</v>
      </c>
      <c r="C48" s="62" t="s">
        <v>3016</v>
      </c>
      <c r="D48" s="63">
        <v>31.5</v>
      </c>
      <c r="E48" s="63">
        <v>31.7</v>
      </c>
      <c r="F48" s="63">
        <v>30.8</v>
      </c>
      <c r="G48" s="63">
        <v>29.6</v>
      </c>
      <c r="H48" s="63">
        <v>28</v>
      </c>
      <c r="I48" s="63">
        <v>26.6</v>
      </c>
      <c r="J48" s="63">
        <v>26.2</v>
      </c>
      <c r="K48" s="63">
        <v>27</v>
      </c>
      <c r="L48" s="63">
        <v>29</v>
      </c>
      <c r="M48" s="63">
        <v>31</v>
      </c>
      <c r="N48" s="63">
        <v>30.7</v>
      </c>
      <c r="O48" s="63">
        <v>30.4</v>
      </c>
      <c r="P48" s="63">
        <v>29.4</v>
      </c>
      <c r="Q48"/>
      <c r="R48"/>
      <c r="S48"/>
      <c r="T48"/>
      <c r="U48"/>
      <c r="V48"/>
      <c r="W48"/>
      <c r="X48"/>
    </row>
    <row r="49" spans="1:24" s="59" customFormat="1" ht="15.75">
      <c r="A49" s="55">
        <v>83090</v>
      </c>
      <c r="B49" s="56" t="s">
        <v>3075</v>
      </c>
      <c r="C49" s="57" t="s">
        <v>3016</v>
      </c>
      <c r="D49" s="58">
        <v>32.799999999999997</v>
      </c>
      <c r="E49" s="58">
        <v>32.799999999999997</v>
      </c>
      <c r="F49" s="58">
        <v>32.4</v>
      </c>
      <c r="G49" s="58">
        <v>31</v>
      </c>
      <c r="H49" s="58">
        <v>29.1</v>
      </c>
      <c r="I49" s="58">
        <v>26.8</v>
      </c>
      <c r="J49" s="58">
        <v>26.4</v>
      </c>
      <c r="K49" s="58">
        <v>27.4</v>
      </c>
      <c r="L49" s="58">
        <v>29.9</v>
      </c>
      <c r="M49" s="58">
        <v>32</v>
      </c>
      <c r="N49" s="58">
        <v>32.6</v>
      </c>
      <c r="O49" s="58">
        <v>32.799999999999997</v>
      </c>
      <c r="P49" s="58">
        <v>30.5</v>
      </c>
      <c r="Q49"/>
      <c r="R49"/>
      <c r="S49"/>
      <c r="T49"/>
      <c r="U49"/>
      <c r="V49"/>
      <c r="W49"/>
      <c r="X49"/>
    </row>
    <row r="50" spans="1:24" s="59" customFormat="1" ht="15.75">
      <c r="A50" s="60">
        <v>83184</v>
      </c>
      <c r="B50" s="61" t="s">
        <v>3076</v>
      </c>
      <c r="C50" s="62" t="s">
        <v>3016</v>
      </c>
      <c r="D50" s="63">
        <v>27.9</v>
      </c>
      <c r="E50" s="63">
        <v>28.4</v>
      </c>
      <c r="F50" s="63">
        <v>27.7</v>
      </c>
      <c r="G50" s="63">
        <v>26.4</v>
      </c>
      <c r="H50" s="63">
        <v>24.9</v>
      </c>
      <c r="I50" s="63">
        <v>23.1</v>
      </c>
      <c r="J50" s="63">
        <v>22.7</v>
      </c>
      <c r="K50" s="63">
        <v>23.7</v>
      </c>
      <c r="L50" s="63">
        <v>25.7</v>
      </c>
      <c r="M50" s="63">
        <v>27.5</v>
      </c>
      <c r="N50" s="63">
        <v>27.5</v>
      </c>
      <c r="O50" s="63">
        <v>27.5</v>
      </c>
      <c r="P50" s="63">
        <v>26.1</v>
      </c>
      <c r="Q50"/>
      <c r="R50"/>
      <c r="S50"/>
      <c r="T50"/>
      <c r="U50"/>
      <c r="V50"/>
      <c r="W50"/>
      <c r="X50"/>
    </row>
    <row r="51" spans="1:24" s="59" customFormat="1" ht="15.75">
      <c r="A51" s="55">
        <v>82986</v>
      </c>
      <c r="B51" s="56" t="s">
        <v>3077</v>
      </c>
      <c r="C51" s="57" t="s">
        <v>3016</v>
      </c>
      <c r="D51" s="58">
        <v>34.4</v>
      </c>
      <c r="E51" s="58">
        <v>34.299999999999997</v>
      </c>
      <c r="F51" s="58">
        <v>33.700000000000003</v>
      </c>
      <c r="G51" s="58">
        <v>32.5</v>
      </c>
      <c r="H51" s="58">
        <v>30.7</v>
      </c>
      <c r="I51" s="58">
        <v>28.5</v>
      </c>
      <c r="J51" s="58">
        <v>27.9</v>
      </c>
      <c r="K51" s="58">
        <v>29.1</v>
      </c>
      <c r="L51" s="58">
        <v>31.7</v>
      </c>
      <c r="M51" s="58">
        <v>33.799999999999997</v>
      </c>
      <c r="N51" s="58">
        <v>34.799999999999997</v>
      </c>
      <c r="O51" s="58">
        <v>34.6</v>
      </c>
      <c r="P51" s="58">
        <v>32.200000000000003</v>
      </c>
      <c r="Q51"/>
      <c r="R51"/>
      <c r="S51"/>
      <c r="T51"/>
      <c r="U51"/>
      <c r="V51"/>
      <c r="W51"/>
      <c r="X51"/>
    </row>
    <row r="52" spans="1:24" s="59" customFormat="1" ht="15.75">
      <c r="A52" s="60">
        <v>82979</v>
      </c>
      <c r="B52" s="61" t="s">
        <v>3078</v>
      </c>
      <c r="C52" s="62" t="s">
        <v>3016</v>
      </c>
      <c r="D52" s="63">
        <v>32</v>
      </c>
      <c r="E52" s="63">
        <v>31.9</v>
      </c>
      <c r="F52" s="63">
        <v>31.4</v>
      </c>
      <c r="G52" s="63">
        <v>31.6</v>
      </c>
      <c r="H52" s="63">
        <v>31.1</v>
      </c>
      <c r="I52" s="63">
        <v>30.4</v>
      </c>
      <c r="J52" s="63">
        <v>30.2</v>
      </c>
      <c r="K52" s="63">
        <v>31.1</v>
      </c>
      <c r="L52" s="63">
        <v>32.799999999999997</v>
      </c>
      <c r="M52" s="63">
        <v>33.9</v>
      </c>
      <c r="N52" s="63">
        <v>33.299999999999997</v>
      </c>
      <c r="O52" s="63">
        <v>32.299999999999997</v>
      </c>
      <c r="P52" s="63">
        <v>31.8</v>
      </c>
      <c r="Q52"/>
      <c r="R52"/>
      <c r="S52"/>
      <c r="T52"/>
      <c r="U52"/>
      <c r="V52"/>
      <c r="W52"/>
      <c r="X52"/>
    </row>
    <row r="53" spans="1:24" s="59" customFormat="1" ht="15.75">
      <c r="A53" s="55">
        <v>83229</v>
      </c>
      <c r="B53" s="56" t="s">
        <v>3079</v>
      </c>
      <c r="C53" s="57" t="s">
        <v>3016</v>
      </c>
      <c r="D53" s="58">
        <v>30.9</v>
      </c>
      <c r="E53" s="58">
        <v>31</v>
      </c>
      <c r="F53" s="58">
        <v>30.7</v>
      </c>
      <c r="G53" s="58">
        <v>29.5</v>
      </c>
      <c r="H53" s="58">
        <v>28.3</v>
      </c>
      <c r="I53" s="58">
        <v>27.1</v>
      </c>
      <c r="J53" s="58">
        <v>26.5</v>
      </c>
      <c r="K53" s="58">
        <v>26.7</v>
      </c>
      <c r="L53" s="58">
        <v>27.7</v>
      </c>
      <c r="M53" s="58">
        <v>29</v>
      </c>
      <c r="N53" s="58">
        <v>29.8</v>
      </c>
      <c r="O53" s="58">
        <v>30.5</v>
      </c>
      <c r="P53" s="58">
        <v>29</v>
      </c>
      <c r="Q53"/>
      <c r="R53"/>
      <c r="S53"/>
      <c r="T53"/>
      <c r="U53"/>
      <c r="V53"/>
      <c r="W53"/>
      <c r="X53"/>
    </row>
    <row r="54" spans="1:24" s="59" customFormat="1" ht="15.75">
      <c r="A54" s="60">
        <v>83088</v>
      </c>
      <c r="B54" s="61" t="s">
        <v>3080</v>
      </c>
      <c r="C54" s="62" t="s">
        <v>3016</v>
      </c>
      <c r="D54" s="63">
        <v>31.9</v>
      </c>
      <c r="E54" s="63">
        <v>31.9</v>
      </c>
      <c r="F54" s="63">
        <v>31.5</v>
      </c>
      <c r="G54" s="63">
        <v>30</v>
      </c>
      <c r="H54" s="63">
        <v>28</v>
      </c>
      <c r="I54" s="63">
        <v>26.2</v>
      </c>
      <c r="J54" s="63">
        <v>25.8</v>
      </c>
      <c r="K54" s="63">
        <v>27</v>
      </c>
      <c r="L54" s="63">
        <v>29.5</v>
      </c>
      <c r="M54" s="63">
        <v>31.5</v>
      </c>
      <c r="N54" s="63">
        <v>31.6</v>
      </c>
      <c r="O54" s="63">
        <v>31.8</v>
      </c>
      <c r="P54" s="63">
        <v>29.7</v>
      </c>
      <c r="Q54"/>
      <c r="R54"/>
      <c r="S54"/>
      <c r="T54"/>
      <c r="U54"/>
      <c r="V54"/>
      <c r="W54"/>
      <c r="X54"/>
    </row>
    <row r="55" spans="1:24" s="59" customFormat="1" ht="15.75">
      <c r="A55" s="55">
        <v>83190</v>
      </c>
      <c r="B55" s="56" t="s">
        <v>3081</v>
      </c>
      <c r="C55" s="57" t="s">
        <v>3016</v>
      </c>
      <c r="D55" s="58">
        <v>33.200000000000003</v>
      </c>
      <c r="E55" s="58">
        <v>33.299999999999997</v>
      </c>
      <c r="F55" s="58">
        <v>32.700000000000003</v>
      </c>
      <c r="G55" s="58">
        <v>31.1</v>
      </c>
      <c r="H55" s="58">
        <v>29</v>
      </c>
      <c r="I55" s="58">
        <v>27</v>
      </c>
      <c r="J55" s="58">
        <v>26.7</v>
      </c>
      <c r="K55" s="58">
        <v>27.2</v>
      </c>
      <c r="L55" s="58">
        <v>29.3</v>
      </c>
      <c r="M55" s="58">
        <v>31.4</v>
      </c>
      <c r="N55" s="58">
        <v>32.4</v>
      </c>
      <c r="O55" s="58">
        <v>33</v>
      </c>
      <c r="P55" s="58">
        <v>30.5</v>
      </c>
      <c r="Q55"/>
      <c r="R55"/>
      <c r="S55"/>
      <c r="T55"/>
      <c r="U55"/>
      <c r="V55"/>
      <c r="W55"/>
      <c r="X55"/>
    </row>
    <row r="56" spans="1:24" s="59" customFormat="1" ht="15.75">
      <c r="A56" s="60">
        <v>83076</v>
      </c>
      <c r="B56" s="61" t="s">
        <v>3082</v>
      </c>
      <c r="C56" s="62" t="s">
        <v>3016</v>
      </c>
      <c r="D56" s="63">
        <v>32</v>
      </c>
      <c r="E56" s="63">
        <v>31.5</v>
      </c>
      <c r="F56" s="63">
        <v>31.6</v>
      </c>
      <c r="G56" s="63">
        <v>32.1</v>
      </c>
      <c r="H56" s="63">
        <v>32.200000000000003</v>
      </c>
      <c r="I56" s="63">
        <v>31.9</v>
      </c>
      <c r="J56" s="63">
        <v>32.299999999999997</v>
      </c>
      <c r="K56" s="63">
        <v>33.700000000000003</v>
      </c>
      <c r="L56" s="63">
        <v>35.700000000000003</v>
      </c>
      <c r="M56" s="63">
        <v>35.799999999999997</v>
      </c>
      <c r="N56" s="63">
        <v>33.799999999999997</v>
      </c>
      <c r="O56" s="63">
        <v>32.5</v>
      </c>
      <c r="P56" s="63">
        <v>32.9</v>
      </c>
      <c r="Q56"/>
      <c r="R56"/>
      <c r="S56"/>
      <c r="T56"/>
      <c r="U56"/>
      <c r="V56"/>
      <c r="W56"/>
      <c r="X56"/>
    </row>
    <row r="57" spans="1:24" s="59" customFormat="1" ht="15.75">
      <c r="A57" s="55">
        <v>83344</v>
      </c>
      <c r="B57" s="56" t="s">
        <v>3083</v>
      </c>
      <c r="C57" s="57" t="s">
        <v>3016</v>
      </c>
      <c r="D57" s="58">
        <v>28.1</v>
      </c>
      <c r="E57" s="58">
        <v>28.6</v>
      </c>
      <c r="F57" s="58">
        <v>27.8</v>
      </c>
      <c r="G57" s="58">
        <v>26.4</v>
      </c>
      <c r="H57" s="58">
        <v>25.1</v>
      </c>
      <c r="I57" s="58">
        <v>23.2</v>
      </c>
      <c r="J57" s="58">
        <v>22.9</v>
      </c>
      <c r="K57" s="58">
        <v>23.8</v>
      </c>
      <c r="L57" s="58">
        <v>26</v>
      </c>
      <c r="M57" s="58">
        <v>27.5</v>
      </c>
      <c r="N57" s="58">
        <v>27.4</v>
      </c>
      <c r="O57" s="58">
        <v>27.6</v>
      </c>
      <c r="P57" s="58">
        <v>26.2</v>
      </c>
      <c r="Q57"/>
      <c r="R57"/>
      <c r="S57"/>
      <c r="T57"/>
      <c r="U57"/>
      <c r="V57"/>
      <c r="W57"/>
      <c r="X57"/>
    </row>
    <row r="58" spans="1:24" s="59" customFormat="1" ht="15.75">
      <c r="A58" s="60">
        <v>82294</v>
      </c>
      <c r="B58" s="61" t="s">
        <v>3084</v>
      </c>
      <c r="C58" s="62" t="s">
        <v>3018</v>
      </c>
      <c r="D58" s="63">
        <v>31.7</v>
      </c>
      <c r="E58" s="63">
        <v>31.1</v>
      </c>
      <c r="F58" s="63">
        <v>30.7</v>
      </c>
      <c r="G58" s="63">
        <v>30.6</v>
      </c>
      <c r="H58" s="63">
        <v>31.3</v>
      </c>
      <c r="I58" s="63">
        <v>31.6</v>
      </c>
      <c r="J58" s="63">
        <v>32.200000000000003</v>
      </c>
      <c r="K58" s="63">
        <v>32.700000000000003</v>
      </c>
      <c r="L58" s="63">
        <v>32.9</v>
      </c>
      <c r="M58" s="63">
        <v>32.799999999999997</v>
      </c>
      <c r="N58" s="63">
        <v>32.799999999999997</v>
      </c>
      <c r="O58" s="63">
        <v>32.799999999999997</v>
      </c>
      <c r="P58" s="63">
        <v>31.9</v>
      </c>
      <c r="Q58"/>
      <c r="R58"/>
      <c r="S58"/>
      <c r="T58"/>
      <c r="U58"/>
      <c r="V58"/>
      <c r="W58"/>
      <c r="X58"/>
    </row>
    <row r="59" spans="1:24" s="59" customFormat="1" ht="15.75">
      <c r="A59" s="55">
        <v>82784</v>
      </c>
      <c r="B59" s="56" t="s">
        <v>3085</v>
      </c>
      <c r="C59" s="57" t="s">
        <v>3018</v>
      </c>
      <c r="D59" s="58">
        <v>32.1</v>
      </c>
      <c r="E59" s="58">
        <v>31.2</v>
      </c>
      <c r="F59" s="58">
        <v>30.9</v>
      </c>
      <c r="G59" s="58">
        <v>30.8</v>
      </c>
      <c r="H59" s="58">
        <v>30.6</v>
      </c>
      <c r="I59" s="58">
        <v>30.4</v>
      </c>
      <c r="J59" s="58">
        <v>30.6</v>
      </c>
      <c r="K59" s="58">
        <v>32.200000000000003</v>
      </c>
      <c r="L59" s="58">
        <v>34</v>
      </c>
      <c r="M59" s="58">
        <v>35.1</v>
      </c>
      <c r="N59" s="58">
        <v>34.9</v>
      </c>
      <c r="O59" s="58">
        <v>34</v>
      </c>
      <c r="P59" s="58">
        <v>32.200000000000003</v>
      </c>
      <c r="Q59"/>
      <c r="R59"/>
      <c r="S59"/>
      <c r="T59"/>
      <c r="U59"/>
      <c r="V59"/>
      <c r="W59"/>
      <c r="X59"/>
    </row>
    <row r="60" spans="1:24" s="59" customFormat="1" ht="15.75">
      <c r="A60" s="60">
        <v>82777</v>
      </c>
      <c r="B60" s="61" t="s">
        <v>3086</v>
      </c>
      <c r="C60" s="62" t="s">
        <v>3018</v>
      </c>
      <c r="D60" s="63">
        <v>31</v>
      </c>
      <c r="E60" s="63">
        <v>30.1</v>
      </c>
      <c r="F60" s="63">
        <v>29.8</v>
      </c>
      <c r="G60" s="63">
        <v>29.5</v>
      </c>
      <c r="H60" s="63">
        <v>29.5</v>
      </c>
      <c r="I60" s="63">
        <v>29.5</v>
      </c>
      <c r="J60" s="63">
        <v>29.6</v>
      </c>
      <c r="K60" s="63">
        <v>31</v>
      </c>
      <c r="L60" s="63">
        <v>32.799999999999997</v>
      </c>
      <c r="M60" s="63">
        <v>33.799999999999997</v>
      </c>
      <c r="N60" s="63">
        <v>33.5</v>
      </c>
      <c r="O60" s="63">
        <v>32.6</v>
      </c>
      <c r="P60" s="63">
        <v>31.1</v>
      </c>
      <c r="Q60"/>
      <c r="R60"/>
      <c r="S60"/>
      <c r="T60"/>
      <c r="U60"/>
      <c r="V60"/>
      <c r="W60"/>
      <c r="X60"/>
    </row>
    <row r="61" spans="1:24" s="59" customFormat="1" ht="15.75">
      <c r="A61" s="55">
        <v>82583</v>
      </c>
      <c r="B61" s="56" t="s">
        <v>3087</v>
      </c>
      <c r="C61" s="57" t="s">
        <v>3018</v>
      </c>
      <c r="D61" s="58">
        <v>33.6</v>
      </c>
      <c r="E61" s="58">
        <v>32.799999999999997</v>
      </c>
      <c r="F61" s="58">
        <v>32</v>
      </c>
      <c r="G61" s="58">
        <v>31.1</v>
      </c>
      <c r="H61" s="58">
        <v>31.7</v>
      </c>
      <c r="I61" s="58">
        <v>32.299999999999997</v>
      </c>
      <c r="J61" s="58">
        <v>33.1</v>
      </c>
      <c r="K61" s="58">
        <v>34.200000000000003</v>
      </c>
      <c r="L61" s="58">
        <v>35.5</v>
      </c>
      <c r="M61" s="58">
        <v>36</v>
      </c>
      <c r="N61" s="58">
        <v>35.700000000000003</v>
      </c>
      <c r="O61" s="58">
        <v>35.1</v>
      </c>
      <c r="P61" s="58">
        <v>33.6</v>
      </c>
      <c r="Q61"/>
      <c r="R61"/>
      <c r="S61"/>
      <c r="T61"/>
      <c r="U61"/>
      <c r="V61"/>
      <c r="W61"/>
      <c r="X61"/>
    </row>
    <row r="62" spans="1:24" s="59" customFormat="1" ht="15.75">
      <c r="A62" s="60">
        <v>82397</v>
      </c>
      <c r="B62" s="61" t="s">
        <v>3088</v>
      </c>
      <c r="C62" s="62" t="s">
        <v>3018</v>
      </c>
      <c r="D62" s="63">
        <v>31</v>
      </c>
      <c r="E62" s="63">
        <v>30.9</v>
      </c>
      <c r="F62" s="63">
        <v>30.4</v>
      </c>
      <c r="G62" s="63">
        <v>30.3</v>
      </c>
      <c r="H62" s="63">
        <v>30.4</v>
      </c>
      <c r="I62" s="63">
        <v>30.1</v>
      </c>
      <c r="J62" s="63">
        <v>30.3</v>
      </c>
      <c r="K62" s="63">
        <v>30.8</v>
      </c>
      <c r="L62" s="63">
        <v>31</v>
      </c>
      <c r="M62" s="63">
        <v>31.2</v>
      </c>
      <c r="N62" s="63">
        <v>31.5</v>
      </c>
      <c r="O62" s="63">
        <v>31.5</v>
      </c>
      <c r="P62" s="63">
        <v>30.8</v>
      </c>
      <c r="Q62"/>
      <c r="R62"/>
      <c r="S62"/>
      <c r="T62"/>
      <c r="U62"/>
      <c r="V62"/>
      <c r="W62"/>
      <c r="X62"/>
    </row>
    <row r="63" spans="1:24" s="59" customFormat="1" ht="15.75">
      <c r="A63" s="55">
        <v>82487</v>
      </c>
      <c r="B63" s="56" t="s">
        <v>3089</v>
      </c>
      <c r="C63" s="57" t="s">
        <v>3018</v>
      </c>
      <c r="D63" s="58">
        <v>26</v>
      </c>
      <c r="E63" s="58">
        <v>25.6</v>
      </c>
      <c r="F63" s="58">
        <v>25</v>
      </c>
      <c r="G63" s="58">
        <v>24.4</v>
      </c>
      <c r="H63" s="58">
        <v>24</v>
      </c>
      <c r="I63" s="58">
        <v>23.5</v>
      </c>
      <c r="J63" s="58">
        <v>24</v>
      </c>
      <c r="K63" s="58">
        <v>25.4</v>
      </c>
      <c r="L63" s="58">
        <v>26.5</v>
      </c>
      <c r="M63" s="58">
        <v>27.1</v>
      </c>
      <c r="N63" s="58">
        <v>27.1</v>
      </c>
      <c r="O63" s="58">
        <v>26.8</v>
      </c>
      <c r="P63" s="58">
        <v>25.5</v>
      </c>
      <c r="Q63"/>
      <c r="R63"/>
      <c r="S63"/>
      <c r="T63"/>
      <c r="U63"/>
      <c r="V63"/>
      <c r="W63"/>
      <c r="X63"/>
    </row>
    <row r="64" spans="1:24" s="59" customFormat="1" ht="15.75">
      <c r="A64" s="60">
        <v>82686</v>
      </c>
      <c r="B64" s="61" t="s">
        <v>3090</v>
      </c>
      <c r="C64" s="62" t="s">
        <v>3018</v>
      </c>
      <c r="D64" s="63">
        <v>33.4</v>
      </c>
      <c r="E64" s="63">
        <v>32.299999999999997</v>
      </c>
      <c r="F64" s="63">
        <v>31.8</v>
      </c>
      <c r="G64" s="63">
        <v>31.1</v>
      </c>
      <c r="H64" s="63">
        <v>31.2</v>
      </c>
      <c r="I64" s="63">
        <v>31.5</v>
      </c>
      <c r="J64" s="63">
        <v>32.4</v>
      </c>
      <c r="K64" s="63">
        <v>33.5</v>
      </c>
      <c r="L64" s="63">
        <v>35</v>
      </c>
      <c r="M64" s="63">
        <v>35.700000000000003</v>
      </c>
      <c r="N64" s="63">
        <v>35.700000000000003</v>
      </c>
      <c r="O64" s="63">
        <v>35.1</v>
      </c>
      <c r="P64" s="63">
        <v>33.200000000000003</v>
      </c>
      <c r="Q64"/>
      <c r="R64"/>
      <c r="S64"/>
      <c r="T64"/>
      <c r="U64"/>
      <c r="V64"/>
      <c r="W64"/>
      <c r="X64"/>
    </row>
    <row r="65" spans="1:24" s="59" customFormat="1" ht="15.75">
      <c r="A65" s="55">
        <v>82493</v>
      </c>
      <c r="B65" s="56" t="s">
        <v>3091</v>
      </c>
      <c r="C65" s="57" t="s">
        <v>3018</v>
      </c>
      <c r="D65" s="58">
        <v>34</v>
      </c>
      <c r="E65" s="58">
        <v>33.6</v>
      </c>
      <c r="F65" s="58">
        <v>32.6</v>
      </c>
      <c r="G65" s="58">
        <v>32.1</v>
      </c>
      <c r="H65" s="58">
        <v>32.1</v>
      </c>
      <c r="I65" s="58">
        <v>32.1</v>
      </c>
      <c r="J65" s="58">
        <v>32.799999999999997</v>
      </c>
      <c r="K65" s="58">
        <v>33.9</v>
      </c>
      <c r="L65" s="58">
        <v>34.799999999999997</v>
      </c>
      <c r="M65" s="58">
        <v>34.799999999999997</v>
      </c>
      <c r="N65" s="58">
        <v>34.6</v>
      </c>
      <c r="O65" s="58">
        <v>34.5</v>
      </c>
      <c r="P65" s="58">
        <v>33.5</v>
      </c>
      <c r="Q65"/>
      <c r="R65"/>
      <c r="S65"/>
      <c r="T65"/>
      <c r="U65"/>
      <c r="V65"/>
      <c r="W65"/>
      <c r="X65"/>
    </row>
    <row r="66" spans="1:24" s="59" customFormat="1" ht="15.75">
      <c r="A66" s="60">
        <v>82588</v>
      </c>
      <c r="B66" s="61" t="s">
        <v>3092</v>
      </c>
      <c r="C66" s="62" t="s">
        <v>3018</v>
      </c>
      <c r="D66" s="63">
        <v>34.700000000000003</v>
      </c>
      <c r="E66" s="63">
        <v>34</v>
      </c>
      <c r="F66" s="63">
        <v>33</v>
      </c>
      <c r="G66" s="63">
        <v>32.5</v>
      </c>
      <c r="H66" s="63">
        <v>32.200000000000003</v>
      </c>
      <c r="I66" s="63">
        <v>32.1</v>
      </c>
      <c r="J66" s="63">
        <v>32.799999999999997</v>
      </c>
      <c r="K66" s="63">
        <v>34.1</v>
      </c>
      <c r="L66" s="63">
        <v>35.299999999999997</v>
      </c>
      <c r="M66" s="63">
        <v>35.9</v>
      </c>
      <c r="N66" s="63">
        <v>35.9</v>
      </c>
      <c r="O66" s="63">
        <v>35.6</v>
      </c>
      <c r="P66" s="63">
        <v>34</v>
      </c>
      <c r="Q66"/>
      <c r="R66"/>
      <c r="S66"/>
      <c r="T66"/>
      <c r="U66"/>
      <c r="V66"/>
      <c r="W66"/>
      <c r="X66"/>
    </row>
    <row r="67" spans="1:24" s="59" customFormat="1" ht="15.75">
      <c r="A67" s="55">
        <v>82586</v>
      </c>
      <c r="B67" s="56" t="s">
        <v>3093</v>
      </c>
      <c r="C67" s="57" t="s">
        <v>3018</v>
      </c>
      <c r="D67" s="58">
        <v>33.9</v>
      </c>
      <c r="E67" s="58">
        <v>33.299999999999997</v>
      </c>
      <c r="F67" s="58">
        <v>32.4</v>
      </c>
      <c r="G67" s="58">
        <v>31.4</v>
      </c>
      <c r="H67" s="58">
        <v>31</v>
      </c>
      <c r="I67" s="58">
        <v>31.1</v>
      </c>
      <c r="J67" s="58">
        <v>32.1</v>
      </c>
      <c r="K67" s="58">
        <v>33.4</v>
      </c>
      <c r="L67" s="58">
        <v>34.799999999999997</v>
      </c>
      <c r="M67" s="58">
        <v>35.4</v>
      </c>
      <c r="N67" s="58">
        <v>35.5</v>
      </c>
      <c r="O67" s="58">
        <v>35.1</v>
      </c>
      <c r="P67" s="58">
        <v>33.299999999999997</v>
      </c>
      <c r="Q67"/>
      <c r="R67"/>
      <c r="S67"/>
      <c r="T67"/>
      <c r="U67"/>
      <c r="V67"/>
      <c r="W67"/>
      <c r="X67"/>
    </row>
    <row r="68" spans="1:24" s="59" customFormat="1" ht="15.75">
      <c r="A68" s="60">
        <v>82392</v>
      </c>
      <c r="B68" s="61" t="s">
        <v>3094</v>
      </c>
      <c r="C68" s="62" t="s">
        <v>3018</v>
      </c>
      <c r="D68" s="63">
        <v>34</v>
      </c>
      <c r="E68" s="63">
        <v>32.6</v>
      </c>
      <c r="F68" s="63">
        <v>31.8</v>
      </c>
      <c r="G68" s="63">
        <v>31.3</v>
      </c>
      <c r="H68" s="63">
        <v>31.7</v>
      </c>
      <c r="I68" s="63">
        <v>32.6</v>
      </c>
      <c r="J68" s="63">
        <v>33.9</v>
      </c>
      <c r="K68" s="63">
        <v>35.4</v>
      </c>
      <c r="L68" s="63">
        <v>36.4</v>
      </c>
      <c r="M68" s="63">
        <v>36.6</v>
      </c>
      <c r="N68" s="63">
        <v>36.5</v>
      </c>
      <c r="O68" s="63">
        <v>35.9</v>
      </c>
      <c r="P68" s="63">
        <v>34.1</v>
      </c>
      <c r="Q68"/>
      <c r="R68"/>
      <c r="S68"/>
      <c r="T68"/>
      <c r="U68"/>
      <c r="V68"/>
      <c r="W68"/>
      <c r="X68"/>
    </row>
    <row r="69" spans="1:24" s="59" customFormat="1" ht="15.75">
      <c r="A69" s="55">
        <v>82683</v>
      </c>
      <c r="B69" s="56" t="s">
        <v>3095</v>
      </c>
      <c r="C69" s="57" t="s">
        <v>3018</v>
      </c>
      <c r="D69" s="58">
        <v>32.6</v>
      </c>
      <c r="E69" s="58">
        <v>32</v>
      </c>
      <c r="F69" s="58">
        <v>31.6</v>
      </c>
      <c r="G69" s="58">
        <v>30.8</v>
      </c>
      <c r="H69" s="58">
        <v>30.9</v>
      </c>
      <c r="I69" s="58">
        <v>31.2</v>
      </c>
      <c r="J69" s="58">
        <v>31.9</v>
      </c>
      <c r="K69" s="58">
        <v>33</v>
      </c>
      <c r="L69" s="58">
        <v>34.4</v>
      </c>
      <c r="M69" s="58">
        <v>34.9</v>
      </c>
      <c r="N69" s="58">
        <v>34.799999999999997</v>
      </c>
      <c r="O69" s="58">
        <v>34</v>
      </c>
      <c r="P69" s="58">
        <v>32.700000000000003</v>
      </c>
      <c r="Q69"/>
      <c r="R69"/>
      <c r="S69"/>
      <c r="T69"/>
      <c r="U69"/>
      <c r="V69"/>
      <c r="W69"/>
      <c r="X69"/>
    </row>
    <row r="70" spans="1:24" s="59" customFormat="1" ht="15.75">
      <c r="A70" s="60">
        <v>83377</v>
      </c>
      <c r="B70" s="61" t="s">
        <v>3096</v>
      </c>
      <c r="C70" s="62" t="s">
        <v>3020</v>
      </c>
      <c r="D70" s="63">
        <v>26.5</v>
      </c>
      <c r="E70" s="63">
        <v>27</v>
      </c>
      <c r="F70" s="63">
        <v>26.7</v>
      </c>
      <c r="G70" s="63">
        <v>26.6</v>
      </c>
      <c r="H70" s="63">
        <v>25.9</v>
      </c>
      <c r="I70" s="63">
        <v>25</v>
      </c>
      <c r="J70" s="63">
        <v>25.3</v>
      </c>
      <c r="K70" s="63">
        <v>26.9</v>
      </c>
      <c r="L70" s="63">
        <v>28.4</v>
      </c>
      <c r="M70" s="63">
        <v>28.2</v>
      </c>
      <c r="N70" s="63">
        <v>26.7</v>
      </c>
      <c r="O70" s="63">
        <v>26.3</v>
      </c>
      <c r="P70" s="63">
        <v>26.6</v>
      </c>
      <c r="Q70"/>
      <c r="R70"/>
      <c r="S70"/>
      <c r="T70"/>
      <c r="U70"/>
      <c r="V70"/>
      <c r="W70"/>
      <c r="X70"/>
    </row>
    <row r="71" spans="1:24" s="59" customFormat="1" ht="15.75">
      <c r="A71" s="55">
        <v>83373</v>
      </c>
      <c r="B71" s="56" t="s">
        <v>3097</v>
      </c>
      <c r="C71" s="57" t="s">
        <v>3020</v>
      </c>
      <c r="D71" s="58">
        <v>27.6</v>
      </c>
      <c r="E71" s="58">
        <v>28</v>
      </c>
      <c r="F71" s="58">
        <v>27.6</v>
      </c>
      <c r="G71" s="58">
        <v>27.4</v>
      </c>
      <c r="H71" s="58">
        <v>26.6</v>
      </c>
      <c r="I71" s="58">
        <v>25.9</v>
      </c>
      <c r="J71" s="58">
        <v>26.3</v>
      </c>
      <c r="K71" s="58">
        <v>28.2</v>
      </c>
      <c r="L71" s="58">
        <v>29.9</v>
      </c>
      <c r="M71" s="58">
        <v>29.8</v>
      </c>
      <c r="N71" s="58">
        <v>27.7</v>
      </c>
      <c r="O71" s="58">
        <v>27.4</v>
      </c>
      <c r="P71" s="58">
        <v>27.7</v>
      </c>
      <c r="Q71"/>
      <c r="R71"/>
      <c r="S71"/>
      <c r="T71"/>
      <c r="U71"/>
      <c r="V71"/>
      <c r="W71"/>
      <c r="X71"/>
    </row>
    <row r="72" spans="1:24" s="59" customFormat="1" ht="15.75">
      <c r="A72" s="60">
        <v>83043</v>
      </c>
      <c r="B72" s="61" t="s">
        <v>3098</v>
      </c>
      <c r="C72" s="62" t="s">
        <v>3022</v>
      </c>
      <c r="D72" s="63">
        <v>32.799999999999997</v>
      </c>
      <c r="E72" s="63">
        <v>33.700000000000003</v>
      </c>
      <c r="F72" s="63">
        <v>32.299999999999997</v>
      </c>
      <c r="G72" s="63">
        <v>30.5</v>
      </c>
      <c r="H72" s="63">
        <v>28.7</v>
      </c>
      <c r="I72" s="63">
        <v>27.6</v>
      </c>
      <c r="J72" s="63">
        <v>27.2</v>
      </c>
      <c r="K72" s="63">
        <v>27.8</v>
      </c>
      <c r="L72" s="63">
        <v>28.1</v>
      </c>
      <c r="M72" s="63">
        <v>29.3</v>
      </c>
      <c r="N72" s="63">
        <v>30.4</v>
      </c>
      <c r="O72" s="63">
        <v>31.6</v>
      </c>
      <c r="P72" s="63">
        <v>30</v>
      </c>
      <c r="Q72"/>
      <c r="R72"/>
      <c r="S72"/>
      <c r="T72"/>
      <c r="U72"/>
      <c r="V72"/>
      <c r="W72"/>
      <c r="X72"/>
    </row>
    <row r="73" spans="1:24" s="59" customFormat="1" ht="15.75">
      <c r="A73" s="55">
        <v>83557</v>
      </c>
      <c r="B73" s="56" t="s">
        <v>3099</v>
      </c>
      <c r="C73" s="57" t="s">
        <v>3022</v>
      </c>
      <c r="D73" s="58">
        <v>33</v>
      </c>
      <c r="E73" s="58">
        <v>33.6</v>
      </c>
      <c r="F73" s="58">
        <v>32.799999999999997</v>
      </c>
      <c r="G73" s="58">
        <v>31.2</v>
      </c>
      <c r="H73" s="58">
        <v>29.8</v>
      </c>
      <c r="I73" s="58">
        <v>28.5</v>
      </c>
      <c r="J73" s="58">
        <v>27.9</v>
      </c>
      <c r="K73" s="58">
        <v>28.4</v>
      </c>
      <c r="L73" s="58">
        <v>29.4</v>
      </c>
      <c r="M73" s="58">
        <v>30.4</v>
      </c>
      <c r="N73" s="58">
        <v>30.5</v>
      </c>
      <c r="O73" s="58">
        <v>31.5</v>
      </c>
      <c r="P73" s="58">
        <v>30.6</v>
      </c>
      <c r="Q73"/>
      <c r="R73"/>
      <c r="S73"/>
      <c r="T73"/>
      <c r="U73"/>
      <c r="V73"/>
      <c r="W73"/>
      <c r="X73"/>
    </row>
    <row r="74" spans="1:24" s="59" customFormat="1" ht="15.75">
      <c r="A74" s="60">
        <v>83546</v>
      </c>
      <c r="B74" s="61" t="s">
        <v>3100</v>
      </c>
      <c r="C74" s="62" t="s">
        <v>3022</v>
      </c>
      <c r="D74" s="63">
        <v>32.700000000000003</v>
      </c>
      <c r="E74" s="63">
        <v>33.299999999999997</v>
      </c>
      <c r="F74" s="63">
        <v>32.299999999999997</v>
      </c>
      <c r="G74" s="63">
        <v>30.9</v>
      </c>
      <c r="H74" s="63">
        <v>29.2</v>
      </c>
      <c r="I74" s="63">
        <v>27.9</v>
      </c>
      <c r="J74" s="63">
        <v>27.5</v>
      </c>
      <c r="K74" s="63">
        <v>28</v>
      </c>
      <c r="L74" s="63">
        <v>28.8</v>
      </c>
      <c r="M74" s="63">
        <v>30.1</v>
      </c>
      <c r="N74" s="63">
        <v>30.1</v>
      </c>
      <c r="O74" s="63">
        <v>31.1</v>
      </c>
      <c r="P74" s="63">
        <v>30.2</v>
      </c>
      <c r="Q74"/>
      <c r="R74"/>
      <c r="S74"/>
      <c r="T74"/>
      <c r="U74"/>
      <c r="V74"/>
      <c r="W74"/>
      <c r="X74"/>
    </row>
    <row r="75" spans="1:24" s="59" customFormat="1" ht="15.75">
      <c r="A75" s="55">
        <v>83034</v>
      </c>
      <c r="B75" s="56" t="s">
        <v>3101</v>
      </c>
      <c r="C75" s="57" t="s">
        <v>3022</v>
      </c>
      <c r="D75" s="58">
        <v>32.299999999999997</v>
      </c>
      <c r="E75" s="58">
        <v>33.5</v>
      </c>
      <c r="F75" s="58">
        <v>32.799999999999997</v>
      </c>
      <c r="G75" s="58">
        <v>31.4</v>
      </c>
      <c r="H75" s="58">
        <v>29.6</v>
      </c>
      <c r="I75" s="58">
        <v>28.2</v>
      </c>
      <c r="J75" s="58">
        <v>28</v>
      </c>
      <c r="K75" s="58">
        <v>28.5</v>
      </c>
      <c r="L75" s="58">
        <v>29.3</v>
      </c>
      <c r="M75" s="58">
        <v>30.4</v>
      </c>
      <c r="N75" s="58">
        <v>30.4</v>
      </c>
      <c r="O75" s="58">
        <v>31</v>
      </c>
      <c r="P75" s="58">
        <v>30.5</v>
      </c>
      <c r="Q75"/>
      <c r="R75"/>
      <c r="S75"/>
      <c r="T75"/>
      <c r="U75"/>
      <c r="V75"/>
      <c r="W75"/>
      <c r="X75"/>
    </row>
    <row r="76" spans="1:24" s="59" customFormat="1" ht="15.75">
      <c r="A76" s="60">
        <v>83597</v>
      </c>
      <c r="B76" s="61" t="s">
        <v>3102</v>
      </c>
      <c r="C76" s="62" t="s">
        <v>3022</v>
      </c>
      <c r="D76" s="63">
        <v>31.4</v>
      </c>
      <c r="E76" s="63">
        <v>31.9</v>
      </c>
      <c r="F76" s="63">
        <v>31.6</v>
      </c>
      <c r="G76" s="63">
        <v>30.5</v>
      </c>
      <c r="H76" s="63">
        <v>28.7</v>
      </c>
      <c r="I76" s="63">
        <v>27.6</v>
      </c>
      <c r="J76" s="63">
        <v>27</v>
      </c>
      <c r="K76" s="63">
        <v>27.4</v>
      </c>
      <c r="L76" s="63">
        <v>27.8</v>
      </c>
      <c r="M76" s="63">
        <v>28.9</v>
      </c>
      <c r="N76" s="63">
        <v>29.2</v>
      </c>
      <c r="O76" s="63">
        <v>30.5</v>
      </c>
      <c r="P76" s="63">
        <v>29.4</v>
      </c>
      <c r="Q76"/>
      <c r="R76"/>
      <c r="S76"/>
      <c r="T76"/>
      <c r="U76"/>
      <c r="V76"/>
      <c r="W76"/>
      <c r="X76"/>
    </row>
    <row r="77" spans="1:24" s="59" customFormat="1" ht="15.75">
      <c r="A77" s="55">
        <v>83596</v>
      </c>
      <c r="B77" s="56" t="s">
        <v>3103</v>
      </c>
      <c r="C77" s="57" t="s">
        <v>3022</v>
      </c>
      <c r="D77" s="58">
        <v>33.299999999999997</v>
      </c>
      <c r="E77" s="58">
        <v>33.9</v>
      </c>
      <c r="F77" s="58">
        <v>33.1</v>
      </c>
      <c r="G77" s="58">
        <v>31.3</v>
      </c>
      <c r="H77" s="58">
        <v>29.3</v>
      </c>
      <c r="I77" s="58">
        <v>28</v>
      </c>
      <c r="J77" s="58">
        <v>27.8</v>
      </c>
      <c r="K77" s="58">
        <v>28.6</v>
      </c>
      <c r="L77" s="58">
        <v>29.4</v>
      </c>
      <c r="M77" s="58">
        <v>30.8</v>
      </c>
      <c r="N77" s="58">
        <v>31.1</v>
      </c>
      <c r="O77" s="58">
        <v>32.1</v>
      </c>
      <c r="P77" s="58">
        <v>30.7</v>
      </c>
      <c r="Q77"/>
      <c r="R77"/>
      <c r="S77"/>
      <c r="T77"/>
      <c r="U77"/>
      <c r="V77"/>
      <c r="W77"/>
      <c r="X77"/>
    </row>
    <row r="78" spans="1:24" s="59" customFormat="1" ht="15.75">
      <c r="A78" s="60">
        <v>83013</v>
      </c>
      <c r="B78" s="61" t="s">
        <v>3104</v>
      </c>
      <c r="C78" s="62" t="s">
        <v>3022</v>
      </c>
      <c r="D78" s="63">
        <v>30.7</v>
      </c>
      <c r="E78" s="63">
        <v>31.7</v>
      </c>
      <c r="F78" s="63">
        <v>30.6</v>
      </c>
      <c r="G78" s="63">
        <v>28.8</v>
      </c>
      <c r="H78" s="63">
        <v>26.9</v>
      </c>
      <c r="I78" s="63">
        <v>26</v>
      </c>
      <c r="J78" s="63">
        <v>25.5</v>
      </c>
      <c r="K78" s="63">
        <v>26.5</v>
      </c>
      <c r="L78" s="63">
        <v>26.9</v>
      </c>
      <c r="M78" s="63">
        <v>28</v>
      </c>
      <c r="N78" s="63">
        <v>28.5</v>
      </c>
      <c r="O78" s="63">
        <v>29.5</v>
      </c>
      <c r="P78" s="63">
        <v>28.3</v>
      </c>
      <c r="Q78"/>
      <c r="R78"/>
      <c r="S78"/>
      <c r="T78"/>
      <c r="U78"/>
      <c r="V78"/>
      <c r="W78"/>
      <c r="X78"/>
    </row>
    <row r="79" spans="1:24" s="59" customFormat="1" ht="15.75">
      <c r="A79" s="55">
        <v>83647</v>
      </c>
      <c r="B79" s="56" t="s">
        <v>3105</v>
      </c>
      <c r="C79" s="57" t="s">
        <v>3022</v>
      </c>
      <c r="D79" s="58">
        <v>28</v>
      </c>
      <c r="E79" s="58">
        <v>28.8</v>
      </c>
      <c r="F79" s="58">
        <v>28</v>
      </c>
      <c r="G79" s="58">
        <v>26.3</v>
      </c>
      <c r="H79" s="58">
        <v>24.7</v>
      </c>
      <c r="I79" s="58">
        <v>23.8</v>
      </c>
      <c r="J79" s="58">
        <v>22.9</v>
      </c>
      <c r="K79" s="58">
        <v>23.4</v>
      </c>
      <c r="L79" s="58">
        <v>24.1</v>
      </c>
      <c r="M79" s="58">
        <v>25.2</v>
      </c>
      <c r="N79" s="58">
        <v>25.8</v>
      </c>
      <c r="O79" s="58">
        <v>27.1</v>
      </c>
      <c r="P79" s="58">
        <v>25.7</v>
      </c>
      <c r="Q79"/>
      <c r="R79"/>
      <c r="S79"/>
      <c r="T79"/>
      <c r="U79"/>
      <c r="V79"/>
      <c r="W79"/>
      <c r="X79"/>
    </row>
    <row r="80" spans="1:24" s="59" customFormat="1" ht="15.75">
      <c r="A80" s="60">
        <v>83550</v>
      </c>
      <c r="B80" s="61" t="s">
        <v>3106</v>
      </c>
      <c r="C80" s="62" t="s">
        <v>3022</v>
      </c>
      <c r="D80" s="63">
        <v>31.8</v>
      </c>
      <c r="E80" s="63">
        <v>32.799999999999997</v>
      </c>
      <c r="F80" s="63">
        <v>32.5</v>
      </c>
      <c r="G80" s="63">
        <v>31.1</v>
      </c>
      <c r="H80" s="63">
        <v>29.8</v>
      </c>
      <c r="I80" s="63">
        <v>28.6</v>
      </c>
      <c r="J80" s="63">
        <v>28</v>
      </c>
      <c r="K80" s="63">
        <v>28.1</v>
      </c>
      <c r="L80" s="63">
        <v>28.6</v>
      </c>
      <c r="M80" s="63">
        <v>29.4</v>
      </c>
      <c r="N80" s="63">
        <v>29.5</v>
      </c>
      <c r="O80" s="63">
        <v>30.9</v>
      </c>
      <c r="P80" s="63">
        <v>30.1</v>
      </c>
      <c r="Q80"/>
      <c r="R80"/>
      <c r="S80"/>
      <c r="T80"/>
      <c r="U80"/>
      <c r="V80"/>
      <c r="W80"/>
      <c r="X80"/>
    </row>
    <row r="81" spans="1:24" s="59" customFormat="1" ht="15.75">
      <c r="A81" s="55">
        <v>83045</v>
      </c>
      <c r="B81" s="56" t="s">
        <v>3107</v>
      </c>
      <c r="C81" s="57" t="s">
        <v>3022</v>
      </c>
      <c r="D81" s="58">
        <v>29.6</v>
      </c>
      <c r="E81" s="58">
        <v>30.2</v>
      </c>
      <c r="F81" s="58">
        <v>28.6</v>
      </c>
      <c r="G81" s="58">
        <v>27.2</v>
      </c>
      <c r="H81" s="58">
        <v>25.2</v>
      </c>
      <c r="I81" s="58">
        <v>24.4</v>
      </c>
      <c r="J81" s="58">
        <v>23.9</v>
      </c>
      <c r="K81" s="58">
        <v>24.7</v>
      </c>
      <c r="L81" s="58">
        <v>25.1</v>
      </c>
      <c r="M81" s="58">
        <v>26.9</v>
      </c>
      <c r="N81" s="58">
        <v>27.1</v>
      </c>
      <c r="O81" s="58">
        <v>28.6</v>
      </c>
      <c r="P81" s="58">
        <v>26.8</v>
      </c>
      <c r="Q81"/>
      <c r="R81"/>
      <c r="S81"/>
      <c r="T81"/>
      <c r="U81"/>
      <c r="V81"/>
      <c r="W81"/>
      <c r="X81"/>
    </row>
    <row r="82" spans="1:24" s="59" customFormat="1" ht="15.75">
      <c r="A82" s="60">
        <v>83648</v>
      </c>
      <c r="B82" s="61" t="s">
        <v>3108</v>
      </c>
      <c r="C82" s="62" t="s">
        <v>3022</v>
      </c>
      <c r="D82" s="63">
        <v>31.2</v>
      </c>
      <c r="E82" s="63">
        <v>31.7</v>
      </c>
      <c r="F82" s="63">
        <v>31.4</v>
      </c>
      <c r="G82" s="63">
        <v>30</v>
      </c>
      <c r="H82" s="63">
        <v>28.1</v>
      </c>
      <c r="I82" s="63">
        <v>27.1</v>
      </c>
      <c r="J82" s="63">
        <v>26.4</v>
      </c>
      <c r="K82" s="63">
        <v>26.7</v>
      </c>
      <c r="L82" s="63">
        <v>27</v>
      </c>
      <c r="M82" s="63">
        <v>28.1</v>
      </c>
      <c r="N82" s="63">
        <v>28.5</v>
      </c>
      <c r="O82" s="63">
        <v>30</v>
      </c>
      <c r="P82" s="63">
        <v>28.9</v>
      </c>
      <c r="Q82"/>
      <c r="R82"/>
      <c r="S82"/>
      <c r="T82"/>
      <c r="U82"/>
      <c r="V82"/>
      <c r="W82"/>
      <c r="X82"/>
    </row>
    <row r="83" spans="1:24" s="59" customFormat="1" ht="15.75">
      <c r="A83" s="55">
        <v>83368</v>
      </c>
      <c r="B83" s="56" t="s">
        <v>3109</v>
      </c>
      <c r="C83" s="57" t="s">
        <v>3024</v>
      </c>
      <c r="D83" s="58">
        <v>31.3</v>
      </c>
      <c r="E83" s="58">
        <v>31.6</v>
      </c>
      <c r="F83" s="58">
        <v>32.1</v>
      </c>
      <c r="G83" s="58">
        <v>32.6</v>
      </c>
      <c r="H83" s="58">
        <v>32.1</v>
      </c>
      <c r="I83" s="58">
        <v>32.1</v>
      </c>
      <c r="J83" s="58">
        <v>32.6</v>
      </c>
      <c r="K83" s="58">
        <v>34.700000000000003</v>
      </c>
      <c r="L83" s="58">
        <v>35.5</v>
      </c>
      <c r="M83" s="58">
        <v>34.799999999999997</v>
      </c>
      <c r="N83" s="58">
        <v>32.799999999999997</v>
      </c>
      <c r="O83" s="58">
        <v>31.5</v>
      </c>
      <c r="P83" s="58">
        <v>32.799999999999997</v>
      </c>
      <c r="Q83"/>
      <c r="R83"/>
      <c r="S83"/>
      <c r="T83"/>
      <c r="U83"/>
      <c r="V83"/>
      <c r="W83"/>
      <c r="X83"/>
    </row>
    <row r="84" spans="1:24" s="59" customFormat="1" ht="15.75">
      <c r="A84" s="60">
        <v>83526</v>
      </c>
      <c r="B84" s="61" t="s">
        <v>3110</v>
      </c>
      <c r="C84" s="62" t="s">
        <v>3024</v>
      </c>
      <c r="D84" s="63">
        <v>29</v>
      </c>
      <c r="E84" s="63">
        <v>29.5</v>
      </c>
      <c r="F84" s="63">
        <v>29.3</v>
      </c>
      <c r="G84" s="63">
        <v>28.9</v>
      </c>
      <c r="H84" s="63">
        <v>27.6</v>
      </c>
      <c r="I84" s="63">
        <v>27</v>
      </c>
      <c r="J84" s="63">
        <v>27.3</v>
      </c>
      <c r="K84" s="63">
        <v>29.1</v>
      </c>
      <c r="L84" s="63">
        <v>30.5</v>
      </c>
      <c r="M84" s="63">
        <v>30.6</v>
      </c>
      <c r="N84" s="63">
        <v>29.4</v>
      </c>
      <c r="O84" s="63">
        <v>28.8</v>
      </c>
      <c r="P84" s="63">
        <v>28.9</v>
      </c>
      <c r="Q84"/>
      <c r="R84"/>
      <c r="S84"/>
      <c r="T84"/>
      <c r="U84"/>
      <c r="V84"/>
      <c r="W84"/>
      <c r="X84"/>
    </row>
    <row r="85" spans="1:24" s="59" customFormat="1" ht="15.75">
      <c r="A85" s="55">
        <v>83379</v>
      </c>
      <c r="B85" s="56" t="s">
        <v>3111</v>
      </c>
      <c r="C85" s="57" t="s">
        <v>3024</v>
      </c>
      <c r="D85" s="58">
        <v>27.8</v>
      </c>
      <c r="E85" s="58">
        <v>28.4</v>
      </c>
      <c r="F85" s="58">
        <v>28.1</v>
      </c>
      <c r="G85" s="58">
        <v>28.1</v>
      </c>
      <c r="H85" s="58">
        <v>27.5</v>
      </c>
      <c r="I85" s="58">
        <v>26.6</v>
      </c>
      <c r="J85" s="58">
        <v>26.8</v>
      </c>
      <c r="K85" s="58">
        <v>28.5</v>
      </c>
      <c r="L85" s="58">
        <v>30.1</v>
      </c>
      <c r="M85" s="58">
        <v>30.1</v>
      </c>
      <c r="N85" s="58">
        <v>28.2</v>
      </c>
      <c r="O85" s="58">
        <v>27.6</v>
      </c>
      <c r="P85" s="58">
        <v>28.2</v>
      </c>
      <c r="Q85"/>
      <c r="R85"/>
      <c r="S85"/>
      <c r="T85"/>
      <c r="U85"/>
      <c r="V85"/>
      <c r="W85"/>
      <c r="X85"/>
    </row>
    <row r="86" spans="1:24" s="59" customFormat="1" ht="15.75">
      <c r="A86" s="60">
        <v>83350</v>
      </c>
      <c r="B86" s="61" t="s">
        <v>3112</v>
      </c>
      <c r="C86" s="62" t="s">
        <v>3024</v>
      </c>
      <c r="D86" s="63">
        <v>29.8</v>
      </c>
      <c r="E86" s="63">
        <v>30.2</v>
      </c>
      <c r="F86" s="63">
        <v>30.3</v>
      </c>
      <c r="G86" s="63">
        <v>30.8</v>
      </c>
      <c r="H86" s="63">
        <v>30.4</v>
      </c>
      <c r="I86" s="63">
        <v>29.8</v>
      </c>
      <c r="J86" s="63">
        <v>30.3</v>
      </c>
      <c r="K86" s="63">
        <v>32.200000000000003</v>
      </c>
      <c r="L86" s="63">
        <v>33.200000000000003</v>
      </c>
      <c r="M86" s="63">
        <v>32.4</v>
      </c>
      <c r="N86" s="63">
        <v>30.3</v>
      </c>
      <c r="O86" s="63">
        <v>29.4</v>
      </c>
      <c r="P86" s="63">
        <v>30.8</v>
      </c>
      <c r="Q86"/>
      <c r="R86"/>
      <c r="S86"/>
      <c r="T86"/>
      <c r="U86"/>
      <c r="V86"/>
      <c r="W86"/>
      <c r="X86"/>
    </row>
    <row r="87" spans="1:24" s="59" customFormat="1" ht="15.75">
      <c r="A87" s="55">
        <v>83423</v>
      </c>
      <c r="B87" s="56" t="s">
        <v>3113</v>
      </c>
      <c r="C87" s="57" t="s">
        <v>3024</v>
      </c>
      <c r="D87" s="58">
        <v>30.1</v>
      </c>
      <c r="E87" s="58">
        <v>30.6</v>
      </c>
      <c r="F87" s="58">
        <v>30.6</v>
      </c>
      <c r="G87" s="58">
        <v>30.9</v>
      </c>
      <c r="H87" s="58">
        <v>30.1</v>
      </c>
      <c r="I87" s="58">
        <v>29.8</v>
      </c>
      <c r="J87" s="58">
        <v>30.2</v>
      </c>
      <c r="K87" s="58">
        <v>32.1</v>
      </c>
      <c r="L87" s="58">
        <v>33</v>
      </c>
      <c r="M87" s="58">
        <v>32.4</v>
      </c>
      <c r="N87" s="58">
        <v>30.8</v>
      </c>
      <c r="O87" s="58">
        <v>29.9</v>
      </c>
      <c r="P87" s="58">
        <v>30.9</v>
      </c>
      <c r="Q87"/>
      <c r="R87"/>
      <c r="S87"/>
      <c r="T87"/>
      <c r="U87"/>
      <c r="V87"/>
      <c r="W87"/>
      <c r="X87"/>
    </row>
    <row r="88" spans="1:24" s="59" customFormat="1" ht="15.75">
      <c r="A88" s="60">
        <v>83374</v>
      </c>
      <c r="B88" s="61" t="s">
        <v>3114</v>
      </c>
      <c r="C88" s="62" t="s">
        <v>3024</v>
      </c>
      <c r="D88" s="63">
        <v>30.7</v>
      </c>
      <c r="E88" s="63">
        <v>31.7</v>
      </c>
      <c r="F88" s="63">
        <v>31.7</v>
      </c>
      <c r="G88" s="63">
        <v>32.299999999999997</v>
      </c>
      <c r="H88" s="63">
        <v>32</v>
      </c>
      <c r="I88" s="63">
        <v>31.6</v>
      </c>
      <c r="J88" s="63">
        <v>32.1</v>
      </c>
      <c r="K88" s="63">
        <v>34.1</v>
      </c>
      <c r="L88" s="63">
        <v>35</v>
      </c>
      <c r="M88" s="63">
        <v>33.700000000000003</v>
      </c>
      <c r="N88" s="63">
        <v>31.8</v>
      </c>
      <c r="O88" s="63">
        <v>30.8</v>
      </c>
      <c r="P88" s="63">
        <v>32.299999999999997</v>
      </c>
      <c r="Q88"/>
      <c r="R88"/>
      <c r="S88"/>
      <c r="T88"/>
      <c r="U88"/>
      <c r="V88"/>
      <c r="W88"/>
      <c r="X88"/>
    </row>
    <row r="89" spans="1:24" s="59" customFormat="1" ht="15.75">
      <c r="A89" s="55">
        <v>83522</v>
      </c>
      <c r="B89" s="56" t="s">
        <v>3115</v>
      </c>
      <c r="C89" s="57" t="s">
        <v>3024</v>
      </c>
      <c r="D89" s="58">
        <v>29.5</v>
      </c>
      <c r="E89" s="58">
        <v>29.9</v>
      </c>
      <c r="F89" s="58">
        <v>29.5</v>
      </c>
      <c r="G89" s="58">
        <v>29.4</v>
      </c>
      <c r="H89" s="58">
        <v>27.9</v>
      </c>
      <c r="I89" s="58">
        <v>27.4</v>
      </c>
      <c r="J89" s="58">
        <v>27.6</v>
      </c>
      <c r="K89" s="58">
        <v>29.5</v>
      </c>
      <c r="L89" s="58">
        <v>30.8</v>
      </c>
      <c r="M89" s="58">
        <v>31.1</v>
      </c>
      <c r="N89" s="58">
        <v>29.8</v>
      </c>
      <c r="O89" s="58">
        <v>29.3</v>
      </c>
      <c r="P89" s="58">
        <v>29.3</v>
      </c>
      <c r="Q89"/>
      <c r="R89"/>
      <c r="S89"/>
      <c r="T89"/>
      <c r="U89"/>
      <c r="V89"/>
      <c r="W89"/>
      <c r="X89"/>
    </row>
    <row r="90" spans="1:24" s="59" customFormat="1" ht="15.75">
      <c r="A90" s="60">
        <v>83523</v>
      </c>
      <c r="B90" s="61" t="s">
        <v>3116</v>
      </c>
      <c r="C90" s="62" t="s">
        <v>3024</v>
      </c>
      <c r="D90" s="63">
        <v>31.1</v>
      </c>
      <c r="E90" s="63">
        <v>31.7</v>
      </c>
      <c r="F90" s="63">
        <v>31.2</v>
      </c>
      <c r="G90" s="63">
        <v>31</v>
      </c>
      <c r="H90" s="63">
        <v>29.3</v>
      </c>
      <c r="I90" s="63">
        <v>28.9</v>
      </c>
      <c r="J90" s="63">
        <v>29.9</v>
      </c>
      <c r="K90" s="63">
        <v>31.9</v>
      </c>
      <c r="L90" s="63">
        <v>33.799999999999997</v>
      </c>
      <c r="M90" s="63">
        <v>33.6</v>
      </c>
      <c r="N90" s="63">
        <v>32.299999999999997</v>
      </c>
      <c r="O90" s="63">
        <v>31.3</v>
      </c>
      <c r="P90" s="63">
        <v>31.3</v>
      </c>
      <c r="Q90"/>
      <c r="R90"/>
      <c r="S90"/>
      <c r="T90"/>
      <c r="U90"/>
      <c r="V90"/>
      <c r="W90"/>
      <c r="X90"/>
    </row>
    <row r="91" spans="1:24" s="59" customFormat="1" ht="15.75">
      <c r="A91" s="55">
        <v>83464</v>
      </c>
      <c r="B91" s="56" t="s">
        <v>3117</v>
      </c>
      <c r="C91" s="57" t="s">
        <v>3024</v>
      </c>
      <c r="D91" s="58">
        <v>30.3</v>
      </c>
      <c r="E91" s="58">
        <v>30.6</v>
      </c>
      <c r="F91" s="58">
        <v>30.6</v>
      </c>
      <c r="G91" s="58">
        <v>30.5</v>
      </c>
      <c r="H91" s="58">
        <v>28.9</v>
      </c>
      <c r="I91" s="58">
        <v>28.8</v>
      </c>
      <c r="J91" s="58">
        <v>29.4</v>
      </c>
      <c r="K91" s="58">
        <v>31.6</v>
      </c>
      <c r="L91" s="58">
        <v>32.299999999999997</v>
      </c>
      <c r="M91" s="58">
        <v>32.1</v>
      </c>
      <c r="N91" s="58">
        <v>31</v>
      </c>
      <c r="O91" s="58">
        <v>30.4</v>
      </c>
      <c r="P91" s="58">
        <v>30.5</v>
      </c>
      <c r="Q91"/>
      <c r="R91"/>
      <c r="S91"/>
      <c r="T91"/>
      <c r="U91"/>
      <c r="V91"/>
      <c r="W91"/>
      <c r="X91"/>
    </row>
    <row r="92" spans="1:24" s="59" customFormat="1" ht="15.75">
      <c r="A92" s="60">
        <v>83376</v>
      </c>
      <c r="B92" s="61" t="s">
        <v>3118</v>
      </c>
      <c r="C92" s="62" t="s">
        <v>3024</v>
      </c>
      <c r="D92" s="63">
        <v>29.4</v>
      </c>
      <c r="E92" s="63">
        <v>30</v>
      </c>
      <c r="F92" s="63">
        <v>29.9</v>
      </c>
      <c r="G92" s="63">
        <v>30.4</v>
      </c>
      <c r="H92" s="63">
        <v>30</v>
      </c>
      <c r="I92" s="63">
        <v>29.6</v>
      </c>
      <c r="J92" s="63">
        <v>30.1</v>
      </c>
      <c r="K92" s="63">
        <v>31.8</v>
      </c>
      <c r="L92" s="63">
        <v>32.700000000000003</v>
      </c>
      <c r="M92" s="63">
        <v>31.6</v>
      </c>
      <c r="N92" s="63">
        <v>30</v>
      </c>
      <c r="O92" s="63">
        <v>29.1</v>
      </c>
      <c r="P92" s="63">
        <v>30.4</v>
      </c>
      <c r="Q92"/>
      <c r="R92"/>
      <c r="S92"/>
      <c r="T92"/>
      <c r="U92"/>
      <c r="V92"/>
      <c r="W92"/>
      <c r="X92"/>
    </row>
    <row r="93" spans="1:24" s="59" customFormat="1" ht="15.75">
      <c r="A93" s="55">
        <v>83332</v>
      </c>
      <c r="B93" s="56" t="s">
        <v>3119</v>
      </c>
      <c r="C93" s="57" t="s">
        <v>3024</v>
      </c>
      <c r="D93" s="58">
        <v>29.1</v>
      </c>
      <c r="E93" s="58">
        <v>29.3</v>
      </c>
      <c r="F93" s="58">
        <v>29.4</v>
      </c>
      <c r="G93" s="58">
        <v>29.7</v>
      </c>
      <c r="H93" s="58">
        <v>29.5</v>
      </c>
      <c r="I93" s="58">
        <v>28.7</v>
      </c>
      <c r="J93" s="58">
        <v>28.8</v>
      </c>
      <c r="K93" s="58">
        <v>30.3</v>
      </c>
      <c r="L93" s="58">
        <v>31.9</v>
      </c>
      <c r="M93" s="58">
        <v>31.8</v>
      </c>
      <c r="N93" s="58">
        <v>29.6</v>
      </c>
      <c r="O93" s="58">
        <v>28.8</v>
      </c>
      <c r="P93" s="58">
        <v>29.7</v>
      </c>
      <c r="Q93"/>
      <c r="R93"/>
      <c r="S93"/>
      <c r="T93"/>
      <c r="U93"/>
      <c r="V93"/>
      <c r="W93"/>
      <c r="X93"/>
    </row>
    <row r="94" spans="1:24" s="59" customFormat="1" ht="15.75">
      <c r="A94" s="60">
        <v>83470</v>
      </c>
      <c r="B94" s="61" t="s">
        <v>3120</v>
      </c>
      <c r="C94" s="62" t="s">
        <v>3024</v>
      </c>
      <c r="D94" s="63">
        <v>29.2</v>
      </c>
      <c r="E94" s="63">
        <v>30</v>
      </c>
      <c r="F94" s="63">
        <v>29.9</v>
      </c>
      <c r="G94" s="63">
        <v>29.7</v>
      </c>
      <c r="H94" s="63">
        <v>28.3</v>
      </c>
      <c r="I94" s="63">
        <v>28.2</v>
      </c>
      <c r="J94" s="63">
        <v>28.6</v>
      </c>
      <c r="K94" s="63">
        <v>30.9</v>
      </c>
      <c r="L94" s="63">
        <v>32</v>
      </c>
      <c r="M94" s="63">
        <v>31.8</v>
      </c>
      <c r="N94" s="63">
        <v>30.1</v>
      </c>
      <c r="O94" s="63">
        <v>29.4</v>
      </c>
      <c r="P94" s="63">
        <v>29.8</v>
      </c>
      <c r="Q94"/>
      <c r="R94"/>
      <c r="S94"/>
      <c r="T94"/>
      <c r="U94"/>
      <c r="V94"/>
      <c r="W94"/>
      <c r="X94"/>
    </row>
    <row r="95" spans="1:24" s="59" customFormat="1" ht="15.75">
      <c r="A95" s="55">
        <v>82970</v>
      </c>
      <c r="B95" s="56" t="s">
        <v>3121</v>
      </c>
      <c r="C95" s="57" t="s">
        <v>3026</v>
      </c>
      <c r="D95" s="58">
        <v>31.8</v>
      </c>
      <c r="E95" s="58">
        <v>31.9</v>
      </c>
      <c r="F95" s="58">
        <v>31.7</v>
      </c>
      <c r="G95" s="58">
        <v>32.200000000000003</v>
      </c>
      <c r="H95" s="58">
        <v>32.799999999999997</v>
      </c>
      <c r="I95" s="58">
        <v>32.799999999999997</v>
      </c>
      <c r="J95" s="58">
        <v>33.299999999999997</v>
      </c>
      <c r="K95" s="58">
        <v>34.799999999999997</v>
      </c>
      <c r="L95" s="58">
        <v>36</v>
      </c>
      <c r="M95" s="58">
        <v>34.9</v>
      </c>
      <c r="N95" s="58">
        <v>33.1</v>
      </c>
      <c r="O95" s="58">
        <v>31.9</v>
      </c>
      <c r="P95" s="58">
        <v>33.1</v>
      </c>
      <c r="Q95"/>
      <c r="R95"/>
      <c r="S95"/>
      <c r="T95"/>
      <c r="U95"/>
      <c r="V95"/>
      <c r="W95"/>
      <c r="X95"/>
    </row>
    <row r="96" spans="1:24" s="59" customFormat="1" ht="15.75">
      <c r="A96" s="60">
        <v>82460</v>
      </c>
      <c r="B96" s="61" t="s">
        <v>3122</v>
      </c>
      <c r="C96" s="62" t="s">
        <v>3026</v>
      </c>
      <c r="D96" s="63">
        <v>32.700000000000003</v>
      </c>
      <c r="E96" s="63">
        <v>32.4</v>
      </c>
      <c r="F96" s="63">
        <v>32.299999999999997</v>
      </c>
      <c r="G96" s="63">
        <v>32.299999999999997</v>
      </c>
      <c r="H96" s="63">
        <v>32.700000000000003</v>
      </c>
      <c r="I96" s="63">
        <v>32.700000000000003</v>
      </c>
      <c r="J96" s="63">
        <v>33.1</v>
      </c>
      <c r="K96" s="63">
        <v>34.700000000000003</v>
      </c>
      <c r="L96" s="63">
        <v>36.1</v>
      </c>
      <c r="M96" s="63">
        <v>36.200000000000003</v>
      </c>
      <c r="N96" s="63">
        <v>35.6</v>
      </c>
      <c r="O96" s="63">
        <v>34.4</v>
      </c>
      <c r="P96" s="63">
        <v>33.799999999999997</v>
      </c>
      <c r="Q96"/>
      <c r="R96"/>
      <c r="S96"/>
      <c r="T96"/>
      <c r="U96"/>
      <c r="V96"/>
      <c r="W96"/>
      <c r="X96"/>
    </row>
    <row r="97" spans="1:24" s="59" customFormat="1" ht="15.75">
      <c r="A97" s="55">
        <v>82768</v>
      </c>
      <c r="B97" s="56" t="s">
        <v>3123</v>
      </c>
      <c r="C97" s="57" t="s">
        <v>3026</v>
      </c>
      <c r="D97" s="58">
        <v>31</v>
      </c>
      <c r="E97" s="58">
        <v>31.2</v>
      </c>
      <c r="F97" s="58">
        <v>31.2</v>
      </c>
      <c r="G97" s="58">
        <v>31.6</v>
      </c>
      <c r="H97" s="58">
        <v>32.4</v>
      </c>
      <c r="I97" s="58">
        <v>32.9</v>
      </c>
      <c r="J97" s="58">
        <v>33.299999999999997</v>
      </c>
      <c r="K97" s="58">
        <v>34.799999999999997</v>
      </c>
      <c r="L97" s="58">
        <v>35.4</v>
      </c>
      <c r="M97" s="58">
        <v>33.9</v>
      </c>
      <c r="N97" s="58">
        <v>32.200000000000003</v>
      </c>
      <c r="O97" s="58">
        <v>31</v>
      </c>
      <c r="P97" s="58">
        <v>32.6</v>
      </c>
      <c r="Q97"/>
      <c r="R97"/>
      <c r="S97"/>
      <c r="T97"/>
      <c r="U97"/>
      <c r="V97"/>
      <c r="W97"/>
      <c r="X97"/>
    </row>
    <row r="98" spans="1:24" s="59" customFormat="1" ht="15.75">
      <c r="A98" s="60">
        <v>82571</v>
      </c>
      <c r="B98" s="61" t="s">
        <v>3124</v>
      </c>
      <c r="C98" s="62" t="s">
        <v>3026</v>
      </c>
      <c r="D98" s="63">
        <v>31.3</v>
      </c>
      <c r="E98" s="63">
        <v>30.9</v>
      </c>
      <c r="F98" s="63">
        <v>30.9</v>
      </c>
      <c r="G98" s="63">
        <v>31.1</v>
      </c>
      <c r="H98" s="63">
        <v>31.5</v>
      </c>
      <c r="I98" s="63">
        <v>32.1</v>
      </c>
      <c r="J98" s="63">
        <v>33</v>
      </c>
      <c r="K98" s="63">
        <v>34.4</v>
      </c>
      <c r="L98" s="63">
        <v>35.299999999999997</v>
      </c>
      <c r="M98" s="63">
        <v>34.799999999999997</v>
      </c>
      <c r="N98" s="63">
        <v>33.799999999999997</v>
      </c>
      <c r="O98" s="63">
        <v>32.4</v>
      </c>
      <c r="P98" s="63">
        <v>32.6</v>
      </c>
      <c r="Q98"/>
      <c r="R98"/>
      <c r="S98"/>
      <c r="T98"/>
      <c r="U98"/>
      <c r="V98"/>
      <c r="W98"/>
      <c r="X98"/>
    </row>
    <row r="99" spans="1:24" s="59" customFormat="1" ht="15.75">
      <c r="A99" s="55">
        <v>82765</v>
      </c>
      <c r="B99" s="56" t="s">
        <v>3125</v>
      </c>
      <c r="C99" s="57" t="s">
        <v>3026</v>
      </c>
      <c r="D99" s="58">
        <v>31.1</v>
      </c>
      <c r="E99" s="58">
        <v>31.2</v>
      </c>
      <c r="F99" s="58">
        <v>31.1</v>
      </c>
      <c r="G99" s="58">
        <v>31.8</v>
      </c>
      <c r="H99" s="58">
        <v>32.700000000000003</v>
      </c>
      <c r="I99" s="58">
        <v>33.700000000000003</v>
      </c>
      <c r="J99" s="58">
        <v>34.6</v>
      </c>
      <c r="K99" s="58">
        <v>35.9</v>
      </c>
      <c r="L99" s="58">
        <v>35.6</v>
      </c>
      <c r="M99" s="58">
        <v>33.299999999999997</v>
      </c>
      <c r="N99" s="58">
        <v>32</v>
      </c>
      <c r="O99" s="58">
        <v>31</v>
      </c>
      <c r="P99" s="58">
        <v>32.799999999999997</v>
      </c>
      <c r="Q99"/>
      <c r="R99"/>
      <c r="S99"/>
      <c r="T99"/>
      <c r="U99"/>
      <c r="V99"/>
      <c r="W99"/>
      <c r="X99"/>
    </row>
    <row r="100" spans="1:24" s="59" customFormat="1" ht="15.75">
      <c r="A100" s="60">
        <v>82476</v>
      </c>
      <c r="B100" s="61" t="s">
        <v>3126</v>
      </c>
      <c r="C100" s="62" t="s">
        <v>3026</v>
      </c>
      <c r="D100" s="63">
        <v>32.799999999999997</v>
      </c>
      <c r="E100" s="63">
        <v>32</v>
      </c>
      <c r="F100" s="63">
        <v>31.9</v>
      </c>
      <c r="G100" s="63">
        <v>31.8</v>
      </c>
      <c r="H100" s="63">
        <v>32</v>
      </c>
      <c r="I100" s="63">
        <v>32.200000000000003</v>
      </c>
      <c r="J100" s="63">
        <v>33.1</v>
      </c>
      <c r="K100" s="63">
        <v>34.9</v>
      </c>
      <c r="L100" s="63">
        <v>36.5</v>
      </c>
      <c r="M100" s="63">
        <v>36.9</v>
      </c>
      <c r="N100" s="63">
        <v>36.299999999999997</v>
      </c>
      <c r="O100" s="63">
        <v>34.700000000000003</v>
      </c>
      <c r="P100" s="63">
        <v>33.799999999999997</v>
      </c>
      <c r="Q100"/>
      <c r="R100"/>
      <c r="S100"/>
      <c r="T100"/>
      <c r="U100"/>
      <c r="V100"/>
      <c r="W100"/>
      <c r="X100"/>
    </row>
    <row r="101" spans="1:24" s="59" customFormat="1" ht="15.75">
      <c r="A101" s="55">
        <v>82382</v>
      </c>
      <c r="B101" s="56" t="s">
        <v>3127</v>
      </c>
      <c r="C101" s="57" t="s">
        <v>3026</v>
      </c>
      <c r="D101" s="58">
        <v>32.5</v>
      </c>
      <c r="E101" s="58">
        <v>31.7</v>
      </c>
      <c r="F101" s="58">
        <v>31.3</v>
      </c>
      <c r="G101" s="58">
        <v>31.2</v>
      </c>
      <c r="H101" s="58">
        <v>31.4</v>
      </c>
      <c r="I101" s="58">
        <v>31.3</v>
      </c>
      <c r="J101" s="58">
        <v>32</v>
      </c>
      <c r="K101" s="58">
        <v>33.700000000000003</v>
      </c>
      <c r="L101" s="58">
        <v>35.200000000000003</v>
      </c>
      <c r="M101" s="58">
        <v>35.6</v>
      </c>
      <c r="N101" s="58">
        <v>35.5</v>
      </c>
      <c r="O101" s="58">
        <v>34.4</v>
      </c>
      <c r="P101" s="58">
        <v>33</v>
      </c>
      <c r="Q101"/>
      <c r="R101"/>
      <c r="S101"/>
      <c r="T101"/>
      <c r="U101"/>
      <c r="V101"/>
      <c r="W101"/>
      <c r="X101"/>
    </row>
    <row r="102" spans="1:24" s="59" customFormat="1" ht="15.75">
      <c r="A102" s="60">
        <v>82676</v>
      </c>
      <c r="B102" s="61" t="s">
        <v>3128</v>
      </c>
      <c r="C102" s="62" t="s">
        <v>3026</v>
      </c>
      <c r="D102" s="63">
        <v>31.4</v>
      </c>
      <c r="E102" s="63">
        <v>31.2</v>
      </c>
      <c r="F102" s="63">
        <v>31.1</v>
      </c>
      <c r="G102" s="63">
        <v>31.5</v>
      </c>
      <c r="H102" s="63">
        <v>32</v>
      </c>
      <c r="I102" s="63">
        <v>32.5</v>
      </c>
      <c r="J102" s="63">
        <v>33.200000000000003</v>
      </c>
      <c r="K102" s="63">
        <v>34.700000000000003</v>
      </c>
      <c r="L102" s="63">
        <v>35.6</v>
      </c>
      <c r="M102" s="63">
        <v>35.200000000000003</v>
      </c>
      <c r="N102" s="63">
        <v>33.799999999999997</v>
      </c>
      <c r="O102" s="63">
        <v>32.1</v>
      </c>
      <c r="P102" s="63">
        <v>32.9</v>
      </c>
      <c r="Q102"/>
      <c r="R102"/>
      <c r="S102"/>
      <c r="T102"/>
      <c r="U102"/>
      <c r="V102"/>
      <c r="W102"/>
      <c r="X102"/>
    </row>
    <row r="103" spans="1:24" s="59" customFormat="1" ht="15.75">
      <c r="A103" s="55">
        <v>82568</v>
      </c>
      <c r="B103" s="56" t="s">
        <v>3129</v>
      </c>
      <c r="C103" s="57" t="s">
        <v>3026</v>
      </c>
      <c r="D103" s="58">
        <v>31.2</v>
      </c>
      <c r="E103" s="58">
        <v>30.8</v>
      </c>
      <c r="F103" s="58">
        <v>30.9</v>
      </c>
      <c r="G103" s="58">
        <v>31.4</v>
      </c>
      <c r="H103" s="58">
        <v>32.200000000000003</v>
      </c>
      <c r="I103" s="58">
        <v>32.799999999999997</v>
      </c>
      <c r="J103" s="58">
        <v>33.6</v>
      </c>
      <c r="K103" s="58">
        <v>34.700000000000003</v>
      </c>
      <c r="L103" s="58">
        <v>35.200000000000003</v>
      </c>
      <c r="M103" s="58">
        <v>34.1</v>
      </c>
      <c r="N103" s="58">
        <v>33</v>
      </c>
      <c r="O103" s="58">
        <v>31.9</v>
      </c>
      <c r="P103" s="58">
        <v>32.700000000000003</v>
      </c>
      <c r="Q103"/>
      <c r="R103"/>
      <c r="S103"/>
      <c r="T103"/>
      <c r="U103"/>
      <c r="V103"/>
      <c r="W103"/>
      <c r="X103"/>
    </row>
    <row r="104" spans="1:24" s="59" customFormat="1" ht="15.75">
      <c r="A104" s="60">
        <v>82564</v>
      </c>
      <c r="B104" s="61" t="s">
        <v>3130</v>
      </c>
      <c r="C104" s="62" t="s">
        <v>3026</v>
      </c>
      <c r="D104" s="63">
        <v>31.8</v>
      </c>
      <c r="E104" s="63">
        <v>31.9</v>
      </c>
      <c r="F104" s="63">
        <v>31.9</v>
      </c>
      <c r="G104" s="63">
        <v>32.299999999999997</v>
      </c>
      <c r="H104" s="63">
        <v>33</v>
      </c>
      <c r="I104" s="63">
        <v>33.5</v>
      </c>
      <c r="J104" s="63">
        <v>34.299999999999997</v>
      </c>
      <c r="K104" s="63">
        <v>35.4</v>
      </c>
      <c r="L104" s="63">
        <v>35.4</v>
      </c>
      <c r="M104" s="63">
        <v>34.4</v>
      </c>
      <c r="N104" s="63">
        <v>33.299999999999997</v>
      </c>
      <c r="O104" s="63">
        <v>32.299999999999997</v>
      </c>
      <c r="P104" s="63">
        <v>33.299999999999997</v>
      </c>
      <c r="Q104"/>
      <c r="R104"/>
      <c r="S104"/>
      <c r="T104"/>
      <c r="U104"/>
      <c r="V104"/>
      <c r="W104"/>
      <c r="X104"/>
    </row>
    <row r="105" spans="1:24" s="59" customFormat="1" ht="15.75">
      <c r="A105" s="55">
        <v>82280</v>
      </c>
      <c r="B105" s="56" t="s">
        <v>3131</v>
      </c>
      <c r="C105" s="57" t="s">
        <v>3026</v>
      </c>
      <c r="D105" s="58">
        <v>30.6</v>
      </c>
      <c r="E105" s="58">
        <v>30.2</v>
      </c>
      <c r="F105" s="58">
        <v>29.9</v>
      </c>
      <c r="G105" s="58">
        <v>30.2</v>
      </c>
      <c r="H105" s="58">
        <v>30.9</v>
      </c>
      <c r="I105" s="58">
        <v>31.1</v>
      </c>
      <c r="J105" s="58">
        <v>31</v>
      </c>
      <c r="K105" s="58">
        <v>31.4</v>
      </c>
      <c r="L105" s="58">
        <v>31.7</v>
      </c>
      <c r="M105" s="58">
        <v>31.9</v>
      </c>
      <c r="N105" s="58">
        <v>32.1</v>
      </c>
      <c r="O105" s="58">
        <v>31.8</v>
      </c>
      <c r="P105" s="58">
        <v>31.1</v>
      </c>
      <c r="Q105"/>
      <c r="R105"/>
      <c r="S105"/>
      <c r="T105"/>
      <c r="U105"/>
      <c r="V105"/>
      <c r="W105"/>
      <c r="X105"/>
    </row>
    <row r="106" spans="1:24" s="59" customFormat="1" ht="15.75">
      <c r="A106" s="60">
        <v>82198</v>
      </c>
      <c r="B106" s="61" t="s">
        <v>3132</v>
      </c>
      <c r="C106" s="62" t="s">
        <v>3026</v>
      </c>
      <c r="D106" s="63">
        <v>31.1</v>
      </c>
      <c r="E106" s="63">
        <v>30.5</v>
      </c>
      <c r="F106" s="63">
        <v>30.1</v>
      </c>
      <c r="G106" s="63">
        <v>30.3</v>
      </c>
      <c r="H106" s="63">
        <v>30.8</v>
      </c>
      <c r="I106" s="63">
        <v>31</v>
      </c>
      <c r="J106" s="63">
        <v>30.9</v>
      </c>
      <c r="K106" s="63">
        <v>31.4</v>
      </c>
      <c r="L106" s="63">
        <v>31.9</v>
      </c>
      <c r="M106" s="63">
        <v>32.299999999999997</v>
      </c>
      <c r="N106" s="63">
        <v>32.5</v>
      </c>
      <c r="O106" s="63">
        <v>32.200000000000003</v>
      </c>
      <c r="P106" s="63">
        <v>31.3</v>
      </c>
      <c r="Q106"/>
      <c r="R106"/>
      <c r="S106"/>
      <c r="T106"/>
      <c r="U106"/>
      <c r="V106"/>
      <c r="W106"/>
      <c r="X106"/>
    </row>
    <row r="107" spans="1:24" s="59" customFormat="1" ht="15.75">
      <c r="A107" s="55">
        <v>82376</v>
      </c>
      <c r="B107" s="56" t="s">
        <v>3133</v>
      </c>
      <c r="C107" s="57" t="s">
        <v>3026</v>
      </c>
      <c r="D107" s="58">
        <v>32.299999999999997</v>
      </c>
      <c r="E107" s="58">
        <v>31.6</v>
      </c>
      <c r="F107" s="58">
        <v>31.5</v>
      </c>
      <c r="G107" s="58">
        <v>31.6</v>
      </c>
      <c r="H107" s="58">
        <v>32</v>
      </c>
      <c r="I107" s="58">
        <v>31.9</v>
      </c>
      <c r="J107" s="58">
        <v>32.200000000000003</v>
      </c>
      <c r="K107" s="58">
        <v>33.4</v>
      </c>
      <c r="L107" s="58">
        <v>34.299999999999997</v>
      </c>
      <c r="M107" s="58">
        <v>34.6</v>
      </c>
      <c r="N107" s="58">
        <v>34.4</v>
      </c>
      <c r="O107" s="58">
        <v>33.700000000000003</v>
      </c>
      <c r="P107" s="58">
        <v>32.799999999999997</v>
      </c>
      <c r="Q107"/>
      <c r="R107"/>
      <c r="S107"/>
      <c r="T107"/>
      <c r="U107"/>
      <c r="V107"/>
      <c r="W107"/>
      <c r="X107"/>
    </row>
    <row r="108" spans="1:24" s="59" customFormat="1" ht="15.75">
      <c r="A108" s="60">
        <v>83595</v>
      </c>
      <c r="B108" s="61" t="s">
        <v>3134</v>
      </c>
      <c r="C108" s="62" t="s">
        <v>3028</v>
      </c>
      <c r="D108" s="63">
        <v>33.6</v>
      </c>
      <c r="E108" s="63">
        <v>34.700000000000003</v>
      </c>
      <c r="F108" s="63">
        <v>34.1</v>
      </c>
      <c r="G108" s="63">
        <v>32.6</v>
      </c>
      <c r="H108" s="63">
        <v>30.9</v>
      </c>
      <c r="I108" s="63">
        <v>29.6</v>
      </c>
      <c r="J108" s="63">
        <v>29.5</v>
      </c>
      <c r="K108" s="63">
        <v>30.2</v>
      </c>
      <c r="L108" s="63">
        <v>30.9</v>
      </c>
      <c r="M108" s="63">
        <v>32.1</v>
      </c>
      <c r="N108" s="63">
        <v>31.9</v>
      </c>
      <c r="O108" s="63">
        <v>32.5</v>
      </c>
      <c r="P108" s="63">
        <v>31.9</v>
      </c>
      <c r="Q108"/>
      <c r="R108"/>
      <c r="S108"/>
      <c r="T108"/>
      <c r="U108"/>
      <c r="V108"/>
      <c r="W108"/>
      <c r="X108"/>
    </row>
    <row r="109" spans="1:24" s="59" customFormat="1" ht="15.75">
      <c r="A109" s="55">
        <v>83442</v>
      </c>
      <c r="B109" s="56" t="s">
        <v>3135</v>
      </c>
      <c r="C109" s="57" t="s">
        <v>3028</v>
      </c>
      <c r="D109" s="58">
        <v>33.4</v>
      </c>
      <c r="E109" s="58">
        <v>34.4</v>
      </c>
      <c r="F109" s="58">
        <v>33.299999999999997</v>
      </c>
      <c r="G109" s="58">
        <v>32.200000000000003</v>
      </c>
      <c r="H109" s="58">
        <v>30.8</v>
      </c>
      <c r="I109" s="58">
        <v>29.5</v>
      </c>
      <c r="J109" s="58">
        <v>29.4</v>
      </c>
      <c r="K109" s="58">
        <v>30.5</v>
      </c>
      <c r="L109" s="58">
        <v>32.299999999999997</v>
      </c>
      <c r="M109" s="58">
        <v>33.5</v>
      </c>
      <c r="N109" s="58">
        <v>32</v>
      </c>
      <c r="O109" s="58">
        <v>32.1</v>
      </c>
      <c r="P109" s="58">
        <v>32</v>
      </c>
      <c r="Q109"/>
      <c r="R109"/>
      <c r="S109"/>
      <c r="T109"/>
      <c r="U109"/>
      <c r="V109"/>
      <c r="W109"/>
      <c r="X109"/>
    </row>
    <row r="110" spans="1:24" s="59" customFormat="1" ht="15.75">
      <c r="A110" s="60">
        <v>83579</v>
      </c>
      <c r="B110" s="61" t="s">
        <v>3136</v>
      </c>
      <c r="C110" s="62" t="s">
        <v>3028</v>
      </c>
      <c r="D110" s="63">
        <v>28</v>
      </c>
      <c r="E110" s="63">
        <v>28.4</v>
      </c>
      <c r="F110" s="63">
        <v>28.1</v>
      </c>
      <c r="G110" s="63">
        <v>27.6</v>
      </c>
      <c r="H110" s="63">
        <v>25.8</v>
      </c>
      <c r="I110" s="63">
        <v>25.1</v>
      </c>
      <c r="J110" s="63">
        <v>25.2</v>
      </c>
      <c r="K110" s="63">
        <v>27.2</v>
      </c>
      <c r="L110" s="63">
        <v>28.4</v>
      </c>
      <c r="M110" s="63">
        <v>28.8</v>
      </c>
      <c r="N110" s="63">
        <v>27.9</v>
      </c>
      <c r="O110" s="63">
        <v>27.5</v>
      </c>
      <c r="P110" s="63">
        <v>27.3</v>
      </c>
      <c r="Q110"/>
      <c r="R110"/>
      <c r="S110"/>
      <c r="T110"/>
      <c r="U110"/>
      <c r="V110"/>
      <c r="W110"/>
      <c r="X110"/>
    </row>
    <row r="111" spans="1:24" s="59" customFormat="1" ht="15.75">
      <c r="A111" s="55">
        <v>83384</v>
      </c>
      <c r="B111" s="56" t="s">
        <v>3137</v>
      </c>
      <c r="C111" s="57" t="s">
        <v>3028</v>
      </c>
      <c r="D111" s="58">
        <v>32.5</v>
      </c>
      <c r="E111" s="58">
        <v>33</v>
      </c>
      <c r="F111" s="58">
        <v>32.5</v>
      </c>
      <c r="G111" s="58">
        <v>32.4</v>
      </c>
      <c r="H111" s="58">
        <v>31.3</v>
      </c>
      <c r="I111" s="58">
        <v>30.5</v>
      </c>
      <c r="J111" s="58">
        <v>30.7</v>
      </c>
      <c r="K111" s="58">
        <v>32.299999999999997</v>
      </c>
      <c r="L111" s="58">
        <v>34.299999999999997</v>
      </c>
      <c r="M111" s="58">
        <v>34.799999999999997</v>
      </c>
      <c r="N111" s="58">
        <v>32.200000000000003</v>
      </c>
      <c r="O111" s="58">
        <v>31.5</v>
      </c>
      <c r="P111" s="58">
        <v>32.299999999999997</v>
      </c>
      <c r="Q111"/>
      <c r="R111"/>
      <c r="S111"/>
      <c r="T111"/>
      <c r="U111"/>
      <c r="V111"/>
      <c r="W111"/>
      <c r="X111"/>
    </row>
    <row r="112" spans="1:24" s="59" customFormat="1" ht="15.75">
      <c r="A112" s="60">
        <v>83582</v>
      </c>
      <c r="B112" s="61" t="s">
        <v>3138</v>
      </c>
      <c r="C112" s="62" t="s">
        <v>3028</v>
      </c>
      <c r="D112" s="63">
        <v>29.9</v>
      </c>
      <c r="E112" s="63">
        <v>30.1</v>
      </c>
      <c r="F112" s="63">
        <v>29.9</v>
      </c>
      <c r="G112" s="63">
        <v>29.3</v>
      </c>
      <c r="H112" s="63">
        <v>27.3</v>
      </c>
      <c r="I112" s="63">
        <v>26.4</v>
      </c>
      <c r="J112" s="63">
        <v>26.8</v>
      </c>
      <c r="K112" s="63">
        <v>28.4</v>
      </c>
      <c r="L112" s="63">
        <v>29.7</v>
      </c>
      <c r="M112" s="63">
        <v>30.4</v>
      </c>
      <c r="N112" s="63">
        <v>29.5</v>
      </c>
      <c r="O112" s="63">
        <v>29.4</v>
      </c>
      <c r="P112" s="63">
        <v>28.9</v>
      </c>
      <c r="Q112"/>
      <c r="R112"/>
      <c r="S112"/>
      <c r="T112"/>
      <c r="U112"/>
      <c r="V112"/>
      <c r="W112"/>
      <c r="X112"/>
    </row>
    <row r="113" spans="1:24" s="59" customFormat="1" ht="15.75">
      <c r="A113" s="55">
        <v>83689</v>
      </c>
      <c r="B113" s="56" t="s">
        <v>3139</v>
      </c>
      <c r="C113" s="57" t="s">
        <v>3028</v>
      </c>
      <c r="D113" s="58">
        <v>27.1</v>
      </c>
      <c r="E113" s="58">
        <v>27.7</v>
      </c>
      <c r="F113" s="58">
        <v>26.8</v>
      </c>
      <c r="G113" s="58">
        <v>25.5</v>
      </c>
      <c r="H113" s="58">
        <v>23.3</v>
      </c>
      <c r="I113" s="58">
        <v>22.8</v>
      </c>
      <c r="J113" s="58">
        <v>22.7</v>
      </c>
      <c r="K113" s="58">
        <v>24</v>
      </c>
      <c r="L113" s="58">
        <v>24.4</v>
      </c>
      <c r="M113" s="58">
        <v>25.7</v>
      </c>
      <c r="N113" s="58">
        <v>25.7</v>
      </c>
      <c r="O113" s="58">
        <v>26.4</v>
      </c>
      <c r="P113" s="58">
        <v>25.2</v>
      </c>
      <c r="Q113"/>
      <c r="R113"/>
      <c r="S113"/>
      <c r="T113"/>
      <c r="U113"/>
      <c r="V113"/>
      <c r="W113"/>
      <c r="X113"/>
    </row>
    <row r="114" spans="1:24" s="59" customFormat="1" ht="15.75">
      <c r="A114" s="60">
        <v>83587</v>
      </c>
      <c r="B114" s="61" t="s">
        <v>3140</v>
      </c>
      <c r="C114" s="62" t="s">
        <v>3028</v>
      </c>
      <c r="D114" s="63">
        <v>28.4</v>
      </c>
      <c r="E114" s="63">
        <v>29</v>
      </c>
      <c r="F114" s="63">
        <v>28.5</v>
      </c>
      <c r="G114" s="63">
        <v>27.7</v>
      </c>
      <c r="H114" s="63">
        <v>25.8</v>
      </c>
      <c r="I114" s="63">
        <v>24.8</v>
      </c>
      <c r="J114" s="63">
        <v>24.7</v>
      </c>
      <c r="K114" s="63">
        <v>26.1</v>
      </c>
      <c r="L114" s="63">
        <v>27.4</v>
      </c>
      <c r="M114" s="63">
        <v>28.1</v>
      </c>
      <c r="N114" s="63">
        <v>27.7</v>
      </c>
      <c r="O114" s="63">
        <v>27.8</v>
      </c>
      <c r="P114" s="63">
        <v>27.2</v>
      </c>
      <c r="Q114"/>
      <c r="R114"/>
      <c r="S114"/>
      <c r="T114"/>
      <c r="U114"/>
      <c r="V114"/>
      <c r="W114"/>
      <c r="X114"/>
    </row>
    <row r="115" spans="1:24" s="59" customFormat="1" ht="15.75">
      <c r="A115" s="55">
        <v>83533</v>
      </c>
      <c r="B115" s="56" t="s">
        <v>3141</v>
      </c>
      <c r="C115" s="57" t="s">
        <v>3028</v>
      </c>
      <c r="D115" s="58">
        <v>30.6</v>
      </c>
      <c r="E115" s="58">
        <v>31.1</v>
      </c>
      <c r="F115" s="58">
        <v>30.6</v>
      </c>
      <c r="G115" s="58">
        <v>30</v>
      </c>
      <c r="H115" s="58">
        <v>28</v>
      </c>
      <c r="I115" s="58">
        <v>27.2</v>
      </c>
      <c r="J115" s="58">
        <v>27.5</v>
      </c>
      <c r="K115" s="58">
        <v>29.1</v>
      </c>
      <c r="L115" s="58">
        <v>30.3</v>
      </c>
      <c r="M115" s="58">
        <v>31</v>
      </c>
      <c r="N115" s="58">
        <v>30.1</v>
      </c>
      <c r="O115" s="58">
        <v>30</v>
      </c>
      <c r="P115" s="58">
        <v>29.6</v>
      </c>
      <c r="Q115"/>
      <c r="R115"/>
      <c r="S115"/>
      <c r="T115"/>
      <c r="U115"/>
      <c r="V115"/>
      <c r="W115"/>
      <c r="X115"/>
    </row>
    <row r="116" spans="1:24" s="59" customFormat="1" ht="15.75">
      <c r="A116" s="60">
        <v>83383</v>
      </c>
      <c r="B116" s="61" t="s">
        <v>3142</v>
      </c>
      <c r="C116" s="62" t="s">
        <v>3028</v>
      </c>
      <c r="D116" s="63">
        <v>31.4</v>
      </c>
      <c r="E116" s="63">
        <v>32.4</v>
      </c>
      <c r="F116" s="63">
        <v>31.8</v>
      </c>
      <c r="G116" s="63">
        <v>32</v>
      </c>
      <c r="H116" s="63">
        <v>31</v>
      </c>
      <c r="I116" s="63">
        <v>30</v>
      </c>
      <c r="J116" s="63">
        <v>30.5</v>
      </c>
      <c r="K116" s="63">
        <v>31.7</v>
      </c>
      <c r="L116" s="63">
        <v>33.4</v>
      </c>
      <c r="M116" s="63">
        <v>33.9</v>
      </c>
      <c r="N116" s="63">
        <v>31.4</v>
      </c>
      <c r="O116" s="63">
        <v>30.8</v>
      </c>
      <c r="P116" s="63">
        <v>31.7</v>
      </c>
      <c r="Q116"/>
      <c r="R116"/>
      <c r="S116"/>
      <c r="T116"/>
      <c r="U116"/>
      <c r="V116"/>
      <c r="W116"/>
      <c r="X116"/>
    </row>
    <row r="117" spans="1:24" s="59" customFormat="1" ht="15.75">
      <c r="A117" s="55">
        <v>83589</v>
      </c>
      <c r="B117" s="56" t="s">
        <v>3143</v>
      </c>
      <c r="C117" s="57" t="s">
        <v>3028</v>
      </c>
      <c r="D117" s="58">
        <v>29.8</v>
      </c>
      <c r="E117" s="58">
        <v>30.5</v>
      </c>
      <c r="F117" s="58">
        <v>29.9</v>
      </c>
      <c r="G117" s="58">
        <v>28.6</v>
      </c>
      <c r="H117" s="58">
        <v>26.4</v>
      </c>
      <c r="I117" s="58">
        <v>25.3</v>
      </c>
      <c r="J117" s="58">
        <v>25.4</v>
      </c>
      <c r="K117" s="58">
        <v>26.9</v>
      </c>
      <c r="L117" s="58">
        <v>28.1</v>
      </c>
      <c r="M117" s="58">
        <v>29.2</v>
      </c>
      <c r="N117" s="58">
        <v>28.8</v>
      </c>
      <c r="O117" s="58">
        <v>29.2</v>
      </c>
      <c r="P117" s="58">
        <v>28.2</v>
      </c>
      <c r="Q117"/>
      <c r="R117"/>
      <c r="S117"/>
      <c r="T117"/>
      <c r="U117"/>
      <c r="V117"/>
      <c r="W117"/>
      <c r="X117"/>
    </row>
    <row r="118" spans="1:24" s="59" customFormat="1" ht="15.75">
      <c r="A118" s="60">
        <v>83681</v>
      </c>
      <c r="B118" s="61" t="s">
        <v>3144</v>
      </c>
      <c r="C118" s="62" t="s">
        <v>3028</v>
      </c>
      <c r="D118" s="63">
        <v>26.4</v>
      </c>
      <c r="E118" s="63">
        <v>26.6</v>
      </c>
      <c r="F118" s="63">
        <v>26.5</v>
      </c>
      <c r="G118" s="63">
        <v>25.5</v>
      </c>
      <c r="H118" s="63">
        <v>23.2</v>
      </c>
      <c r="I118" s="63">
        <v>22.5</v>
      </c>
      <c r="J118" s="63">
        <v>22.8</v>
      </c>
      <c r="K118" s="63">
        <v>24.6</v>
      </c>
      <c r="L118" s="63">
        <v>25.4</v>
      </c>
      <c r="M118" s="63">
        <v>26.3</v>
      </c>
      <c r="N118" s="63">
        <v>26.2</v>
      </c>
      <c r="O118" s="63">
        <v>25.9</v>
      </c>
      <c r="P118" s="63">
        <v>25.2</v>
      </c>
      <c r="Q118"/>
      <c r="R118"/>
      <c r="S118"/>
      <c r="T118"/>
      <c r="U118"/>
      <c r="V118"/>
      <c r="W118"/>
      <c r="X118"/>
    </row>
    <row r="119" spans="1:24" s="59" customFormat="1" ht="15.75">
      <c r="A119" s="55">
        <v>83639</v>
      </c>
      <c r="B119" s="56" t="s">
        <v>3145</v>
      </c>
      <c r="C119" s="57" t="s">
        <v>3028</v>
      </c>
      <c r="D119" s="58">
        <v>28.4</v>
      </c>
      <c r="E119" s="58">
        <v>29.2</v>
      </c>
      <c r="F119" s="58">
        <v>28.5</v>
      </c>
      <c r="G119" s="58">
        <v>27.3</v>
      </c>
      <c r="H119" s="58">
        <v>25</v>
      </c>
      <c r="I119" s="58">
        <v>24.3</v>
      </c>
      <c r="J119" s="58">
        <v>24</v>
      </c>
      <c r="K119" s="58">
        <v>25.1</v>
      </c>
      <c r="L119" s="58">
        <v>26</v>
      </c>
      <c r="M119" s="58">
        <v>26.8</v>
      </c>
      <c r="N119" s="58">
        <v>27.2</v>
      </c>
      <c r="O119" s="58">
        <v>27.5</v>
      </c>
      <c r="P119" s="58">
        <v>26.6</v>
      </c>
      <c r="Q119"/>
      <c r="R119"/>
      <c r="S119"/>
      <c r="T119"/>
      <c r="U119"/>
      <c r="V119"/>
      <c r="W119"/>
      <c r="X119"/>
    </row>
    <row r="120" spans="1:24" s="59" customFormat="1" ht="15.75">
      <c r="A120" s="60">
        <v>83514</v>
      </c>
      <c r="B120" s="61" t="s">
        <v>3146</v>
      </c>
      <c r="C120" s="62" t="s">
        <v>3028</v>
      </c>
      <c r="D120" s="63">
        <v>30.7</v>
      </c>
      <c r="E120" s="63">
        <v>31.1</v>
      </c>
      <c r="F120" s="63">
        <v>31.2</v>
      </c>
      <c r="G120" s="63">
        <v>31.3</v>
      </c>
      <c r="H120" s="63">
        <v>29.3</v>
      </c>
      <c r="I120" s="63">
        <v>28.7</v>
      </c>
      <c r="J120" s="63">
        <v>29.4</v>
      </c>
      <c r="K120" s="63">
        <v>31.6</v>
      </c>
      <c r="L120" s="63">
        <v>32.700000000000003</v>
      </c>
      <c r="M120" s="63">
        <v>33.200000000000003</v>
      </c>
      <c r="N120" s="63">
        <v>31.9</v>
      </c>
      <c r="O120" s="63">
        <v>31.1</v>
      </c>
      <c r="P120" s="63">
        <v>31</v>
      </c>
      <c r="Q120"/>
      <c r="R120"/>
      <c r="S120"/>
      <c r="T120"/>
      <c r="U120"/>
      <c r="V120"/>
      <c r="W120"/>
      <c r="X120"/>
    </row>
    <row r="121" spans="1:24" s="59" customFormat="1" ht="15.75">
      <c r="A121" s="55">
        <v>83592</v>
      </c>
      <c r="B121" s="56" t="s">
        <v>3147</v>
      </c>
      <c r="C121" s="57" t="s">
        <v>3028</v>
      </c>
      <c r="D121" s="58">
        <v>28.9</v>
      </c>
      <c r="E121" s="58">
        <v>30</v>
      </c>
      <c r="F121" s="58">
        <v>29.4</v>
      </c>
      <c r="G121" s="58">
        <v>27.9</v>
      </c>
      <c r="H121" s="58">
        <v>26.1</v>
      </c>
      <c r="I121" s="58">
        <v>25.2</v>
      </c>
      <c r="J121" s="58">
        <v>25.5</v>
      </c>
      <c r="K121" s="58">
        <v>26.4</v>
      </c>
      <c r="L121" s="58">
        <v>27.2</v>
      </c>
      <c r="M121" s="58">
        <v>28.1</v>
      </c>
      <c r="N121" s="58">
        <v>28</v>
      </c>
      <c r="O121" s="58">
        <v>28.5</v>
      </c>
      <c r="P121" s="58">
        <v>27.6</v>
      </c>
      <c r="Q121"/>
      <c r="R121"/>
      <c r="S121"/>
      <c r="T121"/>
      <c r="U121"/>
      <c r="V121"/>
      <c r="W121"/>
      <c r="X121"/>
    </row>
    <row r="122" spans="1:24" s="59" customFormat="1" ht="15.75">
      <c r="A122" s="60">
        <v>83485</v>
      </c>
      <c r="B122" s="61" t="s">
        <v>3148</v>
      </c>
      <c r="C122" s="62" t="s">
        <v>3028</v>
      </c>
      <c r="D122" s="63">
        <v>29.7</v>
      </c>
      <c r="E122" s="63">
        <v>30.5</v>
      </c>
      <c r="F122" s="63">
        <v>29.6</v>
      </c>
      <c r="G122" s="63">
        <v>28.3</v>
      </c>
      <c r="H122" s="63">
        <v>26.9</v>
      </c>
      <c r="I122" s="63">
        <v>25.6</v>
      </c>
      <c r="J122" s="63">
        <v>25.7</v>
      </c>
      <c r="K122" s="63">
        <v>27.3</v>
      </c>
      <c r="L122" s="63">
        <v>28.8</v>
      </c>
      <c r="M122" s="63">
        <v>29.8</v>
      </c>
      <c r="N122" s="63">
        <v>28.7</v>
      </c>
      <c r="O122" s="63">
        <v>28.8</v>
      </c>
      <c r="P122" s="63">
        <v>28.3</v>
      </c>
      <c r="Q122"/>
      <c r="R122"/>
      <c r="S122"/>
      <c r="T122"/>
      <c r="U122"/>
      <c r="V122"/>
      <c r="W122"/>
      <c r="X122"/>
    </row>
    <row r="123" spans="1:24" s="59" customFormat="1" ht="15.75">
      <c r="A123" s="55">
        <v>83686</v>
      </c>
      <c r="B123" s="56" t="s">
        <v>3149</v>
      </c>
      <c r="C123" s="57" t="s">
        <v>3028</v>
      </c>
      <c r="D123" s="58">
        <v>28.7</v>
      </c>
      <c r="E123" s="58">
        <v>29.5</v>
      </c>
      <c r="F123" s="58">
        <v>28.6</v>
      </c>
      <c r="G123" s="58">
        <v>27.5</v>
      </c>
      <c r="H123" s="58">
        <v>25.4</v>
      </c>
      <c r="I123" s="58">
        <v>24.1</v>
      </c>
      <c r="J123" s="58">
        <v>24.9</v>
      </c>
      <c r="K123" s="58">
        <v>26.4</v>
      </c>
      <c r="L123" s="58">
        <v>27.2</v>
      </c>
      <c r="M123" s="58">
        <v>28.1</v>
      </c>
      <c r="N123" s="58">
        <v>28.5</v>
      </c>
      <c r="O123" s="58">
        <v>28.3</v>
      </c>
      <c r="P123" s="58">
        <v>27.3</v>
      </c>
      <c r="Q123"/>
      <c r="R123"/>
      <c r="S123"/>
      <c r="T123"/>
      <c r="U123"/>
      <c r="V123"/>
      <c r="W123"/>
      <c r="X123"/>
    </row>
    <row r="124" spans="1:24" s="59" customFormat="1" ht="15.75">
      <c r="A124" s="60">
        <v>83613</v>
      </c>
      <c r="B124" s="61" t="s">
        <v>3150</v>
      </c>
      <c r="C124" s="62" t="s">
        <v>3028</v>
      </c>
      <c r="D124" s="63">
        <v>32.299999999999997</v>
      </c>
      <c r="E124" s="63">
        <v>33</v>
      </c>
      <c r="F124" s="63">
        <v>32.299999999999997</v>
      </c>
      <c r="G124" s="63">
        <v>31</v>
      </c>
      <c r="H124" s="63">
        <v>29</v>
      </c>
      <c r="I124" s="63">
        <v>27.9</v>
      </c>
      <c r="J124" s="63">
        <v>28.1</v>
      </c>
      <c r="K124" s="63">
        <v>28.6</v>
      </c>
      <c r="L124" s="63">
        <v>29.6</v>
      </c>
      <c r="M124" s="63">
        <v>30.1</v>
      </c>
      <c r="N124" s="63">
        <v>30.9</v>
      </c>
      <c r="O124" s="63">
        <v>31.2</v>
      </c>
      <c r="P124" s="63">
        <v>30.3</v>
      </c>
      <c r="Q124"/>
      <c r="R124"/>
      <c r="S124"/>
      <c r="T124"/>
      <c r="U124"/>
      <c r="V124"/>
      <c r="W124"/>
      <c r="X124"/>
    </row>
    <row r="125" spans="1:24" s="59" customFormat="1" ht="15.75">
      <c r="A125" s="55">
        <v>83037</v>
      </c>
      <c r="B125" s="56" t="s">
        <v>3151</v>
      </c>
      <c r="C125" s="57" t="s">
        <v>3028</v>
      </c>
      <c r="D125" s="58">
        <v>30.2</v>
      </c>
      <c r="E125" s="58">
        <v>31</v>
      </c>
      <c r="F125" s="58">
        <v>30.2</v>
      </c>
      <c r="G125" s="58">
        <v>28.8</v>
      </c>
      <c r="H125" s="58">
        <v>26.7</v>
      </c>
      <c r="I125" s="58">
        <v>26.1</v>
      </c>
      <c r="J125" s="58">
        <v>25.8</v>
      </c>
      <c r="K125" s="58">
        <v>27</v>
      </c>
      <c r="L125" s="58">
        <v>27.2</v>
      </c>
      <c r="M125" s="58">
        <v>28.8</v>
      </c>
      <c r="N125" s="58">
        <v>28.9</v>
      </c>
      <c r="O125" s="58">
        <v>29.5</v>
      </c>
      <c r="P125" s="58">
        <v>28.4</v>
      </c>
      <c r="Q125"/>
      <c r="R125"/>
      <c r="S125"/>
      <c r="T125"/>
      <c r="U125"/>
      <c r="V125"/>
      <c r="W125"/>
      <c r="X125"/>
    </row>
    <row r="126" spans="1:24" s="59" customFormat="1" ht="15.75">
      <c r="A126" s="60">
        <v>83536</v>
      </c>
      <c r="B126" s="61" t="s">
        <v>3152</v>
      </c>
      <c r="C126" s="62" t="s">
        <v>3028</v>
      </c>
      <c r="D126" s="63">
        <v>31.2</v>
      </c>
      <c r="E126" s="63">
        <v>32.1</v>
      </c>
      <c r="F126" s="63">
        <v>31.6</v>
      </c>
      <c r="G126" s="63">
        <v>31.1</v>
      </c>
      <c r="H126" s="63">
        <v>29.4</v>
      </c>
      <c r="I126" s="63">
        <v>28.4</v>
      </c>
      <c r="J126" s="63">
        <v>28.5</v>
      </c>
      <c r="K126" s="63">
        <v>30.1</v>
      </c>
      <c r="L126" s="63">
        <v>32</v>
      </c>
      <c r="M126" s="63">
        <v>32.299999999999997</v>
      </c>
      <c r="N126" s="63">
        <v>30.8</v>
      </c>
      <c r="O126" s="63">
        <v>30.3</v>
      </c>
      <c r="P126" s="63">
        <v>30.7</v>
      </c>
      <c r="Q126"/>
      <c r="R126"/>
      <c r="S126"/>
      <c r="T126"/>
      <c r="U126"/>
      <c r="V126"/>
      <c r="W126"/>
      <c r="X126"/>
    </row>
    <row r="127" spans="1:24" s="59" customFormat="1" ht="15.75">
      <c r="A127" s="55">
        <v>83538</v>
      </c>
      <c r="B127" s="56" t="s">
        <v>3153</v>
      </c>
      <c r="C127" s="57" t="s">
        <v>3028</v>
      </c>
      <c r="D127" s="58">
        <v>25.8</v>
      </c>
      <c r="E127" s="58">
        <v>26</v>
      </c>
      <c r="F127" s="58">
        <v>25.6</v>
      </c>
      <c r="G127" s="58">
        <v>24.6</v>
      </c>
      <c r="H127" s="58">
        <v>23</v>
      </c>
      <c r="I127" s="58">
        <v>21.9</v>
      </c>
      <c r="J127" s="58">
        <v>21.4</v>
      </c>
      <c r="K127" s="58">
        <v>22.9</v>
      </c>
      <c r="L127" s="58">
        <v>24.5</v>
      </c>
      <c r="M127" s="58">
        <v>25.5</v>
      </c>
      <c r="N127" s="58">
        <v>24.5</v>
      </c>
      <c r="O127" s="58">
        <v>24.9</v>
      </c>
      <c r="P127" s="58">
        <v>24.2</v>
      </c>
      <c r="Q127"/>
      <c r="R127"/>
      <c r="S127"/>
      <c r="T127"/>
      <c r="U127"/>
      <c r="V127"/>
      <c r="W127"/>
      <c r="X127"/>
    </row>
    <row r="128" spans="1:24" s="59" customFormat="1" ht="15.75">
      <c r="A128" s="60">
        <v>83635</v>
      </c>
      <c r="B128" s="61" t="s">
        <v>3154</v>
      </c>
      <c r="C128" s="62" t="s">
        <v>3028</v>
      </c>
      <c r="D128" s="63">
        <v>30.1</v>
      </c>
      <c r="E128" s="63">
        <v>30.7</v>
      </c>
      <c r="F128" s="63">
        <v>30.1</v>
      </c>
      <c r="G128" s="63">
        <v>29.4</v>
      </c>
      <c r="H128" s="63">
        <v>27.1</v>
      </c>
      <c r="I128" s="63">
        <v>26.5</v>
      </c>
      <c r="J128" s="63">
        <v>26.8</v>
      </c>
      <c r="K128" s="63">
        <v>28.5</v>
      </c>
      <c r="L128" s="63">
        <v>29.7</v>
      </c>
      <c r="M128" s="63">
        <v>30.4</v>
      </c>
      <c r="N128" s="63">
        <v>29.1</v>
      </c>
      <c r="O128" s="63">
        <v>29.4</v>
      </c>
      <c r="P128" s="63">
        <v>29</v>
      </c>
      <c r="Q128"/>
      <c r="R128"/>
      <c r="S128"/>
      <c r="T128"/>
      <c r="U128"/>
      <c r="V128"/>
      <c r="W128"/>
      <c r="X128"/>
    </row>
    <row r="129" spans="1:24" s="59" customFormat="1" ht="15.75">
      <c r="A129" s="55">
        <v>83438</v>
      </c>
      <c r="B129" s="56" t="s">
        <v>3155</v>
      </c>
      <c r="C129" s="57" t="s">
        <v>3028</v>
      </c>
      <c r="D129" s="58">
        <v>30.7</v>
      </c>
      <c r="E129" s="58">
        <v>31.5</v>
      </c>
      <c r="F129" s="58">
        <v>31</v>
      </c>
      <c r="G129" s="58">
        <v>29.8</v>
      </c>
      <c r="H129" s="58">
        <v>28.6</v>
      </c>
      <c r="I129" s="58">
        <v>27.9</v>
      </c>
      <c r="J129" s="58">
        <v>27.4</v>
      </c>
      <c r="K129" s="58">
        <v>29.1</v>
      </c>
      <c r="L129" s="58">
        <v>30.8</v>
      </c>
      <c r="M129" s="58">
        <v>31.6</v>
      </c>
      <c r="N129" s="58">
        <v>30.4</v>
      </c>
      <c r="O129" s="58">
        <v>29.7</v>
      </c>
      <c r="P129" s="58">
        <v>29.9</v>
      </c>
      <c r="Q129"/>
      <c r="R129"/>
      <c r="S129"/>
      <c r="T129"/>
      <c r="U129"/>
      <c r="V129"/>
      <c r="W129"/>
      <c r="X129"/>
    </row>
    <row r="130" spans="1:24" s="59" customFormat="1" ht="15.75">
      <c r="A130" s="60">
        <v>83338</v>
      </c>
      <c r="B130" s="61" t="s">
        <v>3156</v>
      </c>
      <c r="C130" s="62" t="s">
        <v>3028</v>
      </c>
      <c r="D130" s="63">
        <v>31</v>
      </c>
      <c r="E130" s="63">
        <v>32</v>
      </c>
      <c r="F130" s="63">
        <v>31.6</v>
      </c>
      <c r="G130" s="63">
        <v>31</v>
      </c>
      <c r="H130" s="63">
        <v>30.4</v>
      </c>
      <c r="I130" s="63">
        <v>29.1</v>
      </c>
      <c r="J130" s="63">
        <v>28.9</v>
      </c>
      <c r="K130" s="63">
        <v>30.3</v>
      </c>
      <c r="L130" s="63">
        <v>31.9</v>
      </c>
      <c r="M130" s="63">
        <v>32.6</v>
      </c>
      <c r="N130" s="63">
        <v>31.1</v>
      </c>
      <c r="O130" s="63">
        <v>30.8</v>
      </c>
      <c r="P130" s="63">
        <v>30.9</v>
      </c>
      <c r="Q130"/>
      <c r="R130"/>
      <c r="S130"/>
      <c r="T130"/>
      <c r="U130"/>
      <c r="V130"/>
      <c r="W130"/>
      <c r="X130"/>
    </row>
    <row r="131" spans="1:24" s="59" customFormat="1" ht="15.75">
      <c r="A131" s="55">
        <v>83657</v>
      </c>
      <c r="B131" s="56" t="s">
        <v>3157</v>
      </c>
      <c r="C131" s="57" t="s">
        <v>3028</v>
      </c>
      <c r="D131" s="58">
        <v>29.2</v>
      </c>
      <c r="E131" s="58">
        <v>29.4</v>
      </c>
      <c r="F131" s="58">
        <v>28.9</v>
      </c>
      <c r="G131" s="58">
        <v>27.7</v>
      </c>
      <c r="H131" s="58">
        <v>25.4</v>
      </c>
      <c r="I131" s="58">
        <v>24</v>
      </c>
      <c r="J131" s="58">
        <v>25.1</v>
      </c>
      <c r="K131" s="58">
        <v>27</v>
      </c>
      <c r="L131" s="58">
        <v>28</v>
      </c>
      <c r="M131" s="58">
        <v>28.8</v>
      </c>
      <c r="N131" s="58">
        <v>29.1</v>
      </c>
      <c r="O131" s="58">
        <v>28.4</v>
      </c>
      <c r="P131" s="58">
        <v>27.6</v>
      </c>
      <c r="Q131"/>
      <c r="R131"/>
      <c r="S131"/>
      <c r="T131"/>
      <c r="U131"/>
      <c r="V131"/>
      <c r="W131"/>
      <c r="X131"/>
    </row>
    <row r="132" spans="1:24" s="59" customFormat="1" ht="15.75">
      <c r="A132" s="60">
        <v>83581</v>
      </c>
      <c r="B132" s="61" t="s">
        <v>3158</v>
      </c>
      <c r="C132" s="62" t="s">
        <v>3028</v>
      </c>
      <c r="D132" s="63">
        <v>29.9</v>
      </c>
      <c r="E132" s="63">
        <v>30.6</v>
      </c>
      <c r="F132" s="63">
        <v>30.3</v>
      </c>
      <c r="G132" s="63">
        <v>29.4</v>
      </c>
      <c r="H132" s="63">
        <v>27.4</v>
      </c>
      <c r="I132" s="63">
        <v>26.4</v>
      </c>
      <c r="J132" s="63">
        <v>26.7</v>
      </c>
      <c r="K132" s="63">
        <v>28.1</v>
      </c>
      <c r="L132" s="63">
        <v>29.7</v>
      </c>
      <c r="M132" s="63">
        <v>29.9</v>
      </c>
      <c r="N132" s="63">
        <v>29.3</v>
      </c>
      <c r="O132" s="63">
        <v>29.3</v>
      </c>
      <c r="P132" s="63">
        <v>28.9</v>
      </c>
      <c r="Q132"/>
      <c r="R132"/>
      <c r="S132"/>
      <c r="T132"/>
      <c r="U132"/>
      <c r="V132"/>
      <c r="W132"/>
      <c r="X132"/>
    </row>
    <row r="133" spans="1:24" s="59" customFormat="1" ht="15.75">
      <c r="A133" s="55">
        <v>83334</v>
      </c>
      <c r="B133" s="56" t="s">
        <v>3159</v>
      </c>
      <c r="C133" s="57" t="s">
        <v>3028</v>
      </c>
      <c r="D133" s="58">
        <v>30.5</v>
      </c>
      <c r="E133" s="58">
        <v>31</v>
      </c>
      <c r="F133" s="58">
        <v>30.6</v>
      </c>
      <c r="G133" s="58">
        <v>30.5</v>
      </c>
      <c r="H133" s="58">
        <v>30.1</v>
      </c>
      <c r="I133" s="58">
        <v>29</v>
      </c>
      <c r="J133" s="58">
        <v>29.3</v>
      </c>
      <c r="K133" s="58">
        <v>30.8</v>
      </c>
      <c r="L133" s="58">
        <v>32.5</v>
      </c>
      <c r="M133" s="58">
        <v>32.700000000000003</v>
      </c>
      <c r="N133" s="58">
        <v>30.4</v>
      </c>
      <c r="O133" s="58">
        <v>29.8</v>
      </c>
      <c r="P133" s="58">
        <v>30.6</v>
      </c>
      <c r="Q133"/>
      <c r="R133"/>
      <c r="S133"/>
      <c r="T133"/>
      <c r="U133"/>
      <c r="V133"/>
      <c r="W133"/>
      <c r="X133"/>
    </row>
    <row r="134" spans="1:24" s="59" customFormat="1" ht="15.75">
      <c r="A134" s="60">
        <v>83574</v>
      </c>
      <c r="B134" s="61" t="s">
        <v>3160</v>
      </c>
      <c r="C134" s="62" t="s">
        <v>3028</v>
      </c>
      <c r="D134" s="63">
        <v>31.2</v>
      </c>
      <c r="E134" s="63">
        <v>31.8</v>
      </c>
      <c r="F134" s="63">
        <v>31.5</v>
      </c>
      <c r="G134" s="63">
        <v>31.5</v>
      </c>
      <c r="H134" s="63">
        <v>29</v>
      </c>
      <c r="I134" s="63">
        <v>29</v>
      </c>
      <c r="J134" s="63">
        <v>29.4</v>
      </c>
      <c r="K134" s="63">
        <v>31.7</v>
      </c>
      <c r="L134" s="63">
        <v>32.299999999999997</v>
      </c>
      <c r="M134" s="63">
        <v>33.1</v>
      </c>
      <c r="N134" s="63">
        <v>32</v>
      </c>
      <c r="O134" s="63">
        <v>31.4</v>
      </c>
      <c r="P134" s="63">
        <v>31.2</v>
      </c>
      <c r="Q134"/>
      <c r="R134"/>
      <c r="S134"/>
      <c r="T134"/>
      <c r="U134"/>
      <c r="V134"/>
      <c r="W134"/>
      <c r="X134"/>
    </row>
    <row r="135" spans="1:24" s="59" customFormat="1" ht="15.75">
      <c r="A135" s="55">
        <v>83543</v>
      </c>
      <c r="B135" s="56" t="s">
        <v>3161</v>
      </c>
      <c r="C135" s="57" t="s">
        <v>3028</v>
      </c>
      <c r="D135" s="58">
        <v>32.200000000000003</v>
      </c>
      <c r="E135" s="58">
        <v>33.200000000000003</v>
      </c>
      <c r="F135" s="58">
        <v>32.200000000000003</v>
      </c>
      <c r="G135" s="58">
        <v>30.7</v>
      </c>
      <c r="H135" s="58">
        <v>28.7</v>
      </c>
      <c r="I135" s="58">
        <v>27.9</v>
      </c>
      <c r="J135" s="58">
        <v>27.8</v>
      </c>
      <c r="K135" s="58">
        <v>28.6</v>
      </c>
      <c r="L135" s="58">
        <v>29.7</v>
      </c>
      <c r="M135" s="58">
        <v>30.9</v>
      </c>
      <c r="N135" s="58">
        <v>30.8</v>
      </c>
      <c r="O135" s="58">
        <v>31.2</v>
      </c>
      <c r="P135" s="58">
        <v>30.3</v>
      </c>
      <c r="Q135"/>
      <c r="R135"/>
      <c r="S135"/>
      <c r="T135"/>
      <c r="U135"/>
      <c r="V135"/>
      <c r="W135"/>
      <c r="X135"/>
    </row>
    <row r="136" spans="1:24" s="59" customFormat="1" ht="15.75">
      <c r="A136" s="60">
        <v>83632</v>
      </c>
      <c r="B136" s="61" t="s">
        <v>3162</v>
      </c>
      <c r="C136" s="62" t="s">
        <v>3028</v>
      </c>
      <c r="D136" s="63">
        <v>29.7</v>
      </c>
      <c r="E136" s="63">
        <v>30.4</v>
      </c>
      <c r="F136" s="63">
        <v>30</v>
      </c>
      <c r="G136" s="63">
        <v>29</v>
      </c>
      <c r="H136" s="63">
        <v>27.2</v>
      </c>
      <c r="I136" s="63">
        <v>26.1</v>
      </c>
      <c r="J136" s="63">
        <v>26.3</v>
      </c>
      <c r="K136" s="63">
        <v>27.7</v>
      </c>
      <c r="L136" s="63">
        <v>28.7</v>
      </c>
      <c r="M136" s="63">
        <v>29.9</v>
      </c>
      <c r="N136" s="63">
        <v>29.6</v>
      </c>
      <c r="O136" s="63">
        <v>29.2</v>
      </c>
      <c r="P136" s="63">
        <v>28.7</v>
      </c>
      <c r="Q136"/>
      <c r="R136"/>
      <c r="S136"/>
      <c r="T136"/>
      <c r="U136"/>
      <c r="V136"/>
      <c r="W136"/>
      <c r="X136"/>
    </row>
    <row r="137" spans="1:24" s="59" customFormat="1" ht="15.75">
      <c r="A137" s="55">
        <v>83488</v>
      </c>
      <c r="B137" s="56" t="s">
        <v>3163</v>
      </c>
      <c r="C137" s="57" t="s">
        <v>3028</v>
      </c>
      <c r="D137" s="58">
        <v>27.9</v>
      </c>
      <c r="E137" s="58">
        <v>28.6</v>
      </c>
      <c r="F137" s="58">
        <v>27.8</v>
      </c>
      <c r="G137" s="58">
        <v>26.4</v>
      </c>
      <c r="H137" s="58">
        <v>25</v>
      </c>
      <c r="I137" s="58">
        <v>24</v>
      </c>
      <c r="J137" s="58">
        <v>23.7</v>
      </c>
      <c r="K137" s="58">
        <v>25.1</v>
      </c>
      <c r="L137" s="58">
        <v>26.6</v>
      </c>
      <c r="M137" s="58">
        <v>27.4</v>
      </c>
      <c r="N137" s="58">
        <v>27.1</v>
      </c>
      <c r="O137" s="58">
        <v>27.4</v>
      </c>
      <c r="P137" s="58">
        <v>26.4</v>
      </c>
      <c r="Q137"/>
      <c r="R137"/>
      <c r="S137"/>
      <c r="T137"/>
      <c r="U137"/>
      <c r="V137"/>
      <c r="W137"/>
      <c r="X137"/>
    </row>
    <row r="138" spans="1:24" s="59" customFormat="1" ht="15.75">
      <c r="A138" s="60">
        <v>83521</v>
      </c>
      <c r="B138" s="61" t="s">
        <v>3164</v>
      </c>
      <c r="C138" s="62" t="s">
        <v>3028</v>
      </c>
      <c r="D138" s="63">
        <v>31.5</v>
      </c>
      <c r="E138" s="63">
        <v>31.9</v>
      </c>
      <c r="F138" s="63">
        <v>31.7</v>
      </c>
      <c r="G138" s="63">
        <v>31.5</v>
      </c>
      <c r="H138" s="63">
        <v>29.6</v>
      </c>
      <c r="I138" s="63">
        <v>29</v>
      </c>
      <c r="J138" s="63">
        <v>29.8</v>
      </c>
      <c r="K138" s="63">
        <v>31.8</v>
      </c>
      <c r="L138" s="63">
        <v>33.299999999999997</v>
      </c>
      <c r="M138" s="63">
        <v>33.1</v>
      </c>
      <c r="N138" s="63">
        <v>32.1</v>
      </c>
      <c r="O138" s="63">
        <v>31.4</v>
      </c>
      <c r="P138" s="63">
        <v>31.4</v>
      </c>
      <c r="Q138"/>
      <c r="R138"/>
      <c r="S138"/>
      <c r="T138"/>
      <c r="U138"/>
      <c r="V138"/>
      <c r="W138"/>
      <c r="X138"/>
    </row>
    <row r="139" spans="1:24" s="59" customFormat="1" ht="15.75">
      <c r="A139" s="55">
        <v>83395</v>
      </c>
      <c r="B139" s="56" t="s">
        <v>3165</v>
      </c>
      <c r="C139" s="57" t="s">
        <v>3028</v>
      </c>
      <c r="D139" s="58">
        <v>32.1</v>
      </c>
      <c r="E139" s="58">
        <v>32.700000000000003</v>
      </c>
      <c r="F139" s="58">
        <v>32.299999999999997</v>
      </c>
      <c r="G139" s="58">
        <v>31.7</v>
      </c>
      <c r="H139" s="58">
        <v>31</v>
      </c>
      <c r="I139" s="58">
        <v>29.6</v>
      </c>
      <c r="J139" s="58">
        <v>29.5</v>
      </c>
      <c r="K139" s="58">
        <v>30.7</v>
      </c>
      <c r="L139" s="58">
        <v>32.5</v>
      </c>
      <c r="M139" s="58">
        <v>33.6</v>
      </c>
      <c r="N139" s="58">
        <v>31.9</v>
      </c>
      <c r="O139" s="58">
        <v>31.4</v>
      </c>
      <c r="P139" s="58">
        <v>31.6</v>
      </c>
      <c r="Q139"/>
      <c r="R139"/>
      <c r="S139"/>
      <c r="T139"/>
      <c r="U139"/>
      <c r="V139"/>
      <c r="W139"/>
      <c r="X139"/>
    </row>
    <row r="140" spans="1:24" s="59" customFormat="1" ht="15.75">
      <c r="A140" s="60">
        <v>83386</v>
      </c>
      <c r="B140" s="61" t="s">
        <v>3166</v>
      </c>
      <c r="C140" s="62" t="s">
        <v>3028</v>
      </c>
      <c r="D140" s="63">
        <v>31.2</v>
      </c>
      <c r="E140" s="63">
        <v>32</v>
      </c>
      <c r="F140" s="63">
        <v>31.4</v>
      </c>
      <c r="G140" s="63">
        <v>31.5</v>
      </c>
      <c r="H140" s="63">
        <v>31</v>
      </c>
      <c r="I140" s="63">
        <v>30.2</v>
      </c>
      <c r="J140" s="63">
        <v>30.1</v>
      </c>
      <c r="K140" s="63">
        <v>31.5</v>
      </c>
      <c r="L140" s="63">
        <v>33.299999999999997</v>
      </c>
      <c r="M140" s="63">
        <v>34</v>
      </c>
      <c r="N140" s="63">
        <v>31.5</v>
      </c>
      <c r="O140" s="63">
        <v>30.7</v>
      </c>
      <c r="P140" s="63">
        <v>31.5</v>
      </c>
      <c r="Q140"/>
      <c r="R140"/>
      <c r="S140"/>
      <c r="T140"/>
      <c r="U140"/>
      <c r="V140"/>
      <c r="W140"/>
      <c r="X140"/>
    </row>
    <row r="141" spans="1:24" s="59" customFormat="1" ht="15.75">
      <c r="A141" s="55">
        <v>83591</v>
      </c>
      <c r="B141" s="56" t="s">
        <v>3167</v>
      </c>
      <c r="C141" s="57" t="s">
        <v>3028</v>
      </c>
      <c r="D141" s="58">
        <v>28.5</v>
      </c>
      <c r="E141" s="58">
        <v>29.3</v>
      </c>
      <c r="F141" s="58">
        <v>28.2</v>
      </c>
      <c r="G141" s="58">
        <v>26.9</v>
      </c>
      <c r="H141" s="58">
        <v>25.2</v>
      </c>
      <c r="I141" s="58">
        <v>24</v>
      </c>
      <c r="J141" s="58">
        <v>24.1</v>
      </c>
      <c r="K141" s="58">
        <v>24.9</v>
      </c>
      <c r="L141" s="58">
        <v>25.9</v>
      </c>
      <c r="M141" s="58">
        <v>27.1</v>
      </c>
      <c r="N141" s="58">
        <v>27</v>
      </c>
      <c r="O141" s="58">
        <v>27.2</v>
      </c>
      <c r="P141" s="58">
        <v>26.5</v>
      </c>
      <c r="Q141"/>
      <c r="R141"/>
      <c r="S141"/>
      <c r="T141"/>
      <c r="U141"/>
      <c r="V141"/>
      <c r="W141"/>
      <c r="X141"/>
    </row>
    <row r="142" spans="1:24" s="59" customFormat="1" ht="15.75">
      <c r="A142" s="60">
        <v>83481</v>
      </c>
      <c r="B142" s="61" t="s">
        <v>3168</v>
      </c>
      <c r="C142" s="62" t="s">
        <v>3028</v>
      </c>
      <c r="D142" s="63">
        <v>29.6</v>
      </c>
      <c r="E142" s="63">
        <v>30.5</v>
      </c>
      <c r="F142" s="63">
        <v>30</v>
      </c>
      <c r="G142" s="63">
        <v>29.8</v>
      </c>
      <c r="H142" s="63">
        <v>28.6</v>
      </c>
      <c r="I142" s="63">
        <v>27.8</v>
      </c>
      <c r="J142" s="63">
        <v>27.8</v>
      </c>
      <c r="K142" s="63">
        <v>29.5</v>
      </c>
      <c r="L142" s="63">
        <v>31.3</v>
      </c>
      <c r="M142" s="63">
        <v>31.7</v>
      </c>
      <c r="N142" s="63">
        <v>30</v>
      </c>
      <c r="O142" s="63">
        <v>29.3</v>
      </c>
      <c r="P142" s="63">
        <v>29.7</v>
      </c>
      <c r="Q142"/>
      <c r="R142"/>
      <c r="S142"/>
      <c r="T142"/>
      <c r="U142"/>
      <c r="V142"/>
      <c r="W142"/>
      <c r="X142"/>
    </row>
    <row r="143" spans="1:24" s="59" customFormat="1" ht="15.75">
      <c r="A143" s="55">
        <v>83692</v>
      </c>
      <c r="B143" s="56" t="s">
        <v>3169</v>
      </c>
      <c r="C143" s="57" t="s">
        <v>3028</v>
      </c>
      <c r="D143" s="58">
        <v>26.5</v>
      </c>
      <c r="E143" s="58">
        <v>27.5</v>
      </c>
      <c r="F143" s="58">
        <v>26.4</v>
      </c>
      <c r="G143" s="58">
        <v>24.8</v>
      </c>
      <c r="H143" s="58">
        <v>22.4</v>
      </c>
      <c r="I143" s="58">
        <v>21.8</v>
      </c>
      <c r="J143" s="58">
        <v>21.8</v>
      </c>
      <c r="K143" s="58">
        <v>22.9</v>
      </c>
      <c r="L143" s="58">
        <v>23.3</v>
      </c>
      <c r="M143" s="58">
        <v>25</v>
      </c>
      <c r="N143" s="58">
        <v>25.1</v>
      </c>
      <c r="O143" s="58">
        <v>25.8</v>
      </c>
      <c r="P143" s="58">
        <v>24.4</v>
      </c>
      <c r="Q143"/>
      <c r="R143"/>
      <c r="S143"/>
      <c r="T143"/>
      <c r="U143"/>
      <c r="V143"/>
      <c r="W143"/>
      <c r="X143"/>
    </row>
    <row r="144" spans="1:24" s="59" customFormat="1" ht="15.75">
      <c r="A144" s="60">
        <v>83452</v>
      </c>
      <c r="B144" s="61" t="s">
        <v>3170</v>
      </c>
      <c r="C144" s="62" t="s">
        <v>3028</v>
      </c>
      <c r="D144" s="63">
        <v>30.1</v>
      </c>
      <c r="E144" s="63">
        <v>30.5</v>
      </c>
      <c r="F144" s="63">
        <v>30.1</v>
      </c>
      <c r="G144" s="63">
        <v>29.7</v>
      </c>
      <c r="H144" s="63">
        <v>28.9</v>
      </c>
      <c r="I144" s="63">
        <v>27.6</v>
      </c>
      <c r="J144" s="63">
        <v>27.6</v>
      </c>
      <c r="K144" s="63">
        <v>29</v>
      </c>
      <c r="L144" s="63">
        <v>30.8</v>
      </c>
      <c r="M144" s="63">
        <v>31.8</v>
      </c>
      <c r="N144" s="63">
        <v>29.7</v>
      </c>
      <c r="O144" s="63">
        <v>29.1</v>
      </c>
      <c r="P144" s="63">
        <v>29.6</v>
      </c>
      <c r="Q144"/>
      <c r="R144"/>
      <c r="S144"/>
      <c r="T144"/>
      <c r="U144"/>
      <c r="V144"/>
      <c r="W144"/>
      <c r="X144"/>
    </row>
    <row r="145" spans="1:24" s="59" customFormat="1" ht="15.75">
      <c r="A145" s="55">
        <v>83032</v>
      </c>
      <c r="B145" s="56" t="s">
        <v>3171</v>
      </c>
      <c r="C145" s="57" t="s">
        <v>3028</v>
      </c>
      <c r="D145" s="58">
        <v>29.5</v>
      </c>
      <c r="E145" s="58">
        <v>30.1</v>
      </c>
      <c r="F145" s="58">
        <v>29.4</v>
      </c>
      <c r="G145" s="58">
        <v>28.2</v>
      </c>
      <c r="H145" s="58">
        <v>25.5</v>
      </c>
      <c r="I145" s="58">
        <v>24.3</v>
      </c>
      <c r="J145" s="58">
        <v>24.8</v>
      </c>
      <c r="K145" s="58">
        <v>26.8</v>
      </c>
      <c r="L145" s="58">
        <v>27.6</v>
      </c>
      <c r="M145" s="58">
        <v>28.8</v>
      </c>
      <c r="N145" s="58">
        <v>29.2</v>
      </c>
      <c r="O145" s="58">
        <v>29</v>
      </c>
      <c r="P145" s="58">
        <v>27.8</v>
      </c>
      <c r="Q145"/>
      <c r="R145"/>
      <c r="S145"/>
      <c r="T145"/>
      <c r="U145"/>
      <c r="V145"/>
      <c r="W145"/>
      <c r="X145"/>
    </row>
    <row r="146" spans="1:24" s="59" customFormat="1" ht="15.75">
      <c r="A146" s="60">
        <v>83687</v>
      </c>
      <c r="B146" s="61" t="s">
        <v>3172</v>
      </c>
      <c r="C146" s="62" t="s">
        <v>3028</v>
      </c>
      <c r="D146" s="63">
        <v>28.5</v>
      </c>
      <c r="E146" s="63">
        <v>29.3</v>
      </c>
      <c r="F146" s="63">
        <v>28.6</v>
      </c>
      <c r="G146" s="63">
        <v>27.6</v>
      </c>
      <c r="H146" s="63">
        <v>25.2</v>
      </c>
      <c r="I146" s="63">
        <v>24.5</v>
      </c>
      <c r="J146" s="63">
        <v>24.8</v>
      </c>
      <c r="K146" s="63">
        <v>26.7</v>
      </c>
      <c r="L146" s="63">
        <v>27.6</v>
      </c>
      <c r="M146" s="63">
        <v>28.1</v>
      </c>
      <c r="N146" s="63">
        <v>27.9</v>
      </c>
      <c r="O146" s="63">
        <v>27.9</v>
      </c>
      <c r="P146" s="63">
        <v>27.2</v>
      </c>
      <c r="Q146"/>
      <c r="R146"/>
      <c r="S146"/>
      <c r="T146"/>
      <c r="U146"/>
      <c r="V146"/>
      <c r="W146"/>
      <c r="X146"/>
    </row>
    <row r="147" spans="1:24" s="59" customFormat="1" ht="15.75">
      <c r="A147" s="55">
        <v>83683</v>
      </c>
      <c r="B147" s="56" t="s">
        <v>3173</v>
      </c>
      <c r="C147" s="57" t="s">
        <v>3028</v>
      </c>
      <c r="D147" s="58">
        <v>29</v>
      </c>
      <c r="E147" s="58">
        <v>29.5</v>
      </c>
      <c r="F147" s="58">
        <v>28.9</v>
      </c>
      <c r="G147" s="58">
        <v>27.9</v>
      </c>
      <c r="H147" s="58">
        <v>25.4</v>
      </c>
      <c r="I147" s="58">
        <v>24.5</v>
      </c>
      <c r="J147" s="58">
        <v>24.8</v>
      </c>
      <c r="K147" s="58">
        <v>26.8</v>
      </c>
      <c r="L147" s="58">
        <v>27.6</v>
      </c>
      <c r="M147" s="58">
        <v>28.7</v>
      </c>
      <c r="N147" s="58">
        <v>28.5</v>
      </c>
      <c r="O147" s="58">
        <v>28.6</v>
      </c>
      <c r="P147" s="58">
        <v>27.5</v>
      </c>
      <c r="Q147"/>
      <c r="R147"/>
      <c r="S147"/>
      <c r="T147"/>
      <c r="U147"/>
      <c r="V147"/>
      <c r="W147"/>
      <c r="X147"/>
    </row>
    <row r="148" spans="1:24" s="59" customFormat="1" ht="15.75">
      <c r="A148" s="60">
        <v>83015</v>
      </c>
      <c r="B148" s="61" t="s">
        <v>3174</v>
      </c>
      <c r="C148" s="62" t="s">
        <v>3028</v>
      </c>
      <c r="D148" s="63">
        <v>25.9</v>
      </c>
      <c r="E148" s="63">
        <v>26.6</v>
      </c>
      <c r="F148" s="63">
        <v>25.8</v>
      </c>
      <c r="G148" s="63">
        <v>24.6</v>
      </c>
      <c r="H148" s="63">
        <v>22.1</v>
      </c>
      <c r="I148" s="63">
        <v>21.2</v>
      </c>
      <c r="J148" s="63">
        <v>21.6</v>
      </c>
      <c r="K148" s="63">
        <v>23.5</v>
      </c>
      <c r="L148" s="63">
        <v>24.3</v>
      </c>
      <c r="M148" s="63">
        <v>25</v>
      </c>
      <c r="N148" s="63">
        <v>25.5</v>
      </c>
      <c r="O148" s="63">
        <v>25.5</v>
      </c>
      <c r="P148" s="63">
        <v>24.3</v>
      </c>
      <c r="Q148"/>
      <c r="R148"/>
      <c r="S148"/>
      <c r="T148"/>
      <c r="U148"/>
      <c r="V148"/>
      <c r="W148"/>
      <c r="X148"/>
    </row>
    <row r="149" spans="1:24" s="59" customFormat="1" ht="15.75">
      <c r="A149" s="55">
        <v>83389</v>
      </c>
      <c r="B149" s="56" t="s">
        <v>3175</v>
      </c>
      <c r="C149" s="57" t="s">
        <v>3028</v>
      </c>
      <c r="D149" s="58">
        <v>32.200000000000003</v>
      </c>
      <c r="E149" s="58">
        <v>33</v>
      </c>
      <c r="F149" s="58">
        <v>32.299999999999997</v>
      </c>
      <c r="G149" s="58">
        <v>32.299999999999997</v>
      </c>
      <c r="H149" s="58">
        <v>31.7</v>
      </c>
      <c r="I149" s="58">
        <v>30.8</v>
      </c>
      <c r="J149" s="58">
        <v>30.7</v>
      </c>
      <c r="K149" s="58">
        <v>32.1</v>
      </c>
      <c r="L149" s="58">
        <v>33.799999999999997</v>
      </c>
      <c r="M149" s="58">
        <v>34.4</v>
      </c>
      <c r="N149" s="58">
        <v>32.4</v>
      </c>
      <c r="O149" s="58">
        <v>31.8</v>
      </c>
      <c r="P149" s="58">
        <v>32.299999999999997</v>
      </c>
      <c r="Q149"/>
      <c r="R149"/>
      <c r="S149"/>
      <c r="T149"/>
      <c r="U149"/>
      <c r="V149"/>
      <c r="W149"/>
      <c r="X149"/>
    </row>
    <row r="150" spans="1:24" s="59" customFormat="1" ht="15.75">
      <c r="A150" s="60">
        <v>83388</v>
      </c>
      <c r="B150" s="61" t="s">
        <v>3176</v>
      </c>
      <c r="C150" s="62" t="s">
        <v>3028</v>
      </c>
      <c r="D150" s="63">
        <v>31</v>
      </c>
      <c r="E150" s="63">
        <v>31.9</v>
      </c>
      <c r="F150" s="63">
        <v>31.3</v>
      </c>
      <c r="G150" s="63">
        <v>30.9</v>
      </c>
      <c r="H150" s="63">
        <v>30.1</v>
      </c>
      <c r="I150" s="63">
        <v>28.7</v>
      </c>
      <c r="J150" s="63">
        <v>28.7</v>
      </c>
      <c r="K150" s="63">
        <v>29.9</v>
      </c>
      <c r="L150" s="63">
        <v>31.7</v>
      </c>
      <c r="M150" s="63">
        <v>32.5</v>
      </c>
      <c r="N150" s="63">
        <v>31</v>
      </c>
      <c r="O150" s="63">
        <v>30.6</v>
      </c>
      <c r="P150" s="63">
        <v>30.7</v>
      </c>
      <c r="Q150"/>
      <c r="R150"/>
      <c r="S150"/>
      <c r="T150"/>
      <c r="U150"/>
      <c r="V150"/>
      <c r="W150"/>
      <c r="X150"/>
    </row>
    <row r="151" spans="1:24" s="59" customFormat="1" ht="15.75">
      <c r="A151" s="55">
        <v>83437</v>
      </c>
      <c r="B151" s="56" t="s">
        <v>3177</v>
      </c>
      <c r="C151" s="57" t="s">
        <v>3028</v>
      </c>
      <c r="D151" s="58">
        <v>30.1</v>
      </c>
      <c r="E151" s="58">
        <v>30.7</v>
      </c>
      <c r="F151" s="58">
        <v>30.2</v>
      </c>
      <c r="G151" s="58">
        <v>30</v>
      </c>
      <c r="H151" s="58">
        <v>29.1</v>
      </c>
      <c r="I151" s="58">
        <v>28</v>
      </c>
      <c r="J151" s="58">
        <v>28</v>
      </c>
      <c r="K151" s="58">
        <v>29.3</v>
      </c>
      <c r="L151" s="58">
        <v>31.2</v>
      </c>
      <c r="M151" s="58">
        <v>32.1</v>
      </c>
      <c r="N151" s="58">
        <v>29.9</v>
      </c>
      <c r="O151" s="58">
        <v>29.2</v>
      </c>
      <c r="P151" s="58">
        <v>29.8</v>
      </c>
      <c r="Q151"/>
      <c r="R151"/>
      <c r="S151"/>
      <c r="T151"/>
      <c r="U151"/>
      <c r="V151"/>
      <c r="W151"/>
      <c r="X151"/>
    </row>
    <row r="152" spans="1:24" s="59" customFormat="1" ht="15.75">
      <c r="A152" s="60">
        <v>83694</v>
      </c>
      <c r="B152" s="61" t="s">
        <v>3178</v>
      </c>
      <c r="C152" s="62" t="s">
        <v>3028</v>
      </c>
      <c r="D152" s="63">
        <v>32.6</v>
      </c>
      <c r="E152" s="63">
        <v>33.799999999999997</v>
      </c>
      <c r="F152" s="63">
        <v>32.4</v>
      </c>
      <c r="G152" s="63">
        <v>30.8</v>
      </c>
      <c r="H152" s="63">
        <v>28.9</v>
      </c>
      <c r="I152" s="63">
        <v>27.8</v>
      </c>
      <c r="J152" s="63">
        <v>28.1</v>
      </c>
      <c r="K152" s="63">
        <v>28.9</v>
      </c>
      <c r="L152" s="63">
        <v>28.7</v>
      </c>
      <c r="M152" s="63">
        <v>30.6</v>
      </c>
      <c r="N152" s="63">
        <v>31</v>
      </c>
      <c r="O152" s="63">
        <v>31.8</v>
      </c>
      <c r="P152" s="63">
        <v>30.5</v>
      </c>
      <c r="Q152"/>
      <c r="R152"/>
      <c r="S152"/>
      <c r="T152"/>
      <c r="U152"/>
      <c r="V152"/>
      <c r="W152"/>
      <c r="X152"/>
    </row>
    <row r="153" spans="1:24" s="59" customFormat="1" ht="15.75">
      <c r="A153" s="55">
        <v>83637</v>
      </c>
      <c r="B153" s="56" t="s">
        <v>3179</v>
      </c>
      <c r="C153" s="57" t="s">
        <v>3028</v>
      </c>
      <c r="D153" s="58">
        <v>28.4</v>
      </c>
      <c r="E153" s="58" t="s">
        <v>77</v>
      </c>
      <c r="F153" s="58">
        <v>28.9</v>
      </c>
      <c r="G153" s="58">
        <v>27.8</v>
      </c>
      <c r="H153" s="58">
        <v>25</v>
      </c>
      <c r="I153" s="58">
        <v>24.1</v>
      </c>
      <c r="J153" s="58">
        <v>24.7</v>
      </c>
      <c r="K153" s="58">
        <v>26.9</v>
      </c>
      <c r="L153" s="58">
        <v>27.9</v>
      </c>
      <c r="M153" s="58">
        <v>28.3</v>
      </c>
      <c r="N153" s="58">
        <v>27.6</v>
      </c>
      <c r="O153" s="58">
        <v>27.8</v>
      </c>
      <c r="P153" s="58" t="s">
        <v>77</v>
      </c>
      <c r="Q153"/>
      <c r="R153"/>
      <c r="S153"/>
      <c r="T153"/>
      <c r="U153"/>
      <c r="V153"/>
      <c r="W153"/>
      <c r="X153"/>
    </row>
    <row r="154" spans="1:24" s="59" customFormat="1" ht="15.75">
      <c r="A154" s="60">
        <v>83479</v>
      </c>
      <c r="B154" s="61" t="s">
        <v>3180</v>
      </c>
      <c r="C154" s="62" t="s">
        <v>3028</v>
      </c>
      <c r="D154" s="63">
        <v>30.5</v>
      </c>
      <c r="E154" s="63">
        <v>30.9</v>
      </c>
      <c r="F154" s="63">
        <v>30.4</v>
      </c>
      <c r="G154" s="63">
        <v>30.3</v>
      </c>
      <c r="H154" s="63">
        <v>28.7</v>
      </c>
      <c r="I154" s="63">
        <v>28</v>
      </c>
      <c r="J154" s="63">
        <v>28.3</v>
      </c>
      <c r="K154" s="63">
        <v>29.9</v>
      </c>
      <c r="L154" s="63">
        <v>31.8</v>
      </c>
      <c r="M154" s="63">
        <v>32.4</v>
      </c>
      <c r="N154" s="63">
        <v>30.5</v>
      </c>
      <c r="O154" s="63">
        <v>29.8</v>
      </c>
      <c r="P154" s="63">
        <v>30.1</v>
      </c>
      <c r="Q154"/>
      <c r="R154"/>
      <c r="S154"/>
      <c r="T154"/>
      <c r="U154"/>
      <c r="V154"/>
      <c r="W154"/>
      <c r="X154"/>
    </row>
    <row r="155" spans="1:24" s="59" customFormat="1" ht="15.75">
      <c r="A155" s="55">
        <v>83737</v>
      </c>
      <c r="B155" s="56" t="s">
        <v>3181</v>
      </c>
      <c r="C155" s="57" t="s">
        <v>3028</v>
      </c>
      <c r="D155" s="58">
        <v>27.8</v>
      </c>
      <c r="E155" s="58">
        <v>28.9</v>
      </c>
      <c r="F155" s="58">
        <v>28.1</v>
      </c>
      <c r="G155" s="58">
        <v>26.8</v>
      </c>
      <c r="H155" s="58">
        <v>24.2</v>
      </c>
      <c r="I155" s="58">
        <v>23.7</v>
      </c>
      <c r="J155" s="58">
        <v>23.7</v>
      </c>
      <c r="K155" s="58">
        <v>25.2</v>
      </c>
      <c r="L155" s="58">
        <v>25.9</v>
      </c>
      <c r="M155" s="58">
        <v>26.6</v>
      </c>
      <c r="N155" s="58">
        <v>27.2</v>
      </c>
      <c r="O155" s="58">
        <v>27.5</v>
      </c>
      <c r="P155" s="58">
        <v>26.3</v>
      </c>
      <c r="Q155"/>
      <c r="R155"/>
      <c r="S155"/>
      <c r="T155"/>
      <c r="U155"/>
      <c r="V155"/>
      <c r="W155"/>
      <c r="X155"/>
    </row>
    <row r="156" spans="1:24" s="59" customFormat="1" ht="15.75">
      <c r="A156" s="60">
        <v>83531</v>
      </c>
      <c r="B156" s="61" t="s">
        <v>3182</v>
      </c>
      <c r="C156" s="62" t="s">
        <v>3028</v>
      </c>
      <c r="D156" s="63">
        <v>28.5</v>
      </c>
      <c r="E156" s="63">
        <v>29.2</v>
      </c>
      <c r="F156" s="63">
        <v>28.7</v>
      </c>
      <c r="G156" s="63">
        <v>28.5</v>
      </c>
      <c r="H156" s="63">
        <v>27</v>
      </c>
      <c r="I156" s="63">
        <v>26.3</v>
      </c>
      <c r="J156" s="63">
        <v>26.6</v>
      </c>
      <c r="K156" s="63">
        <v>28.5</v>
      </c>
      <c r="L156" s="63">
        <v>29.8</v>
      </c>
      <c r="M156" s="63">
        <v>30.2</v>
      </c>
      <c r="N156" s="63">
        <v>28.6</v>
      </c>
      <c r="O156" s="63">
        <v>28.1</v>
      </c>
      <c r="P156" s="63">
        <v>28.3</v>
      </c>
      <c r="Q156"/>
      <c r="R156"/>
      <c r="S156"/>
      <c r="T156"/>
      <c r="U156"/>
      <c r="V156"/>
      <c r="W156"/>
      <c r="X156"/>
    </row>
    <row r="157" spans="1:24" s="59" customFormat="1" ht="15.75">
      <c r="A157" s="55">
        <v>83393</v>
      </c>
      <c r="B157" s="56" t="s">
        <v>3183</v>
      </c>
      <c r="C157" s="57" t="s">
        <v>3028</v>
      </c>
      <c r="D157" s="58">
        <v>30.2</v>
      </c>
      <c r="E157" s="58">
        <v>31.1</v>
      </c>
      <c r="F157" s="58">
        <v>30.3</v>
      </c>
      <c r="G157" s="58">
        <v>28.8</v>
      </c>
      <c r="H157" s="58">
        <v>27.4</v>
      </c>
      <c r="I157" s="58">
        <v>26</v>
      </c>
      <c r="J157" s="58">
        <v>25.5</v>
      </c>
      <c r="K157" s="58">
        <v>26.3</v>
      </c>
      <c r="L157" s="58">
        <v>28.1</v>
      </c>
      <c r="M157" s="58">
        <v>29.6</v>
      </c>
      <c r="N157" s="58">
        <v>29.3</v>
      </c>
      <c r="O157" s="58">
        <v>29.8</v>
      </c>
      <c r="P157" s="58">
        <v>28.5</v>
      </c>
      <c r="Q157"/>
      <c r="R157"/>
      <c r="S157"/>
      <c r="T157"/>
      <c r="U157"/>
      <c r="V157"/>
      <c r="W157"/>
      <c r="X157"/>
    </row>
    <row r="158" spans="1:24" s="59" customFormat="1" ht="15.75">
      <c r="A158" s="60">
        <v>83483</v>
      </c>
      <c r="B158" s="61" t="s">
        <v>3184</v>
      </c>
      <c r="C158" s="62" t="s">
        <v>3028</v>
      </c>
      <c r="D158" s="63">
        <v>31.3</v>
      </c>
      <c r="E158" s="63">
        <v>32.200000000000003</v>
      </c>
      <c r="F158" s="63">
        <v>31.8</v>
      </c>
      <c r="G158" s="63">
        <v>31.2</v>
      </c>
      <c r="H158" s="63">
        <v>30.1</v>
      </c>
      <c r="I158" s="63">
        <v>29.3</v>
      </c>
      <c r="J158" s="63">
        <v>29.4</v>
      </c>
      <c r="K158" s="63">
        <v>31</v>
      </c>
      <c r="L158" s="63">
        <v>32.700000000000003</v>
      </c>
      <c r="M158" s="63">
        <v>33.4</v>
      </c>
      <c r="N158" s="63">
        <v>31.5</v>
      </c>
      <c r="O158" s="63">
        <v>30.8</v>
      </c>
      <c r="P158" s="63">
        <v>31.2</v>
      </c>
      <c r="Q158"/>
      <c r="R158"/>
      <c r="S158"/>
      <c r="T158"/>
      <c r="U158"/>
      <c r="V158"/>
      <c r="W158"/>
      <c r="X158"/>
    </row>
    <row r="159" spans="1:24" s="59" customFormat="1" ht="15.75">
      <c r="A159" s="55">
        <v>83570</v>
      </c>
      <c r="B159" s="56" t="s">
        <v>3185</v>
      </c>
      <c r="C159" s="57" t="s">
        <v>3028</v>
      </c>
      <c r="D159" s="58">
        <v>30.3</v>
      </c>
      <c r="E159" s="58">
        <v>31.1</v>
      </c>
      <c r="F159" s="58">
        <v>30.6</v>
      </c>
      <c r="G159" s="58">
        <v>30</v>
      </c>
      <c r="H159" s="58">
        <v>28</v>
      </c>
      <c r="I159" s="58">
        <v>27.3</v>
      </c>
      <c r="J159" s="58">
        <v>27.6</v>
      </c>
      <c r="K159" s="58">
        <v>29.2</v>
      </c>
      <c r="L159" s="58">
        <v>30.9</v>
      </c>
      <c r="M159" s="58">
        <v>31.6</v>
      </c>
      <c r="N159" s="58">
        <v>30.2</v>
      </c>
      <c r="O159" s="58">
        <v>29.7</v>
      </c>
      <c r="P159" s="58">
        <v>29.7</v>
      </c>
      <c r="Q159"/>
      <c r="R159"/>
      <c r="S159"/>
      <c r="T159"/>
      <c r="U159"/>
      <c r="V159"/>
      <c r="W159"/>
      <c r="X159"/>
    </row>
    <row r="160" spans="1:24" s="59" customFormat="1" ht="15.75">
      <c r="A160" s="60">
        <v>83061</v>
      </c>
      <c r="B160" s="61" t="s">
        <v>3186</v>
      </c>
      <c r="C160" s="62" t="s">
        <v>3028</v>
      </c>
      <c r="D160" s="63">
        <v>31.1</v>
      </c>
      <c r="E160" s="63">
        <v>32.1</v>
      </c>
      <c r="F160" s="63">
        <v>31.6</v>
      </c>
      <c r="G160" s="63">
        <v>30.2</v>
      </c>
      <c r="H160" s="63">
        <v>28.3</v>
      </c>
      <c r="I160" s="63">
        <v>27</v>
      </c>
      <c r="J160" s="63">
        <v>27</v>
      </c>
      <c r="K160" s="63">
        <v>27.5</v>
      </c>
      <c r="L160" s="63">
        <v>28.7</v>
      </c>
      <c r="M160" s="63">
        <v>30</v>
      </c>
      <c r="N160" s="63">
        <v>30.6</v>
      </c>
      <c r="O160" s="63">
        <v>30.7</v>
      </c>
      <c r="P160" s="63">
        <v>29.6</v>
      </c>
      <c r="Q160"/>
      <c r="R160"/>
      <c r="S160"/>
      <c r="T160"/>
      <c r="U160"/>
      <c r="V160"/>
      <c r="W160"/>
      <c r="X160"/>
    </row>
    <row r="161" spans="1:24" s="59" customFormat="1" ht="15.75">
      <c r="A161" s="55">
        <v>83441</v>
      </c>
      <c r="B161" s="56" t="s">
        <v>3187</v>
      </c>
      <c r="C161" s="57" t="s">
        <v>3028</v>
      </c>
      <c r="D161" s="58">
        <v>31.3</v>
      </c>
      <c r="E161" s="58">
        <v>32.200000000000003</v>
      </c>
      <c r="F161" s="58">
        <v>31.5</v>
      </c>
      <c r="G161" s="58">
        <v>30.2</v>
      </c>
      <c r="H161" s="58">
        <v>29.2</v>
      </c>
      <c r="I161" s="58">
        <v>28.1</v>
      </c>
      <c r="J161" s="58">
        <v>28</v>
      </c>
      <c r="K161" s="58">
        <v>29.6</v>
      </c>
      <c r="L161" s="58">
        <v>31.3</v>
      </c>
      <c r="M161" s="58">
        <v>32.299999999999997</v>
      </c>
      <c r="N161" s="58">
        <v>30.7</v>
      </c>
      <c r="O161" s="58">
        <v>30.9</v>
      </c>
      <c r="P161" s="58">
        <v>30.4</v>
      </c>
      <c r="Q161"/>
      <c r="R161"/>
      <c r="S161"/>
      <c r="T161"/>
      <c r="U161"/>
      <c r="V161"/>
      <c r="W161"/>
      <c r="X161"/>
    </row>
    <row r="162" spans="1:24" s="59" customFormat="1" ht="15.75">
      <c r="A162" s="60">
        <v>83688</v>
      </c>
      <c r="B162" s="61" t="s">
        <v>3188</v>
      </c>
      <c r="C162" s="62" t="s">
        <v>3028</v>
      </c>
      <c r="D162" s="63">
        <v>28.1</v>
      </c>
      <c r="E162" s="63">
        <v>28.5</v>
      </c>
      <c r="F162" s="63">
        <v>27.7</v>
      </c>
      <c r="G162" s="63">
        <v>27.1</v>
      </c>
      <c r="H162" s="63">
        <v>24.7</v>
      </c>
      <c r="I162" s="63">
        <v>23.9</v>
      </c>
      <c r="J162" s="63">
        <v>23.7</v>
      </c>
      <c r="K162" s="63">
        <v>25.3</v>
      </c>
      <c r="L162" s="63">
        <v>25.9</v>
      </c>
      <c r="M162" s="63">
        <v>27</v>
      </c>
      <c r="N162" s="63">
        <v>27</v>
      </c>
      <c r="O162" s="63">
        <v>27.1</v>
      </c>
      <c r="P162" s="63">
        <v>26.3</v>
      </c>
      <c r="Q162"/>
      <c r="R162"/>
      <c r="S162"/>
      <c r="T162"/>
      <c r="U162"/>
      <c r="V162"/>
      <c r="W162"/>
      <c r="X162"/>
    </row>
    <row r="163" spans="1:24" s="59" customFormat="1" ht="15.75">
      <c r="A163" s="55">
        <v>83736</v>
      </c>
      <c r="B163" s="56" t="s">
        <v>3189</v>
      </c>
      <c r="C163" s="57" t="s">
        <v>3028</v>
      </c>
      <c r="D163" s="58">
        <v>28.8</v>
      </c>
      <c r="E163" s="58">
        <v>29.4</v>
      </c>
      <c r="F163" s="58">
        <v>28.9</v>
      </c>
      <c r="G163" s="58">
        <v>27.9</v>
      </c>
      <c r="H163" s="58">
        <v>25</v>
      </c>
      <c r="I163" s="58">
        <v>24.3</v>
      </c>
      <c r="J163" s="58">
        <v>24.6</v>
      </c>
      <c r="K163" s="58">
        <v>26.5</v>
      </c>
      <c r="L163" s="58">
        <v>27.1</v>
      </c>
      <c r="M163" s="58">
        <v>28.2</v>
      </c>
      <c r="N163" s="58">
        <v>28.5</v>
      </c>
      <c r="O163" s="58">
        <v>28.5</v>
      </c>
      <c r="P163" s="58">
        <v>27.3</v>
      </c>
      <c r="Q163"/>
      <c r="R163"/>
      <c r="S163"/>
      <c r="T163"/>
      <c r="U163"/>
      <c r="V163"/>
      <c r="W163"/>
      <c r="X163"/>
    </row>
    <row r="164" spans="1:24" s="59" customFormat="1" ht="15.75">
      <c r="A164" s="60">
        <v>83631</v>
      </c>
      <c r="B164" s="61" t="s">
        <v>3190</v>
      </c>
      <c r="C164" s="62" t="s">
        <v>3028</v>
      </c>
      <c r="D164" s="63">
        <v>28.7</v>
      </c>
      <c r="E164" s="63">
        <v>29.2</v>
      </c>
      <c r="F164" s="63">
        <v>29</v>
      </c>
      <c r="G164" s="63">
        <v>28.6</v>
      </c>
      <c r="H164" s="63">
        <v>26.2</v>
      </c>
      <c r="I164" s="63">
        <v>25.4</v>
      </c>
      <c r="J164" s="63">
        <v>25.8</v>
      </c>
      <c r="K164" s="63">
        <v>27.8</v>
      </c>
      <c r="L164" s="63">
        <v>29.2</v>
      </c>
      <c r="M164" s="63">
        <v>29.5</v>
      </c>
      <c r="N164" s="63">
        <v>28.8</v>
      </c>
      <c r="O164" s="63">
        <v>28.3</v>
      </c>
      <c r="P164" s="63">
        <v>28</v>
      </c>
      <c r="Q164"/>
      <c r="R164"/>
      <c r="S164"/>
      <c r="T164"/>
      <c r="U164"/>
      <c r="V164"/>
      <c r="W164"/>
      <c r="X164"/>
    </row>
    <row r="165" spans="1:24" s="59" customFormat="1" ht="15.75">
      <c r="A165" s="55">
        <v>83500</v>
      </c>
      <c r="B165" s="56" t="s">
        <v>3191</v>
      </c>
      <c r="C165" s="57" t="s">
        <v>3028</v>
      </c>
      <c r="D165" s="58">
        <v>31.8</v>
      </c>
      <c r="E165" s="58">
        <v>32.799999999999997</v>
      </c>
      <c r="F165" s="58">
        <v>32</v>
      </c>
      <c r="G165" s="58">
        <v>30.6</v>
      </c>
      <c r="H165" s="58" t="s">
        <v>77</v>
      </c>
      <c r="I165" s="58">
        <v>27.7</v>
      </c>
      <c r="J165" s="58">
        <v>27.3</v>
      </c>
      <c r="K165" s="58">
        <v>27.3</v>
      </c>
      <c r="L165" s="58" t="s">
        <v>77</v>
      </c>
      <c r="M165" s="58">
        <v>29.9</v>
      </c>
      <c r="N165" s="58">
        <v>29.9</v>
      </c>
      <c r="O165" s="58">
        <v>31.2</v>
      </c>
      <c r="P165" s="58" t="s">
        <v>77</v>
      </c>
      <c r="Q165"/>
      <c r="R165"/>
      <c r="S165"/>
      <c r="T165"/>
      <c r="U165"/>
      <c r="V165"/>
      <c r="W165"/>
      <c r="X165"/>
    </row>
    <row r="166" spans="1:24" s="59" customFormat="1" ht="15.75">
      <c r="A166" s="60">
        <v>83586</v>
      </c>
      <c r="B166" s="61" t="s">
        <v>3192</v>
      </c>
      <c r="C166" s="62" t="s">
        <v>3028</v>
      </c>
      <c r="D166" s="63">
        <v>29.6</v>
      </c>
      <c r="E166" s="63">
        <v>30.2</v>
      </c>
      <c r="F166" s="63">
        <v>29.6</v>
      </c>
      <c r="G166" s="63">
        <v>28.8</v>
      </c>
      <c r="H166" s="63">
        <v>27.1</v>
      </c>
      <c r="I166" s="63">
        <v>26.4</v>
      </c>
      <c r="J166" s="63">
        <v>26.7</v>
      </c>
      <c r="K166" s="63">
        <v>28.2</v>
      </c>
      <c r="L166" s="63">
        <v>29.6</v>
      </c>
      <c r="M166" s="63">
        <v>30.1</v>
      </c>
      <c r="N166" s="63">
        <v>29</v>
      </c>
      <c r="O166" s="63">
        <v>28.7</v>
      </c>
      <c r="P166" s="63">
        <v>28.7</v>
      </c>
      <c r="Q166"/>
      <c r="R166"/>
      <c r="S166"/>
      <c r="T166"/>
      <c r="U166"/>
      <c r="V166"/>
      <c r="W166"/>
      <c r="X166"/>
    </row>
    <row r="167" spans="1:24" s="59" customFormat="1" ht="15.75">
      <c r="A167" s="55">
        <v>83492</v>
      </c>
      <c r="B167" s="56" t="s">
        <v>3193</v>
      </c>
      <c r="C167" s="57" t="s">
        <v>3028</v>
      </c>
      <c r="D167" s="58">
        <v>32.5</v>
      </c>
      <c r="E167" s="58">
        <v>33.299999999999997</v>
      </c>
      <c r="F167" s="58">
        <v>32.200000000000003</v>
      </c>
      <c r="G167" s="58">
        <v>30.9</v>
      </c>
      <c r="H167" s="58">
        <v>29.1</v>
      </c>
      <c r="I167" s="58">
        <v>27.9</v>
      </c>
      <c r="J167" s="58">
        <v>27.6</v>
      </c>
      <c r="K167" s="58">
        <v>28.6</v>
      </c>
      <c r="L167" s="58">
        <v>29.5</v>
      </c>
      <c r="M167" s="58">
        <v>31.2</v>
      </c>
      <c r="N167" s="58">
        <v>30.4</v>
      </c>
      <c r="O167" s="58">
        <v>31.4</v>
      </c>
      <c r="P167" s="58">
        <v>30.4</v>
      </c>
      <c r="Q167"/>
      <c r="R167"/>
      <c r="S167"/>
      <c r="T167"/>
      <c r="U167"/>
      <c r="V167"/>
      <c r="W167"/>
      <c r="X167"/>
    </row>
    <row r="168" spans="1:24" s="59" customFormat="1" ht="15.75">
      <c r="A168" s="60">
        <v>83577</v>
      </c>
      <c r="B168" s="61" t="s">
        <v>3194</v>
      </c>
      <c r="C168" s="62" t="s">
        <v>3028</v>
      </c>
      <c r="D168" s="63">
        <v>29.7</v>
      </c>
      <c r="E168" s="63">
        <v>30.3</v>
      </c>
      <c r="F168" s="63">
        <v>30.1</v>
      </c>
      <c r="G168" s="63">
        <v>29.9</v>
      </c>
      <c r="H168" s="63">
        <v>27.7</v>
      </c>
      <c r="I168" s="63">
        <v>27.2</v>
      </c>
      <c r="J168" s="63">
        <v>27.7</v>
      </c>
      <c r="K168" s="63">
        <v>29.7</v>
      </c>
      <c r="L168" s="63">
        <v>30.8</v>
      </c>
      <c r="M168" s="63">
        <v>31.4</v>
      </c>
      <c r="N168" s="63">
        <v>30.2</v>
      </c>
      <c r="O168" s="63">
        <v>29.7</v>
      </c>
      <c r="P168" s="63">
        <v>29.5</v>
      </c>
      <c r="Q168"/>
      <c r="R168"/>
      <c r="S168"/>
      <c r="T168"/>
      <c r="U168"/>
      <c r="V168"/>
      <c r="W168"/>
      <c r="X168"/>
    </row>
    <row r="169" spans="1:24" s="59" customFormat="1" ht="15.75">
      <c r="A169" s="55">
        <v>83527</v>
      </c>
      <c r="B169" s="56" t="s">
        <v>3195</v>
      </c>
      <c r="C169" s="57" t="s">
        <v>3028</v>
      </c>
      <c r="D169" s="58">
        <v>29.4</v>
      </c>
      <c r="E169" s="58">
        <v>29.9</v>
      </c>
      <c r="F169" s="58">
        <v>29.5</v>
      </c>
      <c r="G169" s="58">
        <v>29.2</v>
      </c>
      <c r="H169" s="58">
        <v>27.5</v>
      </c>
      <c r="I169" s="58">
        <v>26.8</v>
      </c>
      <c r="J169" s="58">
        <v>27</v>
      </c>
      <c r="K169" s="58">
        <v>29.3</v>
      </c>
      <c r="L169" s="58">
        <v>30.6</v>
      </c>
      <c r="M169" s="58">
        <v>30.8</v>
      </c>
      <c r="N169" s="58">
        <v>29.6</v>
      </c>
      <c r="O169" s="58">
        <v>29.1</v>
      </c>
      <c r="P169" s="58">
        <v>29.1</v>
      </c>
      <c r="Q169"/>
      <c r="R169"/>
      <c r="S169"/>
      <c r="T169"/>
      <c r="U169"/>
      <c r="V169"/>
      <c r="W169"/>
      <c r="X169"/>
    </row>
    <row r="170" spans="1:24" s="59" customFormat="1" ht="15.75">
      <c r="A170" s="60">
        <v>83428</v>
      </c>
      <c r="B170" s="61" t="s">
        <v>3196</v>
      </c>
      <c r="C170" s="62" t="s">
        <v>3028</v>
      </c>
      <c r="D170" s="63">
        <v>31.4</v>
      </c>
      <c r="E170" s="63">
        <v>31.8</v>
      </c>
      <c r="F170" s="63">
        <v>31.5</v>
      </c>
      <c r="G170" s="63">
        <v>31.2</v>
      </c>
      <c r="H170" s="63">
        <v>30.4</v>
      </c>
      <c r="I170" s="63">
        <v>29.5</v>
      </c>
      <c r="J170" s="63">
        <v>29.8</v>
      </c>
      <c r="K170" s="63">
        <v>31.3</v>
      </c>
      <c r="L170" s="63">
        <v>33.1</v>
      </c>
      <c r="M170" s="63">
        <v>33.6</v>
      </c>
      <c r="N170" s="63">
        <v>31.3</v>
      </c>
      <c r="O170" s="63">
        <v>30.7</v>
      </c>
      <c r="P170" s="63">
        <v>31.3</v>
      </c>
      <c r="Q170"/>
      <c r="R170"/>
      <c r="S170"/>
      <c r="T170"/>
      <c r="U170"/>
      <c r="V170"/>
      <c r="W170"/>
      <c r="X170"/>
    </row>
    <row r="171" spans="1:24" s="59" customFormat="1" ht="15.75">
      <c r="A171" s="55">
        <v>83594</v>
      </c>
      <c r="B171" s="56" t="s">
        <v>3197</v>
      </c>
      <c r="C171" s="57" t="s">
        <v>3028</v>
      </c>
      <c r="D171" s="58">
        <v>30.3</v>
      </c>
      <c r="E171" s="58">
        <v>31.4</v>
      </c>
      <c r="F171" s="58">
        <v>30.7</v>
      </c>
      <c r="G171" s="58">
        <v>29.4</v>
      </c>
      <c r="H171" s="58">
        <v>27.5</v>
      </c>
      <c r="I171" s="58">
        <v>26.3</v>
      </c>
      <c r="J171" s="58">
        <v>26.4</v>
      </c>
      <c r="K171" s="58">
        <v>27.1</v>
      </c>
      <c r="L171" s="58">
        <v>28.5</v>
      </c>
      <c r="M171" s="58">
        <v>29.4</v>
      </c>
      <c r="N171" s="58">
        <v>29.3</v>
      </c>
      <c r="O171" s="58">
        <v>29.6</v>
      </c>
      <c r="P171" s="58">
        <v>28.8</v>
      </c>
      <c r="Q171"/>
      <c r="R171"/>
      <c r="S171"/>
      <c r="T171"/>
      <c r="U171"/>
      <c r="V171"/>
      <c r="W171"/>
      <c r="X171"/>
    </row>
    <row r="172" spans="1:24" s="59" customFormat="1" ht="15.75">
      <c r="A172" s="60">
        <v>83642</v>
      </c>
      <c r="B172" s="61" t="s">
        <v>3198</v>
      </c>
      <c r="C172" s="62" t="s">
        <v>3028</v>
      </c>
      <c r="D172" s="63">
        <v>28.5</v>
      </c>
      <c r="E172" s="63">
        <v>29.5</v>
      </c>
      <c r="F172" s="63">
        <v>28.6</v>
      </c>
      <c r="G172" s="63">
        <v>27.3</v>
      </c>
      <c r="H172" s="63">
        <v>25.1</v>
      </c>
      <c r="I172" s="63">
        <v>24.2</v>
      </c>
      <c r="J172" s="63">
        <v>24.3</v>
      </c>
      <c r="K172" s="63">
        <v>25.6</v>
      </c>
      <c r="L172" s="63">
        <v>26.3</v>
      </c>
      <c r="M172" s="63">
        <v>27.3</v>
      </c>
      <c r="N172" s="63">
        <v>27.4</v>
      </c>
      <c r="O172" s="63">
        <v>27.9</v>
      </c>
      <c r="P172" s="63">
        <v>26.8</v>
      </c>
      <c r="Q172"/>
      <c r="R172"/>
      <c r="S172"/>
      <c r="T172"/>
      <c r="U172"/>
      <c r="V172"/>
      <c r="W172"/>
      <c r="X172"/>
    </row>
    <row r="173" spans="1:24" s="59" customFormat="1" ht="15.75">
      <c r="A173" s="55">
        <v>83611</v>
      </c>
      <c r="B173" s="56" t="s">
        <v>514</v>
      </c>
      <c r="C173" s="57" t="s">
        <v>3030</v>
      </c>
      <c r="D173" s="58">
        <v>30.7</v>
      </c>
      <c r="E173" s="58">
        <v>30.7</v>
      </c>
      <c r="F173" s="58">
        <v>30.6</v>
      </c>
      <c r="G173" s="58">
        <v>30.1</v>
      </c>
      <c r="H173" s="58">
        <v>27.4</v>
      </c>
      <c r="I173" s="58">
        <v>26.9</v>
      </c>
      <c r="J173" s="58">
        <v>27.5</v>
      </c>
      <c r="K173" s="58">
        <v>29.7</v>
      </c>
      <c r="L173" s="58">
        <v>30.6</v>
      </c>
      <c r="M173" s="58">
        <v>31.3</v>
      </c>
      <c r="N173" s="58">
        <v>30.9</v>
      </c>
      <c r="O173" s="58">
        <v>30.6</v>
      </c>
      <c r="P173" s="58">
        <v>29.8</v>
      </c>
      <c r="Q173"/>
      <c r="R173"/>
      <c r="S173"/>
      <c r="T173"/>
      <c r="U173"/>
      <c r="V173"/>
      <c r="W173"/>
      <c r="X173"/>
    </row>
    <row r="174" spans="1:24" s="59" customFormat="1" ht="15.75">
      <c r="A174" s="60">
        <v>83552</v>
      </c>
      <c r="B174" s="61" t="s">
        <v>3199</v>
      </c>
      <c r="C174" s="62" t="s">
        <v>3030</v>
      </c>
      <c r="D174" s="63">
        <v>33.700000000000003</v>
      </c>
      <c r="E174" s="63">
        <v>33.299999999999997</v>
      </c>
      <c r="F174" s="63">
        <v>33</v>
      </c>
      <c r="G174" s="63">
        <v>31.8</v>
      </c>
      <c r="H174" s="63">
        <v>28.9</v>
      </c>
      <c r="I174" s="63">
        <v>28</v>
      </c>
      <c r="J174" s="63">
        <v>28.6</v>
      </c>
      <c r="K174" s="63">
        <v>30.5</v>
      </c>
      <c r="L174" s="63">
        <v>32.299999999999997</v>
      </c>
      <c r="M174" s="63">
        <v>34.1</v>
      </c>
      <c r="N174" s="63">
        <v>34</v>
      </c>
      <c r="O174" s="63">
        <v>34.200000000000003</v>
      </c>
      <c r="P174" s="63">
        <v>31.9</v>
      </c>
      <c r="Q174"/>
      <c r="R174"/>
      <c r="S174"/>
      <c r="T174"/>
      <c r="U174"/>
      <c r="V174"/>
      <c r="W174"/>
      <c r="X174"/>
    </row>
    <row r="175" spans="1:24" s="59" customFormat="1" ht="15.75">
      <c r="A175" s="55">
        <v>83659</v>
      </c>
      <c r="B175" s="56" t="s">
        <v>3200</v>
      </c>
      <c r="C175" s="57" t="s">
        <v>3030</v>
      </c>
      <c r="D175" s="58">
        <v>31.8</v>
      </c>
      <c r="E175" s="58">
        <v>31.4</v>
      </c>
      <c r="F175" s="58">
        <v>30.9</v>
      </c>
      <c r="G175" s="58">
        <v>29.1</v>
      </c>
      <c r="H175" s="58">
        <v>26.5</v>
      </c>
      <c r="I175" s="58">
        <v>24.1</v>
      </c>
      <c r="J175" s="58">
        <v>26.3</v>
      </c>
      <c r="K175" s="58">
        <v>28</v>
      </c>
      <c r="L175" s="58">
        <v>29</v>
      </c>
      <c r="M175" s="58">
        <v>30.3</v>
      </c>
      <c r="N175" s="58">
        <v>31.1</v>
      </c>
      <c r="O175" s="58">
        <v>30.9</v>
      </c>
      <c r="P175" s="58">
        <v>29.1</v>
      </c>
      <c r="Q175"/>
      <c r="R175"/>
      <c r="S175"/>
      <c r="T175"/>
      <c r="U175"/>
      <c r="V175"/>
      <c r="W175"/>
      <c r="X175"/>
    </row>
    <row r="176" spans="1:24" s="59" customFormat="1" ht="15.75">
      <c r="A176" s="60">
        <v>83704</v>
      </c>
      <c r="B176" s="61" t="s">
        <v>3201</v>
      </c>
      <c r="C176" s="62" t="s">
        <v>3030</v>
      </c>
      <c r="D176" s="63">
        <v>32.200000000000003</v>
      </c>
      <c r="E176" s="63">
        <v>32.1</v>
      </c>
      <c r="F176" s="63">
        <v>31.7</v>
      </c>
      <c r="G176" s="63">
        <v>30.3</v>
      </c>
      <c r="H176" s="63">
        <v>26.5</v>
      </c>
      <c r="I176" s="63">
        <v>26.1</v>
      </c>
      <c r="J176" s="63">
        <v>26.9</v>
      </c>
      <c r="K176" s="63">
        <v>28.9</v>
      </c>
      <c r="L176" s="63">
        <v>29.5</v>
      </c>
      <c r="M176" s="63">
        <v>31.5</v>
      </c>
      <c r="N176" s="63">
        <v>31.3</v>
      </c>
      <c r="O176" s="63">
        <v>32.1</v>
      </c>
      <c r="P176" s="63">
        <v>29.9</v>
      </c>
      <c r="Q176"/>
      <c r="R176"/>
      <c r="S176"/>
      <c r="T176"/>
      <c r="U176"/>
      <c r="V176"/>
      <c r="W176"/>
      <c r="X176"/>
    </row>
    <row r="177" spans="1:24" s="59" customFormat="1" ht="15.75">
      <c r="A177" s="55">
        <v>83513</v>
      </c>
      <c r="B177" s="56" t="s">
        <v>3202</v>
      </c>
      <c r="C177" s="57" t="s">
        <v>3030</v>
      </c>
      <c r="D177" s="58">
        <v>33.299999999999997</v>
      </c>
      <c r="E177" s="58">
        <v>33</v>
      </c>
      <c r="F177" s="58">
        <v>33.299999999999997</v>
      </c>
      <c r="G177" s="58">
        <v>32.4</v>
      </c>
      <c r="H177" s="58">
        <v>29.7</v>
      </c>
      <c r="I177" s="58">
        <v>29.1</v>
      </c>
      <c r="J177" s="58">
        <v>29.8</v>
      </c>
      <c r="K177" s="58">
        <v>32.299999999999997</v>
      </c>
      <c r="L177" s="58">
        <v>33.1</v>
      </c>
      <c r="M177" s="58">
        <v>34.200000000000003</v>
      </c>
      <c r="N177" s="58">
        <v>34.1</v>
      </c>
      <c r="O177" s="58">
        <v>33.6</v>
      </c>
      <c r="P177" s="58">
        <v>32.299999999999997</v>
      </c>
      <c r="Q177"/>
      <c r="R177"/>
      <c r="S177"/>
      <c r="T177"/>
      <c r="U177"/>
      <c r="V177"/>
      <c r="W177"/>
      <c r="X177"/>
    </row>
    <row r="178" spans="1:24" s="59" customFormat="1" ht="15.75">
      <c r="A178" s="60">
        <v>83565</v>
      </c>
      <c r="B178" s="61" t="s">
        <v>3203</v>
      </c>
      <c r="C178" s="62" t="s">
        <v>3030</v>
      </c>
      <c r="D178" s="63">
        <v>31.5</v>
      </c>
      <c r="E178" s="63">
        <v>31.9</v>
      </c>
      <c r="F178" s="63">
        <v>31.6</v>
      </c>
      <c r="G178" s="63">
        <v>31.1</v>
      </c>
      <c r="H178" s="63">
        <v>28.6</v>
      </c>
      <c r="I178" s="63">
        <v>28.2</v>
      </c>
      <c r="J178" s="63">
        <v>29.1</v>
      </c>
      <c r="K178" s="63">
        <v>31.5</v>
      </c>
      <c r="L178" s="63">
        <v>32.200000000000003</v>
      </c>
      <c r="M178" s="63">
        <v>32.799999999999997</v>
      </c>
      <c r="N178" s="63">
        <v>32.200000000000003</v>
      </c>
      <c r="O178" s="63">
        <v>31.7</v>
      </c>
      <c r="P178" s="63">
        <v>31</v>
      </c>
      <c r="Q178"/>
      <c r="R178"/>
      <c r="S178"/>
      <c r="T178"/>
      <c r="U178"/>
      <c r="V178"/>
      <c r="W178"/>
      <c r="X178"/>
    </row>
    <row r="179" spans="1:24" s="59" customFormat="1" ht="15.75">
      <c r="A179" s="55">
        <v>83702</v>
      </c>
      <c r="B179" s="56" t="s">
        <v>3204</v>
      </c>
      <c r="C179" s="57" t="s">
        <v>3030</v>
      </c>
      <c r="D179" s="58">
        <v>30.4</v>
      </c>
      <c r="E179" s="58">
        <v>30.2</v>
      </c>
      <c r="F179" s="58">
        <v>30.4</v>
      </c>
      <c r="G179" s="58">
        <v>28.9</v>
      </c>
      <c r="H179" s="58">
        <v>24.4</v>
      </c>
      <c r="I179" s="58">
        <v>23.9</v>
      </c>
      <c r="J179" s="58">
        <v>24.1</v>
      </c>
      <c r="K179" s="58">
        <v>26.7</v>
      </c>
      <c r="L179" s="58">
        <v>27.2</v>
      </c>
      <c r="M179" s="58">
        <v>29.4</v>
      </c>
      <c r="N179" s="58">
        <v>29.7</v>
      </c>
      <c r="O179" s="58">
        <v>30.5</v>
      </c>
      <c r="P179" s="58">
        <v>28</v>
      </c>
      <c r="Q179"/>
      <c r="R179"/>
      <c r="S179"/>
      <c r="T179"/>
      <c r="U179"/>
      <c r="V179"/>
      <c r="W179"/>
      <c r="X179"/>
    </row>
    <row r="180" spans="1:24" s="59" customFormat="1" ht="15.75">
      <c r="A180" s="60">
        <v>83618</v>
      </c>
      <c r="B180" s="61" t="s">
        <v>3205</v>
      </c>
      <c r="C180" s="62" t="s">
        <v>3030</v>
      </c>
      <c r="D180" s="63">
        <v>32.9</v>
      </c>
      <c r="E180" s="63">
        <v>32.799999999999997</v>
      </c>
      <c r="F180" s="63">
        <v>32.799999999999997</v>
      </c>
      <c r="G180" s="63">
        <v>31.8</v>
      </c>
      <c r="H180" s="63">
        <v>28.6</v>
      </c>
      <c r="I180" s="63">
        <v>27.8</v>
      </c>
      <c r="J180" s="63">
        <v>28.3</v>
      </c>
      <c r="K180" s="63">
        <v>31</v>
      </c>
      <c r="L180" s="63">
        <v>31.1</v>
      </c>
      <c r="M180" s="63">
        <v>33</v>
      </c>
      <c r="N180" s="63">
        <v>32.6</v>
      </c>
      <c r="O180" s="63">
        <v>32.6</v>
      </c>
      <c r="P180" s="63">
        <v>31.3</v>
      </c>
      <c r="Q180"/>
      <c r="R180"/>
      <c r="S180"/>
      <c r="T180"/>
      <c r="U180"/>
      <c r="V180"/>
      <c r="W180"/>
      <c r="X180"/>
    </row>
    <row r="181" spans="1:24" s="59" customFormat="1" ht="15.75">
      <c r="A181" s="55">
        <v>83405</v>
      </c>
      <c r="B181" s="56" t="s">
        <v>3206</v>
      </c>
      <c r="C181" s="57" t="s">
        <v>3032</v>
      </c>
      <c r="D181" s="58">
        <v>32.6</v>
      </c>
      <c r="E181" s="58">
        <v>32.5</v>
      </c>
      <c r="F181" s="58">
        <v>32.700000000000003</v>
      </c>
      <c r="G181" s="58">
        <v>32.4</v>
      </c>
      <c r="H181" s="58">
        <v>30.9</v>
      </c>
      <c r="I181" s="58">
        <v>30.7</v>
      </c>
      <c r="J181" s="58">
        <v>31.1</v>
      </c>
      <c r="K181" s="58">
        <v>33.1</v>
      </c>
      <c r="L181" s="58">
        <v>33.4</v>
      </c>
      <c r="M181" s="58">
        <v>34.6</v>
      </c>
      <c r="N181" s="58">
        <v>33.799999999999997</v>
      </c>
      <c r="O181" s="58">
        <v>33</v>
      </c>
      <c r="P181" s="58">
        <v>32.6</v>
      </c>
      <c r="Q181"/>
      <c r="R181"/>
      <c r="S181"/>
      <c r="T181"/>
      <c r="U181"/>
      <c r="V181"/>
      <c r="W181"/>
      <c r="X181"/>
    </row>
    <row r="182" spans="1:24" s="59" customFormat="1" ht="15.75">
      <c r="A182" s="60">
        <v>83270</v>
      </c>
      <c r="B182" s="61" t="s">
        <v>3207</v>
      </c>
      <c r="C182" s="62" t="s">
        <v>3032</v>
      </c>
      <c r="D182" s="63">
        <v>31.3</v>
      </c>
      <c r="E182" s="63">
        <v>31.5</v>
      </c>
      <c r="F182" s="63">
        <v>31.9</v>
      </c>
      <c r="G182" s="63">
        <v>32.4</v>
      </c>
      <c r="H182" s="63">
        <v>32.799999999999997</v>
      </c>
      <c r="I182" s="63">
        <v>33</v>
      </c>
      <c r="J182" s="63">
        <v>33.9</v>
      </c>
      <c r="K182" s="63">
        <v>35.6</v>
      </c>
      <c r="L182" s="63">
        <v>36</v>
      </c>
      <c r="M182" s="63">
        <v>34.5</v>
      </c>
      <c r="N182" s="63">
        <v>32.5</v>
      </c>
      <c r="O182" s="63">
        <v>31.2</v>
      </c>
      <c r="P182" s="63">
        <v>33.1</v>
      </c>
      <c r="Q182"/>
      <c r="R182"/>
      <c r="S182"/>
      <c r="T182"/>
      <c r="U182"/>
      <c r="V182"/>
      <c r="W182"/>
      <c r="X182"/>
    </row>
    <row r="183" spans="1:24" s="59" customFormat="1" ht="15.75">
      <c r="A183" s="55">
        <v>83361</v>
      </c>
      <c r="B183" s="56" t="s">
        <v>3208</v>
      </c>
      <c r="C183" s="57" t="s">
        <v>3032</v>
      </c>
      <c r="D183" s="58">
        <v>32.6</v>
      </c>
      <c r="E183" s="58">
        <v>32.799999999999997</v>
      </c>
      <c r="F183" s="58">
        <v>32.9</v>
      </c>
      <c r="G183" s="58">
        <v>33</v>
      </c>
      <c r="H183" s="58">
        <v>31.4</v>
      </c>
      <c r="I183" s="58">
        <v>31.3</v>
      </c>
      <c r="J183" s="58">
        <v>32</v>
      </c>
      <c r="K183" s="58">
        <v>34.1</v>
      </c>
      <c r="L183" s="58">
        <v>34.299999999999997</v>
      </c>
      <c r="M183" s="58">
        <v>34.5</v>
      </c>
      <c r="N183" s="58">
        <v>33.6</v>
      </c>
      <c r="O183" s="58">
        <v>32.9</v>
      </c>
      <c r="P183" s="58">
        <v>33</v>
      </c>
      <c r="Q183"/>
      <c r="R183"/>
      <c r="S183"/>
      <c r="T183"/>
      <c r="U183"/>
      <c r="V183"/>
      <c r="W183"/>
      <c r="X183"/>
    </row>
    <row r="184" spans="1:24" s="59" customFormat="1" ht="15.75">
      <c r="A184" s="60">
        <v>83309</v>
      </c>
      <c r="B184" s="61" t="s">
        <v>3209</v>
      </c>
      <c r="C184" s="62" t="s">
        <v>3032</v>
      </c>
      <c r="D184" s="63">
        <v>32</v>
      </c>
      <c r="E184" s="63">
        <v>32.200000000000003</v>
      </c>
      <c r="F184" s="63">
        <v>32.4</v>
      </c>
      <c r="G184" s="63">
        <v>32.6</v>
      </c>
      <c r="H184" s="63">
        <v>31.6</v>
      </c>
      <c r="I184" s="63">
        <v>31.7</v>
      </c>
      <c r="J184" s="63">
        <v>32.200000000000003</v>
      </c>
      <c r="K184" s="63">
        <v>34.299999999999997</v>
      </c>
      <c r="L184" s="63">
        <v>34.4</v>
      </c>
      <c r="M184" s="63">
        <v>34</v>
      </c>
      <c r="N184" s="63">
        <v>33</v>
      </c>
      <c r="O184" s="63">
        <v>32.200000000000003</v>
      </c>
      <c r="P184" s="63">
        <v>32.700000000000003</v>
      </c>
      <c r="Q184"/>
      <c r="R184"/>
      <c r="S184"/>
      <c r="T184"/>
      <c r="U184"/>
      <c r="V184"/>
      <c r="W184"/>
      <c r="X184"/>
    </row>
    <row r="185" spans="1:24" s="59" customFormat="1" ht="15.75">
      <c r="A185" s="55">
        <v>83264</v>
      </c>
      <c r="B185" s="56" t="s">
        <v>3210</v>
      </c>
      <c r="C185" s="57" t="s">
        <v>3032</v>
      </c>
      <c r="D185" s="58">
        <v>31.8</v>
      </c>
      <c r="E185" s="58">
        <v>32</v>
      </c>
      <c r="F185" s="58">
        <v>32.299999999999997</v>
      </c>
      <c r="G185" s="58">
        <v>33.1</v>
      </c>
      <c r="H185" s="58">
        <v>32.9</v>
      </c>
      <c r="I185" s="58">
        <v>33.1</v>
      </c>
      <c r="J185" s="58">
        <v>33.299999999999997</v>
      </c>
      <c r="K185" s="58">
        <v>35.1</v>
      </c>
      <c r="L185" s="58">
        <v>35</v>
      </c>
      <c r="M185" s="58">
        <v>34.1</v>
      </c>
      <c r="N185" s="58">
        <v>32.799999999999997</v>
      </c>
      <c r="O185" s="58">
        <v>31.8</v>
      </c>
      <c r="P185" s="58">
        <v>33.1</v>
      </c>
      <c r="Q185"/>
      <c r="R185"/>
      <c r="S185"/>
      <c r="T185"/>
      <c r="U185"/>
      <c r="V185"/>
      <c r="W185"/>
      <c r="X185"/>
    </row>
    <row r="186" spans="1:24" s="59" customFormat="1" ht="15.75">
      <c r="A186" s="60">
        <v>83214</v>
      </c>
      <c r="B186" s="61" t="s">
        <v>3211</v>
      </c>
      <c r="C186" s="62" t="s">
        <v>3032</v>
      </c>
      <c r="D186" s="63">
        <v>31.8</v>
      </c>
      <c r="E186" s="63">
        <v>31.4</v>
      </c>
      <c r="F186" s="63">
        <v>31.3</v>
      </c>
      <c r="G186" s="63">
        <v>32</v>
      </c>
      <c r="H186" s="63">
        <v>32.200000000000003</v>
      </c>
      <c r="I186" s="63">
        <v>33</v>
      </c>
      <c r="J186" s="63">
        <v>34.200000000000003</v>
      </c>
      <c r="K186" s="63">
        <v>35.4</v>
      </c>
      <c r="L186" s="63">
        <v>34.700000000000003</v>
      </c>
      <c r="M186" s="63">
        <v>33.4</v>
      </c>
      <c r="N186" s="63">
        <v>32.200000000000003</v>
      </c>
      <c r="O186" s="63">
        <v>31.2</v>
      </c>
      <c r="P186" s="63">
        <v>32.700000000000003</v>
      </c>
      <c r="Q186"/>
      <c r="R186"/>
      <c r="S186"/>
      <c r="T186"/>
      <c r="U186"/>
      <c r="V186"/>
      <c r="W186"/>
      <c r="X186"/>
    </row>
    <row r="187" spans="1:24" s="59" customFormat="1" ht="15.75">
      <c r="A187" s="55">
        <v>83367</v>
      </c>
      <c r="B187" s="56" t="s">
        <v>3212</v>
      </c>
      <c r="C187" s="57" t="s">
        <v>3032</v>
      </c>
      <c r="D187" s="58">
        <v>30.9</v>
      </c>
      <c r="E187" s="58" t="s">
        <v>77</v>
      </c>
      <c r="F187" s="58">
        <v>31.2</v>
      </c>
      <c r="G187" s="58">
        <v>32.299999999999997</v>
      </c>
      <c r="H187" s="58">
        <v>31.6</v>
      </c>
      <c r="I187" s="58">
        <v>30.8</v>
      </c>
      <c r="J187" s="58">
        <v>30.4</v>
      </c>
      <c r="K187" s="58">
        <v>33.1</v>
      </c>
      <c r="L187" s="58">
        <v>33.9</v>
      </c>
      <c r="M187" s="58">
        <v>32.6</v>
      </c>
      <c r="N187" s="58">
        <v>31.4</v>
      </c>
      <c r="O187" s="58" t="s">
        <v>77</v>
      </c>
      <c r="P187" s="58" t="s">
        <v>77</v>
      </c>
      <c r="Q187"/>
      <c r="R187"/>
      <c r="S187"/>
      <c r="T187"/>
      <c r="U187"/>
      <c r="V187"/>
      <c r="W187"/>
      <c r="X187"/>
    </row>
    <row r="188" spans="1:24" s="59" customFormat="1" ht="15.75">
      <c r="A188" s="60">
        <v>83319</v>
      </c>
      <c r="B188" s="61" t="s">
        <v>3213</v>
      </c>
      <c r="C188" s="62" t="s">
        <v>3032</v>
      </c>
      <c r="D188" s="63">
        <v>31.8</v>
      </c>
      <c r="E188" s="63">
        <v>32.200000000000003</v>
      </c>
      <c r="F188" s="63">
        <v>32.5</v>
      </c>
      <c r="G188" s="63">
        <v>33.4</v>
      </c>
      <c r="H188" s="63">
        <v>33</v>
      </c>
      <c r="I188" s="63">
        <v>33</v>
      </c>
      <c r="J188" s="63">
        <v>33.700000000000003</v>
      </c>
      <c r="K188" s="63">
        <v>35.700000000000003</v>
      </c>
      <c r="L188" s="63">
        <v>36.5</v>
      </c>
      <c r="M188" s="63">
        <v>35.5</v>
      </c>
      <c r="N188" s="63">
        <v>33</v>
      </c>
      <c r="O188" s="63">
        <v>31.8</v>
      </c>
      <c r="P188" s="63">
        <v>33.5</v>
      </c>
      <c r="Q188"/>
      <c r="R188"/>
      <c r="S188"/>
      <c r="T188"/>
      <c r="U188"/>
      <c r="V188"/>
      <c r="W188"/>
      <c r="X188"/>
    </row>
    <row r="189" spans="1:24" s="59" customFormat="1" ht="15.75">
      <c r="A189" s="55">
        <v>83364</v>
      </c>
      <c r="B189" s="56" t="s">
        <v>3214</v>
      </c>
      <c r="C189" s="57" t="s">
        <v>3032</v>
      </c>
      <c r="D189" s="58">
        <v>32.799999999999997</v>
      </c>
      <c r="E189" s="58">
        <v>32.799999999999997</v>
      </c>
      <c r="F189" s="58">
        <v>33.1</v>
      </c>
      <c r="G189" s="58">
        <v>32.799999999999997</v>
      </c>
      <c r="H189" s="58">
        <v>30.9</v>
      </c>
      <c r="I189" s="58">
        <v>31.5</v>
      </c>
      <c r="J189" s="58">
        <v>31.7</v>
      </c>
      <c r="K189" s="58">
        <v>35</v>
      </c>
      <c r="L189" s="58">
        <v>34.9</v>
      </c>
      <c r="M189" s="58">
        <v>34.9</v>
      </c>
      <c r="N189" s="58">
        <v>33.700000000000003</v>
      </c>
      <c r="O189" s="58">
        <v>33.200000000000003</v>
      </c>
      <c r="P189" s="58">
        <v>33.1</v>
      </c>
      <c r="Q189"/>
      <c r="R189"/>
      <c r="S189"/>
      <c r="T189"/>
      <c r="U189"/>
      <c r="V189"/>
      <c r="W189"/>
      <c r="X189"/>
    </row>
    <row r="190" spans="1:24" s="59" customFormat="1" ht="15.75">
      <c r="A190" s="60">
        <v>83358</v>
      </c>
      <c r="B190" s="61" t="s">
        <v>3215</v>
      </c>
      <c r="C190" s="62" t="s">
        <v>3032</v>
      </c>
      <c r="D190" s="63">
        <v>31.4</v>
      </c>
      <c r="E190" s="63">
        <v>31.8</v>
      </c>
      <c r="F190" s="63">
        <v>32</v>
      </c>
      <c r="G190" s="63">
        <v>32.200000000000003</v>
      </c>
      <c r="H190" s="63">
        <v>31.1</v>
      </c>
      <c r="I190" s="63">
        <v>31.3</v>
      </c>
      <c r="J190" s="63">
        <v>31.9</v>
      </c>
      <c r="K190" s="63">
        <v>34</v>
      </c>
      <c r="L190" s="63">
        <v>34.1</v>
      </c>
      <c r="M190" s="63">
        <v>33.299999999999997</v>
      </c>
      <c r="N190" s="63">
        <v>32.299999999999997</v>
      </c>
      <c r="O190" s="63">
        <v>31.5</v>
      </c>
      <c r="P190" s="63">
        <v>32.200000000000003</v>
      </c>
      <c r="Q190"/>
      <c r="R190"/>
      <c r="S190"/>
      <c r="T190"/>
      <c r="U190"/>
      <c r="V190"/>
      <c r="W190"/>
      <c r="X190"/>
    </row>
    <row r="191" spans="1:24" s="59" customFormat="1" ht="15.75">
      <c r="A191" s="55">
        <v>83267</v>
      </c>
      <c r="B191" s="56" t="s">
        <v>3216</v>
      </c>
      <c r="C191" s="57" t="s">
        <v>3032</v>
      </c>
      <c r="D191" s="58">
        <v>31.6</v>
      </c>
      <c r="E191" s="58">
        <v>31.6</v>
      </c>
      <c r="F191" s="58">
        <v>32</v>
      </c>
      <c r="G191" s="58">
        <v>32.299999999999997</v>
      </c>
      <c r="H191" s="58">
        <v>31.7</v>
      </c>
      <c r="I191" s="58">
        <v>32.4</v>
      </c>
      <c r="J191" s="58">
        <v>33</v>
      </c>
      <c r="K191" s="58">
        <v>34.9</v>
      </c>
      <c r="L191" s="58">
        <v>34.799999999999997</v>
      </c>
      <c r="M191" s="58">
        <v>34.1</v>
      </c>
      <c r="N191" s="58">
        <v>32.799999999999997</v>
      </c>
      <c r="O191" s="58">
        <v>31.7</v>
      </c>
      <c r="P191" s="58">
        <v>32.700000000000003</v>
      </c>
      <c r="Q191"/>
      <c r="R191"/>
      <c r="S191"/>
      <c r="T191"/>
      <c r="U191"/>
      <c r="V191"/>
      <c r="W191"/>
      <c r="X191"/>
    </row>
    <row r="192" spans="1:24" s="59" customFormat="1" ht="15.75">
      <c r="A192" s="60">
        <v>83363</v>
      </c>
      <c r="B192" s="61" t="s">
        <v>3217</v>
      </c>
      <c r="C192" s="62" t="s">
        <v>3032</v>
      </c>
      <c r="D192" s="63">
        <v>28.2</v>
      </c>
      <c r="E192" s="63">
        <v>28.2</v>
      </c>
      <c r="F192" s="63">
        <v>28.5</v>
      </c>
      <c r="G192" s="63">
        <v>28.7</v>
      </c>
      <c r="H192" s="63">
        <v>27</v>
      </c>
      <c r="I192" s="63">
        <v>27.9</v>
      </c>
      <c r="J192" s="63">
        <v>28.2</v>
      </c>
      <c r="K192" s="63">
        <v>30.4</v>
      </c>
      <c r="L192" s="63" t="s">
        <v>77</v>
      </c>
      <c r="M192" s="63">
        <v>30.1</v>
      </c>
      <c r="N192" s="63">
        <v>28.9</v>
      </c>
      <c r="O192" s="63">
        <v>28.5</v>
      </c>
      <c r="P192" s="63" t="s">
        <v>77</v>
      </c>
      <c r="Q192"/>
      <c r="R192"/>
      <c r="S192"/>
      <c r="T192"/>
      <c r="U192"/>
      <c r="V192"/>
      <c r="W192"/>
      <c r="X192"/>
    </row>
    <row r="193" spans="1:24" s="59" customFormat="1" ht="15.75">
      <c r="A193" s="55">
        <v>82353</v>
      </c>
      <c r="B193" s="56" t="s">
        <v>3218</v>
      </c>
      <c r="C193" s="57" t="s">
        <v>3034</v>
      </c>
      <c r="D193" s="58">
        <v>31.3</v>
      </c>
      <c r="E193" s="58">
        <v>30.9</v>
      </c>
      <c r="F193" s="58">
        <v>30.9</v>
      </c>
      <c r="G193" s="58">
        <v>31.2</v>
      </c>
      <c r="H193" s="58">
        <v>31.8</v>
      </c>
      <c r="I193" s="58">
        <v>32.5</v>
      </c>
      <c r="J193" s="58">
        <v>33</v>
      </c>
      <c r="K193" s="58">
        <v>33.799999999999997</v>
      </c>
      <c r="L193" s="58">
        <v>34.1</v>
      </c>
      <c r="M193" s="58">
        <v>33.9</v>
      </c>
      <c r="N193" s="58">
        <v>33.4</v>
      </c>
      <c r="O193" s="58">
        <v>32.299999999999997</v>
      </c>
      <c r="P193" s="58">
        <v>32.4</v>
      </c>
      <c r="Q193"/>
      <c r="R193"/>
      <c r="S193"/>
      <c r="T193"/>
      <c r="U193"/>
      <c r="V193"/>
      <c r="W193"/>
      <c r="X193"/>
    </row>
    <row r="194" spans="1:24" s="59" customFormat="1" ht="15.75">
      <c r="A194" s="60">
        <v>82191</v>
      </c>
      <c r="B194" s="61" t="s">
        <v>3219</v>
      </c>
      <c r="C194" s="62" t="s">
        <v>3034</v>
      </c>
      <c r="D194" s="63">
        <v>31.1</v>
      </c>
      <c r="E194" s="63">
        <v>30.8</v>
      </c>
      <c r="F194" s="63">
        <v>30.7</v>
      </c>
      <c r="G194" s="63">
        <v>31.1</v>
      </c>
      <c r="H194" s="63">
        <v>31.7</v>
      </c>
      <c r="I194" s="63">
        <v>31.9</v>
      </c>
      <c r="J194" s="63">
        <v>32</v>
      </c>
      <c r="K194" s="63">
        <v>32.5</v>
      </c>
      <c r="L194" s="63">
        <v>32.6</v>
      </c>
      <c r="M194" s="63">
        <v>32.6</v>
      </c>
      <c r="N194" s="63">
        <v>32.700000000000003</v>
      </c>
      <c r="O194" s="63">
        <v>32.200000000000003</v>
      </c>
      <c r="P194" s="63">
        <v>31.8</v>
      </c>
      <c r="Q194"/>
      <c r="R194"/>
      <c r="S194"/>
      <c r="T194"/>
      <c r="U194"/>
      <c r="V194"/>
      <c r="W194"/>
      <c r="X194"/>
    </row>
    <row r="195" spans="1:24" s="59" customFormat="1" ht="15.75">
      <c r="A195" s="55">
        <v>82246</v>
      </c>
      <c r="B195" s="56" t="s">
        <v>3220</v>
      </c>
      <c r="C195" s="57" t="s">
        <v>3034</v>
      </c>
      <c r="D195" s="58">
        <v>30.4</v>
      </c>
      <c r="E195" s="58">
        <v>29.7</v>
      </c>
      <c r="F195" s="58">
        <v>29.7</v>
      </c>
      <c r="G195" s="58">
        <v>29.7</v>
      </c>
      <c r="H195" s="58">
        <v>29.9</v>
      </c>
      <c r="I195" s="58">
        <v>30.1</v>
      </c>
      <c r="J195" s="58">
        <v>30.4</v>
      </c>
      <c r="K195" s="58">
        <v>31.3</v>
      </c>
      <c r="L195" s="58">
        <v>32.1</v>
      </c>
      <c r="M195" s="58">
        <v>32.5</v>
      </c>
      <c r="N195" s="58">
        <v>32.1</v>
      </c>
      <c r="O195" s="58">
        <v>31.3</v>
      </c>
      <c r="P195" s="58">
        <v>30.8</v>
      </c>
      <c r="Q195"/>
      <c r="R195"/>
      <c r="S195"/>
      <c r="T195"/>
      <c r="U195"/>
      <c r="V195"/>
      <c r="W195"/>
      <c r="X195"/>
    </row>
    <row r="196" spans="1:24" s="59" customFormat="1" ht="15.75">
      <c r="A196" s="60">
        <v>82188</v>
      </c>
      <c r="B196" s="61" t="s">
        <v>3221</v>
      </c>
      <c r="C196" s="62" t="s">
        <v>3034</v>
      </c>
      <c r="D196" s="63">
        <v>31.4</v>
      </c>
      <c r="E196" s="63">
        <v>30.9</v>
      </c>
      <c r="F196" s="63">
        <v>30.9</v>
      </c>
      <c r="G196" s="63">
        <v>31.1</v>
      </c>
      <c r="H196" s="63">
        <v>31.7</v>
      </c>
      <c r="I196" s="63">
        <v>32.1</v>
      </c>
      <c r="J196" s="63">
        <v>32.299999999999997</v>
      </c>
      <c r="K196" s="63">
        <v>32.9</v>
      </c>
      <c r="L196" s="63">
        <v>32.9</v>
      </c>
      <c r="M196" s="63">
        <v>32.9</v>
      </c>
      <c r="N196" s="63">
        <v>32.799999999999997</v>
      </c>
      <c r="O196" s="63">
        <v>32.299999999999997</v>
      </c>
      <c r="P196" s="63">
        <v>32</v>
      </c>
      <c r="Q196"/>
      <c r="R196"/>
      <c r="S196"/>
      <c r="T196"/>
      <c r="U196"/>
      <c r="V196"/>
      <c r="W196"/>
      <c r="X196"/>
    </row>
    <row r="197" spans="1:24" s="59" customFormat="1" ht="15.75">
      <c r="A197" s="55">
        <v>82263</v>
      </c>
      <c r="B197" s="56" t="s">
        <v>3222</v>
      </c>
      <c r="C197" s="57" t="s">
        <v>3034</v>
      </c>
      <c r="D197" s="58">
        <v>31.8</v>
      </c>
      <c r="E197" s="58">
        <v>31.5</v>
      </c>
      <c r="F197" s="58">
        <v>31.6</v>
      </c>
      <c r="G197" s="58">
        <v>31.9</v>
      </c>
      <c r="H197" s="58">
        <v>32.4</v>
      </c>
      <c r="I197" s="58">
        <v>32.9</v>
      </c>
      <c r="J197" s="58">
        <v>33</v>
      </c>
      <c r="K197" s="58">
        <v>33.200000000000003</v>
      </c>
      <c r="L197" s="58">
        <v>33.200000000000003</v>
      </c>
      <c r="M197" s="58">
        <v>33.200000000000003</v>
      </c>
      <c r="N197" s="58">
        <v>33.1</v>
      </c>
      <c r="O197" s="58">
        <v>32.6</v>
      </c>
      <c r="P197" s="58">
        <v>32.5</v>
      </c>
      <c r="Q197"/>
      <c r="R197"/>
      <c r="S197"/>
      <c r="T197"/>
      <c r="U197"/>
      <c r="V197"/>
      <c r="W197"/>
      <c r="X197"/>
    </row>
    <row r="198" spans="1:24" s="59" customFormat="1" ht="15.75">
      <c r="A198" s="60">
        <v>82861</v>
      </c>
      <c r="B198" s="61" t="s">
        <v>3223</v>
      </c>
      <c r="C198" s="62" t="s">
        <v>3034</v>
      </c>
      <c r="D198" s="63">
        <v>31.6</v>
      </c>
      <c r="E198" s="63">
        <v>31.6</v>
      </c>
      <c r="F198" s="63">
        <v>31.5</v>
      </c>
      <c r="G198" s="63">
        <v>32.4</v>
      </c>
      <c r="H198" s="63">
        <v>33.5</v>
      </c>
      <c r="I198" s="63">
        <v>34.5</v>
      </c>
      <c r="J198" s="63">
        <v>35.4</v>
      </c>
      <c r="K198" s="63">
        <v>36.5</v>
      </c>
      <c r="L198" s="63">
        <v>35.6</v>
      </c>
      <c r="M198" s="63">
        <v>33.6</v>
      </c>
      <c r="N198" s="63">
        <v>32.5</v>
      </c>
      <c r="O198" s="63">
        <v>31.8</v>
      </c>
      <c r="P198" s="63">
        <v>33.4</v>
      </c>
      <c r="Q198"/>
      <c r="R198"/>
      <c r="S198"/>
      <c r="T198"/>
      <c r="U198"/>
      <c r="V198"/>
      <c r="W198"/>
      <c r="X198"/>
    </row>
    <row r="199" spans="1:24" s="59" customFormat="1" ht="15.75">
      <c r="A199" s="55">
        <v>82445</v>
      </c>
      <c r="B199" s="56" t="s">
        <v>3224</v>
      </c>
      <c r="C199" s="57" t="s">
        <v>3034</v>
      </c>
      <c r="D199" s="58">
        <v>31.7</v>
      </c>
      <c r="E199" s="58">
        <v>31.4</v>
      </c>
      <c r="F199" s="58">
        <v>31.4</v>
      </c>
      <c r="G199" s="58">
        <v>31.8</v>
      </c>
      <c r="H199" s="58">
        <v>32.1</v>
      </c>
      <c r="I199" s="58">
        <v>32.700000000000003</v>
      </c>
      <c r="J199" s="58">
        <v>33.4</v>
      </c>
      <c r="K199" s="58">
        <v>34</v>
      </c>
      <c r="L199" s="58">
        <v>34.5</v>
      </c>
      <c r="M199" s="58">
        <v>34.5</v>
      </c>
      <c r="N199" s="58">
        <v>33.700000000000003</v>
      </c>
      <c r="O199" s="58">
        <v>32.700000000000003</v>
      </c>
      <c r="P199" s="58">
        <v>32.799999999999997</v>
      </c>
      <c r="Q199"/>
      <c r="R199"/>
      <c r="S199"/>
      <c r="T199"/>
      <c r="U199"/>
      <c r="V199"/>
      <c r="W199"/>
      <c r="X199"/>
    </row>
    <row r="200" spans="1:24" s="59" customFormat="1" ht="15.75">
      <c r="A200" s="60">
        <v>82562</v>
      </c>
      <c r="B200" s="61" t="s">
        <v>3225</v>
      </c>
      <c r="C200" s="62" t="s">
        <v>3034</v>
      </c>
      <c r="D200" s="63">
        <v>31.4</v>
      </c>
      <c r="E200" s="63">
        <v>31.4</v>
      </c>
      <c r="F200" s="63">
        <v>31.6</v>
      </c>
      <c r="G200" s="63">
        <v>32.200000000000003</v>
      </c>
      <c r="H200" s="63">
        <v>32.9</v>
      </c>
      <c r="I200" s="63">
        <v>33.4</v>
      </c>
      <c r="J200" s="63">
        <v>34.200000000000003</v>
      </c>
      <c r="K200" s="63">
        <v>34.700000000000003</v>
      </c>
      <c r="L200" s="63">
        <v>34.200000000000003</v>
      </c>
      <c r="M200" s="63">
        <v>33.200000000000003</v>
      </c>
      <c r="N200" s="63">
        <v>32.299999999999997</v>
      </c>
      <c r="O200" s="63">
        <v>31.5</v>
      </c>
      <c r="P200" s="63">
        <v>32.799999999999997</v>
      </c>
      <c r="Q200"/>
      <c r="R200"/>
      <c r="S200"/>
      <c r="T200"/>
      <c r="U200"/>
      <c r="V200"/>
      <c r="W200"/>
      <c r="X200"/>
    </row>
    <row r="201" spans="1:24" s="59" customFormat="1" ht="15.75">
      <c r="A201" s="55">
        <v>82181</v>
      </c>
      <c r="B201" s="56" t="s">
        <v>3226</v>
      </c>
      <c r="C201" s="57" t="s">
        <v>3034</v>
      </c>
      <c r="D201" s="58">
        <v>30.8</v>
      </c>
      <c r="E201" s="58">
        <v>30.1</v>
      </c>
      <c r="F201" s="58">
        <v>30</v>
      </c>
      <c r="G201" s="58">
        <v>30</v>
      </c>
      <c r="H201" s="58">
        <v>30.2</v>
      </c>
      <c r="I201" s="58">
        <v>30.3</v>
      </c>
      <c r="J201" s="58">
        <v>30.8</v>
      </c>
      <c r="K201" s="58">
        <v>31.6</v>
      </c>
      <c r="L201" s="58">
        <v>32.4</v>
      </c>
      <c r="M201" s="58">
        <v>32.799999999999997</v>
      </c>
      <c r="N201" s="58">
        <v>32.5</v>
      </c>
      <c r="O201" s="58">
        <v>31.9</v>
      </c>
      <c r="P201" s="58">
        <v>31.1</v>
      </c>
      <c r="Q201"/>
      <c r="R201"/>
      <c r="S201"/>
      <c r="T201"/>
      <c r="U201"/>
      <c r="V201"/>
      <c r="W201"/>
      <c r="X201"/>
    </row>
    <row r="202" spans="1:24" s="59" customFormat="1" ht="15.75">
      <c r="A202" s="60">
        <v>82178</v>
      </c>
      <c r="B202" s="61" t="s">
        <v>3227</v>
      </c>
      <c r="C202" s="62" t="s">
        <v>3034</v>
      </c>
      <c r="D202" s="63">
        <v>31</v>
      </c>
      <c r="E202" s="63">
        <v>30.5</v>
      </c>
      <c r="F202" s="63">
        <v>30.4</v>
      </c>
      <c r="G202" s="63">
        <v>30.5</v>
      </c>
      <c r="H202" s="63">
        <v>30.5</v>
      </c>
      <c r="I202" s="63">
        <v>31</v>
      </c>
      <c r="J202" s="63">
        <v>31.3</v>
      </c>
      <c r="K202" s="63">
        <v>32.299999999999997</v>
      </c>
      <c r="L202" s="63">
        <v>33</v>
      </c>
      <c r="M202" s="63">
        <v>33.299999999999997</v>
      </c>
      <c r="N202" s="63">
        <v>32.799999999999997</v>
      </c>
      <c r="O202" s="63">
        <v>32.200000000000003</v>
      </c>
      <c r="P202" s="63">
        <v>31.6</v>
      </c>
      <c r="Q202"/>
      <c r="R202"/>
      <c r="S202"/>
      <c r="T202"/>
      <c r="U202"/>
      <c r="V202"/>
      <c r="W202"/>
      <c r="X202"/>
    </row>
    <row r="203" spans="1:24" s="59" customFormat="1" ht="15.75">
      <c r="A203" s="55">
        <v>82184</v>
      </c>
      <c r="B203" s="56" t="s">
        <v>3228</v>
      </c>
      <c r="C203" s="57" t="s">
        <v>3034</v>
      </c>
      <c r="D203" s="58">
        <v>31.3</v>
      </c>
      <c r="E203" s="58">
        <v>30.7</v>
      </c>
      <c r="F203" s="58">
        <v>30.9</v>
      </c>
      <c r="G203" s="58">
        <v>30.9</v>
      </c>
      <c r="H203" s="58">
        <v>31.1</v>
      </c>
      <c r="I203" s="58">
        <v>31.5</v>
      </c>
      <c r="J203" s="58">
        <v>31.9</v>
      </c>
      <c r="K203" s="58">
        <v>32.9</v>
      </c>
      <c r="L203" s="58">
        <v>33.299999999999997</v>
      </c>
      <c r="M203" s="58">
        <v>33.6</v>
      </c>
      <c r="N203" s="58">
        <v>33.200000000000003</v>
      </c>
      <c r="O203" s="58">
        <v>32.5</v>
      </c>
      <c r="P203" s="58">
        <v>32</v>
      </c>
      <c r="Q203"/>
      <c r="R203"/>
      <c r="S203"/>
      <c r="T203"/>
      <c r="U203"/>
      <c r="V203"/>
      <c r="W203"/>
      <c r="X203"/>
    </row>
    <row r="204" spans="1:24" s="59" customFormat="1" ht="15.75">
      <c r="A204" s="60">
        <v>82668</v>
      </c>
      <c r="B204" s="61" t="s">
        <v>3229</v>
      </c>
      <c r="C204" s="62" t="s">
        <v>3034</v>
      </c>
      <c r="D204" s="63">
        <v>31</v>
      </c>
      <c r="E204" s="63">
        <v>30.9</v>
      </c>
      <c r="F204" s="63">
        <v>31</v>
      </c>
      <c r="G204" s="63">
        <v>31.6</v>
      </c>
      <c r="H204" s="63">
        <v>32.200000000000003</v>
      </c>
      <c r="I204" s="63">
        <v>32.6</v>
      </c>
      <c r="J204" s="63">
        <v>33.5</v>
      </c>
      <c r="K204" s="63">
        <v>34.200000000000003</v>
      </c>
      <c r="L204" s="63">
        <v>33.6</v>
      </c>
      <c r="M204" s="63">
        <v>32.700000000000003</v>
      </c>
      <c r="N204" s="63">
        <v>32.1</v>
      </c>
      <c r="O204" s="63">
        <v>31.3</v>
      </c>
      <c r="P204" s="63">
        <v>32.200000000000003</v>
      </c>
      <c r="Q204"/>
      <c r="R204"/>
      <c r="S204"/>
      <c r="T204"/>
      <c r="U204"/>
      <c r="V204"/>
      <c r="W204"/>
      <c r="X204"/>
    </row>
    <row r="205" spans="1:24" s="59" customFormat="1" ht="15.75">
      <c r="A205" s="55">
        <v>82141</v>
      </c>
      <c r="B205" s="56" t="s">
        <v>3230</v>
      </c>
      <c r="C205" s="57" t="s">
        <v>3034</v>
      </c>
      <c r="D205" s="58">
        <v>30.3</v>
      </c>
      <c r="E205" s="58">
        <v>29.9</v>
      </c>
      <c r="F205" s="58">
        <v>29.9</v>
      </c>
      <c r="G205" s="58">
        <v>30.3</v>
      </c>
      <c r="H205" s="58">
        <v>31</v>
      </c>
      <c r="I205" s="58">
        <v>31.4</v>
      </c>
      <c r="J205" s="58">
        <v>31.3</v>
      </c>
      <c r="K205" s="58">
        <v>31.3</v>
      </c>
      <c r="L205" s="58">
        <v>31.6</v>
      </c>
      <c r="M205" s="58">
        <v>31.9</v>
      </c>
      <c r="N205" s="58">
        <v>32</v>
      </c>
      <c r="O205" s="58">
        <v>31.5</v>
      </c>
      <c r="P205" s="58">
        <v>31</v>
      </c>
      <c r="Q205"/>
      <c r="R205"/>
      <c r="S205"/>
      <c r="T205"/>
      <c r="U205"/>
      <c r="V205"/>
      <c r="W205"/>
      <c r="X205"/>
    </row>
    <row r="206" spans="1:24" s="59" customFormat="1" ht="15.75">
      <c r="A206" s="60">
        <v>82145</v>
      </c>
      <c r="B206" s="61" t="s">
        <v>3231</v>
      </c>
      <c r="C206" s="62" t="s">
        <v>3034</v>
      </c>
      <c r="D206" s="63">
        <v>31.5</v>
      </c>
      <c r="E206" s="63">
        <v>30.5</v>
      </c>
      <c r="F206" s="63">
        <v>30.3</v>
      </c>
      <c r="G206" s="63">
        <v>30.5</v>
      </c>
      <c r="H206" s="63">
        <v>31.1</v>
      </c>
      <c r="I206" s="63">
        <v>31.3</v>
      </c>
      <c r="J206" s="63">
        <v>31.3</v>
      </c>
      <c r="K206" s="63">
        <v>31.7</v>
      </c>
      <c r="L206" s="63">
        <v>32.4</v>
      </c>
      <c r="M206" s="63">
        <v>33</v>
      </c>
      <c r="N206" s="63">
        <v>33.299999999999997</v>
      </c>
      <c r="O206" s="63">
        <v>33</v>
      </c>
      <c r="P206" s="63">
        <v>31.7</v>
      </c>
      <c r="Q206"/>
      <c r="R206"/>
      <c r="S206"/>
      <c r="T206"/>
      <c r="U206"/>
      <c r="V206"/>
      <c r="W206"/>
      <c r="X206"/>
    </row>
    <row r="207" spans="1:24" s="59" customFormat="1" ht="15.75">
      <c r="A207" s="55">
        <v>82361</v>
      </c>
      <c r="B207" s="56" t="s">
        <v>3232</v>
      </c>
      <c r="C207" s="57" t="s">
        <v>3034</v>
      </c>
      <c r="D207" s="58">
        <v>31.9</v>
      </c>
      <c r="E207" s="58">
        <v>31.6</v>
      </c>
      <c r="F207" s="58">
        <v>31.8</v>
      </c>
      <c r="G207" s="58">
        <v>32</v>
      </c>
      <c r="H207" s="58">
        <v>32.5</v>
      </c>
      <c r="I207" s="58">
        <v>32.9</v>
      </c>
      <c r="J207" s="58">
        <v>33.299999999999997</v>
      </c>
      <c r="K207" s="58">
        <v>33.9</v>
      </c>
      <c r="L207" s="58">
        <v>33.9</v>
      </c>
      <c r="M207" s="58">
        <v>33.700000000000003</v>
      </c>
      <c r="N207" s="58">
        <v>33.299999999999997</v>
      </c>
      <c r="O207" s="58">
        <v>32.5</v>
      </c>
      <c r="P207" s="58">
        <v>32.799999999999997</v>
      </c>
      <c r="Q207"/>
      <c r="R207"/>
      <c r="S207"/>
      <c r="T207"/>
      <c r="U207"/>
      <c r="V207"/>
      <c r="W207"/>
      <c r="X207"/>
    </row>
    <row r="208" spans="1:24" s="59" customFormat="1" ht="15.75">
      <c r="A208" s="60">
        <v>82696</v>
      </c>
      <c r="B208" s="61" t="s">
        <v>3233</v>
      </c>
      <c r="C208" s="62" t="s">
        <v>226</v>
      </c>
      <c r="D208" s="63">
        <v>29.1</v>
      </c>
      <c r="E208" s="63">
        <v>29.1</v>
      </c>
      <c r="F208" s="63">
        <v>28.6</v>
      </c>
      <c r="G208" s="63">
        <v>27.6</v>
      </c>
      <c r="H208" s="63">
        <v>26.5</v>
      </c>
      <c r="I208" s="63">
        <v>24.7</v>
      </c>
      <c r="J208" s="63">
        <v>24.3</v>
      </c>
      <c r="K208" s="63">
        <v>24.7</v>
      </c>
      <c r="L208" s="63">
        <v>26.3</v>
      </c>
      <c r="M208" s="63">
        <v>28.3</v>
      </c>
      <c r="N208" s="63">
        <v>29</v>
      </c>
      <c r="O208" s="63">
        <v>29.5</v>
      </c>
      <c r="P208" s="63">
        <v>27.3</v>
      </c>
      <c r="Q208"/>
      <c r="R208"/>
      <c r="S208"/>
      <c r="T208"/>
      <c r="U208"/>
      <c r="V208"/>
      <c r="W208"/>
      <c r="X208"/>
    </row>
    <row r="209" spans="1:24" s="59" customFormat="1" ht="15.75">
      <c r="A209" s="55">
        <v>82795</v>
      </c>
      <c r="B209" s="56" t="s">
        <v>3234</v>
      </c>
      <c r="C209" s="57" t="s">
        <v>226</v>
      </c>
      <c r="D209" s="58">
        <v>30.7</v>
      </c>
      <c r="E209" s="58">
        <v>30.5</v>
      </c>
      <c r="F209" s="58">
        <v>30.1</v>
      </c>
      <c r="G209" s="58">
        <v>29.1</v>
      </c>
      <c r="H209" s="58">
        <v>27.7</v>
      </c>
      <c r="I209" s="58">
        <v>26</v>
      </c>
      <c r="J209" s="58">
        <v>25.6</v>
      </c>
      <c r="K209" s="58">
        <v>26.3</v>
      </c>
      <c r="L209" s="58">
        <v>28</v>
      </c>
      <c r="M209" s="58">
        <v>29.8</v>
      </c>
      <c r="N209" s="58">
        <v>30.5</v>
      </c>
      <c r="O209" s="58">
        <v>30.8</v>
      </c>
      <c r="P209" s="58">
        <v>28.8</v>
      </c>
      <c r="Q209"/>
      <c r="R209"/>
      <c r="S209"/>
      <c r="T209"/>
      <c r="U209"/>
      <c r="V209"/>
      <c r="W209"/>
      <c r="X209"/>
    </row>
    <row r="210" spans="1:24" s="59" customFormat="1" ht="15.75">
      <c r="A210" s="60">
        <v>82798</v>
      </c>
      <c r="B210" s="61" t="s">
        <v>3235</v>
      </c>
      <c r="C210" s="62" t="s">
        <v>226</v>
      </c>
      <c r="D210" s="63">
        <v>30.6</v>
      </c>
      <c r="E210" s="63">
        <v>30.8</v>
      </c>
      <c r="F210" s="63">
        <v>30.9</v>
      </c>
      <c r="G210" s="63">
        <v>30.4</v>
      </c>
      <c r="H210" s="63">
        <v>30</v>
      </c>
      <c r="I210" s="63">
        <v>28.9</v>
      </c>
      <c r="J210" s="63">
        <v>28.4</v>
      </c>
      <c r="K210" s="63">
        <v>28.5</v>
      </c>
      <c r="L210" s="63">
        <v>29.1</v>
      </c>
      <c r="M210" s="63">
        <v>29.8</v>
      </c>
      <c r="N210" s="63">
        <v>30.2</v>
      </c>
      <c r="O210" s="63">
        <v>30.5</v>
      </c>
      <c r="P210" s="63">
        <v>29.8</v>
      </c>
      <c r="Q210"/>
      <c r="R210"/>
      <c r="S210"/>
      <c r="T210"/>
      <c r="U210"/>
      <c r="V210"/>
      <c r="W210"/>
      <c r="X210"/>
    </row>
    <row r="211" spans="1:24" s="59" customFormat="1" ht="15.75">
      <c r="A211" s="55">
        <v>82792</v>
      </c>
      <c r="B211" s="56" t="s">
        <v>3236</v>
      </c>
      <c r="C211" s="57" t="s">
        <v>226</v>
      </c>
      <c r="D211" s="58">
        <v>32.6</v>
      </c>
      <c r="E211" s="58">
        <v>32.200000000000003</v>
      </c>
      <c r="F211" s="58">
        <v>31.7</v>
      </c>
      <c r="G211" s="58">
        <v>30.7</v>
      </c>
      <c r="H211" s="58">
        <v>29.5</v>
      </c>
      <c r="I211" s="58">
        <v>28.1</v>
      </c>
      <c r="J211" s="58">
        <v>28</v>
      </c>
      <c r="K211" s="58">
        <v>29.1</v>
      </c>
      <c r="L211" s="58">
        <v>31.1</v>
      </c>
      <c r="M211" s="58">
        <v>32.5</v>
      </c>
      <c r="N211" s="58">
        <v>33</v>
      </c>
      <c r="O211" s="58">
        <v>33</v>
      </c>
      <c r="P211" s="58">
        <v>31</v>
      </c>
      <c r="Q211"/>
      <c r="R211"/>
      <c r="S211"/>
      <c r="T211"/>
      <c r="U211"/>
      <c r="V211"/>
      <c r="W211"/>
      <c r="X211"/>
    </row>
    <row r="212" spans="1:24" s="59" customFormat="1" ht="15.75">
      <c r="A212" s="60">
        <v>82791</v>
      </c>
      <c r="B212" s="61" t="s">
        <v>3237</v>
      </c>
      <c r="C212" s="62" t="s">
        <v>226</v>
      </c>
      <c r="D212" s="63">
        <v>34.9</v>
      </c>
      <c r="E212" s="63">
        <v>34.299999999999997</v>
      </c>
      <c r="F212" s="63">
        <v>33.6</v>
      </c>
      <c r="G212" s="63">
        <v>33.1</v>
      </c>
      <c r="H212" s="63">
        <v>32.700000000000003</v>
      </c>
      <c r="I212" s="63">
        <v>32.1</v>
      </c>
      <c r="J212" s="63">
        <v>32.299999999999997</v>
      </c>
      <c r="K212" s="63">
        <v>33.200000000000003</v>
      </c>
      <c r="L212" s="63">
        <v>34.799999999999997</v>
      </c>
      <c r="M212" s="63">
        <v>35.9</v>
      </c>
      <c r="N212" s="63">
        <v>36.200000000000003</v>
      </c>
      <c r="O212" s="63">
        <v>36</v>
      </c>
      <c r="P212" s="63">
        <v>34.1</v>
      </c>
      <c r="Q212"/>
      <c r="R212"/>
      <c r="S212"/>
      <c r="T212"/>
      <c r="U212"/>
      <c r="V212"/>
      <c r="W212"/>
      <c r="X212"/>
    </row>
    <row r="213" spans="1:24" s="59" customFormat="1" ht="15.75">
      <c r="A213" s="55">
        <v>82689</v>
      </c>
      <c r="B213" s="56" t="s">
        <v>3238</v>
      </c>
      <c r="C213" s="57" t="s">
        <v>226</v>
      </c>
      <c r="D213" s="58">
        <v>33.6</v>
      </c>
      <c r="E213" s="58">
        <v>32.6</v>
      </c>
      <c r="F213" s="58">
        <v>32.1</v>
      </c>
      <c r="G213" s="58">
        <v>31.6</v>
      </c>
      <c r="H213" s="58">
        <v>31.2</v>
      </c>
      <c r="I213" s="58">
        <v>31.3</v>
      </c>
      <c r="J213" s="58">
        <v>31.9</v>
      </c>
      <c r="K213" s="58">
        <v>33.200000000000003</v>
      </c>
      <c r="L213" s="58">
        <v>34.700000000000003</v>
      </c>
      <c r="M213" s="58">
        <v>35.4</v>
      </c>
      <c r="N213" s="58">
        <v>35.4</v>
      </c>
      <c r="O213" s="58">
        <v>34.700000000000003</v>
      </c>
      <c r="P213" s="58">
        <v>33.1</v>
      </c>
      <c r="Q213"/>
      <c r="R213"/>
      <c r="S213"/>
      <c r="T213"/>
      <c r="U213"/>
      <c r="V213"/>
      <c r="W213"/>
      <c r="X213"/>
    </row>
    <row r="214" spans="1:24" s="59" customFormat="1" ht="15.75">
      <c r="A214" s="60">
        <v>82890</v>
      </c>
      <c r="B214" s="61" t="s">
        <v>3239</v>
      </c>
      <c r="C214" s="62" t="s">
        <v>3037</v>
      </c>
      <c r="D214" s="63">
        <v>31.4</v>
      </c>
      <c r="E214" s="63">
        <v>31.4</v>
      </c>
      <c r="F214" s="63">
        <v>30.7</v>
      </c>
      <c r="G214" s="63">
        <v>29.4</v>
      </c>
      <c r="H214" s="63">
        <v>27.9</v>
      </c>
      <c r="I214" s="63">
        <v>26.1</v>
      </c>
      <c r="J214" s="63">
        <v>25.4</v>
      </c>
      <c r="K214" s="63">
        <v>26.6</v>
      </c>
      <c r="L214" s="63">
        <v>29</v>
      </c>
      <c r="M214" s="63">
        <v>31.4</v>
      </c>
      <c r="N214" s="63">
        <v>32.299999999999997</v>
      </c>
      <c r="O214" s="63">
        <v>32.200000000000003</v>
      </c>
      <c r="P214" s="63">
        <v>29.5</v>
      </c>
      <c r="Q214"/>
      <c r="R214"/>
      <c r="S214"/>
      <c r="T214"/>
      <c r="U214"/>
      <c r="V214"/>
      <c r="W214"/>
      <c r="X214"/>
    </row>
    <row r="215" spans="1:24" s="59" customFormat="1" ht="15.75">
      <c r="A215" s="55">
        <v>82886</v>
      </c>
      <c r="B215" s="56" t="s">
        <v>3240</v>
      </c>
      <c r="C215" s="57" t="s">
        <v>3037</v>
      </c>
      <c r="D215" s="58">
        <v>33.4</v>
      </c>
      <c r="E215" s="58">
        <v>33</v>
      </c>
      <c r="F215" s="58">
        <v>32.4</v>
      </c>
      <c r="G215" s="58">
        <v>31.8</v>
      </c>
      <c r="H215" s="58">
        <v>31.1</v>
      </c>
      <c r="I215" s="58" t="s">
        <v>77</v>
      </c>
      <c r="J215" s="58">
        <v>29.5</v>
      </c>
      <c r="K215" s="58">
        <v>30.6</v>
      </c>
      <c r="L215" s="58">
        <v>32.5</v>
      </c>
      <c r="M215" s="58">
        <v>34.299999999999997</v>
      </c>
      <c r="N215" s="58">
        <v>34.799999999999997</v>
      </c>
      <c r="O215" s="58">
        <v>34.299999999999997</v>
      </c>
      <c r="P215" s="58" t="s">
        <v>77</v>
      </c>
      <c r="Q215"/>
      <c r="R215"/>
      <c r="S215"/>
      <c r="T215"/>
      <c r="U215"/>
      <c r="V215"/>
      <c r="W215"/>
      <c r="X215"/>
    </row>
    <row r="216" spans="1:24" s="59" customFormat="1" ht="15.75">
      <c r="A216" s="60">
        <v>82893</v>
      </c>
      <c r="B216" s="61" t="s">
        <v>3241</v>
      </c>
      <c r="C216" s="62" t="s">
        <v>3037</v>
      </c>
      <c r="D216" s="63">
        <v>29</v>
      </c>
      <c r="E216" s="63">
        <v>28.7</v>
      </c>
      <c r="F216" s="63">
        <v>28.5</v>
      </c>
      <c r="G216" s="63">
        <v>26.8</v>
      </c>
      <c r="H216" s="63">
        <v>25.2</v>
      </c>
      <c r="I216" s="63">
        <v>23.4</v>
      </c>
      <c r="J216" s="63">
        <v>22.6</v>
      </c>
      <c r="K216" s="63">
        <v>23.1</v>
      </c>
      <c r="L216" s="63">
        <v>24.9</v>
      </c>
      <c r="M216" s="63">
        <v>27.2</v>
      </c>
      <c r="N216" s="63">
        <v>28.7</v>
      </c>
      <c r="O216" s="63">
        <v>29.1</v>
      </c>
      <c r="P216" s="63">
        <v>26.4</v>
      </c>
      <c r="Q216"/>
      <c r="R216"/>
      <c r="S216"/>
      <c r="T216"/>
      <c r="U216"/>
      <c r="V216"/>
      <c r="W216"/>
      <c r="X216"/>
    </row>
    <row r="217" spans="1:24" s="59" customFormat="1" ht="15.75">
      <c r="A217" s="55">
        <v>82753</v>
      </c>
      <c r="B217" s="56" t="s">
        <v>3242</v>
      </c>
      <c r="C217" s="57" t="s">
        <v>3037</v>
      </c>
      <c r="D217" s="58">
        <v>31.9</v>
      </c>
      <c r="E217" s="58">
        <v>31.2</v>
      </c>
      <c r="F217" s="58">
        <v>31.1</v>
      </c>
      <c r="G217" s="58">
        <v>30.3</v>
      </c>
      <c r="H217" s="58">
        <v>30.4</v>
      </c>
      <c r="I217" s="58">
        <v>29.6</v>
      </c>
      <c r="J217" s="58">
        <v>29.6</v>
      </c>
      <c r="K217" s="58">
        <v>30.8</v>
      </c>
      <c r="L217" s="58">
        <v>32.799999999999997</v>
      </c>
      <c r="M217" s="58">
        <v>34.4</v>
      </c>
      <c r="N217" s="58">
        <v>34.6</v>
      </c>
      <c r="O217" s="58">
        <v>33.4</v>
      </c>
      <c r="P217" s="58">
        <v>31.7</v>
      </c>
      <c r="Q217"/>
      <c r="R217"/>
      <c r="S217"/>
      <c r="T217"/>
      <c r="U217"/>
      <c r="V217"/>
      <c r="W217"/>
      <c r="X217"/>
    </row>
    <row r="218" spans="1:24" s="59" customFormat="1" ht="15.75">
      <c r="A218" s="60">
        <v>82892</v>
      </c>
      <c r="B218" s="61" t="s">
        <v>3243</v>
      </c>
      <c r="C218" s="62" t="s">
        <v>3037</v>
      </c>
      <c r="D218" s="63">
        <v>31.4</v>
      </c>
      <c r="E218" s="63">
        <v>31</v>
      </c>
      <c r="F218" s="63">
        <v>30.9</v>
      </c>
      <c r="G218" s="63">
        <v>29.5</v>
      </c>
      <c r="H218" s="63">
        <v>28.2</v>
      </c>
      <c r="I218" s="63">
        <v>26.5</v>
      </c>
      <c r="J218" s="63">
        <v>25.8</v>
      </c>
      <c r="K218" s="63">
        <v>26.7</v>
      </c>
      <c r="L218" s="63">
        <v>28.5</v>
      </c>
      <c r="M218" s="63">
        <v>30.4</v>
      </c>
      <c r="N218" s="63">
        <v>31.2</v>
      </c>
      <c r="O218" s="63">
        <v>31.4</v>
      </c>
      <c r="P218" s="63">
        <v>29.3</v>
      </c>
      <c r="Q218"/>
      <c r="R218"/>
      <c r="S218"/>
      <c r="T218"/>
      <c r="U218"/>
      <c r="V218"/>
      <c r="W218"/>
      <c r="X218"/>
    </row>
    <row r="219" spans="1:24" s="59" customFormat="1" ht="15.75">
      <c r="A219" s="55">
        <v>82983</v>
      </c>
      <c r="B219" s="56" t="s">
        <v>3244</v>
      </c>
      <c r="C219" s="57" t="s">
        <v>3037</v>
      </c>
      <c r="D219" s="58">
        <v>33.299999999999997</v>
      </c>
      <c r="E219" s="58">
        <v>33</v>
      </c>
      <c r="F219" s="58">
        <v>32.6</v>
      </c>
      <c r="G219" s="58">
        <v>32.200000000000003</v>
      </c>
      <c r="H219" s="58">
        <v>31.4</v>
      </c>
      <c r="I219" s="58">
        <v>30</v>
      </c>
      <c r="J219" s="58">
        <v>29.7</v>
      </c>
      <c r="K219" s="58">
        <v>30.7</v>
      </c>
      <c r="L219" s="58">
        <v>32.700000000000003</v>
      </c>
      <c r="M219" s="58">
        <v>34.1</v>
      </c>
      <c r="N219" s="58">
        <v>34.200000000000003</v>
      </c>
      <c r="O219" s="58">
        <v>33.9</v>
      </c>
      <c r="P219" s="58">
        <v>32.299999999999997</v>
      </c>
      <c r="Q219"/>
      <c r="R219"/>
      <c r="S219"/>
      <c r="T219"/>
      <c r="U219"/>
      <c r="V219"/>
      <c r="W219"/>
      <c r="X219"/>
    </row>
    <row r="220" spans="1:24" s="59" customFormat="1" ht="15.75">
      <c r="A220" s="60">
        <v>82900</v>
      </c>
      <c r="B220" s="61" t="s">
        <v>3245</v>
      </c>
      <c r="C220" s="62" t="s">
        <v>3037</v>
      </c>
      <c r="D220" s="63">
        <v>30.6</v>
      </c>
      <c r="E220" s="63">
        <v>30.7</v>
      </c>
      <c r="F220" s="63">
        <v>30.7</v>
      </c>
      <c r="G220" s="63">
        <v>30.1</v>
      </c>
      <c r="H220" s="63">
        <v>29.4</v>
      </c>
      <c r="I220" s="63">
        <v>28.3</v>
      </c>
      <c r="J220" s="63">
        <v>27.7</v>
      </c>
      <c r="K220" s="63">
        <v>27.8</v>
      </c>
      <c r="L220" s="63">
        <v>28.4</v>
      </c>
      <c r="M220" s="63">
        <v>29.4</v>
      </c>
      <c r="N220" s="63">
        <v>30.1</v>
      </c>
      <c r="O220" s="63">
        <v>30.5</v>
      </c>
      <c r="P220" s="63">
        <v>29.5</v>
      </c>
      <c r="Q220"/>
      <c r="R220"/>
      <c r="S220"/>
      <c r="T220"/>
      <c r="U220"/>
      <c r="V220"/>
      <c r="W220"/>
      <c r="X220"/>
    </row>
    <row r="221" spans="1:24" s="59" customFormat="1" ht="15.75">
      <c r="A221" s="55">
        <v>82797</v>
      </c>
      <c r="B221" s="56" t="s">
        <v>3246</v>
      </c>
      <c r="C221" s="57" t="s">
        <v>3037</v>
      </c>
      <c r="D221" s="58">
        <v>31.8</v>
      </c>
      <c r="E221" s="58">
        <v>31.8</v>
      </c>
      <c r="F221" s="58">
        <v>31.4</v>
      </c>
      <c r="G221" s="58">
        <v>30.4</v>
      </c>
      <c r="H221" s="58">
        <v>29</v>
      </c>
      <c r="I221" s="58">
        <v>27</v>
      </c>
      <c r="J221" s="58">
        <v>26.4</v>
      </c>
      <c r="K221" s="58">
        <v>26.9</v>
      </c>
      <c r="L221" s="58">
        <v>28.9</v>
      </c>
      <c r="M221" s="58">
        <v>30.8</v>
      </c>
      <c r="N221" s="58">
        <v>31.8</v>
      </c>
      <c r="O221" s="58">
        <v>32</v>
      </c>
      <c r="P221" s="58">
        <v>29.9</v>
      </c>
      <c r="Q221"/>
      <c r="R221"/>
      <c r="S221"/>
      <c r="T221"/>
      <c r="U221"/>
      <c r="V221"/>
      <c r="W221"/>
      <c r="X221"/>
    </row>
    <row r="222" spans="1:24" s="59" customFormat="1" ht="15.75">
      <c r="A222" s="60">
        <v>82789</v>
      </c>
      <c r="B222" s="61" t="s">
        <v>3247</v>
      </c>
      <c r="C222" s="62" t="s">
        <v>3037</v>
      </c>
      <c r="D222" s="63">
        <v>28.4</v>
      </c>
      <c r="E222" s="63">
        <v>27.5</v>
      </c>
      <c r="F222" s="63">
        <v>27</v>
      </c>
      <c r="G222" s="63">
        <v>26</v>
      </c>
      <c r="H222" s="63">
        <v>25.1</v>
      </c>
      <c r="I222" s="63">
        <v>23.4</v>
      </c>
      <c r="J222" s="63">
        <v>23.5</v>
      </c>
      <c r="K222" s="63">
        <v>24.8</v>
      </c>
      <c r="L222" s="63">
        <v>27.4</v>
      </c>
      <c r="M222" s="63">
        <v>29.4</v>
      </c>
      <c r="N222" s="63">
        <v>29.7</v>
      </c>
      <c r="O222" s="63">
        <v>29.3</v>
      </c>
      <c r="P222" s="63">
        <v>26.8</v>
      </c>
      <c r="Q222"/>
      <c r="R222"/>
      <c r="S222"/>
      <c r="T222"/>
      <c r="U222"/>
      <c r="V222"/>
      <c r="W222"/>
      <c r="X222"/>
    </row>
    <row r="223" spans="1:24" s="59" customFormat="1" ht="15.75">
      <c r="A223" s="55">
        <v>82975</v>
      </c>
      <c r="B223" s="56" t="s">
        <v>3248</v>
      </c>
      <c r="C223" s="57" t="s">
        <v>3038</v>
      </c>
      <c r="D223" s="58">
        <v>32.700000000000003</v>
      </c>
      <c r="E223" s="58">
        <v>32.700000000000003</v>
      </c>
      <c r="F223" s="58">
        <v>32.299999999999997</v>
      </c>
      <c r="G223" s="58">
        <v>32.6</v>
      </c>
      <c r="H223" s="58">
        <v>33.4</v>
      </c>
      <c r="I223" s="58">
        <v>33.700000000000003</v>
      </c>
      <c r="J223" s="58">
        <v>34</v>
      </c>
      <c r="K223" s="58">
        <v>34.9</v>
      </c>
      <c r="L223" s="58">
        <v>36.200000000000003</v>
      </c>
      <c r="M223" s="58">
        <v>35.799999999999997</v>
      </c>
      <c r="N223" s="58">
        <v>34.5</v>
      </c>
      <c r="O223" s="58">
        <v>33.4</v>
      </c>
      <c r="P223" s="58">
        <v>33.9</v>
      </c>
      <c r="Q223"/>
      <c r="R223"/>
      <c r="S223"/>
      <c r="T223"/>
      <c r="U223"/>
      <c r="V223"/>
      <c r="W223"/>
      <c r="X223"/>
    </row>
    <row r="224" spans="1:24" s="59" customFormat="1" ht="15.75">
      <c r="A224" s="60">
        <v>82474</v>
      </c>
      <c r="B224" s="61" t="s">
        <v>3249</v>
      </c>
      <c r="C224" s="62" t="s">
        <v>3038</v>
      </c>
      <c r="D224" s="63">
        <v>33.700000000000003</v>
      </c>
      <c r="E224" s="63">
        <v>32.5</v>
      </c>
      <c r="F224" s="63">
        <v>31.7</v>
      </c>
      <c r="G224" s="63">
        <v>31.5</v>
      </c>
      <c r="H224" s="63">
        <v>32.1</v>
      </c>
      <c r="I224" s="63">
        <v>32.799999999999997</v>
      </c>
      <c r="J224" s="63">
        <v>34</v>
      </c>
      <c r="K224" s="63">
        <v>35.799999999999997</v>
      </c>
      <c r="L224" s="63">
        <v>37.200000000000003</v>
      </c>
      <c r="M224" s="63">
        <v>37.6</v>
      </c>
      <c r="N224" s="63">
        <v>37.299999999999997</v>
      </c>
      <c r="O224" s="63">
        <v>36</v>
      </c>
      <c r="P224" s="63">
        <v>34.4</v>
      </c>
      <c r="Q224"/>
      <c r="R224"/>
      <c r="S224"/>
      <c r="T224"/>
      <c r="U224"/>
      <c r="V224"/>
      <c r="W224"/>
      <c r="X224"/>
    </row>
    <row r="225" spans="1:24" s="59" customFormat="1" ht="15.75">
      <c r="A225" s="55">
        <v>82976</v>
      </c>
      <c r="B225" s="56" t="s">
        <v>3250</v>
      </c>
      <c r="C225" s="57" t="s">
        <v>3038</v>
      </c>
      <c r="D225" s="58">
        <v>30.6</v>
      </c>
      <c r="E225" s="58">
        <v>30.4</v>
      </c>
      <c r="F225" s="58">
        <v>30.2</v>
      </c>
      <c r="G225" s="58">
        <v>30.5</v>
      </c>
      <c r="H225" s="58">
        <v>30.9</v>
      </c>
      <c r="I225" s="58">
        <v>30.8</v>
      </c>
      <c r="J225" s="58">
        <v>31.1</v>
      </c>
      <c r="K225" s="58">
        <v>32.299999999999997</v>
      </c>
      <c r="L225" s="58">
        <v>33.9</v>
      </c>
      <c r="M225" s="58">
        <v>34.4</v>
      </c>
      <c r="N225" s="58">
        <v>33</v>
      </c>
      <c r="O225" s="58">
        <v>31.4</v>
      </c>
      <c r="P225" s="58">
        <v>31.6</v>
      </c>
      <c r="Q225"/>
      <c r="R225"/>
      <c r="S225"/>
      <c r="T225"/>
      <c r="U225"/>
      <c r="V225"/>
      <c r="W225"/>
      <c r="X225"/>
    </row>
    <row r="226" spans="1:24" s="59" customFormat="1" ht="15.75">
      <c r="A226" s="60">
        <v>82298</v>
      </c>
      <c r="B226" s="61" t="s">
        <v>3251</v>
      </c>
      <c r="C226" s="62" t="s">
        <v>3038</v>
      </c>
      <c r="D226" s="63">
        <v>33.299999999999997</v>
      </c>
      <c r="E226" s="63">
        <v>32.1</v>
      </c>
      <c r="F226" s="63">
        <v>31.7</v>
      </c>
      <c r="G226" s="63">
        <v>31.4</v>
      </c>
      <c r="H226" s="63">
        <v>31.7</v>
      </c>
      <c r="I226" s="63">
        <v>32.1</v>
      </c>
      <c r="J226" s="63">
        <v>33.200000000000003</v>
      </c>
      <c r="K226" s="63">
        <v>35</v>
      </c>
      <c r="L226" s="63">
        <v>36.700000000000003</v>
      </c>
      <c r="M226" s="63">
        <v>37.299999999999997</v>
      </c>
      <c r="N226" s="63">
        <v>37</v>
      </c>
      <c r="O226" s="63">
        <v>35.799999999999997</v>
      </c>
      <c r="P226" s="63">
        <v>33.9</v>
      </c>
      <c r="Q226"/>
      <c r="R226"/>
      <c r="S226"/>
      <c r="T226"/>
      <c r="U226"/>
      <c r="V226"/>
      <c r="W226"/>
      <c r="X226"/>
    </row>
    <row r="227" spans="1:24" s="59" customFormat="1" ht="15.75">
      <c r="A227" s="55">
        <v>82678</v>
      </c>
      <c r="B227" s="56" t="s">
        <v>3252</v>
      </c>
      <c r="C227" s="57" t="s">
        <v>3038</v>
      </c>
      <c r="D227" s="58">
        <v>32.4</v>
      </c>
      <c r="E227" s="58">
        <v>31.8</v>
      </c>
      <c r="F227" s="58">
        <v>32.1</v>
      </c>
      <c r="G227" s="58">
        <v>32.6</v>
      </c>
      <c r="H227" s="58">
        <v>33.1</v>
      </c>
      <c r="I227" s="58">
        <v>33.700000000000003</v>
      </c>
      <c r="J227" s="58">
        <v>34.700000000000003</v>
      </c>
      <c r="K227" s="58">
        <v>36.200000000000003</v>
      </c>
      <c r="L227" s="58">
        <v>37.5</v>
      </c>
      <c r="M227" s="58">
        <v>37.299999999999997</v>
      </c>
      <c r="N227" s="58">
        <v>35.4</v>
      </c>
      <c r="O227" s="58">
        <v>33.5</v>
      </c>
      <c r="P227" s="58">
        <v>34.200000000000003</v>
      </c>
      <c r="Q227"/>
      <c r="R227"/>
      <c r="S227"/>
      <c r="T227"/>
      <c r="U227"/>
      <c r="V227"/>
      <c r="W227"/>
      <c r="X227"/>
    </row>
    <row r="228" spans="1:24" s="59" customFormat="1" ht="15.75">
      <c r="A228" s="60">
        <v>82296</v>
      </c>
      <c r="B228" s="61" t="s">
        <v>3253</v>
      </c>
      <c r="C228" s="62" t="s">
        <v>3038</v>
      </c>
      <c r="D228" s="63">
        <v>32.9</v>
      </c>
      <c r="E228" s="63">
        <v>31.9</v>
      </c>
      <c r="F228" s="63">
        <v>31.2</v>
      </c>
      <c r="G228" s="63">
        <v>31.4</v>
      </c>
      <c r="H228" s="63">
        <v>32</v>
      </c>
      <c r="I228" s="63">
        <v>32.200000000000003</v>
      </c>
      <c r="J228" s="63">
        <v>33.4</v>
      </c>
      <c r="K228" s="63">
        <v>35.5</v>
      </c>
      <c r="L228" s="63">
        <v>36.5</v>
      </c>
      <c r="M228" s="63">
        <v>37.299999999999997</v>
      </c>
      <c r="N228" s="63">
        <v>36.5</v>
      </c>
      <c r="O228" s="63">
        <v>35.6</v>
      </c>
      <c r="P228" s="63">
        <v>33.9</v>
      </c>
      <c r="Q228"/>
      <c r="R228"/>
      <c r="S228"/>
      <c r="T228"/>
      <c r="U228"/>
      <c r="V228"/>
      <c r="W228"/>
      <c r="X228"/>
    </row>
    <row r="229" spans="1:24" s="59" customFormat="1" ht="15.75">
      <c r="A229" s="55">
        <v>82684</v>
      </c>
      <c r="B229" s="56" t="s">
        <v>3254</v>
      </c>
      <c r="C229" s="57" t="s">
        <v>3038</v>
      </c>
      <c r="D229" s="58">
        <v>32.9</v>
      </c>
      <c r="E229" s="58">
        <v>32.5</v>
      </c>
      <c r="F229" s="58">
        <v>32</v>
      </c>
      <c r="G229" s="58">
        <v>32.799999999999997</v>
      </c>
      <c r="H229" s="58">
        <v>33.200000000000003</v>
      </c>
      <c r="I229" s="58">
        <v>33.4</v>
      </c>
      <c r="J229" s="58">
        <v>33.700000000000003</v>
      </c>
      <c r="K229" s="58">
        <v>34.799999999999997</v>
      </c>
      <c r="L229" s="58">
        <v>36.4</v>
      </c>
      <c r="M229" s="58">
        <v>37</v>
      </c>
      <c r="N229" s="58">
        <v>36</v>
      </c>
      <c r="O229" s="58">
        <v>34.299999999999997</v>
      </c>
      <c r="P229" s="58">
        <v>34.1</v>
      </c>
      <c r="Q229"/>
      <c r="R229"/>
      <c r="S229"/>
      <c r="T229"/>
      <c r="U229"/>
      <c r="V229"/>
      <c r="W229"/>
      <c r="X229"/>
    </row>
    <row r="230" spans="1:24" s="59" customFormat="1" ht="15.75">
      <c r="A230" s="60">
        <v>82287</v>
      </c>
      <c r="B230" s="61" t="s">
        <v>3255</v>
      </c>
      <c r="C230" s="62" t="s">
        <v>3038</v>
      </c>
      <c r="D230" s="63">
        <v>32.1</v>
      </c>
      <c r="E230" s="63">
        <v>31.4</v>
      </c>
      <c r="F230" s="63">
        <v>30.9</v>
      </c>
      <c r="G230" s="63">
        <v>30.9</v>
      </c>
      <c r="H230" s="63">
        <v>31.2</v>
      </c>
      <c r="I230" s="63">
        <v>31.7</v>
      </c>
      <c r="J230" s="63">
        <v>32.200000000000003</v>
      </c>
      <c r="K230" s="63">
        <v>33.4</v>
      </c>
      <c r="L230" s="63">
        <v>33.9</v>
      </c>
      <c r="M230" s="63">
        <v>33.700000000000003</v>
      </c>
      <c r="N230" s="63">
        <v>33.6</v>
      </c>
      <c r="O230" s="63">
        <v>33.200000000000003</v>
      </c>
      <c r="P230" s="63">
        <v>32.4</v>
      </c>
      <c r="Q230"/>
      <c r="R230"/>
      <c r="S230"/>
      <c r="T230"/>
      <c r="U230"/>
      <c r="V230"/>
      <c r="W230"/>
      <c r="X230"/>
    </row>
    <row r="231" spans="1:24" s="59" customFormat="1" ht="15.75">
      <c r="A231" s="55">
        <v>82882</v>
      </c>
      <c r="B231" s="56" t="s">
        <v>3256</v>
      </c>
      <c r="C231" s="57" t="s">
        <v>3038</v>
      </c>
      <c r="D231" s="58">
        <v>32.4</v>
      </c>
      <c r="E231" s="58">
        <v>32</v>
      </c>
      <c r="F231" s="58">
        <v>31.5</v>
      </c>
      <c r="G231" s="58">
        <v>31.7</v>
      </c>
      <c r="H231" s="58">
        <v>32</v>
      </c>
      <c r="I231" s="58">
        <v>31.4</v>
      </c>
      <c r="J231" s="58">
        <v>31.4</v>
      </c>
      <c r="K231" s="58">
        <v>32.5</v>
      </c>
      <c r="L231" s="58">
        <v>34.4</v>
      </c>
      <c r="M231" s="58">
        <v>35.6</v>
      </c>
      <c r="N231" s="58">
        <v>35</v>
      </c>
      <c r="O231" s="58">
        <v>33.9</v>
      </c>
      <c r="P231" s="58">
        <v>32.799999999999997</v>
      </c>
      <c r="Q231"/>
      <c r="R231"/>
      <c r="S231"/>
      <c r="T231"/>
      <c r="U231"/>
      <c r="V231"/>
      <c r="W231"/>
      <c r="X231"/>
    </row>
    <row r="232" spans="1:24" s="59" customFormat="1" ht="15.75">
      <c r="A232" s="60">
        <v>82780</v>
      </c>
      <c r="B232" s="61" t="s">
        <v>3257</v>
      </c>
      <c r="C232" s="62" t="s">
        <v>3038</v>
      </c>
      <c r="D232" s="63">
        <v>33.299999999999997</v>
      </c>
      <c r="E232" s="63">
        <v>32.6</v>
      </c>
      <c r="F232" s="63">
        <v>32.200000000000003</v>
      </c>
      <c r="G232" s="63">
        <v>32.299999999999997</v>
      </c>
      <c r="H232" s="63">
        <v>33</v>
      </c>
      <c r="I232" s="63">
        <v>33.4</v>
      </c>
      <c r="J232" s="63">
        <v>33.700000000000003</v>
      </c>
      <c r="K232" s="63">
        <v>35</v>
      </c>
      <c r="L232" s="63">
        <v>36.6</v>
      </c>
      <c r="M232" s="63">
        <v>37.4</v>
      </c>
      <c r="N232" s="63">
        <v>36.799999999999997</v>
      </c>
      <c r="O232" s="63">
        <v>35.299999999999997</v>
      </c>
      <c r="P232" s="63">
        <v>34.299999999999997</v>
      </c>
      <c r="Q232"/>
      <c r="R232"/>
      <c r="S232"/>
      <c r="T232"/>
      <c r="U232"/>
      <c r="V232"/>
      <c r="W232"/>
      <c r="X232"/>
    </row>
    <row r="233" spans="1:24" s="59" customFormat="1" ht="15.75">
      <c r="A233" s="55">
        <v>82480</v>
      </c>
      <c r="B233" s="56" t="s">
        <v>3258</v>
      </c>
      <c r="C233" s="57" t="s">
        <v>3038</v>
      </c>
      <c r="D233" s="58">
        <v>33.6</v>
      </c>
      <c r="E233" s="58">
        <v>32.5</v>
      </c>
      <c r="F233" s="58">
        <v>31.9</v>
      </c>
      <c r="G233" s="58">
        <v>31.5</v>
      </c>
      <c r="H233" s="58">
        <v>32</v>
      </c>
      <c r="I233" s="58">
        <v>32.5</v>
      </c>
      <c r="J233" s="58">
        <v>33.9</v>
      </c>
      <c r="K233" s="58">
        <v>35.5</v>
      </c>
      <c r="L233" s="58">
        <v>37</v>
      </c>
      <c r="M233" s="58">
        <v>37.4</v>
      </c>
      <c r="N233" s="58">
        <v>36.9</v>
      </c>
      <c r="O233" s="58">
        <v>35.9</v>
      </c>
      <c r="P233" s="58">
        <v>34.200000000000003</v>
      </c>
      <c r="Q233"/>
      <c r="R233"/>
      <c r="S233"/>
      <c r="T233"/>
      <c r="U233"/>
      <c r="V233"/>
      <c r="W233"/>
      <c r="X233"/>
    </row>
    <row r="234" spans="1:24" s="59" customFormat="1" ht="15.75">
      <c r="A234" s="60">
        <v>82879</v>
      </c>
      <c r="B234" s="61" t="s">
        <v>3259</v>
      </c>
      <c r="C234" s="62" t="s">
        <v>3038</v>
      </c>
      <c r="D234" s="63">
        <v>32.700000000000003</v>
      </c>
      <c r="E234" s="63">
        <v>32.6</v>
      </c>
      <c r="F234" s="63">
        <v>31.9</v>
      </c>
      <c r="G234" s="63">
        <v>32.700000000000003</v>
      </c>
      <c r="H234" s="63">
        <v>33.5</v>
      </c>
      <c r="I234" s="63">
        <v>33.200000000000003</v>
      </c>
      <c r="J234" s="63">
        <v>33.299999999999997</v>
      </c>
      <c r="K234" s="63">
        <v>34.5</v>
      </c>
      <c r="L234" s="63">
        <v>36.1</v>
      </c>
      <c r="M234" s="63">
        <v>36.6</v>
      </c>
      <c r="N234" s="63">
        <v>35.5</v>
      </c>
      <c r="O234" s="63">
        <v>34</v>
      </c>
      <c r="P234" s="63">
        <v>33.9</v>
      </c>
      <c r="Q234"/>
      <c r="R234"/>
      <c r="S234"/>
      <c r="T234"/>
      <c r="U234"/>
      <c r="V234"/>
      <c r="W234"/>
      <c r="X234"/>
    </row>
    <row r="235" spans="1:24" s="59" customFormat="1" ht="15.75">
      <c r="A235" s="55">
        <v>82578</v>
      </c>
      <c r="B235" s="56" t="s">
        <v>3260</v>
      </c>
      <c r="C235" s="57" t="s">
        <v>3038</v>
      </c>
      <c r="D235" s="58">
        <v>32.5</v>
      </c>
      <c r="E235" s="58">
        <v>32</v>
      </c>
      <c r="F235" s="58">
        <v>31.9</v>
      </c>
      <c r="G235" s="58">
        <v>31.8</v>
      </c>
      <c r="H235" s="58">
        <v>32.200000000000003</v>
      </c>
      <c r="I235" s="58">
        <v>32.5</v>
      </c>
      <c r="J235" s="58">
        <v>33.6</v>
      </c>
      <c r="K235" s="58">
        <v>35.4</v>
      </c>
      <c r="L235" s="58">
        <v>36.6</v>
      </c>
      <c r="M235" s="58">
        <v>37.200000000000003</v>
      </c>
      <c r="N235" s="58">
        <v>36.200000000000003</v>
      </c>
      <c r="O235" s="58">
        <v>34.799999999999997</v>
      </c>
      <c r="P235" s="58">
        <v>33.9</v>
      </c>
      <c r="Q235"/>
      <c r="R235"/>
      <c r="S235"/>
      <c r="T235"/>
      <c r="U235"/>
      <c r="V235"/>
      <c r="W235"/>
      <c r="X235"/>
    </row>
    <row r="236" spans="1:24" s="59" customFormat="1" ht="15.75">
      <c r="A236" s="60">
        <v>82870</v>
      </c>
      <c r="B236" s="61" t="s">
        <v>3261</v>
      </c>
      <c r="C236" s="62" t="s">
        <v>3038</v>
      </c>
      <c r="D236" s="63">
        <v>32.200000000000003</v>
      </c>
      <c r="E236" s="63">
        <v>31.8</v>
      </c>
      <c r="F236" s="63">
        <v>31.6</v>
      </c>
      <c r="G236" s="63">
        <v>32.5</v>
      </c>
      <c r="H236" s="63">
        <v>33.299999999999997</v>
      </c>
      <c r="I236" s="63">
        <v>33.700000000000003</v>
      </c>
      <c r="J236" s="63">
        <v>34.6</v>
      </c>
      <c r="K236" s="63">
        <v>36</v>
      </c>
      <c r="L236" s="63">
        <v>37.200000000000003</v>
      </c>
      <c r="M236" s="63">
        <v>36.5</v>
      </c>
      <c r="N236" s="63">
        <v>34.799999999999997</v>
      </c>
      <c r="O236" s="63">
        <v>32.799999999999997</v>
      </c>
      <c r="P236" s="63">
        <v>33.9</v>
      </c>
      <c r="Q236"/>
      <c r="R236"/>
      <c r="S236"/>
      <c r="T236"/>
      <c r="U236"/>
      <c r="V236"/>
      <c r="W236"/>
      <c r="X236"/>
    </row>
    <row r="237" spans="1:24" s="59" customFormat="1" ht="15.75">
      <c r="A237" s="55">
        <v>83783</v>
      </c>
      <c r="B237" s="56" t="s">
        <v>3262</v>
      </c>
      <c r="C237" s="57" t="s">
        <v>2582</v>
      </c>
      <c r="D237" s="58">
        <v>29.6</v>
      </c>
      <c r="E237" s="58">
        <v>29.5</v>
      </c>
      <c r="F237" s="58">
        <v>29.5</v>
      </c>
      <c r="G237" s="58">
        <v>27.6</v>
      </c>
      <c r="H237" s="58">
        <v>23.7</v>
      </c>
      <c r="I237" s="58">
        <v>22.5</v>
      </c>
      <c r="J237" s="58">
        <v>22.5</v>
      </c>
      <c r="K237" s="58">
        <v>25.1</v>
      </c>
      <c r="L237" s="58">
        <v>26.1</v>
      </c>
      <c r="M237" s="58">
        <v>28.1</v>
      </c>
      <c r="N237" s="58">
        <v>29.3</v>
      </c>
      <c r="O237" s="58">
        <v>29.5</v>
      </c>
      <c r="P237" s="58">
        <v>26.9</v>
      </c>
      <c r="Q237"/>
      <c r="R237"/>
      <c r="S237"/>
      <c r="T237"/>
      <c r="U237"/>
      <c r="V237"/>
      <c r="W237"/>
      <c r="X237"/>
    </row>
    <row r="238" spans="1:24" s="59" customFormat="1" ht="15.75">
      <c r="A238" s="60">
        <v>83813</v>
      </c>
      <c r="B238" s="61" t="s">
        <v>3263</v>
      </c>
      <c r="C238" s="62" t="s">
        <v>2582</v>
      </c>
      <c r="D238" s="63">
        <v>26.8</v>
      </c>
      <c r="E238" s="63">
        <v>26.9</v>
      </c>
      <c r="F238" s="63">
        <v>26.4</v>
      </c>
      <c r="G238" s="63">
        <v>24.6</v>
      </c>
      <c r="H238" s="63">
        <v>21.4</v>
      </c>
      <c r="I238" s="63">
        <v>20.5</v>
      </c>
      <c r="J238" s="63">
        <v>20.2</v>
      </c>
      <c r="K238" s="63">
        <v>22.1</v>
      </c>
      <c r="L238" s="63">
        <v>22.3</v>
      </c>
      <c r="M238" s="63">
        <v>24.4</v>
      </c>
      <c r="N238" s="63">
        <v>25.8</v>
      </c>
      <c r="O238" s="63">
        <v>26.5</v>
      </c>
      <c r="P238" s="63">
        <v>24</v>
      </c>
      <c r="Q238"/>
      <c r="R238"/>
      <c r="S238"/>
      <c r="T238"/>
      <c r="U238"/>
      <c r="V238"/>
      <c r="W238"/>
      <c r="X238"/>
    </row>
    <row r="239" spans="1:24" s="59" customFormat="1" ht="15.75">
      <c r="A239" s="55">
        <v>83842</v>
      </c>
      <c r="B239" s="56" t="s">
        <v>3264</v>
      </c>
      <c r="C239" s="57" t="s">
        <v>2582</v>
      </c>
      <c r="D239" s="58">
        <v>26.8</v>
      </c>
      <c r="E239" s="58">
        <v>26.8</v>
      </c>
      <c r="F239" s="58">
        <v>26</v>
      </c>
      <c r="G239" s="58">
        <v>24</v>
      </c>
      <c r="H239" s="58">
        <v>20.8</v>
      </c>
      <c r="I239" s="58">
        <v>20.100000000000001</v>
      </c>
      <c r="J239" s="58">
        <v>19.7</v>
      </c>
      <c r="K239" s="58">
        <v>21.5</v>
      </c>
      <c r="L239" s="58">
        <v>21.4</v>
      </c>
      <c r="M239" s="58">
        <v>23.1</v>
      </c>
      <c r="N239" s="58">
        <v>25</v>
      </c>
      <c r="O239" s="58">
        <v>26.2</v>
      </c>
      <c r="P239" s="58">
        <v>23.5</v>
      </c>
      <c r="Q239"/>
      <c r="R239"/>
      <c r="S239"/>
      <c r="T239"/>
      <c r="U239"/>
      <c r="V239"/>
      <c r="W239"/>
      <c r="X239"/>
    </row>
    <row r="240" spans="1:24" s="59" customFormat="1" ht="15.75">
      <c r="A240" s="60">
        <v>83775</v>
      </c>
      <c r="B240" s="61" t="s">
        <v>3265</v>
      </c>
      <c r="C240" s="62" t="s">
        <v>2582</v>
      </c>
      <c r="D240" s="63">
        <v>32.5</v>
      </c>
      <c r="E240" s="63">
        <v>31.9</v>
      </c>
      <c r="F240" s="63">
        <v>31.3</v>
      </c>
      <c r="G240" s="63">
        <v>28.8</v>
      </c>
      <c r="H240" s="63">
        <v>25.1</v>
      </c>
      <c r="I240" s="63">
        <v>23.4</v>
      </c>
      <c r="J240" s="63">
        <v>23.9</v>
      </c>
      <c r="K240" s="63">
        <v>25.9</v>
      </c>
      <c r="L240" s="63">
        <v>26.9</v>
      </c>
      <c r="M240" s="63">
        <v>29.2</v>
      </c>
      <c r="N240" s="63">
        <v>31.2</v>
      </c>
      <c r="O240" s="63">
        <v>32</v>
      </c>
      <c r="P240" s="63">
        <v>28.5</v>
      </c>
      <c r="Q240"/>
      <c r="R240"/>
      <c r="S240"/>
      <c r="T240"/>
      <c r="U240"/>
      <c r="V240"/>
      <c r="W240"/>
      <c r="X240"/>
    </row>
    <row r="241" spans="1:24" s="59" customFormat="1" ht="15.75">
      <c r="A241" s="55">
        <v>83836</v>
      </c>
      <c r="B241" s="56" t="s">
        <v>3266</v>
      </c>
      <c r="C241" s="57" t="s">
        <v>2582</v>
      </c>
      <c r="D241" s="58">
        <v>27</v>
      </c>
      <c r="E241" s="58">
        <v>27.3</v>
      </c>
      <c r="F241" s="58">
        <v>26.7</v>
      </c>
      <c r="G241" s="58">
        <v>24.5</v>
      </c>
      <c r="H241" s="58">
        <v>20.8</v>
      </c>
      <c r="I241" s="58">
        <v>19.899999999999999</v>
      </c>
      <c r="J241" s="58">
        <v>19.8</v>
      </c>
      <c r="K241" s="58">
        <v>22.2</v>
      </c>
      <c r="L241" s="58">
        <v>22.5</v>
      </c>
      <c r="M241" s="58">
        <v>24</v>
      </c>
      <c r="N241" s="58">
        <v>25.9</v>
      </c>
      <c r="O241" s="58">
        <v>27.1</v>
      </c>
      <c r="P241" s="58">
        <v>24</v>
      </c>
      <c r="Q241"/>
      <c r="R241"/>
      <c r="S241"/>
      <c r="T241"/>
      <c r="U241"/>
      <c r="V241"/>
      <c r="W241"/>
      <c r="X241"/>
    </row>
    <row r="242" spans="1:24" s="59" customFormat="1" ht="15.75">
      <c r="A242" s="60">
        <v>83811</v>
      </c>
      <c r="B242" s="61" t="s">
        <v>3267</v>
      </c>
      <c r="C242" s="62" t="s">
        <v>2582</v>
      </c>
      <c r="D242" s="63">
        <v>28.3</v>
      </c>
      <c r="E242" s="63">
        <v>28.2</v>
      </c>
      <c r="F242" s="63">
        <v>28.1</v>
      </c>
      <c r="G242" s="63">
        <v>25.7</v>
      </c>
      <c r="H242" s="63">
        <v>21.9</v>
      </c>
      <c r="I242" s="63">
        <v>20.7</v>
      </c>
      <c r="J242" s="63">
        <v>21.1</v>
      </c>
      <c r="K242" s="63">
        <v>22.9</v>
      </c>
      <c r="L242" s="63">
        <v>23.7</v>
      </c>
      <c r="M242" s="63">
        <v>25.6</v>
      </c>
      <c r="N242" s="63">
        <v>27.2</v>
      </c>
      <c r="O242" s="63">
        <v>28.1</v>
      </c>
      <c r="P242" s="63">
        <v>25.1</v>
      </c>
      <c r="Q242"/>
      <c r="R242"/>
      <c r="S242"/>
      <c r="T242"/>
      <c r="U242"/>
      <c r="V242"/>
      <c r="W242"/>
      <c r="X242"/>
    </row>
    <row r="243" spans="1:24" s="59" customFormat="1" ht="15.75">
      <c r="A243" s="55">
        <v>83769</v>
      </c>
      <c r="B243" s="56" t="s">
        <v>3268</v>
      </c>
      <c r="C243" s="57" t="s">
        <v>2582</v>
      </c>
      <c r="D243" s="58">
        <v>31.4</v>
      </c>
      <c r="E243" s="58">
        <v>30.6</v>
      </c>
      <c r="F243" s="58">
        <v>30.1</v>
      </c>
      <c r="G243" s="58">
        <v>28.7</v>
      </c>
      <c r="H243" s="58">
        <v>25.8</v>
      </c>
      <c r="I243" s="58">
        <v>24.8</v>
      </c>
      <c r="J243" s="58">
        <v>25.3</v>
      </c>
      <c r="K243" s="58">
        <v>26.7</v>
      </c>
      <c r="L243" s="58">
        <v>27.6</v>
      </c>
      <c r="M243" s="58">
        <v>29.5</v>
      </c>
      <c r="N243" s="58">
        <v>30.4</v>
      </c>
      <c r="O243" s="58">
        <v>30.4</v>
      </c>
      <c r="P243" s="58">
        <v>28.4</v>
      </c>
      <c r="Q243"/>
      <c r="R243"/>
      <c r="S243"/>
      <c r="T243"/>
      <c r="U243"/>
      <c r="V243"/>
      <c r="W243"/>
      <c r="X243"/>
    </row>
    <row r="244" spans="1:24" s="59" customFormat="1" ht="15.75">
      <c r="A244" s="60">
        <v>83766</v>
      </c>
      <c r="B244" s="61" t="s">
        <v>3269</v>
      </c>
      <c r="C244" s="62" t="s">
        <v>2582</v>
      </c>
      <c r="D244" s="63">
        <v>30</v>
      </c>
      <c r="E244" s="63">
        <v>30.3</v>
      </c>
      <c r="F244" s="63">
        <v>30.8</v>
      </c>
      <c r="G244" s="63">
        <v>28.6</v>
      </c>
      <c r="H244" s="63">
        <v>24.9</v>
      </c>
      <c r="I244" s="63">
        <v>23.8</v>
      </c>
      <c r="J244" s="63">
        <v>24.2</v>
      </c>
      <c r="K244" s="63">
        <v>26.6</v>
      </c>
      <c r="L244" s="63">
        <v>27.6</v>
      </c>
      <c r="M244" s="63">
        <v>29.1</v>
      </c>
      <c r="N244" s="63">
        <v>30.2</v>
      </c>
      <c r="O244" s="63">
        <v>30.1</v>
      </c>
      <c r="P244" s="63">
        <v>28</v>
      </c>
      <c r="Q244"/>
      <c r="R244"/>
      <c r="S244"/>
      <c r="T244"/>
      <c r="U244"/>
      <c r="V244"/>
      <c r="W244"/>
      <c r="X244"/>
    </row>
    <row r="245" spans="1:24" s="59" customFormat="1" ht="15.75">
      <c r="A245" s="55">
        <v>83767</v>
      </c>
      <c r="B245" s="56" t="s">
        <v>3270</v>
      </c>
      <c r="C245" s="57" t="s">
        <v>2582</v>
      </c>
      <c r="D245" s="58">
        <v>30.2</v>
      </c>
      <c r="E245" s="58">
        <v>30.1</v>
      </c>
      <c r="F245" s="58">
        <v>30.2</v>
      </c>
      <c r="G245" s="58">
        <v>28.5</v>
      </c>
      <c r="H245" s="58">
        <v>24.8</v>
      </c>
      <c r="I245" s="58">
        <v>24</v>
      </c>
      <c r="J245" s="58">
        <v>24.2</v>
      </c>
      <c r="K245" s="58">
        <v>26.5</v>
      </c>
      <c r="L245" s="58">
        <v>27.2</v>
      </c>
      <c r="M245" s="58">
        <v>29.2</v>
      </c>
      <c r="N245" s="58">
        <v>30</v>
      </c>
      <c r="O245" s="58">
        <v>30.1</v>
      </c>
      <c r="P245" s="58">
        <v>27.9</v>
      </c>
      <c r="Q245"/>
      <c r="R245"/>
      <c r="S245"/>
      <c r="T245"/>
      <c r="U245"/>
      <c r="V245"/>
      <c r="W245"/>
      <c r="X245"/>
    </row>
    <row r="246" spans="1:24" s="59" customFormat="1" ht="15.75">
      <c r="A246" s="60">
        <v>83844</v>
      </c>
      <c r="B246" s="61" t="s">
        <v>3271</v>
      </c>
      <c r="C246" s="62" t="s">
        <v>2582</v>
      </c>
      <c r="D246" s="63">
        <v>30.1</v>
      </c>
      <c r="E246" s="63">
        <v>30.1</v>
      </c>
      <c r="F246" s="63">
        <v>29.1</v>
      </c>
      <c r="G246" s="63">
        <v>27.5</v>
      </c>
      <c r="H246" s="63">
        <v>24.7</v>
      </c>
      <c r="I246" s="63">
        <v>23.1</v>
      </c>
      <c r="J246" s="63">
        <v>22.1</v>
      </c>
      <c r="K246" s="63">
        <v>23</v>
      </c>
      <c r="L246" s="63">
        <v>22.7</v>
      </c>
      <c r="M246" s="63">
        <v>24.6</v>
      </c>
      <c r="N246" s="63">
        <v>27</v>
      </c>
      <c r="O246" s="63">
        <v>28.6</v>
      </c>
      <c r="P246" s="63">
        <v>26.1</v>
      </c>
      <c r="Q246"/>
      <c r="R246"/>
      <c r="S246"/>
      <c r="T246"/>
      <c r="U246"/>
      <c r="V246"/>
      <c r="W246"/>
      <c r="X246"/>
    </row>
    <row r="247" spans="1:24" s="59" customFormat="1" ht="15.75">
      <c r="A247" s="55">
        <v>83007</v>
      </c>
      <c r="B247" s="56" t="s">
        <v>1207</v>
      </c>
      <c r="C247" s="57" t="s">
        <v>320</v>
      </c>
      <c r="D247" s="58">
        <v>30.1</v>
      </c>
      <c r="E247" s="58">
        <v>30.6</v>
      </c>
      <c r="F247" s="58">
        <v>29.1</v>
      </c>
      <c r="G247" s="58">
        <v>27.7</v>
      </c>
      <c r="H247" s="58">
        <v>25.2</v>
      </c>
      <c r="I247" s="58">
        <v>24.3</v>
      </c>
      <c r="J247" s="58">
        <v>24.1</v>
      </c>
      <c r="K247" s="58">
        <v>24.7</v>
      </c>
      <c r="L247" s="58">
        <v>24.7</v>
      </c>
      <c r="M247" s="58">
        <v>25.9</v>
      </c>
      <c r="N247" s="58">
        <v>27.3</v>
      </c>
      <c r="O247" s="58">
        <v>28.7</v>
      </c>
      <c r="P247" s="58">
        <v>26.9</v>
      </c>
      <c r="Q247"/>
      <c r="R247"/>
      <c r="S247"/>
      <c r="T247"/>
      <c r="U247"/>
      <c r="V247"/>
      <c r="W247"/>
      <c r="X247"/>
    </row>
    <row r="248" spans="1:24" s="59" customFormat="1" ht="15.75">
      <c r="A248" s="60">
        <v>83788</v>
      </c>
      <c r="B248" s="61" t="s">
        <v>543</v>
      </c>
      <c r="C248" s="62" t="s">
        <v>320</v>
      </c>
      <c r="D248" s="63">
        <v>29.8</v>
      </c>
      <c r="E248" s="63">
        <v>30.1</v>
      </c>
      <c r="F248" s="63">
        <v>29</v>
      </c>
      <c r="G248" s="63">
        <v>28.2</v>
      </c>
      <c r="H248" s="63">
        <v>25.7</v>
      </c>
      <c r="I248" s="63">
        <v>24.7</v>
      </c>
      <c r="J248" s="63">
        <v>24</v>
      </c>
      <c r="K248" s="63">
        <v>24.3</v>
      </c>
      <c r="L248" s="63">
        <v>24.5</v>
      </c>
      <c r="M248" s="63">
        <v>25.4</v>
      </c>
      <c r="N248" s="63">
        <v>26.9</v>
      </c>
      <c r="O248" s="63">
        <v>28.3</v>
      </c>
      <c r="P248" s="63">
        <v>26.7</v>
      </c>
      <c r="Q248"/>
      <c r="R248"/>
      <c r="S248"/>
      <c r="T248"/>
      <c r="U248"/>
      <c r="V248"/>
      <c r="W248"/>
      <c r="X248"/>
    </row>
    <row r="249" spans="1:24" s="59" customFormat="1" ht="15.75">
      <c r="A249" s="55">
        <v>83049</v>
      </c>
      <c r="B249" s="56" t="s">
        <v>3272</v>
      </c>
      <c r="C249" s="57" t="s">
        <v>320</v>
      </c>
      <c r="D249" s="58">
        <v>30.2</v>
      </c>
      <c r="E249" s="58">
        <v>30.9</v>
      </c>
      <c r="F249" s="58">
        <v>29.9</v>
      </c>
      <c r="G249" s="58">
        <v>28.4</v>
      </c>
      <c r="H249" s="58">
        <v>25.7</v>
      </c>
      <c r="I249" s="58">
        <v>24.9</v>
      </c>
      <c r="J249" s="58">
        <v>24.6</v>
      </c>
      <c r="K249" s="58">
        <v>25.8</v>
      </c>
      <c r="L249" s="58">
        <v>26.2</v>
      </c>
      <c r="M249" s="58">
        <v>27.8</v>
      </c>
      <c r="N249" s="58">
        <v>28.6</v>
      </c>
      <c r="O249" s="58">
        <v>29.5</v>
      </c>
      <c r="P249" s="58">
        <v>27.7</v>
      </c>
      <c r="Q249"/>
      <c r="R249"/>
      <c r="S249"/>
      <c r="T249"/>
      <c r="U249"/>
      <c r="V249"/>
      <c r="W249"/>
      <c r="X249"/>
    </row>
    <row r="250" spans="1:24" s="59" customFormat="1" ht="15.75">
      <c r="A250" s="60">
        <v>83790</v>
      </c>
      <c r="B250" s="61" t="s">
        <v>3273</v>
      </c>
      <c r="C250" s="62" t="s">
        <v>320</v>
      </c>
      <c r="D250" s="63">
        <v>33.9</v>
      </c>
      <c r="E250" s="63">
        <v>34.799999999999997</v>
      </c>
      <c r="F250" s="63">
        <v>33</v>
      </c>
      <c r="G250" s="63">
        <v>31.5</v>
      </c>
      <c r="H250" s="63">
        <v>29</v>
      </c>
      <c r="I250" s="63">
        <v>28.2</v>
      </c>
      <c r="J250" s="63">
        <v>27.5</v>
      </c>
      <c r="K250" s="63">
        <v>28.4</v>
      </c>
      <c r="L250" s="63">
        <v>28.3</v>
      </c>
      <c r="M250" s="63">
        <v>29.9</v>
      </c>
      <c r="N250" s="63">
        <v>31.5</v>
      </c>
      <c r="O250" s="63">
        <v>32.799999999999997</v>
      </c>
      <c r="P250" s="63">
        <v>30.7</v>
      </c>
      <c r="Q250"/>
      <c r="R250"/>
      <c r="S250"/>
      <c r="T250"/>
      <c r="U250"/>
      <c r="V250"/>
      <c r="W250"/>
      <c r="X250"/>
    </row>
    <row r="251" spans="1:24" s="59" customFormat="1" ht="15.75">
      <c r="A251" s="55">
        <v>83698</v>
      </c>
      <c r="B251" s="56" t="s">
        <v>3274</v>
      </c>
      <c r="C251" s="57" t="s">
        <v>320</v>
      </c>
      <c r="D251" s="58">
        <v>32.1</v>
      </c>
      <c r="E251" s="58">
        <v>33.200000000000003</v>
      </c>
      <c r="F251" s="58">
        <v>32.6</v>
      </c>
      <c r="G251" s="58">
        <v>30.8</v>
      </c>
      <c r="H251" s="58">
        <v>28.9</v>
      </c>
      <c r="I251" s="58">
        <v>28</v>
      </c>
      <c r="J251" s="58">
        <v>27.3</v>
      </c>
      <c r="K251" s="58">
        <v>27.8</v>
      </c>
      <c r="L251" s="58">
        <v>27.7</v>
      </c>
      <c r="M251" s="58">
        <v>28.8</v>
      </c>
      <c r="N251" s="58">
        <v>30</v>
      </c>
      <c r="O251" s="58">
        <v>31.2</v>
      </c>
      <c r="P251" s="58">
        <v>29.9</v>
      </c>
      <c r="Q251"/>
      <c r="R251"/>
      <c r="S251"/>
      <c r="T251"/>
      <c r="U251"/>
      <c r="V251"/>
      <c r="W251"/>
      <c r="X251"/>
    </row>
    <row r="252" spans="1:24" s="59" customFormat="1" ht="15.75">
      <c r="A252" s="60">
        <v>83807</v>
      </c>
      <c r="B252" s="61" t="s">
        <v>3275</v>
      </c>
      <c r="C252" s="62" t="s">
        <v>320</v>
      </c>
      <c r="D252" s="63">
        <v>32.200000000000003</v>
      </c>
      <c r="E252" s="63">
        <v>33.299999999999997</v>
      </c>
      <c r="F252" s="63">
        <v>32.299999999999997</v>
      </c>
      <c r="G252" s="63">
        <v>31</v>
      </c>
      <c r="H252" s="63">
        <v>28.4</v>
      </c>
      <c r="I252" s="63">
        <v>27.3</v>
      </c>
      <c r="J252" s="63">
        <v>27.1</v>
      </c>
      <c r="K252" s="63">
        <v>28.5</v>
      </c>
      <c r="L252" s="63">
        <v>28.9</v>
      </c>
      <c r="M252" s="63">
        <v>29.9</v>
      </c>
      <c r="N252" s="63">
        <v>30.7</v>
      </c>
      <c r="O252" s="63">
        <v>31.5</v>
      </c>
      <c r="P252" s="63">
        <v>30.1</v>
      </c>
      <c r="Q252"/>
      <c r="R252"/>
      <c r="S252"/>
      <c r="T252"/>
      <c r="U252"/>
      <c r="V252"/>
      <c r="W252"/>
      <c r="X252"/>
    </row>
    <row r="253" spans="1:24" s="59" customFormat="1" ht="15.75">
      <c r="A253" s="55">
        <v>83718</v>
      </c>
      <c r="B253" s="56" t="s">
        <v>3276</v>
      </c>
      <c r="C253" s="57" t="s">
        <v>320</v>
      </c>
      <c r="D253" s="58">
        <v>29.6</v>
      </c>
      <c r="E253" s="58">
        <v>30.4</v>
      </c>
      <c r="F253" s="58">
        <v>29.4</v>
      </c>
      <c r="G253" s="58">
        <v>27.8</v>
      </c>
      <c r="H253" s="58">
        <v>25.5</v>
      </c>
      <c r="I253" s="58">
        <v>24.6</v>
      </c>
      <c r="J253" s="58">
        <v>24.3</v>
      </c>
      <c r="K253" s="58">
        <v>25.6</v>
      </c>
      <c r="L253" s="58">
        <v>26.1</v>
      </c>
      <c r="M253" s="58">
        <v>27.3</v>
      </c>
      <c r="N253" s="58">
        <v>27.9</v>
      </c>
      <c r="O253" s="58">
        <v>28.6</v>
      </c>
      <c r="P253" s="58">
        <v>27.3</v>
      </c>
      <c r="Q253"/>
      <c r="R253"/>
      <c r="S253"/>
      <c r="T253"/>
      <c r="U253"/>
      <c r="V253"/>
      <c r="W253"/>
      <c r="X253"/>
    </row>
    <row r="254" spans="1:24" s="59" customFormat="1" ht="15.75">
      <c r="A254" s="60">
        <v>83741</v>
      </c>
      <c r="B254" s="61" t="s">
        <v>3277</v>
      </c>
      <c r="C254" s="62" t="s">
        <v>320</v>
      </c>
      <c r="D254" s="63">
        <v>32.4</v>
      </c>
      <c r="E254" s="63">
        <v>33.200000000000003</v>
      </c>
      <c r="F254" s="63">
        <v>31.7</v>
      </c>
      <c r="G254" s="63">
        <v>30.1</v>
      </c>
      <c r="H254" s="63">
        <v>27.8</v>
      </c>
      <c r="I254" s="63">
        <v>27.1</v>
      </c>
      <c r="J254" s="63">
        <v>26.5</v>
      </c>
      <c r="K254" s="63">
        <v>27.5</v>
      </c>
      <c r="L254" s="63">
        <v>27.4</v>
      </c>
      <c r="M254" s="63">
        <v>28.7</v>
      </c>
      <c r="N254" s="63">
        <v>29.8</v>
      </c>
      <c r="O254" s="63">
        <v>31.3</v>
      </c>
      <c r="P254" s="63">
        <v>29.5</v>
      </c>
      <c r="Q254"/>
      <c r="R254"/>
      <c r="S254"/>
      <c r="T254"/>
      <c r="U254"/>
      <c r="V254"/>
      <c r="W254"/>
      <c r="X254"/>
    </row>
    <row r="255" spans="1:24" s="59" customFormat="1" ht="15.75">
      <c r="A255" s="55">
        <v>83087</v>
      </c>
      <c r="B255" s="56" t="s">
        <v>3278</v>
      </c>
      <c r="C255" s="57" t="s">
        <v>320</v>
      </c>
      <c r="D255" s="58">
        <v>27.5</v>
      </c>
      <c r="E255" s="58">
        <v>28.1</v>
      </c>
      <c r="F255" s="58">
        <v>27.2</v>
      </c>
      <c r="G255" s="58">
        <v>25.9</v>
      </c>
      <c r="H255" s="58">
        <v>22.8</v>
      </c>
      <c r="I255" s="58">
        <v>22.1</v>
      </c>
      <c r="J255" s="58">
        <v>21.6</v>
      </c>
      <c r="K255" s="58">
        <v>23.1</v>
      </c>
      <c r="L255" s="58">
        <v>23.5</v>
      </c>
      <c r="M255" s="58">
        <v>24.9</v>
      </c>
      <c r="N255" s="58">
        <v>25.5</v>
      </c>
      <c r="O255" s="58">
        <v>26.5</v>
      </c>
      <c r="P255" s="58">
        <v>24.9</v>
      </c>
      <c r="Q255"/>
      <c r="R255"/>
      <c r="S255"/>
      <c r="T255"/>
      <c r="U255"/>
      <c r="V255"/>
      <c r="W255"/>
      <c r="X255"/>
    </row>
    <row r="256" spans="1:24" s="59" customFormat="1" ht="15.75">
      <c r="A256" s="60">
        <v>83114</v>
      </c>
      <c r="B256" s="61" t="s">
        <v>3279</v>
      </c>
      <c r="C256" s="62" t="s">
        <v>320</v>
      </c>
      <c r="D256" s="63">
        <v>31</v>
      </c>
      <c r="E256" s="63">
        <v>32</v>
      </c>
      <c r="F256" s="63">
        <v>30.8</v>
      </c>
      <c r="G256" s="63">
        <v>29.3</v>
      </c>
      <c r="H256" s="63">
        <v>26.9</v>
      </c>
      <c r="I256" s="63">
        <v>26.2</v>
      </c>
      <c r="J256" s="63">
        <v>25.7</v>
      </c>
      <c r="K256" s="63">
        <v>26.3</v>
      </c>
      <c r="L256" s="63">
        <v>26.4</v>
      </c>
      <c r="M256" s="63">
        <v>27.6</v>
      </c>
      <c r="N256" s="63">
        <v>28.6</v>
      </c>
      <c r="O256" s="63">
        <v>30</v>
      </c>
      <c r="P256" s="63">
        <v>28.4</v>
      </c>
      <c r="Q256"/>
      <c r="R256"/>
      <c r="S256"/>
      <c r="T256"/>
      <c r="U256"/>
      <c r="V256"/>
      <c r="W256"/>
      <c r="X256"/>
    </row>
    <row r="257" spans="1:24" s="59" customFormat="1" ht="15.75">
      <c r="A257" s="55">
        <v>83695</v>
      </c>
      <c r="B257" s="56" t="s">
        <v>3280</v>
      </c>
      <c r="C257" s="57" t="s">
        <v>320</v>
      </c>
      <c r="D257" s="58">
        <v>32.6</v>
      </c>
      <c r="E257" s="58">
        <v>33.299999999999997</v>
      </c>
      <c r="F257" s="58">
        <v>32.200000000000003</v>
      </c>
      <c r="G257" s="58">
        <v>30.7</v>
      </c>
      <c r="H257" s="58">
        <v>28.4</v>
      </c>
      <c r="I257" s="58">
        <v>27.7</v>
      </c>
      <c r="J257" s="58">
        <v>27.6</v>
      </c>
      <c r="K257" s="58">
        <v>28.6</v>
      </c>
      <c r="L257" s="58">
        <v>29.3</v>
      </c>
      <c r="M257" s="58">
        <v>30.4</v>
      </c>
      <c r="N257" s="58">
        <v>30.4</v>
      </c>
      <c r="O257" s="58">
        <v>31.5</v>
      </c>
      <c r="P257" s="58">
        <v>30.2</v>
      </c>
      <c r="Q257"/>
      <c r="R257"/>
      <c r="S257"/>
      <c r="T257"/>
      <c r="U257"/>
      <c r="V257"/>
      <c r="W257"/>
      <c r="X257"/>
    </row>
    <row r="258" spans="1:24" s="59" customFormat="1" ht="15.75">
      <c r="A258" s="60">
        <v>83057</v>
      </c>
      <c r="B258" s="61" t="s">
        <v>3281</v>
      </c>
      <c r="C258" s="62" t="s">
        <v>320</v>
      </c>
      <c r="D258" s="63">
        <v>31.1</v>
      </c>
      <c r="E258" s="63">
        <v>31.8</v>
      </c>
      <c r="F258" s="63">
        <v>30.6</v>
      </c>
      <c r="G258" s="63">
        <v>29.4</v>
      </c>
      <c r="H258" s="63">
        <v>27.6</v>
      </c>
      <c r="I258" s="63">
        <v>26.8</v>
      </c>
      <c r="J258" s="63">
        <v>26.3</v>
      </c>
      <c r="K258" s="63">
        <v>26.4</v>
      </c>
      <c r="L258" s="63">
        <v>26.3</v>
      </c>
      <c r="M258" s="63">
        <v>27.3</v>
      </c>
      <c r="N258" s="63">
        <v>28.9</v>
      </c>
      <c r="O258" s="63">
        <v>29.9</v>
      </c>
      <c r="P258" s="63">
        <v>28.5</v>
      </c>
      <c r="Q258"/>
      <c r="R258"/>
      <c r="S258"/>
      <c r="T258"/>
      <c r="U258"/>
      <c r="V258"/>
      <c r="W258"/>
      <c r="X258"/>
    </row>
    <row r="259" spans="1:24" s="59" customFormat="1" ht="15.75">
      <c r="A259" s="55">
        <v>83660</v>
      </c>
      <c r="B259" s="56" t="s">
        <v>3282</v>
      </c>
      <c r="C259" s="57" t="s">
        <v>320</v>
      </c>
      <c r="D259" s="58" t="s">
        <v>77</v>
      </c>
      <c r="E259" s="58">
        <v>32.200000000000003</v>
      </c>
      <c r="F259" s="58">
        <v>30.3</v>
      </c>
      <c r="G259" s="58">
        <v>29.3</v>
      </c>
      <c r="H259" s="58" t="s">
        <v>77</v>
      </c>
      <c r="I259" s="58">
        <v>26.6</v>
      </c>
      <c r="J259" s="58">
        <v>25.9</v>
      </c>
      <c r="K259" s="58">
        <v>26.1</v>
      </c>
      <c r="L259" s="58">
        <v>26.4</v>
      </c>
      <c r="M259" s="58">
        <v>27.4</v>
      </c>
      <c r="N259" s="58">
        <v>28.8</v>
      </c>
      <c r="O259" s="58">
        <v>30.7</v>
      </c>
      <c r="P259" s="58" t="s">
        <v>77</v>
      </c>
      <c r="Q259"/>
      <c r="R259"/>
      <c r="S259"/>
      <c r="T259"/>
      <c r="U259"/>
      <c r="V259"/>
      <c r="W259"/>
      <c r="X259"/>
    </row>
    <row r="260" spans="1:24" s="59" customFormat="1" ht="15.75">
      <c r="A260" s="60">
        <v>83089</v>
      </c>
      <c r="B260" s="61" t="s">
        <v>3283</v>
      </c>
      <c r="C260" s="62" t="s">
        <v>320</v>
      </c>
      <c r="D260" s="63">
        <v>31.1</v>
      </c>
      <c r="E260" s="63">
        <v>31.6</v>
      </c>
      <c r="F260" s="63">
        <v>30.3</v>
      </c>
      <c r="G260" s="63">
        <v>28.9</v>
      </c>
      <c r="H260" s="63">
        <v>26.8</v>
      </c>
      <c r="I260" s="63">
        <v>26.2</v>
      </c>
      <c r="J260" s="63">
        <v>25.7</v>
      </c>
      <c r="K260" s="63">
        <v>26</v>
      </c>
      <c r="L260" s="63">
        <v>26.3</v>
      </c>
      <c r="M260" s="63">
        <v>27.2</v>
      </c>
      <c r="N260" s="63">
        <v>28.5</v>
      </c>
      <c r="O260" s="63">
        <v>29.9</v>
      </c>
      <c r="P260" s="63">
        <v>28.2</v>
      </c>
      <c r="Q260"/>
      <c r="R260"/>
      <c r="S260"/>
      <c r="T260"/>
      <c r="U260"/>
      <c r="V260"/>
      <c r="W260"/>
      <c r="X260"/>
    </row>
    <row r="261" spans="1:24" s="59" customFormat="1" ht="15.75">
      <c r="A261" s="55">
        <v>83745</v>
      </c>
      <c r="B261" s="56" t="s">
        <v>1214</v>
      </c>
      <c r="C261" s="57" t="s">
        <v>320</v>
      </c>
      <c r="D261" s="58">
        <v>27.9</v>
      </c>
      <c r="E261" s="58">
        <v>28.5</v>
      </c>
      <c r="F261" s="58">
        <v>27</v>
      </c>
      <c r="G261" s="58">
        <v>26.1</v>
      </c>
      <c r="H261" s="58">
        <v>23.7</v>
      </c>
      <c r="I261" s="58">
        <v>22.5</v>
      </c>
      <c r="J261" s="58">
        <v>22.2</v>
      </c>
      <c r="K261" s="58">
        <v>23.2</v>
      </c>
      <c r="L261" s="58">
        <v>23.5</v>
      </c>
      <c r="M261" s="58">
        <v>25</v>
      </c>
      <c r="N261" s="58">
        <v>25.8</v>
      </c>
      <c r="O261" s="58">
        <v>26.2</v>
      </c>
      <c r="P261" s="58">
        <v>25.1</v>
      </c>
      <c r="Q261"/>
      <c r="R261"/>
      <c r="S261"/>
      <c r="T261"/>
      <c r="U261"/>
      <c r="V261"/>
      <c r="W261"/>
      <c r="X261"/>
    </row>
    <row r="262" spans="1:24" s="59" customFormat="1" ht="15.75">
      <c r="A262" s="60">
        <v>83757</v>
      </c>
      <c r="B262" s="61" t="s">
        <v>3284</v>
      </c>
      <c r="C262" s="62" t="s">
        <v>320</v>
      </c>
      <c r="D262" s="63">
        <v>31.4</v>
      </c>
      <c r="E262" s="63">
        <v>31.2</v>
      </c>
      <c r="F262" s="63">
        <v>30.7</v>
      </c>
      <c r="G262" s="63">
        <v>29.4</v>
      </c>
      <c r="H262" s="63">
        <v>26.3</v>
      </c>
      <c r="I262" s="63">
        <v>25.6</v>
      </c>
      <c r="J262" s="63">
        <v>24.9</v>
      </c>
      <c r="K262" s="63">
        <v>26.7</v>
      </c>
      <c r="L262" s="63">
        <v>26.2</v>
      </c>
      <c r="M262" s="63">
        <v>27.8</v>
      </c>
      <c r="N262" s="63">
        <v>29</v>
      </c>
      <c r="O262" s="63">
        <v>30</v>
      </c>
      <c r="P262" s="63">
        <v>28.3</v>
      </c>
      <c r="Q262"/>
      <c r="R262"/>
      <c r="S262"/>
      <c r="T262"/>
      <c r="U262"/>
      <c r="V262"/>
      <c r="W262"/>
      <c r="X262"/>
    </row>
    <row r="263" spans="1:24" s="59" customFormat="1" ht="15.75">
      <c r="A263" s="55">
        <v>83801</v>
      </c>
      <c r="B263" s="56" t="s">
        <v>3285</v>
      </c>
      <c r="C263" s="57" t="s">
        <v>320</v>
      </c>
      <c r="D263" s="58">
        <v>32.6</v>
      </c>
      <c r="E263" s="58">
        <v>33.299999999999997</v>
      </c>
      <c r="F263" s="58">
        <v>32.5</v>
      </c>
      <c r="G263" s="58">
        <v>30.8</v>
      </c>
      <c r="H263" s="58">
        <v>28.1</v>
      </c>
      <c r="I263" s="58">
        <v>27.7</v>
      </c>
      <c r="J263" s="58">
        <v>26.9</v>
      </c>
      <c r="K263" s="58">
        <v>28</v>
      </c>
      <c r="L263" s="58">
        <v>28</v>
      </c>
      <c r="M263" s="58">
        <v>29.2</v>
      </c>
      <c r="N263" s="58">
        <v>30.4</v>
      </c>
      <c r="O263" s="58">
        <v>31.3</v>
      </c>
      <c r="P263" s="58">
        <v>29.9</v>
      </c>
      <c r="Q263"/>
      <c r="R263"/>
      <c r="S263"/>
      <c r="T263"/>
      <c r="U263"/>
      <c r="V263"/>
      <c r="W263"/>
      <c r="X263"/>
    </row>
    <row r="264" spans="1:24" s="59" customFormat="1" ht="15.75">
      <c r="A264" s="60">
        <v>83738</v>
      </c>
      <c r="B264" s="61" t="s">
        <v>3286</v>
      </c>
      <c r="C264" s="62" t="s">
        <v>320</v>
      </c>
      <c r="D264" s="63">
        <v>30.1</v>
      </c>
      <c r="E264" s="63">
        <v>30.8</v>
      </c>
      <c r="F264" s="63">
        <v>29.6</v>
      </c>
      <c r="G264" s="63">
        <v>27.9</v>
      </c>
      <c r="H264" s="63">
        <v>25.5</v>
      </c>
      <c r="I264" s="63">
        <v>24.7</v>
      </c>
      <c r="J264" s="63">
        <v>24.5</v>
      </c>
      <c r="K264" s="63">
        <v>25.9</v>
      </c>
      <c r="L264" s="63">
        <v>26.5</v>
      </c>
      <c r="M264" s="63">
        <v>27.9</v>
      </c>
      <c r="N264" s="63">
        <v>28.9</v>
      </c>
      <c r="O264" s="63">
        <v>29.6</v>
      </c>
      <c r="P264" s="63">
        <v>27.7</v>
      </c>
      <c r="Q264"/>
      <c r="R264"/>
      <c r="S264"/>
      <c r="T264"/>
      <c r="U264"/>
      <c r="V264"/>
      <c r="W264"/>
      <c r="X264"/>
    </row>
    <row r="265" spans="1:24" s="59" customFormat="1" ht="15.75">
      <c r="A265" s="55">
        <v>83048</v>
      </c>
      <c r="B265" s="56" t="s">
        <v>3287</v>
      </c>
      <c r="C265" s="57" t="s">
        <v>320</v>
      </c>
      <c r="D265" s="58">
        <v>32.5</v>
      </c>
      <c r="E265" s="58">
        <v>33.5</v>
      </c>
      <c r="F265" s="58">
        <v>32.299999999999997</v>
      </c>
      <c r="G265" s="58">
        <v>30.3</v>
      </c>
      <c r="H265" s="58">
        <v>27.8</v>
      </c>
      <c r="I265" s="58">
        <v>27.4</v>
      </c>
      <c r="J265" s="58">
        <v>26.8</v>
      </c>
      <c r="K265" s="58">
        <v>28</v>
      </c>
      <c r="L265" s="58">
        <v>28.1</v>
      </c>
      <c r="M265" s="58">
        <v>29</v>
      </c>
      <c r="N265" s="58">
        <v>29.8</v>
      </c>
      <c r="O265" s="58">
        <v>31.3</v>
      </c>
      <c r="P265" s="58">
        <v>29.7</v>
      </c>
      <c r="Q265"/>
      <c r="R265"/>
      <c r="S265"/>
      <c r="T265"/>
      <c r="U265"/>
      <c r="V265"/>
      <c r="W265"/>
      <c r="X265"/>
    </row>
    <row r="266" spans="1:24" s="59" customFormat="1" ht="15.75">
      <c r="A266" s="60">
        <v>83743</v>
      </c>
      <c r="B266" s="61" t="s">
        <v>321</v>
      </c>
      <c r="C266" s="62" t="s">
        <v>320</v>
      </c>
      <c r="D266" s="63">
        <v>31.5</v>
      </c>
      <c r="E266" s="63">
        <v>32.200000000000003</v>
      </c>
      <c r="F266" s="63">
        <v>31.2</v>
      </c>
      <c r="G266" s="63">
        <v>30</v>
      </c>
      <c r="H266" s="63">
        <v>27.8</v>
      </c>
      <c r="I266" s="63">
        <v>26.7</v>
      </c>
      <c r="J266" s="63">
        <v>26.4</v>
      </c>
      <c r="K266" s="63">
        <v>27</v>
      </c>
      <c r="L266" s="63">
        <v>26.7</v>
      </c>
      <c r="M266" s="63">
        <v>28.2</v>
      </c>
      <c r="N266" s="63">
        <v>29.4</v>
      </c>
      <c r="O266" s="63">
        <v>30.3</v>
      </c>
      <c r="P266" s="63">
        <v>29</v>
      </c>
      <c r="Q266"/>
      <c r="R266"/>
      <c r="S266"/>
      <c r="T266"/>
      <c r="U266"/>
      <c r="V266"/>
      <c r="W266"/>
      <c r="X266"/>
    </row>
    <row r="267" spans="1:24" s="59" customFormat="1" ht="15.75">
      <c r="A267" s="55">
        <v>83789</v>
      </c>
      <c r="B267" s="56" t="s">
        <v>589</v>
      </c>
      <c r="C267" s="57" t="s">
        <v>320</v>
      </c>
      <c r="D267" s="58">
        <v>32.700000000000003</v>
      </c>
      <c r="E267" s="58">
        <v>33.6</v>
      </c>
      <c r="F267" s="58">
        <v>32.299999999999997</v>
      </c>
      <c r="G267" s="58">
        <v>30.8</v>
      </c>
      <c r="H267" s="58">
        <v>28.2</v>
      </c>
      <c r="I267" s="58">
        <v>27.6</v>
      </c>
      <c r="J267" s="58">
        <v>26.7</v>
      </c>
      <c r="K267" s="58">
        <v>27.7</v>
      </c>
      <c r="L267" s="58">
        <v>27.4</v>
      </c>
      <c r="M267" s="58">
        <v>28.7</v>
      </c>
      <c r="N267" s="58">
        <v>30</v>
      </c>
      <c r="O267" s="58">
        <v>31.2</v>
      </c>
      <c r="P267" s="58">
        <v>29.7</v>
      </c>
      <c r="Q267"/>
      <c r="R267"/>
      <c r="S267"/>
      <c r="T267"/>
      <c r="U267"/>
      <c r="V267"/>
      <c r="W267"/>
      <c r="X267"/>
    </row>
    <row r="268" spans="1:24" s="59" customFormat="1" ht="15.75">
      <c r="A268" s="60">
        <v>83696</v>
      </c>
      <c r="B268" s="61" t="s">
        <v>3288</v>
      </c>
      <c r="C268" s="62" t="s">
        <v>320</v>
      </c>
      <c r="D268" s="63">
        <v>28.4</v>
      </c>
      <c r="E268" s="63">
        <v>29.4</v>
      </c>
      <c r="F268" s="63">
        <v>28.3</v>
      </c>
      <c r="G268" s="63">
        <v>26.7</v>
      </c>
      <c r="H268" s="63">
        <v>24.5</v>
      </c>
      <c r="I268" s="63">
        <v>23.3</v>
      </c>
      <c r="J268" s="63">
        <v>23.1</v>
      </c>
      <c r="K268" s="63">
        <v>23.9</v>
      </c>
      <c r="L268" s="63">
        <v>24.2</v>
      </c>
      <c r="M268" s="63">
        <v>25.7</v>
      </c>
      <c r="N268" s="63">
        <v>26.4</v>
      </c>
      <c r="O268" s="63">
        <v>27.3</v>
      </c>
      <c r="P268" s="63">
        <v>25.9</v>
      </c>
      <c r="Q268"/>
      <c r="R268"/>
      <c r="S268"/>
      <c r="T268"/>
      <c r="U268"/>
      <c r="V268"/>
      <c r="W268"/>
      <c r="X268"/>
    </row>
    <row r="269" spans="1:24" s="59" customFormat="1" ht="15.75">
      <c r="A269" s="55">
        <v>83052</v>
      </c>
      <c r="B269" s="56" t="s">
        <v>3289</v>
      </c>
      <c r="C269" s="57" t="s">
        <v>320</v>
      </c>
      <c r="D269" s="58">
        <v>30.5</v>
      </c>
      <c r="E269" s="58">
        <v>31.3</v>
      </c>
      <c r="F269" s="58">
        <v>30.2</v>
      </c>
      <c r="G269" s="58">
        <v>28.9</v>
      </c>
      <c r="H269" s="58">
        <v>26</v>
      </c>
      <c r="I269" s="58">
        <v>25.8</v>
      </c>
      <c r="J269" s="58">
        <v>25.4</v>
      </c>
      <c r="K269" s="58">
        <v>26.6</v>
      </c>
      <c r="L269" s="58">
        <v>26.4</v>
      </c>
      <c r="M269" s="58">
        <v>28.3</v>
      </c>
      <c r="N269" s="58">
        <v>29.1</v>
      </c>
      <c r="O269" s="58">
        <v>29.8</v>
      </c>
      <c r="P269" s="58">
        <v>28.2</v>
      </c>
      <c r="Q269"/>
      <c r="R269"/>
      <c r="S269"/>
      <c r="T269"/>
      <c r="U269"/>
      <c r="V269"/>
      <c r="W269"/>
      <c r="X269"/>
    </row>
    <row r="270" spans="1:24" s="59" customFormat="1" ht="15.75">
      <c r="A270" s="60">
        <v>83805</v>
      </c>
      <c r="B270" s="61" t="s">
        <v>3290</v>
      </c>
      <c r="C270" s="62" t="s">
        <v>320</v>
      </c>
      <c r="D270" s="63">
        <v>33.6</v>
      </c>
      <c r="E270" s="63">
        <v>34.200000000000003</v>
      </c>
      <c r="F270" s="63">
        <v>33.1</v>
      </c>
      <c r="G270" s="63">
        <v>31.5</v>
      </c>
      <c r="H270" s="63">
        <v>28.6</v>
      </c>
      <c r="I270" s="63">
        <v>27.6</v>
      </c>
      <c r="J270" s="63">
        <v>27.6</v>
      </c>
      <c r="K270" s="63">
        <v>29.2</v>
      </c>
      <c r="L270" s="63">
        <v>29.7</v>
      </c>
      <c r="M270" s="63">
        <v>30.8</v>
      </c>
      <c r="N270" s="63">
        <v>31</v>
      </c>
      <c r="O270" s="63">
        <v>32.4</v>
      </c>
      <c r="P270" s="63">
        <v>30.8</v>
      </c>
      <c r="Q270"/>
      <c r="R270"/>
      <c r="S270"/>
      <c r="T270"/>
      <c r="U270"/>
      <c r="V270"/>
      <c r="W270"/>
      <c r="X270"/>
    </row>
    <row r="271" spans="1:24" s="59" customFormat="1" ht="15.75">
      <c r="A271" s="55">
        <v>83697</v>
      </c>
      <c r="B271" s="56" t="s">
        <v>3291</v>
      </c>
      <c r="C271" s="57" t="s">
        <v>320</v>
      </c>
      <c r="D271" s="58">
        <v>33.5</v>
      </c>
      <c r="E271" s="58">
        <v>34.6</v>
      </c>
      <c r="F271" s="58">
        <v>33.6</v>
      </c>
      <c r="G271" s="58">
        <v>32.1</v>
      </c>
      <c r="H271" s="58">
        <v>29.9</v>
      </c>
      <c r="I271" s="58">
        <v>28.8</v>
      </c>
      <c r="J271" s="58">
        <v>28.3</v>
      </c>
      <c r="K271" s="58">
        <v>29.3</v>
      </c>
      <c r="L271" s="58">
        <v>29.3</v>
      </c>
      <c r="M271" s="58">
        <v>30.5</v>
      </c>
      <c r="N271" s="58">
        <v>31.3</v>
      </c>
      <c r="O271" s="58">
        <v>32.200000000000003</v>
      </c>
      <c r="P271" s="58">
        <v>31.1</v>
      </c>
      <c r="Q271"/>
      <c r="R271"/>
      <c r="S271"/>
      <c r="T271"/>
      <c r="U271"/>
      <c r="V271"/>
      <c r="W271"/>
      <c r="X271"/>
    </row>
    <row r="272" spans="1:24" s="59" customFormat="1" ht="15.75">
      <c r="A272" s="60">
        <v>83744</v>
      </c>
      <c r="B272" s="61" t="s">
        <v>3292</v>
      </c>
      <c r="C272" s="62" t="s">
        <v>320</v>
      </c>
      <c r="D272" s="63">
        <v>27.6</v>
      </c>
      <c r="E272" s="63">
        <v>28.7</v>
      </c>
      <c r="F272" s="63">
        <v>27.3</v>
      </c>
      <c r="G272" s="63">
        <v>25.5</v>
      </c>
      <c r="H272" s="63">
        <v>23.2</v>
      </c>
      <c r="I272" s="63">
        <v>22.4</v>
      </c>
      <c r="J272" s="63">
        <v>22.1</v>
      </c>
      <c r="K272" s="63">
        <v>23.4</v>
      </c>
      <c r="L272" s="63">
        <v>23.4</v>
      </c>
      <c r="M272" s="63">
        <v>24.8</v>
      </c>
      <c r="N272" s="63">
        <v>25.5</v>
      </c>
      <c r="O272" s="63">
        <v>26.3</v>
      </c>
      <c r="P272" s="63">
        <v>25</v>
      </c>
      <c r="Q272"/>
      <c r="R272"/>
      <c r="S272"/>
      <c r="T272"/>
      <c r="U272"/>
      <c r="V272"/>
      <c r="W272"/>
      <c r="X272"/>
    </row>
    <row r="273" spans="1:24" s="59" customFormat="1" ht="15.75">
      <c r="A273" s="55">
        <v>82590</v>
      </c>
      <c r="B273" s="56" t="s">
        <v>3293</v>
      </c>
      <c r="C273" s="57" t="s">
        <v>3042</v>
      </c>
      <c r="D273" s="58">
        <v>34.9</v>
      </c>
      <c r="E273" s="58">
        <v>33.9</v>
      </c>
      <c r="F273" s="58">
        <v>33.1</v>
      </c>
      <c r="G273" s="58">
        <v>32.1</v>
      </c>
      <c r="H273" s="58">
        <v>32</v>
      </c>
      <c r="I273" s="58">
        <v>32</v>
      </c>
      <c r="J273" s="58">
        <v>32.9</v>
      </c>
      <c r="K273" s="58">
        <v>33.799999999999997</v>
      </c>
      <c r="L273" s="58">
        <v>35.200000000000003</v>
      </c>
      <c r="M273" s="58">
        <v>36.200000000000003</v>
      </c>
      <c r="N273" s="58">
        <v>36.299999999999997</v>
      </c>
      <c r="O273" s="58">
        <v>35.9</v>
      </c>
      <c r="P273" s="58">
        <v>34</v>
      </c>
      <c r="Q273"/>
      <c r="R273"/>
      <c r="S273"/>
      <c r="T273"/>
      <c r="U273"/>
      <c r="V273"/>
      <c r="W273"/>
      <c r="X273"/>
    </row>
    <row r="274" spans="1:24" s="59" customFormat="1" ht="15.75">
      <c r="A274" s="60">
        <v>82596</v>
      </c>
      <c r="B274" s="61" t="s">
        <v>3294</v>
      </c>
      <c r="C274" s="62" t="s">
        <v>3042</v>
      </c>
      <c r="D274" s="63">
        <v>31.5</v>
      </c>
      <c r="E274" s="63">
        <v>31.7</v>
      </c>
      <c r="F274" s="63">
        <v>31.4</v>
      </c>
      <c r="G274" s="63">
        <v>30.7</v>
      </c>
      <c r="H274" s="63">
        <v>30.3</v>
      </c>
      <c r="I274" s="63">
        <v>29.3</v>
      </c>
      <c r="J274" s="63">
        <v>29</v>
      </c>
      <c r="K274" s="63">
        <v>29.3</v>
      </c>
      <c r="L274" s="63">
        <v>30.1</v>
      </c>
      <c r="M274" s="63">
        <v>30.9</v>
      </c>
      <c r="N274" s="63">
        <v>31.4</v>
      </c>
      <c r="O274" s="63">
        <v>31.7</v>
      </c>
      <c r="P274" s="63">
        <v>30.6</v>
      </c>
      <c r="Q274"/>
      <c r="R274"/>
      <c r="S274"/>
      <c r="T274"/>
      <c r="U274"/>
      <c r="V274"/>
      <c r="W274"/>
      <c r="X274"/>
    </row>
    <row r="275" spans="1:24" s="59" customFormat="1" ht="15.75">
      <c r="A275" s="55">
        <v>82693</v>
      </c>
      <c r="B275" s="56" t="s">
        <v>3295</v>
      </c>
      <c r="C275" s="57" t="s">
        <v>3042</v>
      </c>
      <c r="D275" s="58">
        <v>34.799999999999997</v>
      </c>
      <c r="E275" s="58">
        <v>34.299999999999997</v>
      </c>
      <c r="F275" s="58">
        <v>33.5</v>
      </c>
      <c r="G275" s="58">
        <v>32.299999999999997</v>
      </c>
      <c r="H275" s="58">
        <v>32.1</v>
      </c>
      <c r="I275" s="58">
        <v>31.4</v>
      </c>
      <c r="J275" s="58">
        <v>31.6</v>
      </c>
      <c r="K275" s="58">
        <v>32.6</v>
      </c>
      <c r="L275" s="58">
        <v>34.1</v>
      </c>
      <c r="M275" s="58">
        <v>35.4</v>
      </c>
      <c r="N275" s="58">
        <v>35.6</v>
      </c>
      <c r="O275" s="58">
        <v>35.4</v>
      </c>
      <c r="P275" s="58">
        <v>33.6</v>
      </c>
      <c r="Q275"/>
      <c r="R275"/>
      <c r="S275"/>
      <c r="T275"/>
      <c r="U275"/>
      <c r="V275"/>
      <c r="W275"/>
      <c r="X275"/>
    </row>
    <row r="276" spans="1:24" s="59" customFormat="1" ht="15.75">
      <c r="A276" s="60">
        <v>82691</v>
      </c>
      <c r="B276" s="61" t="s">
        <v>3296</v>
      </c>
      <c r="C276" s="62" t="s">
        <v>3042</v>
      </c>
      <c r="D276" s="63">
        <v>33.9</v>
      </c>
      <c r="E276" s="63">
        <v>33.299999999999997</v>
      </c>
      <c r="F276" s="63">
        <v>32.5</v>
      </c>
      <c r="G276" s="63">
        <v>31.6</v>
      </c>
      <c r="H276" s="63">
        <v>31.3</v>
      </c>
      <c r="I276" s="63">
        <v>30.7</v>
      </c>
      <c r="J276" s="63">
        <v>30.8</v>
      </c>
      <c r="K276" s="63">
        <v>32</v>
      </c>
      <c r="L276" s="63">
        <v>33.5</v>
      </c>
      <c r="M276" s="63">
        <v>34.700000000000003</v>
      </c>
      <c r="N276" s="63">
        <v>34.799999999999997</v>
      </c>
      <c r="O276" s="63">
        <v>34.799999999999997</v>
      </c>
      <c r="P276" s="63">
        <v>32.799999999999997</v>
      </c>
      <c r="Q276"/>
      <c r="R276"/>
      <c r="S276"/>
      <c r="T276"/>
      <c r="U276"/>
      <c r="V276"/>
      <c r="W276"/>
      <c r="X276"/>
    </row>
    <row r="277" spans="1:24" s="59" customFormat="1" ht="15.75">
      <c r="A277" s="55">
        <v>82594</v>
      </c>
      <c r="B277" s="56" t="s">
        <v>3297</v>
      </c>
      <c r="C277" s="57" t="s">
        <v>3042</v>
      </c>
      <c r="D277" s="58">
        <v>31.8</v>
      </c>
      <c r="E277" s="58">
        <v>32.1</v>
      </c>
      <c r="F277" s="58">
        <v>32</v>
      </c>
      <c r="G277" s="58">
        <v>32.200000000000003</v>
      </c>
      <c r="H277" s="58">
        <v>32.299999999999997</v>
      </c>
      <c r="I277" s="58">
        <v>32</v>
      </c>
      <c r="J277" s="58">
        <v>32.1</v>
      </c>
      <c r="K277" s="58">
        <v>32.799999999999997</v>
      </c>
      <c r="L277" s="58">
        <v>33.1</v>
      </c>
      <c r="M277" s="58">
        <v>32.6</v>
      </c>
      <c r="N277" s="58">
        <v>32.299999999999997</v>
      </c>
      <c r="O277" s="58">
        <v>32</v>
      </c>
      <c r="P277" s="58">
        <v>32.299999999999997</v>
      </c>
      <c r="Q277"/>
      <c r="R277"/>
      <c r="S277"/>
      <c r="T277"/>
      <c r="U277"/>
      <c r="V277"/>
      <c r="W277"/>
      <c r="X277"/>
    </row>
    <row r="278" spans="1:24" s="59" customFormat="1" ht="15.75">
      <c r="A278" s="60">
        <v>82591</v>
      </c>
      <c r="B278" s="61" t="s">
        <v>3298</v>
      </c>
      <c r="C278" s="62" t="s">
        <v>3042</v>
      </c>
      <c r="D278" s="63">
        <v>34.1</v>
      </c>
      <c r="E278" s="63">
        <v>33.9</v>
      </c>
      <c r="F278" s="63">
        <v>33.1</v>
      </c>
      <c r="G278" s="63">
        <v>32.6</v>
      </c>
      <c r="H278" s="63">
        <v>32.6</v>
      </c>
      <c r="I278" s="63">
        <v>32.5</v>
      </c>
      <c r="J278" s="63">
        <v>33.1</v>
      </c>
      <c r="K278" s="63">
        <v>34.299999999999997</v>
      </c>
      <c r="L278" s="63">
        <v>35</v>
      </c>
      <c r="M278" s="63">
        <v>35.1</v>
      </c>
      <c r="N278" s="63">
        <v>34.9</v>
      </c>
      <c r="O278" s="63">
        <v>34.799999999999997</v>
      </c>
      <c r="P278" s="63">
        <v>33.799999999999997</v>
      </c>
      <c r="Q278"/>
      <c r="R278"/>
      <c r="S278"/>
      <c r="T278"/>
      <c r="U278"/>
      <c r="V278"/>
      <c r="W278"/>
      <c r="X278"/>
    </row>
    <row r="279" spans="1:24" s="59" customFormat="1" ht="15.75">
      <c r="A279" s="55">
        <v>82598</v>
      </c>
      <c r="B279" s="56" t="s">
        <v>3299</v>
      </c>
      <c r="C279" s="57" t="s">
        <v>3042</v>
      </c>
      <c r="D279" s="58">
        <v>30.4</v>
      </c>
      <c r="E279" s="58">
        <v>30.6</v>
      </c>
      <c r="F279" s="58">
        <v>30.6</v>
      </c>
      <c r="G279" s="58">
        <v>30.2</v>
      </c>
      <c r="H279" s="58">
        <v>29.7</v>
      </c>
      <c r="I279" s="58">
        <v>28.7</v>
      </c>
      <c r="J279" s="58">
        <v>28.3</v>
      </c>
      <c r="K279" s="58">
        <v>28.4</v>
      </c>
      <c r="L279" s="58">
        <v>29</v>
      </c>
      <c r="M279" s="58">
        <v>29.8</v>
      </c>
      <c r="N279" s="58">
        <v>30</v>
      </c>
      <c r="O279" s="58">
        <v>30.3</v>
      </c>
      <c r="P279" s="58">
        <v>29.7</v>
      </c>
      <c r="Q279"/>
      <c r="R279"/>
      <c r="S279"/>
      <c r="T279"/>
      <c r="U279"/>
      <c r="V279"/>
      <c r="W279"/>
      <c r="X279"/>
    </row>
    <row r="280" spans="1:24" s="59" customFormat="1" ht="15.75">
      <c r="A280" s="60">
        <v>82690</v>
      </c>
      <c r="B280" s="61" t="s">
        <v>3300</v>
      </c>
      <c r="C280" s="62" t="s">
        <v>3042</v>
      </c>
      <c r="D280" s="63">
        <v>36</v>
      </c>
      <c r="E280" s="63">
        <v>35.299999999999997</v>
      </c>
      <c r="F280" s="63">
        <v>34.6</v>
      </c>
      <c r="G280" s="63">
        <v>33.9</v>
      </c>
      <c r="H280" s="63">
        <v>33.4</v>
      </c>
      <c r="I280" s="63">
        <v>32.5</v>
      </c>
      <c r="J280" s="63">
        <v>33</v>
      </c>
      <c r="K280" s="63">
        <v>33.9</v>
      </c>
      <c r="L280" s="63">
        <v>35.5</v>
      </c>
      <c r="M280" s="63">
        <v>36.799999999999997</v>
      </c>
      <c r="N280" s="63">
        <v>37.1</v>
      </c>
      <c r="O280" s="63">
        <v>36.9</v>
      </c>
      <c r="P280" s="63">
        <v>34.9</v>
      </c>
      <c r="Q280"/>
      <c r="R280"/>
      <c r="S280"/>
      <c r="T280"/>
      <c r="U280"/>
      <c r="V280"/>
      <c r="W280"/>
      <c r="X280"/>
    </row>
    <row r="281" spans="1:24" s="59" customFormat="1" ht="15.75">
      <c r="A281" s="55">
        <v>82825</v>
      </c>
      <c r="B281" s="56" t="s">
        <v>3301</v>
      </c>
      <c r="C281" s="57" t="s">
        <v>3044</v>
      </c>
      <c r="D281" s="58">
        <v>31.6</v>
      </c>
      <c r="E281" s="58">
        <v>31.5</v>
      </c>
      <c r="F281" s="58">
        <v>31.6</v>
      </c>
      <c r="G281" s="58">
        <v>31.8</v>
      </c>
      <c r="H281" s="58">
        <v>31.3</v>
      </c>
      <c r="I281" s="58" t="s">
        <v>77</v>
      </c>
      <c r="J281" s="58">
        <v>32.799999999999997</v>
      </c>
      <c r="K281" s="58">
        <v>34.299999999999997</v>
      </c>
      <c r="L281" s="58">
        <v>34</v>
      </c>
      <c r="M281" s="58">
        <v>33.700000000000003</v>
      </c>
      <c r="N281" s="58" t="s">
        <v>77</v>
      </c>
      <c r="O281" s="58">
        <v>31.7</v>
      </c>
      <c r="P281" s="58" t="s">
        <v>77</v>
      </c>
      <c r="Q281"/>
      <c r="R281"/>
      <c r="S281"/>
      <c r="T281"/>
      <c r="U281"/>
      <c r="V281"/>
      <c r="W281"/>
      <c r="X281"/>
    </row>
    <row r="282" spans="1:24" s="59" customFormat="1" ht="15.75">
      <c r="A282" s="60">
        <v>82024</v>
      </c>
      <c r="B282" s="61" t="s">
        <v>3302</v>
      </c>
      <c r="C282" s="62" t="s">
        <v>3046</v>
      </c>
      <c r="D282" s="63">
        <v>33.299999999999997</v>
      </c>
      <c r="E282" s="63">
        <v>33.6</v>
      </c>
      <c r="F282" s="63">
        <v>34.200000000000003</v>
      </c>
      <c r="G282" s="63">
        <v>33.6</v>
      </c>
      <c r="H282" s="63">
        <v>31.9</v>
      </c>
      <c r="I282" s="63">
        <v>31.2</v>
      </c>
      <c r="J282" s="63">
        <v>31.4</v>
      </c>
      <c r="K282" s="63">
        <v>32.700000000000003</v>
      </c>
      <c r="L282" s="63">
        <v>34.200000000000003</v>
      </c>
      <c r="M282" s="63">
        <v>34.799999999999997</v>
      </c>
      <c r="N282" s="63">
        <v>34.6</v>
      </c>
      <c r="O282" s="63">
        <v>33.799999999999997</v>
      </c>
      <c r="P282" s="63">
        <v>33.299999999999997</v>
      </c>
      <c r="Q282"/>
      <c r="R282"/>
      <c r="S282"/>
      <c r="T282"/>
      <c r="U282"/>
      <c r="V282"/>
      <c r="W282"/>
      <c r="X282"/>
    </row>
    <row r="283" spans="1:24" s="59" customFormat="1" ht="15.75">
      <c r="A283" s="55">
        <v>82042</v>
      </c>
      <c r="B283" s="56" t="s">
        <v>3303</v>
      </c>
      <c r="C283" s="57" t="s">
        <v>3046</v>
      </c>
      <c r="D283" s="58">
        <v>32.6</v>
      </c>
      <c r="E283" s="58">
        <v>33</v>
      </c>
      <c r="F283" s="58">
        <v>33.299999999999997</v>
      </c>
      <c r="G283" s="58">
        <v>32.700000000000003</v>
      </c>
      <c r="H283" s="58">
        <v>31</v>
      </c>
      <c r="I283" s="58">
        <v>30.9</v>
      </c>
      <c r="J283" s="58">
        <v>31.1</v>
      </c>
      <c r="K283" s="58">
        <v>32.299999999999997</v>
      </c>
      <c r="L283" s="58">
        <v>33.4</v>
      </c>
      <c r="M283" s="58">
        <v>34.200000000000003</v>
      </c>
      <c r="N283" s="58">
        <v>33.799999999999997</v>
      </c>
      <c r="O283" s="58">
        <v>32.799999999999997</v>
      </c>
      <c r="P283" s="58">
        <v>32.6</v>
      </c>
      <c r="Q283"/>
      <c r="R283"/>
      <c r="S283"/>
      <c r="T283"/>
      <c r="U283"/>
      <c r="V283"/>
      <c r="W283"/>
      <c r="X283"/>
    </row>
    <row r="284" spans="1:24" s="59" customFormat="1" ht="15.75">
      <c r="A284" s="60">
        <v>83980</v>
      </c>
      <c r="B284" s="61" t="s">
        <v>3304</v>
      </c>
      <c r="C284" s="62" t="s">
        <v>3048</v>
      </c>
      <c r="D284" s="63">
        <v>29.7</v>
      </c>
      <c r="E284" s="63">
        <v>28.6</v>
      </c>
      <c r="F284" s="63">
        <v>27.5</v>
      </c>
      <c r="G284" s="63">
        <v>23.9</v>
      </c>
      <c r="H284" s="63">
        <v>20</v>
      </c>
      <c r="I284" s="63">
        <v>17.399999999999999</v>
      </c>
      <c r="J284" s="63">
        <v>17</v>
      </c>
      <c r="K284" s="63">
        <v>19.3</v>
      </c>
      <c r="L284" s="63">
        <v>20.2</v>
      </c>
      <c r="M284" s="63">
        <v>23.3</v>
      </c>
      <c r="N284" s="63">
        <v>26.1</v>
      </c>
      <c r="O284" s="63">
        <v>28.7</v>
      </c>
      <c r="P284" s="63">
        <v>23.5</v>
      </c>
      <c r="Q284"/>
      <c r="R284"/>
      <c r="S284"/>
      <c r="T284"/>
      <c r="U284"/>
      <c r="V284"/>
      <c r="W284"/>
      <c r="X284"/>
    </row>
    <row r="285" spans="1:24" s="59" customFormat="1" ht="15.75">
      <c r="A285" s="55">
        <v>83941</v>
      </c>
      <c r="B285" s="56" t="s">
        <v>3305</v>
      </c>
      <c r="C285" s="57" t="s">
        <v>3048</v>
      </c>
      <c r="D285" s="58">
        <v>27.3</v>
      </c>
      <c r="E285" s="58">
        <v>27</v>
      </c>
      <c r="F285" s="58">
        <v>26</v>
      </c>
      <c r="G285" s="58">
        <v>22.9</v>
      </c>
      <c r="H285" s="58">
        <v>19.3</v>
      </c>
      <c r="I285" s="58">
        <v>17.5</v>
      </c>
      <c r="J285" s="58">
        <v>17.399999999999999</v>
      </c>
      <c r="K285" s="58">
        <v>19.600000000000001</v>
      </c>
      <c r="L285" s="58">
        <v>20.3</v>
      </c>
      <c r="M285" s="58">
        <v>22.7</v>
      </c>
      <c r="N285" s="58">
        <v>24.7</v>
      </c>
      <c r="O285" s="58">
        <v>26.7</v>
      </c>
      <c r="P285" s="58">
        <v>22.6</v>
      </c>
      <c r="Q285"/>
      <c r="R285"/>
      <c r="S285"/>
      <c r="T285"/>
      <c r="U285"/>
      <c r="V285"/>
      <c r="W285"/>
      <c r="X285"/>
    </row>
    <row r="286" spans="1:24" s="59" customFormat="1" ht="15.75">
      <c r="A286" s="60">
        <v>83919</v>
      </c>
      <c r="B286" s="61" t="s">
        <v>3306</v>
      </c>
      <c r="C286" s="62" t="s">
        <v>3048</v>
      </c>
      <c r="D286" s="63">
        <v>25.2</v>
      </c>
      <c r="E286" s="63">
        <v>25.1</v>
      </c>
      <c r="F286" s="63">
        <v>24.2</v>
      </c>
      <c r="G286" s="63">
        <v>21.5</v>
      </c>
      <c r="H286" s="63">
        <v>18.2</v>
      </c>
      <c r="I286" s="63">
        <v>16.899999999999999</v>
      </c>
      <c r="J286" s="63">
        <v>16.7</v>
      </c>
      <c r="K286" s="63">
        <v>18.600000000000001</v>
      </c>
      <c r="L286" s="63">
        <v>19.100000000000001</v>
      </c>
      <c r="M286" s="63">
        <v>21.2</v>
      </c>
      <c r="N286" s="63">
        <v>23</v>
      </c>
      <c r="O286" s="63">
        <v>24.9</v>
      </c>
      <c r="P286" s="63">
        <v>21.2</v>
      </c>
      <c r="Q286"/>
      <c r="R286"/>
      <c r="S286"/>
      <c r="T286"/>
      <c r="U286"/>
      <c r="V286"/>
      <c r="W286"/>
      <c r="X286"/>
    </row>
    <row r="287" spans="1:24" s="59" customFormat="1" ht="15.75">
      <c r="A287" s="55">
        <v>83946</v>
      </c>
      <c r="B287" s="56" t="s">
        <v>3307</v>
      </c>
      <c r="C287" s="57" t="s">
        <v>3048</v>
      </c>
      <c r="D287" s="58">
        <v>24.4</v>
      </c>
      <c r="E287" s="58">
        <v>24.3</v>
      </c>
      <c r="F287" s="58">
        <v>23.8</v>
      </c>
      <c r="G287" s="58">
        <v>21.4</v>
      </c>
      <c r="H287" s="58">
        <v>17.399999999999999</v>
      </c>
      <c r="I287" s="58">
        <v>17.2</v>
      </c>
      <c r="J287" s="58">
        <v>16.8</v>
      </c>
      <c r="K287" s="58">
        <v>18.5</v>
      </c>
      <c r="L287" s="58">
        <v>18.5</v>
      </c>
      <c r="M287" s="58">
        <v>20.7</v>
      </c>
      <c r="N287" s="58">
        <v>22.1</v>
      </c>
      <c r="O287" s="58">
        <v>23.7</v>
      </c>
      <c r="P287" s="58">
        <v>20.7</v>
      </c>
      <c r="Q287"/>
      <c r="R287"/>
      <c r="S287"/>
      <c r="T287"/>
      <c r="U287"/>
      <c r="V287"/>
      <c r="W287"/>
      <c r="X287"/>
    </row>
    <row r="288" spans="1:24" s="59" customFormat="1" ht="15.75">
      <c r="A288" s="60">
        <v>83961</v>
      </c>
      <c r="B288" s="61" t="s">
        <v>3308</v>
      </c>
      <c r="C288" s="62" t="s">
        <v>3048</v>
      </c>
      <c r="D288" s="63">
        <v>32.200000000000003</v>
      </c>
      <c r="E288" s="63">
        <v>31.6</v>
      </c>
      <c r="F288" s="63">
        <v>30.6</v>
      </c>
      <c r="G288" s="63">
        <v>27.2</v>
      </c>
      <c r="H288" s="63">
        <v>23.1</v>
      </c>
      <c r="I288" s="63">
        <v>20.9</v>
      </c>
      <c r="J288" s="63">
        <v>20.5</v>
      </c>
      <c r="K288" s="63">
        <v>22.7</v>
      </c>
      <c r="L288" s="63">
        <v>23.5</v>
      </c>
      <c r="M288" s="63">
        <v>26.8</v>
      </c>
      <c r="N288" s="63">
        <v>29.4</v>
      </c>
      <c r="O288" s="63">
        <v>31.6</v>
      </c>
      <c r="P288" s="63">
        <v>26.7</v>
      </c>
      <c r="Q288"/>
      <c r="R288"/>
      <c r="S288"/>
      <c r="T288"/>
      <c r="U288"/>
      <c r="V288"/>
      <c r="W288"/>
      <c r="X288"/>
    </row>
    <row r="289" spans="1:24" s="59" customFormat="1" ht="15.75">
      <c r="A289" s="55">
        <v>83942</v>
      </c>
      <c r="B289" s="56" t="s">
        <v>3309</v>
      </c>
      <c r="C289" s="57" t="s">
        <v>3048</v>
      </c>
      <c r="D289" s="58">
        <v>26.6</v>
      </c>
      <c r="E289" s="58">
        <v>26.5</v>
      </c>
      <c r="F289" s="58">
        <v>25.3</v>
      </c>
      <c r="G289" s="58">
        <v>22.3</v>
      </c>
      <c r="H289" s="58">
        <v>18.7</v>
      </c>
      <c r="I289" s="58">
        <v>17.3</v>
      </c>
      <c r="J289" s="58">
        <v>16.899999999999999</v>
      </c>
      <c r="K289" s="58">
        <v>19.100000000000001</v>
      </c>
      <c r="L289" s="58">
        <v>19.600000000000001</v>
      </c>
      <c r="M289" s="58">
        <v>21.9</v>
      </c>
      <c r="N289" s="58">
        <v>24.2</v>
      </c>
      <c r="O289" s="58">
        <v>25.9</v>
      </c>
      <c r="P289" s="58">
        <v>22</v>
      </c>
      <c r="Q289"/>
      <c r="R289"/>
      <c r="S289"/>
      <c r="T289"/>
      <c r="U289"/>
      <c r="V289"/>
      <c r="W289"/>
      <c r="X289"/>
    </row>
    <row r="290" spans="1:24" s="59" customFormat="1" ht="15.75">
      <c r="A290" s="60">
        <v>83912</v>
      </c>
      <c r="B290" s="61" t="s">
        <v>3310</v>
      </c>
      <c r="C290" s="62" t="s">
        <v>3048</v>
      </c>
      <c r="D290" s="63">
        <v>29.8</v>
      </c>
      <c r="E290" s="63">
        <v>28.8</v>
      </c>
      <c r="F290" s="63">
        <v>28.3</v>
      </c>
      <c r="G290" s="63">
        <v>25.5</v>
      </c>
      <c r="H290" s="63">
        <v>21.4</v>
      </c>
      <c r="I290" s="63">
        <v>19.3</v>
      </c>
      <c r="J290" s="63">
        <v>18.5</v>
      </c>
      <c r="K290" s="63">
        <v>21.1</v>
      </c>
      <c r="L290" s="63">
        <v>21.9</v>
      </c>
      <c r="M290" s="63">
        <v>25</v>
      </c>
      <c r="N290" s="63">
        <v>27.7</v>
      </c>
      <c r="O290" s="63">
        <v>29.8</v>
      </c>
      <c r="P290" s="63">
        <v>24.8</v>
      </c>
      <c r="Q290"/>
      <c r="R290"/>
      <c r="S290"/>
      <c r="T290"/>
      <c r="U290"/>
      <c r="V290"/>
      <c r="W290"/>
      <c r="X290"/>
    </row>
    <row r="291" spans="1:24" s="59" customFormat="1" ht="15.75">
      <c r="A291" s="55">
        <v>83964</v>
      </c>
      <c r="B291" s="56" t="s">
        <v>3311</v>
      </c>
      <c r="C291" s="57" t="s">
        <v>3048</v>
      </c>
      <c r="D291" s="58">
        <v>28.9</v>
      </c>
      <c r="E291" s="58">
        <v>27.9</v>
      </c>
      <c r="F291" s="58">
        <v>27.3</v>
      </c>
      <c r="G291" s="58">
        <v>23.7</v>
      </c>
      <c r="H291" s="58">
        <v>19.8</v>
      </c>
      <c r="I291" s="58">
        <v>17.2</v>
      </c>
      <c r="J291" s="58">
        <v>16.7</v>
      </c>
      <c r="K291" s="58">
        <v>18.899999999999999</v>
      </c>
      <c r="L291" s="58">
        <v>19.899999999999999</v>
      </c>
      <c r="M291" s="58">
        <v>23</v>
      </c>
      <c r="N291" s="58">
        <v>25.5</v>
      </c>
      <c r="O291" s="58">
        <v>28.3</v>
      </c>
      <c r="P291" s="58">
        <v>23.1</v>
      </c>
      <c r="Q291"/>
      <c r="R291"/>
      <c r="S291"/>
      <c r="T291"/>
      <c r="U291"/>
      <c r="V291"/>
      <c r="W291"/>
      <c r="X291"/>
    </row>
    <row r="292" spans="1:24" s="59" customFormat="1" ht="15.75">
      <c r="A292" s="60">
        <v>83932</v>
      </c>
      <c r="B292" s="61" t="s">
        <v>3312</v>
      </c>
      <c r="C292" s="62" t="s">
        <v>3048</v>
      </c>
      <c r="D292" s="63">
        <v>30.1</v>
      </c>
      <c r="E292" s="63">
        <v>28.9</v>
      </c>
      <c r="F292" s="63">
        <v>28.4</v>
      </c>
      <c r="G292" s="63">
        <v>25.8</v>
      </c>
      <c r="H292" s="63">
        <v>21.5</v>
      </c>
      <c r="I292" s="63">
        <v>19.5</v>
      </c>
      <c r="J292" s="63">
        <v>19</v>
      </c>
      <c r="K292" s="63">
        <v>21.2</v>
      </c>
      <c r="L292" s="63">
        <v>22.1</v>
      </c>
      <c r="M292" s="63">
        <v>25.3</v>
      </c>
      <c r="N292" s="63">
        <v>28.1</v>
      </c>
      <c r="O292" s="63">
        <v>30</v>
      </c>
      <c r="P292" s="63">
        <v>25</v>
      </c>
      <c r="Q292"/>
      <c r="R292"/>
      <c r="S292"/>
      <c r="T292"/>
      <c r="U292"/>
      <c r="V292"/>
      <c r="W292"/>
      <c r="X292"/>
    </row>
    <row r="293" spans="1:24" s="59" customFormat="1" ht="15.75">
      <c r="A293" s="55">
        <v>83881</v>
      </c>
      <c r="B293" s="56" t="s">
        <v>3313</v>
      </c>
      <c r="C293" s="57" t="s">
        <v>3048</v>
      </c>
      <c r="D293" s="58">
        <v>32.299999999999997</v>
      </c>
      <c r="E293" s="58">
        <v>31.8</v>
      </c>
      <c r="F293" s="58">
        <v>31</v>
      </c>
      <c r="G293" s="58">
        <v>27.8</v>
      </c>
      <c r="H293" s="58">
        <v>23.6</v>
      </c>
      <c r="I293" s="58">
        <v>22.2</v>
      </c>
      <c r="J293" s="58">
        <v>21.9</v>
      </c>
      <c r="K293" s="58">
        <v>24.6</v>
      </c>
      <c r="L293" s="58">
        <v>25.3</v>
      </c>
      <c r="M293" s="58">
        <v>27.7</v>
      </c>
      <c r="N293" s="58">
        <v>30.2</v>
      </c>
      <c r="O293" s="58">
        <v>31.8</v>
      </c>
      <c r="P293" s="58">
        <v>27.5</v>
      </c>
      <c r="Q293"/>
      <c r="R293"/>
      <c r="S293"/>
      <c r="T293"/>
      <c r="U293"/>
      <c r="V293"/>
      <c r="W293"/>
      <c r="X293"/>
    </row>
    <row r="294" spans="1:24" s="59" customFormat="1" ht="15.75">
      <c r="A294" s="60">
        <v>83916</v>
      </c>
      <c r="B294" s="61" t="s">
        <v>3314</v>
      </c>
      <c r="C294" s="62" t="s">
        <v>3048</v>
      </c>
      <c r="D294" s="63">
        <v>27.1</v>
      </c>
      <c r="E294" s="63">
        <v>27.2</v>
      </c>
      <c r="F294" s="63">
        <v>26</v>
      </c>
      <c r="G294" s="63">
        <v>23.4</v>
      </c>
      <c r="H294" s="63">
        <v>19.7</v>
      </c>
      <c r="I294" s="63">
        <v>18.3</v>
      </c>
      <c r="J294" s="63">
        <v>18</v>
      </c>
      <c r="K294" s="63">
        <v>19.600000000000001</v>
      </c>
      <c r="L294" s="63">
        <v>20.100000000000001</v>
      </c>
      <c r="M294" s="63">
        <v>23.4</v>
      </c>
      <c r="N294" s="63">
        <v>25.1</v>
      </c>
      <c r="O294" s="63">
        <v>26.7</v>
      </c>
      <c r="P294" s="63">
        <v>22.9</v>
      </c>
      <c r="Q294"/>
      <c r="R294"/>
      <c r="S294"/>
      <c r="T294"/>
      <c r="U294"/>
      <c r="V294"/>
      <c r="W294"/>
      <c r="X294"/>
    </row>
    <row r="295" spans="1:24" s="59" customFormat="1" ht="15.75">
      <c r="A295" s="55">
        <v>83914</v>
      </c>
      <c r="B295" s="56" t="s">
        <v>3315</v>
      </c>
      <c r="C295" s="57" t="s">
        <v>3048</v>
      </c>
      <c r="D295" s="58">
        <v>28.3</v>
      </c>
      <c r="E295" s="58">
        <v>27.6</v>
      </c>
      <c r="F295" s="58">
        <v>27.1</v>
      </c>
      <c r="G295" s="58">
        <v>24.3</v>
      </c>
      <c r="H295" s="58">
        <v>20.7</v>
      </c>
      <c r="I295" s="58">
        <v>18.600000000000001</v>
      </c>
      <c r="J295" s="58">
        <v>18.100000000000001</v>
      </c>
      <c r="K295" s="58">
        <v>20.2</v>
      </c>
      <c r="L295" s="58">
        <v>21</v>
      </c>
      <c r="M295" s="58">
        <v>24</v>
      </c>
      <c r="N295" s="58">
        <v>26.5</v>
      </c>
      <c r="O295" s="58">
        <v>28.3</v>
      </c>
      <c r="P295" s="58">
        <v>23.7</v>
      </c>
      <c r="Q295"/>
      <c r="R295"/>
      <c r="S295"/>
      <c r="T295"/>
      <c r="U295"/>
      <c r="V295"/>
      <c r="W295"/>
      <c r="X295"/>
    </row>
    <row r="296" spans="1:24" s="59" customFormat="1" ht="15.75">
      <c r="A296" s="60">
        <v>83985</v>
      </c>
      <c r="B296" s="61" t="s">
        <v>3316</v>
      </c>
      <c r="C296" s="62" t="s">
        <v>3048</v>
      </c>
      <c r="D296" s="63">
        <v>28.5</v>
      </c>
      <c r="E296" s="63">
        <v>27.9</v>
      </c>
      <c r="F296" s="63">
        <v>27</v>
      </c>
      <c r="G296" s="63">
        <v>24.4</v>
      </c>
      <c r="H296" s="63">
        <v>20.5</v>
      </c>
      <c r="I296" s="63">
        <v>17.899999999999999</v>
      </c>
      <c r="J296" s="63">
        <v>17.5</v>
      </c>
      <c r="K296" s="63">
        <v>18.7</v>
      </c>
      <c r="L296" s="63">
        <v>19.600000000000001</v>
      </c>
      <c r="M296" s="63">
        <v>22.3</v>
      </c>
      <c r="N296" s="63">
        <v>24.9</v>
      </c>
      <c r="O296" s="63">
        <v>27.3</v>
      </c>
      <c r="P296" s="63">
        <v>23</v>
      </c>
      <c r="Q296"/>
      <c r="R296"/>
      <c r="S296"/>
      <c r="T296"/>
      <c r="U296"/>
      <c r="V296"/>
      <c r="W296"/>
      <c r="X296"/>
    </row>
    <row r="297" spans="1:24" s="59" customFormat="1" ht="15.75">
      <c r="A297" s="55">
        <v>83967</v>
      </c>
      <c r="B297" s="56" t="s">
        <v>3317</v>
      </c>
      <c r="C297" s="57" t="s">
        <v>3048</v>
      </c>
      <c r="D297" s="58">
        <v>30.5</v>
      </c>
      <c r="E297" s="58">
        <v>30.2</v>
      </c>
      <c r="F297" s="58">
        <v>29.1</v>
      </c>
      <c r="G297" s="58">
        <v>25.9</v>
      </c>
      <c r="H297" s="58">
        <v>22.2</v>
      </c>
      <c r="I297" s="58">
        <v>19.8</v>
      </c>
      <c r="J297" s="58">
        <v>19.3</v>
      </c>
      <c r="K297" s="58">
        <v>21.3</v>
      </c>
      <c r="L297" s="58">
        <v>22.1</v>
      </c>
      <c r="M297" s="58">
        <v>25</v>
      </c>
      <c r="N297" s="58">
        <v>27.4</v>
      </c>
      <c r="O297" s="58">
        <v>29.5</v>
      </c>
      <c r="P297" s="58">
        <v>25.2</v>
      </c>
      <c r="Q297"/>
      <c r="R297"/>
      <c r="S297"/>
      <c r="T297"/>
      <c r="U297"/>
      <c r="V297"/>
      <c r="W297"/>
      <c r="X297"/>
    </row>
    <row r="298" spans="1:24" s="59" customFormat="1" ht="15.75">
      <c r="A298" s="60">
        <v>83995</v>
      </c>
      <c r="B298" s="61" t="s">
        <v>3318</v>
      </c>
      <c r="C298" s="62" t="s">
        <v>3048</v>
      </c>
      <c r="D298" s="63">
        <v>27.8</v>
      </c>
      <c r="E298" s="63">
        <v>27.5</v>
      </c>
      <c r="F298" s="63">
        <v>26.7</v>
      </c>
      <c r="G298" s="63">
        <v>24</v>
      </c>
      <c r="H298" s="63">
        <v>20.5</v>
      </c>
      <c r="I298" s="63">
        <v>17.7</v>
      </c>
      <c r="J298" s="63">
        <v>16.8</v>
      </c>
      <c r="K298" s="63">
        <v>18.3</v>
      </c>
      <c r="L298" s="63">
        <v>19.2</v>
      </c>
      <c r="M298" s="63">
        <v>21.8</v>
      </c>
      <c r="N298" s="63">
        <v>24.2</v>
      </c>
      <c r="O298" s="63">
        <v>26.6</v>
      </c>
      <c r="P298" s="63">
        <v>22.6</v>
      </c>
      <c r="Q298"/>
      <c r="R298"/>
      <c r="S298"/>
      <c r="T298"/>
      <c r="U298"/>
      <c r="V298"/>
      <c r="W298"/>
      <c r="X298"/>
    </row>
    <row r="299" spans="1:24" s="59" customFormat="1" ht="15.75">
      <c r="A299" s="55">
        <v>83936</v>
      </c>
      <c r="B299" s="56" t="s">
        <v>3319</v>
      </c>
      <c r="C299" s="57" t="s">
        <v>3048</v>
      </c>
      <c r="D299" s="58">
        <v>30.9</v>
      </c>
      <c r="E299" s="58">
        <v>29.9</v>
      </c>
      <c r="F299" s="58">
        <v>29.1</v>
      </c>
      <c r="G299" s="58">
        <v>25.7</v>
      </c>
      <c r="H299" s="58">
        <v>22</v>
      </c>
      <c r="I299" s="58">
        <v>19.7</v>
      </c>
      <c r="J299" s="58">
        <v>19</v>
      </c>
      <c r="K299" s="58">
        <v>21.4</v>
      </c>
      <c r="L299" s="58">
        <v>22.1</v>
      </c>
      <c r="M299" s="58">
        <v>25.2</v>
      </c>
      <c r="N299" s="58">
        <v>27.8</v>
      </c>
      <c r="O299" s="58">
        <v>30.3</v>
      </c>
      <c r="P299" s="58">
        <v>25.3</v>
      </c>
      <c r="Q299"/>
      <c r="R299"/>
      <c r="S299"/>
      <c r="T299"/>
      <c r="U299"/>
      <c r="V299"/>
      <c r="W299"/>
      <c r="X299"/>
    </row>
    <row r="300" spans="1:24" s="59" customFormat="1" ht="15.75">
      <c r="A300" s="60">
        <v>83997</v>
      </c>
      <c r="B300" s="61" t="s">
        <v>3320</v>
      </c>
      <c r="C300" s="62" t="s">
        <v>3048</v>
      </c>
      <c r="D300" s="63">
        <v>27.7</v>
      </c>
      <c r="E300" s="63">
        <v>27.1</v>
      </c>
      <c r="F300" s="63">
        <v>26.3</v>
      </c>
      <c r="G300" s="63">
        <v>23.2</v>
      </c>
      <c r="H300" s="63">
        <v>19.399999999999999</v>
      </c>
      <c r="I300" s="63">
        <v>16.399999999999999</v>
      </c>
      <c r="J300" s="63">
        <v>15.6</v>
      </c>
      <c r="K300" s="63">
        <v>17.2</v>
      </c>
      <c r="L300" s="63">
        <v>18.3</v>
      </c>
      <c r="M300" s="63">
        <v>21.4</v>
      </c>
      <c r="N300" s="63">
        <v>23.8</v>
      </c>
      <c r="O300" s="63">
        <v>26.2</v>
      </c>
      <c r="P300" s="63">
        <v>21.9</v>
      </c>
      <c r="Q300"/>
      <c r="R300"/>
      <c r="S300"/>
      <c r="T300"/>
      <c r="U300"/>
      <c r="V300"/>
      <c r="W300"/>
      <c r="X300"/>
    </row>
    <row r="301" spans="1:24" s="59" customFormat="1" ht="15.75">
      <c r="A301" s="55">
        <v>83953</v>
      </c>
      <c r="B301" s="56" t="s">
        <v>3321</v>
      </c>
      <c r="C301" s="57" t="s">
        <v>3048</v>
      </c>
      <c r="D301" s="58">
        <v>30.4</v>
      </c>
      <c r="E301" s="58">
        <v>29.2</v>
      </c>
      <c r="F301" s="58">
        <v>27.5</v>
      </c>
      <c r="G301" s="58">
        <v>24.1</v>
      </c>
      <c r="H301" s="58">
        <v>19.8</v>
      </c>
      <c r="I301" s="58">
        <v>17.100000000000001</v>
      </c>
      <c r="J301" s="58">
        <v>17</v>
      </c>
      <c r="K301" s="58">
        <v>18.399999999999999</v>
      </c>
      <c r="L301" s="58">
        <v>19.7</v>
      </c>
      <c r="M301" s="58">
        <v>23.5</v>
      </c>
      <c r="N301" s="58">
        <v>26.1</v>
      </c>
      <c r="O301" s="58">
        <v>28.6</v>
      </c>
      <c r="P301" s="58">
        <v>23.5</v>
      </c>
      <c r="Q301"/>
      <c r="R301"/>
      <c r="S301"/>
      <c r="T301"/>
      <c r="U301"/>
      <c r="V301"/>
      <c r="W301"/>
      <c r="X301"/>
    </row>
    <row r="302" spans="1:24" s="59" customFormat="1" ht="15.75">
      <c r="A302" s="60">
        <v>83907</v>
      </c>
      <c r="B302" s="61" t="s">
        <v>3322</v>
      </c>
      <c r="C302" s="62" t="s">
        <v>3048</v>
      </c>
      <c r="D302" s="63">
        <v>32.9</v>
      </c>
      <c r="E302" s="63">
        <v>31.7</v>
      </c>
      <c r="F302" s="63">
        <v>30.8</v>
      </c>
      <c r="G302" s="63">
        <v>27.3</v>
      </c>
      <c r="H302" s="63">
        <v>23.3</v>
      </c>
      <c r="I302" s="63">
        <v>21.2</v>
      </c>
      <c r="J302" s="63">
        <v>20.6</v>
      </c>
      <c r="K302" s="63">
        <v>23.1</v>
      </c>
      <c r="L302" s="63">
        <v>24.3</v>
      </c>
      <c r="M302" s="63">
        <v>27.3</v>
      </c>
      <c r="N302" s="63">
        <v>30</v>
      </c>
      <c r="O302" s="63">
        <v>32.200000000000003</v>
      </c>
      <c r="P302" s="63">
        <v>27.1</v>
      </c>
      <c r="Q302"/>
      <c r="R302"/>
      <c r="S302"/>
      <c r="T302"/>
      <c r="U302"/>
      <c r="V302"/>
      <c r="W302"/>
      <c r="X302"/>
    </row>
    <row r="303" spans="1:24" s="59" customFormat="1" ht="15.75">
      <c r="A303" s="55">
        <v>83948</v>
      </c>
      <c r="B303" s="56" t="s">
        <v>3323</v>
      </c>
      <c r="C303" s="57" t="s">
        <v>3048</v>
      </c>
      <c r="D303" s="58">
        <v>26.7</v>
      </c>
      <c r="E303" s="58">
        <v>27</v>
      </c>
      <c r="F303" s="58">
        <v>26.9</v>
      </c>
      <c r="G303" s="58">
        <v>24.7</v>
      </c>
      <c r="H303" s="58">
        <v>22</v>
      </c>
      <c r="I303" s="58">
        <v>19.600000000000001</v>
      </c>
      <c r="J303" s="58">
        <v>18.5</v>
      </c>
      <c r="K303" s="58">
        <v>19.2</v>
      </c>
      <c r="L303" s="58">
        <v>19.8</v>
      </c>
      <c r="M303" s="58">
        <v>21.9</v>
      </c>
      <c r="N303" s="58">
        <v>23.8</v>
      </c>
      <c r="O303" s="58">
        <v>25.7</v>
      </c>
      <c r="P303" s="58">
        <v>23</v>
      </c>
      <c r="Q303"/>
      <c r="R303"/>
      <c r="S303"/>
      <c r="T303"/>
      <c r="U303"/>
      <c r="V303"/>
      <c r="W303"/>
      <c r="X303"/>
    </row>
    <row r="304" spans="1:24" s="59" customFormat="1" ht="15.75">
      <c r="A304" s="60">
        <v>83954</v>
      </c>
      <c r="B304" s="61" t="s">
        <v>3247</v>
      </c>
      <c r="C304" s="62" t="s">
        <v>3048</v>
      </c>
      <c r="D304" s="63">
        <v>30.9</v>
      </c>
      <c r="E304" s="63">
        <v>30.4</v>
      </c>
      <c r="F304" s="63">
        <v>29.5</v>
      </c>
      <c r="G304" s="63">
        <v>26.3</v>
      </c>
      <c r="H304" s="63">
        <v>22.4</v>
      </c>
      <c r="I304" s="63">
        <v>19.899999999999999</v>
      </c>
      <c r="J304" s="63">
        <v>19.600000000000001</v>
      </c>
      <c r="K304" s="63">
        <v>21.4</v>
      </c>
      <c r="L304" s="63">
        <v>22.5</v>
      </c>
      <c r="M304" s="63">
        <v>25.3</v>
      </c>
      <c r="N304" s="63">
        <v>27.8</v>
      </c>
      <c r="O304" s="63">
        <v>30.2</v>
      </c>
      <c r="P304" s="63">
        <v>25.5</v>
      </c>
      <c r="Q304"/>
      <c r="R304"/>
      <c r="S304"/>
      <c r="T304"/>
      <c r="U304"/>
      <c r="V304"/>
      <c r="W304"/>
      <c r="X304"/>
    </row>
    <row r="305" spans="1:24" s="59" customFormat="1" ht="15.75">
      <c r="A305" s="55">
        <v>83927</v>
      </c>
      <c r="B305" s="56" t="s">
        <v>3324</v>
      </c>
      <c r="C305" s="57" t="s">
        <v>3048</v>
      </c>
      <c r="D305" s="58">
        <v>32.299999999999997</v>
      </c>
      <c r="E305" s="58">
        <v>30.5</v>
      </c>
      <c r="F305" s="58">
        <v>29.3</v>
      </c>
      <c r="G305" s="58">
        <v>25.7</v>
      </c>
      <c r="H305" s="58">
        <v>21.9</v>
      </c>
      <c r="I305" s="58">
        <v>19.100000000000001</v>
      </c>
      <c r="J305" s="58">
        <v>18.600000000000001</v>
      </c>
      <c r="K305" s="58">
        <v>21.2</v>
      </c>
      <c r="L305" s="58">
        <v>22.5</v>
      </c>
      <c r="M305" s="58">
        <v>25.4</v>
      </c>
      <c r="N305" s="58">
        <v>28.1</v>
      </c>
      <c r="O305" s="58">
        <v>30.8</v>
      </c>
      <c r="P305" s="58">
        <v>25.5</v>
      </c>
      <c r="Q305"/>
      <c r="R305"/>
      <c r="S305"/>
      <c r="T305"/>
      <c r="U305"/>
      <c r="V305"/>
      <c r="W305"/>
      <c r="X305"/>
    </row>
    <row r="306" spans="1:24" s="59" customFormat="1" ht="15.75">
      <c r="A306" s="60">
        <v>83887</v>
      </c>
      <c r="B306" s="61" t="s">
        <v>3325</v>
      </c>
      <c r="C306" s="62" t="s">
        <v>3050</v>
      </c>
      <c r="D306" s="63">
        <v>26.6</v>
      </c>
      <c r="E306" s="63">
        <v>26.3</v>
      </c>
      <c r="F306" s="63">
        <v>25.6</v>
      </c>
      <c r="G306" s="63">
        <v>23</v>
      </c>
      <c r="H306" s="63">
        <v>19.399999999999999</v>
      </c>
      <c r="I306" s="63">
        <v>18.2</v>
      </c>
      <c r="J306" s="63">
        <v>17.899999999999999</v>
      </c>
      <c r="K306" s="63">
        <v>20.3</v>
      </c>
      <c r="L306" s="63">
        <v>20.5</v>
      </c>
      <c r="M306" s="63">
        <v>22.9</v>
      </c>
      <c r="N306" s="63">
        <v>25</v>
      </c>
      <c r="O306" s="63">
        <v>26.6</v>
      </c>
      <c r="P306" s="63">
        <v>22.7</v>
      </c>
      <c r="Q306"/>
      <c r="R306"/>
      <c r="S306"/>
      <c r="T306"/>
      <c r="U306"/>
      <c r="V306"/>
      <c r="W306"/>
      <c r="X306"/>
    </row>
    <row r="307" spans="1:24" s="59" customFormat="1" ht="15.75">
      <c r="A307" s="55">
        <v>83883</v>
      </c>
      <c r="B307" s="56" t="s">
        <v>3326</v>
      </c>
      <c r="C307" s="57" t="s">
        <v>3050</v>
      </c>
      <c r="D307" s="58">
        <v>29.3</v>
      </c>
      <c r="E307" s="58">
        <v>28.7</v>
      </c>
      <c r="F307" s="58">
        <v>28.1</v>
      </c>
      <c r="G307" s="58">
        <v>25.2</v>
      </c>
      <c r="H307" s="58">
        <v>21.7</v>
      </c>
      <c r="I307" s="58">
        <v>20.2</v>
      </c>
      <c r="J307" s="58">
        <v>20.100000000000001</v>
      </c>
      <c r="K307" s="58">
        <v>22.3</v>
      </c>
      <c r="L307" s="58">
        <v>23</v>
      </c>
      <c r="M307" s="58">
        <v>25.7</v>
      </c>
      <c r="N307" s="58">
        <v>27.5</v>
      </c>
      <c r="O307" s="58">
        <v>28.9</v>
      </c>
      <c r="P307" s="58">
        <v>25.1</v>
      </c>
      <c r="Q307"/>
      <c r="R307"/>
      <c r="S307"/>
      <c r="T307"/>
      <c r="U307"/>
      <c r="V307"/>
      <c r="W307"/>
      <c r="X307"/>
    </row>
    <row r="308" spans="1:24" s="59" customFormat="1" ht="15.75">
      <c r="A308" s="60">
        <v>83897</v>
      </c>
      <c r="B308" s="61" t="s">
        <v>3327</v>
      </c>
      <c r="C308" s="62" t="s">
        <v>3050</v>
      </c>
      <c r="D308" s="63">
        <v>28.9</v>
      </c>
      <c r="E308" s="63">
        <v>29.3</v>
      </c>
      <c r="F308" s="63">
        <v>28.7</v>
      </c>
      <c r="G308" s="63">
        <v>26.6</v>
      </c>
      <c r="H308" s="63">
        <v>23.9</v>
      </c>
      <c r="I308" s="63">
        <v>21.9</v>
      </c>
      <c r="J308" s="63">
        <v>21</v>
      </c>
      <c r="K308" s="63">
        <v>21.5</v>
      </c>
      <c r="L308" s="63">
        <v>22</v>
      </c>
      <c r="M308" s="63">
        <v>23.9</v>
      </c>
      <c r="N308" s="63">
        <v>26</v>
      </c>
      <c r="O308" s="63">
        <v>28</v>
      </c>
      <c r="P308" s="63">
        <v>25.1</v>
      </c>
      <c r="Q308"/>
      <c r="R308"/>
      <c r="S308"/>
      <c r="T308"/>
      <c r="U308"/>
      <c r="V308"/>
      <c r="W308"/>
      <c r="X308"/>
    </row>
    <row r="309" spans="1:24" s="59" customFormat="1" ht="15.75">
      <c r="A309" s="55">
        <v>83872</v>
      </c>
      <c r="B309" s="56" t="s">
        <v>3328</v>
      </c>
      <c r="C309" s="57" t="s">
        <v>3050</v>
      </c>
      <c r="D309" s="58">
        <v>31.1</v>
      </c>
      <c r="E309" s="58">
        <v>31.3</v>
      </c>
      <c r="F309" s="58">
        <v>30.5</v>
      </c>
      <c r="G309" s="58">
        <v>27.9</v>
      </c>
      <c r="H309" s="58">
        <v>24.4</v>
      </c>
      <c r="I309" s="58">
        <v>22.3</v>
      </c>
      <c r="J309" s="58">
        <v>21.5</v>
      </c>
      <c r="K309" s="58">
        <v>23.3</v>
      </c>
      <c r="L309" s="58">
        <v>23.7</v>
      </c>
      <c r="M309" s="58">
        <v>25.9</v>
      </c>
      <c r="N309" s="58">
        <v>28.5</v>
      </c>
      <c r="O309" s="58">
        <v>30.4</v>
      </c>
      <c r="P309" s="58">
        <v>26.7</v>
      </c>
      <c r="Q309"/>
      <c r="R309"/>
      <c r="S309"/>
      <c r="T309"/>
      <c r="U309"/>
      <c r="V309"/>
      <c r="W309"/>
      <c r="X309"/>
    </row>
    <row r="310" spans="1:24" s="59" customFormat="1" ht="15.75">
      <c r="A310" s="60">
        <v>83891</v>
      </c>
      <c r="B310" s="61" t="s">
        <v>3329</v>
      </c>
      <c r="C310" s="62" t="s">
        <v>3050</v>
      </c>
      <c r="D310" s="63">
        <v>26.6</v>
      </c>
      <c r="E310" s="63">
        <v>26.4</v>
      </c>
      <c r="F310" s="63">
        <v>25.4</v>
      </c>
      <c r="G310" s="63">
        <v>22.5</v>
      </c>
      <c r="H310" s="63">
        <v>19</v>
      </c>
      <c r="I310" s="63">
        <v>17.399999999999999</v>
      </c>
      <c r="J310" s="63">
        <v>17.100000000000001</v>
      </c>
      <c r="K310" s="63">
        <v>19.2</v>
      </c>
      <c r="L310" s="63">
        <v>19.5</v>
      </c>
      <c r="M310" s="63">
        <v>21.6</v>
      </c>
      <c r="N310" s="63">
        <v>24</v>
      </c>
      <c r="O310" s="63">
        <v>26.1</v>
      </c>
      <c r="P310" s="63">
        <v>22.1</v>
      </c>
      <c r="Q310"/>
      <c r="R310"/>
      <c r="S310"/>
      <c r="T310"/>
      <c r="U310"/>
      <c r="V310"/>
      <c r="W310"/>
      <c r="X310"/>
    </row>
    <row r="311" spans="1:24" s="59" customFormat="1" ht="15.75">
      <c r="A311" s="55">
        <v>83920</v>
      </c>
      <c r="B311" s="56" t="s">
        <v>3330</v>
      </c>
      <c r="C311" s="57" t="s">
        <v>3050</v>
      </c>
      <c r="D311" s="58">
        <v>22.6</v>
      </c>
      <c r="E311" s="58">
        <v>22.4</v>
      </c>
      <c r="F311" s="58">
        <v>21.5</v>
      </c>
      <c r="G311" s="58">
        <v>19.100000000000001</v>
      </c>
      <c r="H311" s="58">
        <v>15.8</v>
      </c>
      <c r="I311" s="58">
        <v>14.7</v>
      </c>
      <c r="J311" s="58">
        <v>14.5</v>
      </c>
      <c r="K311" s="58">
        <v>16.7</v>
      </c>
      <c r="L311" s="58">
        <v>16.600000000000001</v>
      </c>
      <c r="M311" s="58">
        <v>18.899999999999999</v>
      </c>
      <c r="N311" s="58">
        <v>20.5</v>
      </c>
      <c r="O311" s="58">
        <v>22.2</v>
      </c>
      <c r="P311" s="58">
        <v>18.8</v>
      </c>
      <c r="Q311"/>
      <c r="R311"/>
      <c r="S311"/>
      <c r="T311"/>
      <c r="U311"/>
      <c r="V311"/>
      <c r="W311"/>
      <c r="X311"/>
    </row>
    <row r="312" spans="1:24" s="59" customFormat="1" ht="15.75">
      <c r="A312" s="60">
        <v>83923</v>
      </c>
      <c r="B312" s="61" t="s">
        <v>3331</v>
      </c>
      <c r="C312" s="62" t="s">
        <v>3050</v>
      </c>
      <c r="D312" s="63">
        <v>29.8</v>
      </c>
      <c r="E312" s="63">
        <v>30</v>
      </c>
      <c r="F312" s="63">
        <v>29.1</v>
      </c>
      <c r="G312" s="63">
        <v>26.8</v>
      </c>
      <c r="H312" s="63">
        <v>23.6</v>
      </c>
      <c r="I312" s="63">
        <v>22.1</v>
      </c>
      <c r="J312" s="63">
        <v>21.4</v>
      </c>
      <c r="K312" s="63">
        <v>23.3</v>
      </c>
      <c r="L312" s="63">
        <v>23.5</v>
      </c>
      <c r="M312" s="63">
        <v>25.1</v>
      </c>
      <c r="N312" s="63">
        <v>27.4</v>
      </c>
      <c r="O312" s="63">
        <v>28.9</v>
      </c>
      <c r="P312" s="63">
        <v>25.9</v>
      </c>
      <c r="Q312"/>
      <c r="R312"/>
      <c r="S312"/>
      <c r="T312"/>
      <c r="U312"/>
      <c r="V312"/>
      <c r="W312"/>
      <c r="X312"/>
    </row>
    <row r="313" spans="1:24" s="59" customFormat="1" ht="15.75">
      <c r="A313" s="55">
        <v>83096</v>
      </c>
      <c r="B313" s="56" t="s">
        <v>3332</v>
      </c>
      <c r="C313" s="57" t="s">
        <v>3052</v>
      </c>
      <c r="D313" s="58">
        <v>30.3</v>
      </c>
      <c r="E313" s="58">
        <v>30.6</v>
      </c>
      <c r="F313" s="58">
        <v>30.8</v>
      </c>
      <c r="G313" s="58">
        <v>30.3</v>
      </c>
      <c r="H313" s="58">
        <v>29.4</v>
      </c>
      <c r="I313" s="58">
        <v>28.4</v>
      </c>
      <c r="J313" s="58">
        <v>27.7</v>
      </c>
      <c r="K313" s="58">
        <v>27.6</v>
      </c>
      <c r="L313" s="58">
        <v>28.1</v>
      </c>
      <c r="M313" s="58">
        <v>29</v>
      </c>
      <c r="N313" s="58">
        <v>29.7</v>
      </c>
      <c r="O313" s="58">
        <v>30.1</v>
      </c>
      <c r="P313" s="58">
        <v>29.3</v>
      </c>
      <c r="Q313"/>
      <c r="R313"/>
      <c r="S313"/>
      <c r="T313"/>
      <c r="U313"/>
      <c r="V313"/>
      <c r="W313"/>
      <c r="X313"/>
    </row>
    <row r="314" spans="1:24" s="59" customFormat="1" ht="15.75">
      <c r="A314" s="60">
        <v>83195</v>
      </c>
      <c r="B314" s="61" t="s">
        <v>3333</v>
      </c>
      <c r="C314" s="62" t="s">
        <v>3052</v>
      </c>
      <c r="D314" s="63">
        <v>31.8</v>
      </c>
      <c r="E314" s="63">
        <v>31.7</v>
      </c>
      <c r="F314" s="63">
        <v>31.6</v>
      </c>
      <c r="G314" s="63">
        <v>30.2</v>
      </c>
      <c r="H314" s="63">
        <v>28.6</v>
      </c>
      <c r="I314" s="63">
        <v>27</v>
      </c>
      <c r="J314" s="63">
        <v>26.4</v>
      </c>
      <c r="K314" s="63">
        <v>26.5</v>
      </c>
      <c r="L314" s="63">
        <v>27.9</v>
      </c>
      <c r="M314" s="63">
        <v>29.7</v>
      </c>
      <c r="N314" s="63">
        <v>30.9</v>
      </c>
      <c r="O314" s="63">
        <v>31.7</v>
      </c>
      <c r="P314" s="63">
        <v>29.5</v>
      </c>
      <c r="Q314"/>
      <c r="R314"/>
      <c r="S314"/>
      <c r="T314"/>
      <c r="U314"/>
      <c r="V314"/>
      <c r="W314"/>
      <c r="X314"/>
    </row>
    <row r="315" spans="1:24" s="59" customFormat="1" ht="15.75">
      <c r="A315" s="55">
        <v>83097</v>
      </c>
      <c r="B315" s="56" t="s">
        <v>3334</v>
      </c>
      <c r="C315" s="57" t="s">
        <v>3052</v>
      </c>
      <c r="D315" s="58">
        <v>33.299999999999997</v>
      </c>
      <c r="E315" s="58">
        <v>33.6</v>
      </c>
      <c r="F315" s="58">
        <v>33.5</v>
      </c>
      <c r="G315" s="58">
        <v>32</v>
      </c>
      <c r="H315" s="58">
        <v>30.1</v>
      </c>
      <c r="I315" s="58">
        <v>28.5</v>
      </c>
      <c r="J315" s="58">
        <v>28</v>
      </c>
      <c r="K315" s="58">
        <v>28.2</v>
      </c>
      <c r="L315" s="58">
        <v>29.9</v>
      </c>
      <c r="M315" s="58">
        <v>31.8</v>
      </c>
      <c r="N315" s="58">
        <v>33</v>
      </c>
      <c r="O315" s="58">
        <v>33.5</v>
      </c>
      <c r="P315" s="58">
        <v>31.3</v>
      </c>
      <c r="Q315"/>
      <c r="R315"/>
      <c r="S315"/>
      <c r="T315"/>
      <c r="U315"/>
      <c r="V315"/>
      <c r="W315"/>
      <c r="X315"/>
    </row>
    <row r="316" spans="1:24" s="59" customFormat="1" ht="15.75">
      <c r="A316" s="60">
        <v>83621</v>
      </c>
      <c r="B316" s="61" t="s">
        <v>3335</v>
      </c>
      <c r="C316" s="62" t="s">
        <v>3054</v>
      </c>
      <c r="D316" s="63">
        <v>31.2</v>
      </c>
      <c r="E316" s="63">
        <v>31.4</v>
      </c>
      <c r="F316" s="63">
        <v>31.1</v>
      </c>
      <c r="G316" s="63">
        <v>30.2</v>
      </c>
      <c r="H316" s="63">
        <v>28</v>
      </c>
      <c r="I316" s="63">
        <v>27.2</v>
      </c>
      <c r="J316" s="63">
        <v>27.6</v>
      </c>
      <c r="K316" s="63">
        <v>29.6</v>
      </c>
      <c r="L316" s="63">
        <v>29.9</v>
      </c>
      <c r="M316" s="63">
        <v>31.8</v>
      </c>
      <c r="N316" s="63">
        <v>32</v>
      </c>
      <c r="O316" s="63">
        <v>31.7</v>
      </c>
      <c r="P316" s="63">
        <v>30.1</v>
      </c>
      <c r="Q316"/>
      <c r="R316"/>
      <c r="S316"/>
      <c r="T316"/>
      <c r="U316"/>
      <c r="V316"/>
      <c r="W316"/>
      <c r="X316"/>
    </row>
    <row r="317" spans="1:24" s="59" customFormat="1" ht="15.75">
      <c r="A317" s="55">
        <v>83773</v>
      </c>
      <c r="B317" s="56" t="s">
        <v>3336</v>
      </c>
      <c r="C317" s="57" t="s">
        <v>3054</v>
      </c>
      <c r="D317" s="58">
        <v>28.3</v>
      </c>
      <c r="E317" s="58">
        <v>29.1</v>
      </c>
      <c r="F317" s="58">
        <v>28.8</v>
      </c>
      <c r="G317" s="58">
        <v>27.4</v>
      </c>
      <c r="H317" s="58">
        <v>24</v>
      </c>
      <c r="I317" s="58">
        <v>23.4</v>
      </c>
      <c r="J317" s="58">
        <v>23.5</v>
      </c>
      <c r="K317" s="58">
        <v>25.5</v>
      </c>
      <c r="L317" s="58">
        <v>26.4</v>
      </c>
      <c r="M317" s="58">
        <v>27.8</v>
      </c>
      <c r="N317" s="58">
        <v>28.4</v>
      </c>
      <c r="O317" s="58">
        <v>28.5</v>
      </c>
      <c r="P317" s="58">
        <v>26.8</v>
      </c>
      <c r="Q317"/>
      <c r="R317"/>
      <c r="S317"/>
      <c r="T317"/>
      <c r="U317"/>
      <c r="V317"/>
      <c r="W317"/>
      <c r="X317"/>
    </row>
    <row r="318" spans="1:24" s="59" customFormat="1" ht="15.75">
      <c r="A318" s="60">
        <v>83714</v>
      </c>
      <c r="B318" s="61" t="s">
        <v>3337</v>
      </c>
      <c r="C318" s="62" t="s">
        <v>3054</v>
      </c>
      <c r="D318" s="63">
        <v>22.5</v>
      </c>
      <c r="E318" s="63">
        <v>23</v>
      </c>
      <c r="F318" s="63">
        <v>22.2</v>
      </c>
      <c r="G318" s="63">
        <v>21</v>
      </c>
      <c r="H318" s="63">
        <v>18.5</v>
      </c>
      <c r="I318" s="63">
        <v>17.899999999999999</v>
      </c>
      <c r="J318" s="63">
        <v>17.899999999999999</v>
      </c>
      <c r="K318" s="63">
        <v>19.7</v>
      </c>
      <c r="L318" s="63">
        <v>20.399999999999999</v>
      </c>
      <c r="M318" s="63">
        <v>21.4</v>
      </c>
      <c r="N318" s="63">
        <v>21.6</v>
      </c>
      <c r="O318" s="63">
        <v>22</v>
      </c>
      <c r="P318" s="63">
        <v>20.7</v>
      </c>
      <c r="Q318"/>
      <c r="R318"/>
      <c r="S318"/>
      <c r="T318"/>
      <c r="U318"/>
      <c r="V318"/>
      <c r="W318"/>
      <c r="X318"/>
    </row>
    <row r="319" spans="1:24" s="59" customFormat="1" ht="15.75">
      <c r="A319" s="55">
        <v>83676</v>
      </c>
      <c r="B319" s="56" t="s">
        <v>3338</v>
      </c>
      <c r="C319" s="57" t="s">
        <v>3054</v>
      </c>
      <c r="D319" s="58">
        <v>30.2</v>
      </c>
      <c r="E319" s="58">
        <v>30.6</v>
      </c>
      <c r="F319" s="58">
        <v>30.5</v>
      </c>
      <c r="G319" s="58">
        <v>30</v>
      </c>
      <c r="H319" s="58">
        <v>27.2</v>
      </c>
      <c r="I319" s="58">
        <v>26.6</v>
      </c>
      <c r="J319" s="58">
        <v>27.2</v>
      </c>
      <c r="K319" s="58">
        <v>29.3</v>
      </c>
      <c r="L319" s="58">
        <v>30</v>
      </c>
      <c r="M319" s="58">
        <v>31</v>
      </c>
      <c r="N319" s="58">
        <v>30.9</v>
      </c>
      <c r="O319" s="58">
        <v>30.3</v>
      </c>
      <c r="P319" s="58">
        <v>29.5</v>
      </c>
      <c r="Q319"/>
      <c r="R319"/>
      <c r="S319"/>
      <c r="T319"/>
      <c r="U319"/>
      <c r="V319"/>
      <c r="W319"/>
      <c r="X319"/>
    </row>
    <row r="320" spans="1:24" s="59" customFormat="1" ht="15.75">
      <c r="A320" s="60">
        <v>83630</v>
      </c>
      <c r="B320" s="61" t="s">
        <v>3339</v>
      </c>
      <c r="C320" s="62" t="s">
        <v>3054</v>
      </c>
      <c r="D320" s="63">
        <v>27</v>
      </c>
      <c r="E320" s="63">
        <v>27.5</v>
      </c>
      <c r="F320" s="63">
        <v>27.2</v>
      </c>
      <c r="G320" s="63">
        <v>26.4</v>
      </c>
      <c r="H320" s="63">
        <v>24.5</v>
      </c>
      <c r="I320" s="63">
        <v>23.9</v>
      </c>
      <c r="J320" s="63">
        <v>24.3</v>
      </c>
      <c r="K320" s="63">
        <v>26.3</v>
      </c>
      <c r="L320" s="63">
        <v>27.4</v>
      </c>
      <c r="M320" s="63">
        <v>27.9</v>
      </c>
      <c r="N320" s="63">
        <v>27.4</v>
      </c>
      <c r="O320" s="63">
        <v>26.9</v>
      </c>
      <c r="P320" s="63">
        <v>26.4</v>
      </c>
      <c r="Q320"/>
      <c r="R320"/>
      <c r="S320"/>
      <c r="T320"/>
      <c r="U320"/>
      <c r="V320"/>
      <c r="W320"/>
      <c r="X320"/>
    </row>
    <row r="321" spans="1:24" s="59" customFormat="1" ht="15.75">
      <c r="A321" s="55">
        <v>83075</v>
      </c>
      <c r="B321" s="56" t="s">
        <v>3340</v>
      </c>
      <c r="C321" s="57" t="s">
        <v>3054</v>
      </c>
      <c r="D321" s="58">
        <v>29.2</v>
      </c>
      <c r="E321" s="58">
        <v>29.4</v>
      </c>
      <c r="F321" s="58">
        <v>28.5</v>
      </c>
      <c r="G321" s="58">
        <v>26.9</v>
      </c>
      <c r="H321" s="58">
        <v>23.9</v>
      </c>
      <c r="I321" s="58">
        <v>23</v>
      </c>
      <c r="J321" s="58">
        <v>22.8</v>
      </c>
      <c r="K321" s="58">
        <v>24.5</v>
      </c>
      <c r="L321" s="58">
        <v>24.8</v>
      </c>
      <c r="M321" s="58">
        <v>26.6</v>
      </c>
      <c r="N321" s="58">
        <v>27.6</v>
      </c>
      <c r="O321" s="58">
        <v>28.4</v>
      </c>
      <c r="P321" s="58">
        <v>26.3</v>
      </c>
      <c r="Q321"/>
      <c r="R321"/>
      <c r="S321"/>
      <c r="T321"/>
      <c r="U321"/>
      <c r="V321"/>
      <c r="W321"/>
      <c r="X321"/>
    </row>
    <row r="322" spans="1:24" s="59" customFormat="1" ht="15.75">
      <c r="A322" s="60">
        <v>83821</v>
      </c>
      <c r="B322" s="61" t="s">
        <v>3341</v>
      </c>
      <c r="C322" s="62" t="s">
        <v>3054</v>
      </c>
      <c r="D322" s="63">
        <v>29.3</v>
      </c>
      <c r="E322" s="63">
        <v>30.2</v>
      </c>
      <c r="F322" s="63">
        <v>29</v>
      </c>
      <c r="G322" s="63">
        <v>27.4</v>
      </c>
      <c r="H322" s="63">
        <v>24.7</v>
      </c>
      <c r="I322" s="63">
        <v>23.4</v>
      </c>
      <c r="J322" s="63">
        <v>22.6</v>
      </c>
      <c r="K322" s="63">
        <v>23</v>
      </c>
      <c r="L322" s="63">
        <v>23</v>
      </c>
      <c r="M322" s="63">
        <v>24.8</v>
      </c>
      <c r="N322" s="63">
        <v>26.9</v>
      </c>
      <c r="O322" s="63">
        <v>28.3</v>
      </c>
      <c r="P322" s="63">
        <v>26.1</v>
      </c>
      <c r="Q322"/>
      <c r="R322"/>
      <c r="S322"/>
      <c r="T322"/>
      <c r="U322"/>
      <c r="V322"/>
      <c r="W322"/>
      <c r="X322"/>
    </row>
    <row r="323" spans="1:24" s="59" customFormat="1" ht="15.75">
      <c r="A323" s="55">
        <v>83678</v>
      </c>
      <c r="B323" s="56" t="s">
        <v>3342</v>
      </c>
      <c r="C323" s="57" t="s">
        <v>3054</v>
      </c>
      <c r="D323" s="58">
        <v>30.1</v>
      </c>
      <c r="E323" s="58">
        <v>30.7</v>
      </c>
      <c r="F323" s="58">
        <v>30.2</v>
      </c>
      <c r="G323" s="58">
        <v>29.2</v>
      </c>
      <c r="H323" s="58">
        <v>27</v>
      </c>
      <c r="I323" s="58">
        <v>26</v>
      </c>
      <c r="J323" s="58">
        <v>26.8</v>
      </c>
      <c r="K323" s="58">
        <v>28.8</v>
      </c>
      <c r="L323" s="58">
        <v>30</v>
      </c>
      <c r="M323" s="58">
        <v>30.8</v>
      </c>
      <c r="N323" s="58">
        <v>30.8</v>
      </c>
      <c r="O323" s="58">
        <v>30.1</v>
      </c>
      <c r="P323" s="58">
        <v>29.2</v>
      </c>
      <c r="Q323"/>
      <c r="R323"/>
      <c r="S323"/>
      <c r="T323"/>
      <c r="U323"/>
      <c r="V323"/>
      <c r="W323"/>
      <c r="X323"/>
    </row>
    <row r="324" spans="1:24" s="59" customFormat="1" ht="15.75">
      <c r="A324" s="60">
        <v>83716</v>
      </c>
      <c r="B324" s="61" t="s">
        <v>3343</v>
      </c>
      <c r="C324" s="62" t="s">
        <v>3054</v>
      </c>
      <c r="D324" s="63">
        <v>31</v>
      </c>
      <c r="E324" s="63">
        <v>31</v>
      </c>
      <c r="F324" s="63">
        <v>30.8</v>
      </c>
      <c r="G324" s="63">
        <v>29.6</v>
      </c>
      <c r="H324" s="63">
        <v>26.3</v>
      </c>
      <c r="I324" s="63">
        <v>25.7</v>
      </c>
      <c r="J324" s="63">
        <v>26.1</v>
      </c>
      <c r="K324" s="63">
        <v>28.2</v>
      </c>
      <c r="L324" s="63">
        <v>28.9</v>
      </c>
      <c r="M324" s="63">
        <v>30.5</v>
      </c>
      <c r="N324" s="63">
        <v>30.5</v>
      </c>
      <c r="O324" s="63">
        <v>30.9</v>
      </c>
      <c r="P324" s="63">
        <v>29.1</v>
      </c>
      <c r="Q324"/>
      <c r="R324"/>
      <c r="S324"/>
      <c r="T324"/>
      <c r="U324"/>
      <c r="V324"/>
      <c r="W324"/>
      <c r="X324"/>
    </row>
    <row r="325" spans="1:24" s="59" customFormat="1" ht="15.75">
      <c r="A325" s="55">
        <v>83782</v>
      </c>
      <c r="B325" s="56" t="s">
        <v>3344</v>
      </c>
      <c r="C325" s="57" t="s">
        <v>3054</v>
      </c>
      <c r="D325" s="58">
        <v>29.4</v>
      </c>
      <c r="E325" s="58">
        <v>29.4</v>
      </c>
      <c r="F325" s="58">
        <v>28.3</v>
      </c>
      <c r="G325" s="58">
        <v>27.3</v>
      </c>
      <c r="H325" s="58">
        <v>25.2</v>
      </c>
      <c r="I325" s="58">
        <v>24.1</v>
      </c>
      <c r="J325" s="58">
        <v>23</v>
      </c>
      <c r="K325" s="58">
        <v>22.7</v>
      </c>
      <c r="L325" s="58">
        <v>23</v>
      </c>
      <c r="M325" s="58">
        <v>24.7</v>
      </c>
      <c r="N325" s="58">
        <v>26.7</v>
      </c>
      <c r="O325" s="58">
        <v>27.9</v>
      </c>
      <c r="P325" s="58">
        <v>26</v>
      </c>
      <c r="Q325"/>
      <c r="R325"/>
      <c r="S325"/>
      <c r="T325"/>
      <c r="U325"/>
      <c r="V325"/>
      <c r="W325"/>
      <c r="X325"/>
    </row>
    <row r="326" spans="1:24" s="59" customFormat="1" ht="15.75">
      <c r="A326" s="60">
        <v>83726</v>
      </c>
      <c r="B326" s="61" t="s">
        <v>3345</v>
      </c>
      <c r="C326" s="62" t="s">
        <v>3054</v>
      </c>
      <c r="D326" s="63">
        <v>28</v>
      </c>
      <c r="E326" s="63">
        <v>28.5</v>
      </c>
      <c r="F326" s="63">
        <v>28.2</v>
      </c>
      <c r="G326" s="63">
        <v>27.2</v>
      </c>
      <c r="H326" s="63">
        <v>24.5</v>
      </c>
      <c r="I326" s="63">
        <v>24</v>
      </c>
      <c r="J326" s="63">
        <v>24.4</v>
      </c>
      <c r="K326" s="63">
        <v>26.3</v>
      </c>
      <c r="L326" s="63">
        <v>27.2</v>
      </c>
      <c r="M326" s="63">
        <v>28.1</v>
      </c>
      <c r="N326" s="63">
        <v>28.3</v>
      </c>
      <c r="O326" s="63">
        <v>27.9</v>
      </c>
      <c r="P326" s="63">
        <v>26.9</v>
      </c>
      <c r="Q326"/>
      <c r="R326"/>
      <c r="S326"/>
      <c r="T326"/>
      <c r="U326"/>
      <c r="V326"/>
      <c r="W326"/>
      <c r="X326"/>
    </row>
    <row r="327" spans="1:24" s="59" customFormat="1" ht="15.75">
      <c r="A327" s="55">
        <v>83781</v>
      </c>
      <c r="B327" s="56" t="s">
        <v>3346</v>
      </c>
      <c r="C327" s="57" t="s">
        <v>3054</v>
      </c>
      <c r="D327" s="58">
        <v>28.2</v>
      </c>
      <c r="E327" s="58">
        <v>28.8</v>
      </c>
      <c r="F327" s="58">
        <v>28</v>
      </c>
      <c r="G327" s="58">
        <v>26.2</v>
      </c>
      <c r="H327" s="58">
        <v>23.3</v>
      </c>
      <c r="I327" s="58">
        <v>22.6</v>
      </c>
      <c r="J327" s="58">
        <v>22.4</v>
      </c>
      <c r="K327" s="58">
        <v>24.1</v>
      </c>
      <c r="L327" s="58">
        <v>24.4</v>
      </c>
      <c r="M327" s="58">
        <v>25.9</v>
      </c>
      <c r="N327" s="58">
        <v>26.9</v>
      </c>
      <c r="O327" s="58">
        <v>27.6</v>
      </c>
      <c r="P327" s="58">
        <v>25.7</v>
      </c>
      <c r="Q327"/>
      <c r="R327"/>
      <c r="S327"/>
      <c r="T327"/>
      <c r="U327"/>
      <c r="V327"/>
      <c r="W327"/>
      <c r="X327"/>
    </row>
    <row r="328" spans="1:24" s="59" customFormat="1" ht="15.75">
      <c r="A328" s="60">
        <v>83669</v>
      </c>
      <c r="B328" s="61" t="s">
        <v>3347</v>
      </c>
      <c r="C328" s="62" t="s">
        <v>3054</v>
      </c>
      <c r="D328" s="63">
        <v>30.4</v>
      </c>
      <c r="E328" s="63">
        <v>31</v>
      </c>
      <c r="F328" s="63">
        <v>30.7</v>
      </c>
      <c r="G328" s="63">
        <v>29.7</v>
      </c>
      <c r="H328" s="63">
        <v>27</v>
      </c>
      <c r="I328" s="63">
        <v>26.6</v>
      </c>
      <c r="J328" s="63">
        <v>27</v>
      </c>
      <c r="K328" s="63">
        <v>29.1</v>
      </c>
      <c r="L328" s="63">
        <v>30</v>
      </c>
      <c r="M328" s="63">
        <v>30.9</v>
      </c>
      <c r="N328" s="63">
        <v>30.5</v>
      </c>
      <c r="O328" s="63">
        <v>30.2</v>
      </c>
      <c r="P328" s="63">
        <v>29.4</v>
      </c>
      <c r="Q328"/>
      <c r="R328"/>
      <c r="S328"/>
      <c r="T328"/>
      <c r="U328"/>
      <c r="V328"/>
      <c r="W328"/>
      <c r="X328"/>
    </row>
    <row r="329" spans="1:24" s="59" customFormat="1" ht="15.75">
      <c r="A329" s="55">
        <v>83851</v>
      </c>
      <c r="B329" s="56" t="s">
        <v>3348</v>
      </c>
      <c r="C329" s="57" t="s">
        <v>3054</v>
      </c>
      <c r="D329" s="58">
        <v>29.2</v>
      </c>
      <c r="E329" s="58">
        <v>30</v>
      </c>
      <c r="F329" s="58">
        <v>29.4</v>
      </c>
      <c r="G329" s="58">
        <v>27.6</v>
      </c>
      <c r="H329" s="58">
        <v>24.8</v>
      </c>
      <c r="I329" s="58">
        <v>23.9</v>
      </c>
      <c r="J329" s="58">
        <v>24</v>
      </c>
      <c r="K329" s="58">
        <v>25.8</v>
      </c>
      <c r="L329" s="58">
        <v>26.4</v>
      </c>
      <c r="M329" s="58">
        <v>27.8</v>
      </c>
      <c r="N329" s="58">
        <v>28.8</v>
      </c>
      <c r="O329" s="58">
        <v>29.1</v>
      </c>
      <c r="P329" s="58">
        <v>27.2</v>
      </c>
      <c r="Q329"/>
      <c r="R329"/>
      <c r="S329"/>
      <c r="T329"/>
      <c r="U329"/>
      <c r="V329"/>
      <c r="W329"/>
      <c r="X329"/>
    </row>
    <row r="330" spans="1:24" s="59" customFormat="1" ht="15.75">
      <c r="A330" s="60">
        <v>83784</v>
      </c>
      <c r="B330" s="61" t="s">
        <v>3349</v>
      </c>
      <c r="C330" s="62" t="s">
        <v>3054</v>
      </c>
      <c r="D330" s="63">
        <v>30.6</v>
      </c>
      <c r="E330" s="63">
        <v>31.2</v>
      </c>
      <c r="F330" s="63">
        <v>30.1</v>
      </c>
      <c r="G330" s="63">
        <v>28.5</v>
      </c>
      <c r="H330" s="63">
        <v>25.4</v>
      </c>
      <c r="I330" s="63">
        <v>24.7</v>
      </c>
      <c r="J330" s="63">
        <v>24.9</v>
      </c>
      <c r="K330" s="63">
        <v>26.7</v>
      </c>
      <c r="L330" s="63">
        <v>27.3</v>
      </c>
      <c r="M330" s="63">
        <v>29</v>
      </c>
      <c r="N330" s="63">
        <v>29.5</v>
      </c>
      <c r="O330" s="63">
        <v>30.4</v>
      </c>
      <c r="P330" s="63">
        <v>28.2</v>
      </c>
      <c r="Q330"/>
      <c r="R330"/>
      <c r="S330"/>
      <c r="T330"/>
      <c r="U330"/>
      <c r="V330"/>
      <c r="W330"/>
      <c r="X330"/>
    </row>
    <row r="331" spans="1:24" s="59" customFormat="1" ht="15.75">
      <c r="A331" s="55">
        <v>83786</v>
      </c>
      <c r="B331" s="56" t="s">
        <v>3350</v>
      </c>
      <c r="C331" s="57" t="s">
        <v>3054</v>
      </c>
      <c r="D331" s="58">
        <v>30.3</v>
      </c>
      <c r="E331" s="58">
        <v>31</v>
      </c>
      <c r="F331" s="58">
        <v>29.9</v>
      </c>
      <c r="G331" s="58">
        <v>28.4</v>
      </c>
      <c r="H331" s="58">
        <v>26.1</v>
      </c>
      <c r="I331" s="58">
        <v>25.3</v>
      </c>
      <c r="J331" s="58">
        <v>24.4</v>
      </c>
      <c r="K331" s="58">
        <v>24.9</v>
      </c>
      <c r="L331" s="58">
        <v>24.5</v>
      </c>
      <c r="M331" s="58">
        <v>25.9</v>
      </c>
      <c r="N331" s="58">
        <v>27.5</v>
      </c>
      <c r="O331" s="58">
        <v>29</v>
      </c>
      <c r="P331" s="58">
        <v>27.3</v>
      </c>
      <c r="Q331"/>
      <c r="R331"/>
      <c r="S331"/>
      <c r="T331"/>
      <c r="U331"/>
      <c r="V331"/>
      <c r="W331"/>
      <c r="X331"/>
    </row>
    <row r="332" spans="1:24" s="59" customFormat="1" ht="15.75">
      <c r="A332" s="60">
        <v>83623</v>
      </c>
      <c r="B332" s="61" t="s">
        <v>3351</v>
      </c>
      <c r="C332" s="62" t="s">
        <v>3054</v>
      </c>
      <c r="D332" s="63">
        <v>30.7</v>
      </c>
      <c r="E332" s="63">
        <v>31.1</v>
      </c>
      <c r="F332" s="63">
        <v>30.9</v>
      </c>
      <c r="G332" s="63">
        <v>30.5</v>
      </c>
      <c r="H332" s="63">
        <v>27.8</v>
      </c>
      <c r="I332" s="63">
        <v>27.5</v>
      </c>
      <c r="J332" s="63">
        <v>28</v>
      </c>
      <c r="K332" s="63">
        <v>30.2</v>
      </c>
      <c r="L332" s="63">
        <v>31.2</v>
      </c>
      <c r="M332" s="63">
        <v>32.1</v>
      </c>
      <c r="N332" s="63">
        <v>31.6</v>
      </c>
      <c r="O332" s="63">
        <v>31.1</v>
      </c>
      <c r="P332" s="63">
        <v>30.2</v>
      </c>
      <c r="Q332"/>
      <c r="R332"/>
      <c r="S332"/>
      <c r="T332"/>
      <c r="U332"/>
      <c r="V332"/>
      <c r="W332"/>
      <c r="X332"/>
    </row>
    <row r="333" spans="1:24" s="59" customFormat="1" ht="15.75">
      <c r="A333" s="55">
        <v>82659</v>
      </c>
      <c r="B333" s="56" t="s">
        <v>3352</v>
      </c>
      <c r="C333" s="57" t="s">
        <v>3056</v>
      </c>
      <c r="D333" s="58">
        <v>30.9</v>
      </c>
      <c r="E333" s="58">
        <v>31</v>
      </c>
      <c r="F333" s="58">
        <v>30.9</v>
      </c>
      <c r="G333" s="58">
        <v>31.4</v>
      </c>
      <c r="H333" s="58">
        <v>32.1</v>
      </c>
      <c r="I333" s="58">
        <v>32.799999999999997</v>
      </c>
      <c r="J333" s="58">
        <v>33.700000000000003</v>
      </c>
      <c r="K333" s="58">
        <v>34.9</v>
      </c>
      <c r="L333" s="58">
        <v>34.4</v>
      </c>
      <c r="M333" s="58">
        <v>32.4</v>
      </c>
      <c r="N333" s="58">
        <v>31.4</v>
      </c>
      <c r="O333" s="58">
        <v>30.8</v>
      </c>
      <c r="P333" s="58">
        <v>32.200000000000003</v>
      </c>
      <c r="Q333"/>
      <c r="R333"/>
      <c r="S333"/>
      <c r="T333"/>
      <c r="U333"/>
      <c r="V333"/>
      <c r="W333"/>
      <c r="X333"/>
    </row>
    <row r="334" spans="1:24" s="59" customFormat="1" ht="15.75">
      <c r="A334" s="60">
        <v>83033</v>
      </c>
      <c r="B334" s="61" t="s">
        <v>3353</v>
      </c>
      <c r="C334" s="62" t="s">
        <v>3056</v>
      </c>
      <c r="D334" s="63">
        <v>31.8</v>
      </c>
      <c r="E334" s="63">
        <v>31.7</v>
      </c>
      <c r="F334" s="63">
        <v>31.6</v>
      </c>
      <c r="G334" s="63">
        <v>32.5</v>
      </c>
      <c r="H334" s="63">
        <v>33.200000000000003</v>
      </c>
      <c r="I334" s="63">
        <v>33.799999999999997</v>
      </c>
      <c r="J334" s="63">
        <v>34.5</v>
      </c>
      <c r="K334" s="63">
        <v>36.200000000000003</v>
      </c>
      <c r="L334" s="63">
        <v>36.6</v>
      </c>
      <c r="M334" s="63">
        <v>34.5</v>
      </c>
      <c r="N334" s="63">
        <v>32.700000000000003</v>
      </c>
      <c r="O334" s="63">
        <v>32</v>
      </c>
      <c r="P334" s="63">
        <v>33.4</v>
      </c>
      <c r="Q334"/>
      <c r="R334"/>
      <c r="S334"/>
      <c r="T334"/>
      <c r="U334"/>
      <c r="V334"/>
      <c r="W334"/>
      <c r="X334"/>
    </row>
    <row r="335" spans="1:24" s="59" customFormat="1" ht="15.75">
      <c r="A335" s="55">
        <v>82863</v>
      </c>
      <c r="B335" s="56" t="s">
        <v>3354</v>
      </c>
      <c r="C335" s="57" t="s">
        <v>3056</v>
      </c>
      <c r="D335" s="58">
        <v>31.3</v>
      </c>
      <c r="E335" s="58">
        <v>31.4</v>
      </c>
      <c r="F335" s="58">
        <v>31.2</v>
      </c>
      <c r="G335" s="58">
        <v>32.1</v>
      </c>
      <c r="H335" s="58">
        <v>33</v>
      </c>
      <c r="I335" s="58">
        <v>33.700000000000003</v>
      </c>
      <c r="J335" s="58">
        <v>34.6</v>
      </c>
      <c r="K335" s="58">
        <v>35.9</v>
      </c>
      <c r="L335" s="58">
        <v>35.700000000000003</v>
      </c>
      <c r="M335" s="58">
        <v>33.4</v>
      </c>
      <c r="N335" s="58">
        <v>32.299999999999997</v>
      </c>
      <c r="O335" s="58">
        <v>31.6</v>
      </c>
      <c r="P335" s="58">
        <v>33</v>
      </c>
      <c r="Q335"/>
      <c r="R335"/>
      <c r="S335"/>
      <c r="T335"/>
      <c r="U335"/>
      <c r="V335"/>
      <c r="W335"/>
      <c r="X335"/>
    </row>
    <row r="336" spans="1:24" s="59" customFormat="1" ht="15.75">
      <c r="A336" s="60">
        <v>83228</v>
      </c>
      <c r="B336" s="61" t="s">
        <v>3355</v>
      </c>
      <c r="C336" s="62" t="s">
        <v>3056</v>
      </c>
      <c r="D336" s="63">
        <v>31.7</v>
      </c>
      <c r="E336" s="63">
        <v>32</v>
      </c>
      <c r="F336" s="63">
        <v>31.8</v>
      </c>
      <c r="G336" s="63">
        <v>32.5</v>
      </c>
      <c r="H336" s="63">
        <v>33</v>
      </c>
      <c r="I336" s="63">
        <v>32.9</v>
      </c>
      <c r="J336" s="63">
        <v>33.6</v>
      </c>
      <c r="K336" s="63">
        <v>35.4</v>
      </c>
      <c r="L336" s="63">
        <v>36.299999999999997</v>
      </c>
      <c r="M336" s="63">
        <v>34.700000000000003</v>
      </c>
      <c r="N336" s="63">
        <v>32.6</v>
      </c>
      <c r="O336" s="63">
        <v>31.6</v>
      </c>
      <c r="P336" s="63">
        <v>33.200000000000003</v>
      </c>
      <c r="Q336"/>
      <c r="R336"/>
      <c r="S336"/>
      <c r="T336"/>
      <c r="U336"/>
      <c r="V336"/>
      <c r="W336"/>
      <c r="X336"/>
    </row>
    <row r="337" spans="1:24" s="59" customFormat="1" ht="15.75">
      <c r="A337" s="55">
        <v>83064</v>
      </c>
      <c r="B337" s="56" t="s">
        <v>3356</v>
      </c>
      <c r="C337" s="57" t="s">
        <v>3056</v>
      </c>
      <c r="D337" s="58">
        <v>31.7</v>
      </c>
      <c r="E337" s="58">
        <v>32</v>
      </c>
      <c r="F337" s="58">
        <v>31.8</v>
      </c>
      <c r="G337" s="58">
        <v>32.9</v>
      </c>
      <c r="H337" s="58">
        <v>33.9</v>
      </c>
      <c r="I337" s="58">
        <v>34.299999999999997</v>
      </c>
      <c r="J337" s="58">
        <v>34.9</v>
      </c>
      <c r="K337" s="58">
        <v>36.4</v>
      </c>
      <c r="L337" s="58">
        <v>36.5</v>
      </c>
      <c r="M337" s="58">
        <v>34.5</v>
      </c>
      <c r="N337" s="58">
        <v>33</v>
      </c>
      <c r="O337" s="58">
        <v>32.200000000000003</v>
      </c>
      <c r="P337" s="58">
        <v>33.700000000000003</v>
      </c>
      <c r="Q337"/>
      <c r="R337"/>
      <c r="S337"/>
      <c r="T337"/>
      <c r="U337"/>
      <c r="V337"/>
      <c r="W337"/>
      <c r="X337"/>
    </row>
    <row r="338" spans="1:24" s="59" customFormat="1" ht="15.75">
      <c r="A338" s="60">
        <v>83235</v>
      </c>
      <c r="B338" s="61" t="s">
        <v>3357</v>
      </c>
      <c r="C338" s="62" t="s">
        <v>3056</v>
      </c>
      <c r="D338" s="63">
        <v>30.9</v>
      </c>
      <c r="E338" s="63">
        <v>31</v>
      </c>
      <c r="F338" s="63">
        <v>31</v>
      </c>
      <c r="G338" s="63">
        <v>31.6</v>
      </c>
      <c r="H338" s="63">
        <v>31.9</v>
      </c>
      <c r="I338" s="63">
        <v>31.4</v>
      </c>
      <c r="J338" s="63">
        <v>31.5</v>
      </c>
      <c r="K338" s="63">
        <v>33</v>
      </c>
      <c r="L338" s="63">
        <v>34.5</v>
      </c>
      <c r="M338" s="63">
        <v>33.6</v>
      </c>
      <c r="N338" s="63">
        <v>31.6</v>
      </c>
      <c r="O338" s="63">
        <v>30.8</v>
      </c>
      <c r="P338" s="63">
        <v>31.9</v>
      </c>
      <c r="Q338"/>
      <c r="R338"/>
      <c r="S338"/>
      <c r="T338"/>
      <c r="U338"/>
      <c r="V338"/>
      <c r="W338"/>
      <c r="X338"/>
    </row>
  </sheetData>
  <sheetProtection formatRows="0"/>
  <pageMargins left="0.511811024" right="0.511811024" top="0.78740157499999996" bottom="0.78740157499999996" header="0.31496062000000002" footer="0.31496062000000002"/>
  <pageSetup paperSize="9" orientation="portrait" horizontalDpi="4294967295" verticalDpi="4294967295" r:id="rId1"/>
  <drawing r:id="rId2"/>
  <tableParts count="1">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84B56-3346-4B75-B7BD-FC13A34D27CD}">
  <sheetPr codeName="Planilha18"/>
  <dimension ref="A1:Q564"/>
  <sheetViews>
    <sheetView showGridLines="0" workbookViewId="0"/>
  </sheetViews>
  <sheetFormatPr defaultRowHeight="15"/>
  <cols>
    <col min="1" max="1" width="10.28515625" style="43" customWidth="1"/>
    <col min="2" max="2" width="48.7109375" style="87" customWidth="1"/>
    <col min="3" max="3" width="13.85546875" style="43" customWidth="1"/>
    <col min="4" max="4" width="9.7109375" style="75" customWidth="1"/>
    <col min="5" max="5" width="9.7109375" style="74" customWidth="1"/>
    <col min="6" max="6" width="9.7109375" customWidth="1"/>
    <col min="26" max="26" width="8.85546875" customWidth="1"/>
    <col min="233" max="233" width="10.28515625" customWidth="1"/>
    <col min="234" max="234" width="48.7109375" customWidth="1"/>
    <col min="235" max="235" width="13.85546875" customWidth="1"/>
    <col min="236" max="262" width="9.7109375" customWidth="1"/>
    <col min="489" max="489" width="10.28515625" customWidth="1"/>
    <col min="490" max="490" width="48.7109375" customWidth="1"/>
    <col min="491" max="491" width="13.85546875" customWidth="1"/>
    <col min="492" max="518" width="9.7109375" customWidth="1"/>
    <col min="745" max="745" width="10.28515625" customWidth="1"/>
    <col min="746" max="746" width="48.7109375" customWidth="1"/>
    <col min="747" max="747" width="13.85546875" customWidth="1"/>
    <col min="748" max="774" width="9.7109375" customWidth="1"/>
    <col min="1001" max="1001" width="10.28515625" customWidth="1"/>
    <col min="1002" max="1002" width="48.7109375" customWidth="1"/>
    <col min="1003" max="1003" width="13.85546875" customWidth="1"/>
    <col min="1004" max="1030" width="9.7109375" customWidth="1"/>
    <col min="1257" max="1257" width="10.28515625" customWidth="1"/>
    <col min="1258" max="1258" width="48.7109375" customWidth="1"/>
    <col min="1259" max="1259" width="13.85546875" customWidth="1"/>
    <col min="1260" max="1286" width="9.7109375" customWidth="1"/>
    <col min="1513" max="1513" width="10.28515625" customWidth="1"/>
    <col min="1514" max="1514" width="48.7109375" customWidth="1"/>
    <col min="1515" max="1515" width="13.85546875" customWidth="1"/>
    <col min="1516" max="1542" width="9.7109375" customWidth="1"/>
    <col min="1769" max="1769" width="10.28515625" customWidth="1"/>
    <col min="1770" max="1770" width="48.7109375" customWidth="1"/>
    <col min="1771" max="1771" width="13.85546875" customWidth="1"/>
    <col min="1772" max="1798" width="9.7109375" customWidth="1"/>
    <col min="2025" max="2025" width="10.28515625" customWidth="1"/>
    <col min="2026" max="2026" width="48.7109375" customWidth="1"/>
    <col min="2027" max="2027" width="13.85546875" customWidth="1"/>
    <col min="2028" max="2054" width="9.7109375" customWidth="1"/>
    <col min="2281" max="2281" width="10.28515625" customWidth="1"/>
    <col min="2282" max="2282" width="48.7109375" customWidth="1"/>
    <col min="2283" max="2283" width="13.85546875" customWidth="1"/>
    <col min="2284" max="2310" width="9.7109375" customWidth="1"/>
    <col min="2537" max="2537" width="10.28515625" customWidth="1"/>
    <col min="2538" max="2538" width="48.7109375" customWidth="1"/>
    <col min="2539" max="2539" width="13.85546875" customWidth="1"/>
    <col min="2540" max="2566" width="9.7109375" customWidth="1"/>
    <col min="2793" max="2793" width="10.28515625" customWidth="1"/>
    <col min="2794" max="2794" width="48.7109375" customWidth="1"/>
    <col min="2795" max="2795" width="13.85546875" customWidth="1"/>
    <col min="2796" max="2822" width="9.7109375" customWidth="1"/>
    <col min="3049" max="3049" width="10.28515625" customWidth="1"/>
    <col min="3050" max="3050" width="48.7109375" customWidth="1"/>
    <col min="3051" max="3051" width="13.85546875" customWidth="1"/>
    <col min="3052" max="3078" width="9.7109375" customWidth="1"/>
    <col min="3305" max="3305" width="10.28515625" customWidth="1"/>
    <col min="3306" max="3306" width="48.7109375" customWidth="1"/>
    <col min="3307" max="3307" width="13.85546875" customWidth="1"/>
    <col min="3308" max="3334" width="9.7109375" customWidth="1"/>
    <col min="3561" max="3561" width="10.28515625" customWidth="1"/>
    <col min="3562" max="3562" width="48.7109375" customWidth="1"/>
    <col min="3563" max="3563" width="13.85546875" customWidth="1"/>
    <col min="3564" max="3590" width="9.7109375" customWidth="1"/>
    <col min="3817" max="3817" width="10.28515625" customWidth="1"/>
    <col min="3818" max="3818" width="48.7109375" customWidth="1"/>
    <col min="3819" max="3819" width="13.85546875" customWidth="1"/>
    <col min="3820" max="3846" width="9.7109375" customWidth="1"/>
    <col min="4073" max="4073" width="10.28515625" customWidth="1"/>
    <col min="4074" max="4074" width="48.7109375" customWidth="1"/>
    <col min="4075" max="4075" width="13.85546875" customWidth="1"/>
    <col min="4076" max="4102" width="9.7109375" customWidth="1"/>
    <col min="4329" max="4329" width="10.28515625" customWidth="1"/>
    <col min="4330" max="4330" width="48.7109375" customWidth="1"/>
    <col min="4331" max="4331" width="13.85546875" customWidth="1"/>
    <col min="4332" max="4358" width="9.7109375" customWidth="1"/>
    <col min="4585" max="4585" width="10.28515625" customWidth="1"/>
    <col min="4586" max="4586" width="48.7109375" customWidth="1"/>
    <col min="4587" max="4587" width="13.85546875" customWidth="1"/>
    <col min="4588" max="4614" width="9.7109375" customWidth="1"/>
    <col min="4841" max="4841" width="10.28515625" customWidth="1"/>
    <col min="4842" max="4842" width="48.7109375" customWidth="1"/>
    <col min="4843" max="4843" width="13.85546875" customWidth="1"/>
    <col min="4844" max="4870" width="9.7109375" customWidth="1"/>
    <col min="5097" max="5097" width="10.28515625" customWidth="1"/>
    <col min="5098" max="5098" width="48.7109375" customWidth="1"/>
    <col min="5099" max="5099" width="13.85546875" customWidth="1"/>
    <col min="5100" max="5126" width="9.7109375" customWidth="1"/>
    <col min="5353" max="5353" width="10.28515625" customWidth="1"/>
    <col min="5354" max="5354" width="48.7109375" customWidth="1"/>
    <col min="5355" max="5355" width="13.85546875" customWidth="1"/>
    <col min="5356" max="5382" width="9.7109375" customWidth="1"/>
    <col min="5609" max="5609" width="10.28515625" customWidth="1"/>
    <col min="5610" max="5610" width="48.7109375" customWidth="1"/>
    <col min="5611" max="5611" width="13.85546875" customWidth="1"/>
    <col min="5612" max="5638" width="9.7109375" customWidth="1"/>
    <col min="5865" max="5865" width="10.28515625" customWidth="1"/>
    <col min="5866" max="5866" width="48.7109375" customWidth="1"/>
    <col min="5867" max="5867" width="13.85546875" customWidth="1"/>
    <col min="5868" max="5894" width="9.7109375" customWidth="1"/>
    <col min="6121" max="6121" width="10.28515625" customWidth="1"/>
    <col min="6122" max="6122" width="48.7109375" customWidth="1"/>
    <col min="6123" max="6123" width="13.85546875" customWidth="1"/>
    <col min="6124" max="6150" width="9.7109375" customWidth="1"/>
    <col min="6377" max="6377" width="10.28515625" customWidth="1"/>
    <col min="6378" max="6378" width="48.7109375" customWidth="1"/>
    <col min="6379" max="6379" width="13.85546875" customWidth="1"/>
    <col min="6380" max="6406" width="9.7109375" customWidth="1"/>
    <col min="6633" max="6633" width="10.28515625" customWidth="1"/>
    <col min="6634" max="6634" width="48.7109375" customWidth="1"/>
    <col min="6635" max="6635" width="13.85546875" customWidth="1"/>
    <col min="6636" max="6662" width="9.7109375" customWidth="1"/>
    <col min="6889" max="6889" width="10.28515625" customWidth="1"/>
    <col min="6890" max="6890" width="48.7109375" customWidth="1"/>
    <col min="6891" max="6891" width="13.85546875" customWidth="1"/>
    <col min="6892" max="6918" width="9.7109375" customWidth="1"/>
    <col min="7145" max="7145" width="10.28515625" customWidth="1"/>
    <col min="7146" max="7146" width="48.7109375" customWidth="1"/>
    <col min="7147" max="7147" width="13.85546875" customWidth="1"/>
    <col min="7148" max="7174" width="9.7109375" customWidth="1"/>
    <col min="7401" max="7401" width="10.28515625" customWidth="1"/>
    <col min="7402" max="7402" width="48.7109375" customWidth="1"/>
    <col min="7403" max="7403" width="13.85546875" customWidth="1"/>
    <col min="7404" max="7430" width="9.7109375" customWidth="1"/>
    <col min="7657" max="7657" width="10.28515625" customWidth="1"/>
    <col min="7658" max="7658" width="48.7109375" customWidth="1"/>
    <col min="7659" max="7659" width="13.85546875" customWidth="1"/>
    <col min="7660" max="7686" width="9.7109375" customWidth="1"/>
    <col min="7913" max="7913" width="10.28515625" customWidth="1"/>
    <col min="7914" max="7914" width="48.7109375" customWidth="1"/>
    <col min="7915" max="7915" width="13.85546875" customWidth="1"/>
    <col min="7916" max="7942" width="9.7109375" customWidth="1"/>
    <col min="8169" max="8169" width="10.28515625" customWidth="1"/>
    <col min="8170" max="8170" width="48.7109375" customWidth="1"/>
    <col min="8171" max="8171" width="13.85546875" customWidth="1"/>
    <col min="8172" max="8198" width="9.7109375" customWidth="1"/>
    <col min="8425" max="8425" width="10.28515625" customWidth="1"/>
    <col min="8426" max="8426" width="48.7109375" customWidth="1"/>
    <col min="8427" max="8427" width="13.85546875" customWidth="1"/>
    <col min="8428" max="8454" width="9.7109375" customWidth="1"/>
    <col min="8681" max="8681" width="10.28515625" customWidth="1"/>
    <col min="8682" max="8682" width="48.7109375" customWidth="1"/>
    <col min="8683" max="8683" width="13.85546875" customWidth="1"/>
    <col min="8684" max="8710" width="9.7109375" customWidth="1"/>
    <col min="8937" max="8937" width="10.28515625" customWidth="1"/>
    <col min="8938" max="8938" width="48.7109375" customWidth="1"/>
    <col min="8939" max="8939" width="13.85546875" customWidth="1"/>
    <col min="8940" max="8966" width="9.7109375" customWidth="1"/>
    <col min="9193" max="9193" width="10.28515625" customWidth="1"/>
    <col min="9194" max="9194" width="48.7109375" customWidth="1"/>
    <col min="9195" max="9195" width="13.85546875" customWidth="1"/>
    <col min="9196" max="9222" width="9.7109375" customWidth="1"/>
    <col min="9449" max="9449" width="10.28515625" customWidth="1"/>
    <col min="9450" max="9450" width="48.7109375" customWidth="1"/>
    <col min="9451" max="9451" width="13.85546875" customWidth="1"/>
    <col min="9452" max="9478" width="9.7109375" customWidth="1"/>
    <col min="9705" max="9705" width="10.28515625" customWidth="1"/>
    <col min="9706" max="9706" width="48.7109375" customWidth="1"/>
    <col min="9707" max="9707" width="13.85546875" customWidth="1"/>
    <col min="9708" max="9734" width="9.7109375" customWidth="1"/>
    <col min="9961" max="9961" width="10.28515625" customWidth="1"/>
    <col min="9962" max="9962" width="48.7109375" customWidth="1"/>
    <col min="9963" max="9963" width="13.85546875" customWidth="1"/>
    <col min="9964" max="9990" width="9.7109375" customWidth="1"/>
    <col min="10217" max="10217" width="10.28515625" customWidth="1"/>
    <col min="10218" max="10218" width="48.7109375" customWidth="1"/>
    <col min="10219" max="10219" width="13.85546875" customWidth="1"/>
    <col min="10220" max="10246" width="9.7109375" customWidth="1"/>
    <col min="10473" max="10473" width="10.28515625" customWidth="1"/>
    <col min="10474" max="10474" width="48.7109375" customWidth="1"/>
    <col min="10475" max="10475" width="13.85546875" customWidth="1"/>
    <col min="10476" max="10502" width="9.7109375" customWidth="1"/>
    <col min="10729" max="10729" width="10.28515625" customWidth="1"/>
    <col min="10730" max="10730" width="48.7109375" customWidth="1"/>
    <col min="10731" max="10731" width="13.85546875" customWidth="1"/>
    <col min="10732" max="10758" width="9.7109375" customWidth="1"/>
    <col min="10985" max="10985" width="10.28515625" customWidth="1"/>
    <col min="10986" max="10986" width="48.7109375" customWidth="1"/>
    <col min="10987" max="10987" width="13.85546875" customWidth="1"/>
    <col min="10988" max="11014" width="9.7109375" customWidth="1"/>
    <col min="11241" max="11241" width="10.28515625" customWidth="1"/>
    <col min="11242" max="11242" width="48.7109375" customWidth="1"/>
    <col min="11243" max="11243" width="13.85546875" customWidth="1"/>
    <col min="11244" max="11270" width="9.7109375" customWidth="1"/>
    <col min="11497" max="11497" width="10.28515625" customWidth="1"/>
    <col min="11498" max="11498" width="48.7109375" customWidth="1"/>
    <col min="11499" max="11499" width="13.85546875" customWidth="1"/>
    <col min="11500" max="11526" width="9.7109375" customWidth="1"/>
    <col min="11753" max="11753" width="10.28515625" customWidth="1"/>
    <col min="11754" max="11754" width="48.7109375" customWidth="1"/>
    <col min="11755" max="11755" width="13.85546875" customWidth="1"/>
    <col min="11756" max="11782" width="9.7109375" customWidth="1"/>
    <col min="12009" max="12009" width="10.28515625" customWidth="1"/>
    <col min="12010" max="12010" width="48.7109375" customWidth="1"/>
    <col min="12011" max="12011" width="13.85546875" customWidth="1"/>
    <col min="12012" max="12038" width="9.7109375" customWidth="1"/>
    <col min="12265" max="12265" width="10.28515625" customWidth="1"/>
    <col min="12266" max="12266" width="48.7109375" customWidth="1"/>
    <col min="12267" max="12267" width="13.85546875" customWidth="1"/>
    <col min="12268" max="12294" width="9.7109375" customWidth="1"/>
    <col min="12521" max="12521" width="10.28515625" customWidth="1"/>
    <col min="12522" max="12522" width="48.7109375" customWidth="1"/>
    <col min="12523" max="12523" width="13.85546875" customWidth="1"/>
    <col min="12524" max="12550" width="9.7109375" customWidth="1"/>
    <col min="12777" max="12777" width="10.28515625" customWidth="1"/>
    <col min="12778" max="12778" width="48.7109375" customWidth="1"/>
    <col min="12779" max="12779" width="13.85546875" customWidth="1"/>
    <col min="12780" max="12806" width="9.7109375" customWidth="1"/>
    <col min="13033" max="13033" width="10.28515625" customWidth="1"/>
    <col min="13034" max="13034" width="48.7109375" customWidth="1"/>
    <col min="13035" max="13035" width="13.85546875" customWidth="1"/>
    <col min="13036" max="13062" width="9.7109375" customWidth="1"/>
    <col min="13289" max="13289" width="10.28515625" customWidth="1"/>
    <col min="13290" max="13290" width="48.7109375" customWidth="1"/>
    <col min="13291" max="13291" width="13.85546875" customWidth="1"/>
    <col min="13292" max="13318" width="9.7109375" customWidth="1"/>
    <col min="13545" max="13545" width="10.28515625" customWidth="1"/>
    <col min="13546" max="13546" width="48.7109375" customWidth="1"/>
    <col min="13547" max="13547" width="13.85546875" customWidth="1"/>
    <col min="13548" max="13574" width="9.7109375" customWidth="1"/>
    <col min="13801" max="13801" width="10.28515625" customWidth="1"/>
    <col min="13802" max="13802" width="48.7109375" customWidth="1"/>
    <col min="13803" max="13803" width="13.85546875" customWidth="1"/>
    <col min="13804" max="13830" width="9.7109375" customWidth="1"/>
    <col min="14057" max="14057" width="10.28515625" customWidth="1"/>
    <col min="14058" max="14058" width="48.7109375" customWidth="1"/>
    <col min="14059" max="14059" width="13.85546875" customWidth="1"/>
    <col min="14060" max="14086" width="9.7109375" customWidth="1"/>
    <col min="14313" max="14313" width="10.28515625" customWidth="1"/>
    <col min="14314" max="14314" width="48.7109375" customWidth="1"/>
    <col min="14315" max="14315" width="13.85546875" customWidth="1"/>
    <col min="14316" max="14342" width="9.7109375" customWidth="1"/>
    <col min="14569" max="14569" width="10.28515625" customWidth="1"/>
    <col min="14570" max="14570" width="48.7109375" customWidth="1"/>
    <col min="14571" max="14571" width="13.85546875" customWidth="1"/>
    <col min="14572" max="14598" width="9.7109375" customWidth="1"/>
    <col min="14825" max="14825" width="10.28515625" customWidth="1"/>
    <col min="14826" max="14826" width="48.7109375" customWidth="1"/>
    <col min="14827" max="14827" width="13.85546875" customWidth="1"/>
    <col min="14828" max="14854" width="9.7109375" customWidth="1"/>
    <col min="15081" max="15081" width="10.28515625" customWidth="1"/>
    <col min="15082" max="15082" width="48.7109375" customWidth="1"/>
    <col min="15083" max="15083" width="13.85546875" customWidth="1"/>
    <col min="15084" max="15110" width="9.7109375" customWidth="1"/>
    <col min="15337" max="15337" width="10.28515625" customWidth="1"/>
    <col min="15338" max="15338" width="48.7109375" customWidth="1"/>
    <col min="15339" max="15339" width="13.85546875" customWidth="1"/>
    <col min="15340" max="15366" width="9.7109375" customWidth="1"/>
    <col min="15593" max="15593" width="10.28515625" customWidth="1"/>
    <col min="15594" max="15594" width="48.7109375" customWidth="1"/>
    <col min="15595" max="15595" width="13.85546875" customWidth="1"/>
    <col min="15596" max="15622" width="9.7109375" customWidth="1"/>
    <col min="15849" max="15849" width="10.28515625" customWidth="1"/>
    <col min="15850" max="15850" width="48.7109375" customWidth="1"/>
    <col min="15851" max="15851" width="13.85546875" customWidth="1"/>
    <col min="15852" max="15878" width="9.7109375" customWidth="1"/>
    <col min="16105" max="16105" width="10.28515625" customWidth="1"/>
    <col min="16106" max="16106" width="48.7109375" customWidth="1"/>
    <col min="16107" max="16107" width="13.85546875" customWidth="1"/>
    <col min="16108" max="16134" width="9.7109375" customWidth="1"/>
  </cols>
  <sheetData>
    <row r="1" spans="1:17">
      <c r="A1" s="88"/>
      <c r="B1" s="89"/>
      <c r="C1" s="89"/>
      <c r="D1" s="89"/>
      <c r="E1" s="89"/>
    </row>
    <row r="2" spans="1:17" ht="22.5">
      <c r="A2" s="90" t="s">
        <v>3358</v>
      </c>
      <c r="B2" s="91"/>
      <c r="C2" s="91"/>
      <c r="D2" s="91"/>
      <c r="E2" s="91"/>
    </row>
    <row r="3" spans="1:17" ht="27">
      <c r="A3" s="92" t="s">
        <v>3359</v>
      </c>
      <c r="B3" s="93"/>
      <c r="C3" s="93"/>
      <c r="D3" s="93"/>
      <c r="E3" s="93"/>
    </row>
    <row r="4" spans="1:17" ht="19.5" thickBot="1">
      <c r="A4" s="835" t="s">
        <v>2995</v>
      </c>
      <c r="B4" s="836" t="s">
        <v>1604</v>
      </c>
      <c r="C4" s="836" t="s">
        <v>2996</v>
      </c>
      <c r="D4" s="831" t="s">
        <v>2229</v>
      </c>
      <c r="E4" s="831"/>
      <c r="G4" s="74"/>
      <c r="I4" s="74"/>
      <c r="K4" s="74"/>
      <c r="M4" s="74"/>
      <c r="O4" s="74"/>
      <c r="P4" s="75"/>
      <c r="Q4" s="74"/>
    </row>
    <row r="5" spans="1:17" ht="18.75">
      <c r="A5" s="835"/>
      <c r="B5" s="835"/>
      <c r="C5" s="835"/>
      <c r="D5" s="76" t="s">
        <v>2229</v>
      </c>
      <c r="E5" s="76" t="s">
        <v>291</v>
      </c>
    </row>
    <row r="6" spans="1:17" ht="15.75">
      <c r="A6" s="77">
        <v>82704</v>
      </c>
      <c r="B6" s="78" t="s">
        <v>3009</v>
      </c>
      <c r="C6" s="79" t="s">
        <v>171</v>
      </c>
      <c r="D6" s="80" t="s">
        <v>3360</v>
      </c>
      <c r="E6" s="80" t="s">
        <v>3360</v>
      </c>
    </row>
    <row r="7" spans="1:17" ht="15.75">
      <c r="A7" s="81">
        <v>82915</v>
      </c>
      <c r="B7" s="82" t="s">
        <v>3011</v>
      </c>
      <c r="C7" s="83" t="s">
        <v>171</v>
      </c>
      <c r="D7" s="85" t="s">
        <v>3360</v>
      </c>
      <c r="E7" s="84" t="s">
        <v>3360</v>
      </c>
    </row>
    <row r="8" spans="1:17" ht="15.75">
      <c r="A8" s="77">
        <v>82807</v>
      </c>
      <c r="B8" s="78" t="s">
        <v>3013</v>
      </c>
      <c r="C8" s="79" t="s">
        <v>171</v>
      </c>
      <c r="D8" s="86" t="s">
        <v>3360</v>
      </c>
      <c r="E8" s="80" t="s">
        <v>3361</v>
      </c>
    </row>
    <row r="9" spans="1:17" ht="15.75">
      <c r="A9" s="81">
        <v>82989</v>
      </c>
      <c r="B9" s="82" t="s">
        <v>3015</v>
      </c>
      <c r="C9" s="83" t="s">
        <v>3010</v>
      </c>
      <c r="D9" s="85" t="s">
        <v>3360</v>
      </c>
      <c r="E9" s="84" t="s">
        <v>3360</v>
      </c>
    </row>
    <row r="10" spans="1:17">
      <c r="A10" s="832">
        <v>82994</v>
      </c>
      <c r="B10" s="833" t="s">
        <v>3017</v>
      </c>
      <c r="C10" s="834" t="s">
        <v>3010</v>
      </c>
      <c r="D10" s="824" t="s">
        <v>3360</v>
      </c>
      <c r="E10" s="825" t="s">
        <v>3360</v>
      </c>
    </row>
    <row r="11" spans="1:17">
      <c r="A11" s="832"/>
      <c r="B11" s="833"/>
      <c r="C11" s="834"/>
      <c r="D11" s="824"/>
      <c r="E11" s="825"/>
    </row>
    <row r="12" spans="1:17">
      <c r="A12" s="832"/>
      <c r="B12" s="833"/>
      <c r="C12" s="834"/>
      <c r="D12" s="824"/>
      <c r="E12" s="825"/>
    </row>
    <row r="13" spans="1:17" ht="15.75">
      <c r="A13" s="81">
        <v>82992</v>
      </c>
      <c r="B13" s="82" t="s">
        <v>3019</v>
      </c>
      <c r="C13" s="83" t="s">
        <v>3010</v>
      </c>
      <c r="D13" s="85" t="s">
        <v>3360</v>
      </c>
      <c r="E13" s="85" t="s">
        <v>3360</v>
      </c>
    </row>
    <row r="14" spans="1:17" ht="15.75">
      <c r="A14" s="77">
        <v>82990</v>
      </c>
      <c r="B14" s="78" t="s">
        <v>3021</v>
      </c>
      <c r="C14" s="79" t="s">
        <v>3010</v>
      </c>
      <c r="D14" s="86" t="s">
        <v>3360</v>
      </c>
      <c r="E14" s="80" t="s">
        <v>3360</v>
      </c>
    </row>
    <row r="15" spans="1:17">
      <c r="A15" s="826">
        <v>82996</v>
      </c>
      <c r="B15" s="827" t="s">
        <v>3023</v>
      </c>
      <c r="C15" s="828" t="s">
        <v>3010</v>
      </c>
      <c r="D15" s="829" t="s">
        <v>3360</v>
      </c>
      <c r="E15" s="830" t="s">
        <v>3360</v>
      </c>
    </row>
    <row r="16" spans="1:17">
      <c r="A16" s="826"/>
      <c r="B16" s="827"/>
      <c r="C16" s="828"/>
      <c r="D16" s="829"/>
      <c r="E16" s="830"/>
    </row>
    <row r="17" spans="1:5">
      <c r="A17" s="826"/>
      <c r="B17" s="827"/>
      <c r="C17" s="828"/>
      <c r="D17" s="829"/>
      <c r="E17" s="830"/>
    </row>
    <row r="18" spans="1:5" ht="15.75">
      <c r="A18" s="77">
        <v>82113</v>
      </c>
      <c r="B18" s="78" t="s">
        <v>3025</v>
      </c>
      <c r="C18" s="79" t="s">
        <v>3012</v>
      </c>
      <c r="D18" s="86" t="s">
        <v>3360</v>
      </c>
      <c r="E18" s="80" t="s">
        <v>3360</v>
      </c>
    </row>
    <row r="19" spans="1:5">
      <c r="A19" s="826">
        <v>82410</v>
      </c>
      <c r="B19" s="827" t="s">
        <v>3027</v>
      </c>
      <c r="C19" s="828" t="s">
        <v>3012</v>
      </c>
      <c r="D19" s="829" t="s">
        <v>3360</v>
      </c>
      <c r="E19" s="830" t="s">
        <v>3360</v>
      </c>
    </row>
    <row r="20" spans="1:5">
      <c r="A20" s="826"/>
      <c r="B20" s="827"/>
      <c r="C20" s="828"/>
      <c r="D20" s="829"/>
      <c r="E20" s="830"/>
    </row>
    <row r="21" spans="1:5" ht="15.75">
      <c r="A21" s="77">
        <v>82425</v>
      </c>
      <c r="B21" s="78" t="s">
        <v>3029</v>
      </c>
      <c r="C21" s="79" t="s">
        <v>3012</v>
      </c>
      <c r="D21" s="86" t="s">
        <v>3360</v>
      </c>
      <c r="E21" s="80" t="s">
        <v>3360</v>
      </c>
    </row>
    <row r="22" spans="1:5">
      <c r="A22" s="826">
        <v>82326</v>
      </c>
      <c r="B22" s="827" t="s">
        <v>3031</v>
      </c>
      <c r="C22" s="828" t="s">
        <v>3012</v>
      </c>
      <c r="D22" s="829">
        <v>31199</v>
      </c>
      <c r="E22" s="830">
        <v>12.4</v>
      </c>
    </row>
    <row r="23" spans="1:5">
      <c r="A23" s="826"/>
      <c r="B23" s="827"/>
      <c r="C23" s="828"/>
      <c r="D23" s="829"/>
      <c r="E23" s="830"/>
    </row>
    <row r="24" spans="1:5">
      <c r="A24" s="832">
        <v>82610</v>
      </c>
      <c r="B24" s="833" t="s">
        <v>3033</v>
      </c>
      <c r="C24" s="834" t="s">
        <v>3012</v>
      </c>
      <c r="D24" s="824" t="s">
        <v>3360</v>
      </c>
      <c r="E24" s="825" t="s">
        <v>3360</v>
      </c>
    </row>
    <row r="25" spans="1:5">
      <c r="A25" s="832"/>
      <c r="B25" s="833"/>
      <c r="C25" s="834"/>
      <c r="D25" s="824"/>
      <c r="E25" s="825"/>
    </row>
    <row r="26" spans="1:5" ht="15.75">
      <c r="A26" s="81">
        <v>82212</v>
      </c>
      <c r="B26" s="82" t="s">
        <v>3035</v>
      </c>
      <c r="C26" s="83" t="s">
        <v>3012</v>
      </c>
      <c r="D26" s="85" t="s">
        <v>3360</v>
      </c>
      <c r="E26" s="84" t="s">
        <v>3360</v>
      </c>
    </row>
    <row r="27" spans="1:5">
      <c r="A27" s="832">
        <v>82067</v>
      </c>
      <c r="B27" s="833" t="s">
        <v>3036</v>
      </c>
      <c r="C27" s="834" t="s">
        <v>3012</v>
      </c>
      <c r="D27" s="824" t="s">
        <v>3360</v>
      </c>
      <c r="E27" s="825" t="s">
        <v>3362</v>
      </c>
    </row>
    <row r="28" spans="1:5">
      <c r="A28" s="832"/>
      <c r="B28" s="833"/>
      <c r="C28" s="834"/>
      <c r="D28" s="824"/>
      <c r="E28" s="825"/>
    </row>
    <row r="29" spans="1:5">
      <c r="A29" s="826">
        <v>82336</v>
      </c>
      <c r="B29" s="827" t="s">
        <v>669</v>
      </c>
      <c r="C29" s="828" t="s">
        <v>3012</v>
      </c>
      <c r="D29" s="829">
        <v>29768</v>
      </c>
      <c r="E29" s="830">
        <v>17</v>
      </c>
    </row>
    <row r="30" spans="1:5">
      <c r="A30" s="826"/>
      <c r="B30" s="827"/>
      <c r="C30" s="828"/>
      <c r="D30" s="829"/>
      <c r="E30" s="830"/>
    </row>
    <row r="31" spans="1:5">
      <c r="A31" s="832">
        <v>82723</v>
      </c>
      <c r="B31" s="833" t="s">
        <v>3039</v>
      </c>
      <c r="C31" s="834" t="s">
        <v>3012</v>
      </c>
      <c r="D31" s="824" t="s">
        <v>3360</v>
      </c>
      <c r="E31" s="825" t="s">
        <v>3360</v>
      </c>
    </row>
    <row r="32" spans="1:5">
      <c r="A32" s="832"/>
      <c r="B32" s="833"/>
      <c r="C32" s="834"/>
      <c r="D32" s="824"/>
      <c r="E32" s="825"/>
    </row>
    <row r="33" spans="1:5">
      <c r="A33" s="832"/>
      <c r="B33" s="833"/>
      <c r="C33" s="834"/>
      <c r="D33" s="824"/>
      <c r="E33" s="825"/>
    </row>
    <row r="34" spans="1:5">
      <c r="A34" s="832"/>
      <c r="B34" s="833"/>
      <c r="C34" s="834"/>
      <c r="D34" s="824"/>
      <c r="E34" s="825"/>
    </row>
    <row r="35" spans="1:5">
      <c r="A35" s="832"/>
      <c r="B35" s="833"/>
      <c r="C35" s="834"/>
      <c r="D35" s="824"/>
      <c r="E35" s="825"/>
    </row>
    <row r="36" spans="1:5" ht="15.75">
      <c r="A36" s="81">
        <v>82331</v>
      </c>
      <c r="B36" s="82" t="s">
        <v>3040</v>
      </c>
      <c r="C36" s="83" t="s">
        <v>3012</v>
      </c>
      <c r="D36" s="85" t="s">
        <v>3360</v>
      </c>
      <c r="E36" s="84" t="s">
        <v>3360</v>
      </c>
    </row>
    <row r="37" spans="1:5">
      <c r="A37" s="832">
        <v>82533</v>
      </c>
      <c r="B37" s="833" t="s">
        <v>3041</v>
      </c>
      <c r="C37" s="834" t="s">
        <v>3012</v>
      </c>
      <c r="D37" s="824">
        <v>34486</v>
      </c>
      <c r="E37" s="825">
        <v>12.7</v>
      </c>
    </row>
    <row r="38" spans="1:5">
      <c r="A38" s="832"/>
      <c r="B38" s="833"/>
      <c r="C38" s="834"/>
      <c r="D38" s="824"/>
      <c r="E38" s="825"/>
    </row>
    <row r="39" spans="1:5">
      <c r="A39" s="832"/>
      <c r="B39" s="833"/>
      <c r="C39" s="834"/>
      <c r="D39" s="824"/>
      <c r="E39" s="825"/>
    </row>
    <row r="40" spans="1:5">
      <c r="A40" s="826">
        <v>82240</v>
      </c>
      <c r="B40" s="827" t="s">
        <v>3043</v>
      </c>
      <c r="C40" s="828" t="s">
        <v>3012</v>
      </c>
      <c r="D40" s="829">
        <v>35278</v>
      </c>
      <c r="E40" s="830">
        <v>14.6</v>
      </c>
    </row>
    <row r="41" spans="1:5">
      <c r="A41" s="826"/>
      <c r="B41" s="827"/>
      <c r="C41" s="828"/>
      <c r="D41" s="829"/>
      <c r="E41" s="830"/>
    </row>
    <row r="42" spans="1:5">
      <c r="A42" s="832">
        <v>82106</v>
      </c>
      <c r="B42" s="833" t="s">
        <v>3045</v>
      </c>
      <c r="C42" s="834" t="s">
        <v>3012</v>
      </c>
      <c r="D42" s="824" t="s">
        <v>3360</v>
      </c>
      <c r="E42" s="825" t="s">
        <v>3360</v>
      </c>
    </row>
    <row r="43" spans="1:5">
      <c r="A43" s="832"/>
      <c r="B43" s="833"/>
      <c r="C43" s="834"/>
      <c r="D43" s="824"/>
      <c r="E43" s="825"/>
    </row>
    <row r="44" spans="1:5" ht="15.75">
      <c r="A44" s="81">
        <v>82317</v>
      </c>
      <c r="B44" s="82" t="s">
        <v>3047</v>
      </c>
      <c r="C44" s="83" t="s">
        <v>3012</v>
      </c>
      <c r="D44" s="85">
        <v>34486</v>
      </c>
      <c r="E44" s="84">
        <v>14.6</v>
      </c>
    </row>
    <row r="45" spans="1:5">
      <c r="A45" s="832">
        <v>82098</v>
      </c>
      <c r="B45" s="833" t="s">
        <v>3049</v>
      </c>
      <c r="C45" s="834" t="s">
        <v>3014</v>
      </c>
      <c r="D45" s="824">
        <v>35065</v>
      </c>
      <c r="E45" s="825">
        <v>19.600000000000001</v>
      </c>
    </row>
    <row r="46" spans="1:5">
      <c r="A46" s="832"/>
      <c r="B46" s="833"/>
      <c r="C46" s="834"/>
      <c r="D46" s="824"/>
      <c r="E46" s="825"/>
    </row>
    <row r="47" spans="1:5">
      <c r="A47" s="826">
        <v>82095</v>
      </c>
      <c r="B47" s="827" t="s">
        <v>3363</v>
      </c>
      <c r="C47" s="828" t="s">
        <v>3014</v>
      </c>
      <c r="D47" s="829" t="s">
        <v>77</v>
      </c>
      <c r="E47" s="830" t="s">
        <v>77</v>
      </c>
    </row>
    <row r="48" spans="1:5">
      <c r="A48" s="826"/>
      <c r="B48" s="827"/>
      <c r="C48" s="828"/>
      <c r="D48" s="829"/>
      <c r="E48" s="830"/>
    </row>
    <row r="49" spans="1:5">
      <c r="A49" s="832">
        <v>82092</v>
      </c>
      <c r="B49" s="833" t="s">
        <v>3051</v>
      </c>
      <c r="C49" s="834" t="s">
        <v>3014</v>
      </c>
      <c r="D49" s="824" t="s">
        <v>3360</v>
      </c>
      <c r="E49" s="825" t="s">
        <v>3360</v>
      </c>
    </row>
    <row r="50" spans="1:5">
      <c r="A50" s="832"/>
      <c r="B50" s="833"/>
      <c r="C50" s="834"/>
      <c r="D50" s="824"/>
      <c r="E50" s="825"/>
    </row>
    <row r="51" spans="1:5">
      <c r="A51" s="826">
        <v>83249</v>
      </c>
      <c r="B51" s="827" t="s">
        <v>3053</v>
      </c>
      <c r="C51" s="828" t="s">
        <v>3016</v>
      </c>
      <c r="D51" s="829">
        <v>34608</v>
      </c>
      <c r="E51" s="830">
        <v>13.3</v>
      </c>
    </row>
    <row r="52" spans="1:5">
      <c r="A52" s="826"/>
      <c r="B52" s="827"/>
      <c r="C52" s="828"/>
      <c r="D52" s="829"/>
      <c r="E52" s="830"/>
    </row>
    <row r="53" spans="1:5">
      <c r="A53" s="832">
        <v>83179</v>
      </c>
      <c r="B53" s="833" t="s">
        <v>3055</v>
      </c>
      <c r="C53" s="834" t="s">
        <v>3016</v>
      </c>
      <c r="D53" s="824" t="s">
        <v>3360</v>
      </c>
      <c r="E53" s="825" t="s">
        <v>3360</v>
      </c>
    </row>
    <row r="54" spans="1:5">
      <c r="A54" s="832"/>
      <c r="B54" s="833"/>
      <c r="C54" s="834"/>
      <c r="D54" s="824"/>
      <c r="E54" s="825"/>
    </row>
    <row r="55" spans="1:5">
      <c r="A55" s="826">
        <v>83236</v>
      </c>
      <c r="B55" s="827" t="s">
        <v>3057</v>
      </c>
      <c r="C55" s="828" t="s">
        <v>3016</v>
      </c>
      <c r="D55" s="829" t="s">
        <v>3360</v>
      </c>
      <c r="E55" s="830" t="s">
        <v>3360</v>
      </c>
    </row>
    <row r="56" spans="1:5">
      <c r="A56" s="826"/>
      <c r="B56" s="827"/>
      <c r="C56" s="828"/>
      <c r="D56" s="829"/>
      <c r="E56" s="830"/>
    </row>
    <row r="57" spans="1:5" ht="15.75">
      <c r="A57" s="77">
        <v>83288</v>
      </c>
      <c r="B57" s="78" t="s">
        <v>3058</v>
      </c>
      <c r="C57" s="79" t="s">
        <v>3016</v>
      </c>
      <c r="D57" s="86" t="s">
        <v>3360</v>
      </c>
      <c r="E57" s="80" t="s">
        <v>3360</v>
      </c>
    </row>
    <row r="58" spans="1:5">
      <c r="A58" s="826">
        <v>83339</v>
      </c>
      <c r="B58" s="827" t="s">
        <v>3059</v>
      </c>
      <c r="C58" s="828" t="s">
        <v>3016</v>
      </c>
      <c r="D58" s="829" t="s">
        <v>3360</v>
      </c>
      <c r="E58" s="830" t="s">
        <v>3360</v>
      </c>
    </row>
    <row r="59" spans="1:5">
      <c r="A59" s="826"/>
      <c r="B59" s="827"/>
      <c r="C59" s="828"/>
      <c r="D59" s="829"/>
      <c r="E59" s="830"/>
    </row>
    <row r="60" spans="1:5" ht="15.75">
      <c r="A60" s="77">
        <v>83226</v>
      </c>
      <c r="B60" s="78" t="s">
        <v>3060</v>
      </c>
      <c r="C60" s="79" t="s">
        <v>3016</v>
      </c>
      <c r="D60" s="86" t="s">
        <v>3362</v>
      </c>
      <c r="E60" s="80" t="s">
        <v>3361</v>
      </c>
    </row>
    <row r="61" spans="1:5">
      <c r="A61" s="826">
        <v>83398</v>
      </c>
      <c r="B61" s="827" t="s">
        <v>3061</v>
      </c>
      <c r="C61" s="828" t="s">
        <v>3016</v>
      </c>
      <c r="D61" s="829" t="s">
        <v>3360</v>
      </c>
      <c r="E61" s="830" t="s">
        <v>3362</v>
      </c>
    </row>
    <row r="62" spans="1:5">
      <c r="A62" s="826"/>
      <c r="B62" s="827"/>
      <c r="C62" s="828"/>
      <c r="D62" s="829"/>
      <c r="E62" s="830"/>
    </row>
    <row r="63" spans="1:5" ht="15.75">
      <c r="A63" s="77">
        <v>83498</v>
      </c>
      <c r="B63" s="78" t="s">
        <v>3062</v>
      </c>
      <c r="C63" s="79" t="s">
        <v>3016</v>
      </c>
      <c r="D63" s="86">
        <v>39661</v>
      </c>
      <c r="E63" s="80">
        <v>10.1</v>
      </c>
    </row>
    <row r="64" spans="1:5" ht="15.75">
      <c r="A64" s="81">
        <v>83408</v>
      </c>
      <c r="B64" s="82" t="s">
        <v>3063</v>
      </c>
      <c r="C64" s="83" t="s">
        <v>3016</v>
      </c>
      <c r="D64" s="85" t="s">
        <v>3360</v>
      </c>
      <c r="E64" s="84" t="s">
        <v>3360</v>
      </c>
    </row>
    <row r="65" spans="1:5" ht="15.75">
      <c r="A65" s="77">
        <v>83192</v>
      </c>
      <c r="B65" s="78" t="s">
        <v>3064</v>
      </c>
      <c r="C65" s="79" t="s">
        <v>3016</v>
      </c>
      <c r="D65" s="86">
        <v>39630</v>
      </c>
      <c r="E65" s="80">
        <v>12.9</v>
      </c>
    </row>
    <row r="66" spans="1:5" ht="15.75">
      <c r="A66" s="81">
        <v>83286</v>
      </c>
      <c r="B66" s="82" t="s">
        <v>3065</v>
      </c>
      <c r="C66" s="83" t="s">
        <v>3016</v>
      </c>
      <c r="D66" s="85" t="s">
        <v>3360</v>
      </c>
      <c r="E66" s="84" t="s">
        <v>3360</v>
      </c>
    </row>
    <row r="67" spans="1:5" ht="15.75">
      <c r="A67" s="77">
        <v>83222</v>
      </c>
      <c r="B67" s="78" t="s">
        <v>3066</v>
      </c>
      <c r="C67" s="79" t="s">
        <v>3016</v>
      </c>
      <c r="D67" s="86">
        <v>34578</v>
      </c>
      <c r="E67" s="80">
        <v>14.3</v>
      </c>
    </row>
    <row r="68" spans="1:5" ht="15.75">
      <c r="A68" s="81">
        <v>83221</v>
      </c>
      <c r="B68" s="82" t="s">
        <v>3067</v>
      </c>
      <c r="C68" s="83" t="s">
        <v>3016</v>
      </c>
      <c r="D68" s="85">
        <v>36892</v>
      </c>
      <c r="E68" s="84">
        <v>11.6</v>
      </c>
    </row>
    <row r="69" spans="1:5" ht="15.75">
      <c r="A69" s="77">
        <v>83446</v>
      </c>
      <c r="B69" s="78" t="s">
        <v>3068</v>
      </c>
      <c r="C69" s="79" t="s">
        <v>3016</v>
      </c>
      <c r="D69" s="86" t="s">
        <v>3360</v>
      </c>
      <c r="E69" s="80" t="s">
        <v>3360</v>
      </c>
    </row>
    <row r="70" spans="1:5">
      <c r="A70" s="826">
        <v>83182</v>
      </c>
      <c r="B70" s="827" t="s">
        <v>3069</v>
      </c>
      <c r="C70" s="828" t="s">
        <v>3016</v>
      </c>
      <c r="D70" s="829" t="s">
        <v>3360</v>
      </c>
      <c r="E70" s="830" t="s">
        <v>3360</v>
      </c>
    </row>
    <row r="71" spans="1:5">
      <c r="A71" s="826"/>
      <c r="B71" s="827"/>
      <c r="C71" s="828"/>
      <c r="D71" s="829"/>
      <c r="E71" s="830"/>
    </row>
    <row r="72" spans="1:5">
      <c r="A72" s="832">
        <v>83244</v>
      </c>
      <c r="B72" s="833" t="s">
        <v>3070</v>
      </c>
      <c r="C72" s="834" t="s">
        <v>3016</v>
      </c>
      <c r="D72" s="824" t="s">
        <v>3360</v>
      </c>
      <c r="E72" s="825" t="s">
        <v>3360</v>
      </c>
    </row>
    <row r="73" spans="1:5">
      <c r="A73" s="832"/>
      <c r="B73" s="833"/>
      <c r="C73" s="834"/>
      <c r="D73" s="824"/>
      <c r="E73" s="825"/>
    </row>
    <row r="74" spans="1:5">
      <c r="A74" s="826">
        <v>83295</v>
      </c>
      <c r="B74" s="827" t="s">
        <v>3071</v>
      </c>
      <c r="C74" s="828" t="s">
        <v>3016</v>
      </c>
      <c r="D74" s="837" t="s">
        <v>3360</v>
      </c>
      <c r="E74" s="830" t="s">
        <v>3360</v>
      </c>
    </row>
    <row r="75" spans="1:5">
      <c r="A75" s="826"/>
      <c r="B75" s="827"/>
      <c r="C75" s="828"/>
      <c r="D75" s="838"/>
      <c r="E75" s="830"/>
    </row>
    <row r="76" spans="1:5" ht="15.75">
      <c r="A76" s="77">
        <v>83292</v>
      </c>
      <c r="B76" s="78" t="s">
        <v>3072</v>
      </c>
      <c r="C76" s="79" t="s">
        <v>3016</v>
      </c>
      <c r="D76" s="86" t="s">
        <v>3360</v>
      </c>
      <c r="E76" s="80" t="s">
        <v>3360</v>
      </c>
    </row>
    <row r="77" spans="1:5" ht="15.75">
      <c r="A77" s="81">
        <v>83186</v>
      </c>
      <c r="B77" s="82" t="s">
        <v>3073</v>
      </c>
      <c r="C77" s="83" t="s">
        <v>3016</v>
      </c>
      <c r="D77" s="85">
        <v>34090</v>
      </c>
      <c r="E77" s="84">
        <v>10.9</v>
      </c>
    </row>
    <row r="78" spans="1:5">
      <c r="A78" s="826">
        <v>83242</v>
      </c>
      <c r="B78" s="827" t="s">
        <v>3074</v>
      </c>
      <c r="C78" s="828" t="s">
        <v>3016</v>
      </c>
      <c r="D78" s="829" t="s">
        <v>3360</v>
      </c>
      <c r="E78" s="830" t="s">
        <v>3360</v>
      </c>
    </row>
    <row r="79" spans="1:5">
      <c r="A79" s="826"/>
      <c r="B79" s="827"/>
      <c r="C79" s="828"/>
      <c r="D79" s="829"/>
      <c r="E79" s="830"/>
    </row>
    <row r="80" spans="1:5" ht="15.75">
      <c r="A80" s="832">
        <v>83090</v>
      </c>
      <c r="B80" s="833" t="s">
        <v>3075</v>
      </c>
      <c r="C80" s="834" t="s">
        <v>3016</v>
      </c>
      <c r="D80" s="86">
        <v>31778</v>
      </c>
      <c r="E80" s="825">
        <v>12.4</v>
      </c>
    </row>
    <row r="81" spans="1:5">
      <c r="A81" s="832"/>
      <c r="B81" s="833"/>
      <c r="C81" s="834"/>
      <c r="D81" s="839">
        <v>40391</v>
      </c>
      <c r="E81" s="825"/>
    </row>
    <row r="82" spans="1:5">
      <c r="A82" s="832"/>
      <c r="B82" s="833"/>
      <c r="C82" s="834"/>
      <c r="D82" s="840"/>
      <c r="E82" s="825"/>
    </row>
    <row r="83" spans="1:5">
      <c r="A83" s="826">
        <v>83184</v>
      </c>
      <c r="B83" s="827" t="s">
        <v>3076</v>
      </c>
      <c r="C83" s="828" t="s">
        <v>3016</v>
      </c>
      <c r="D83" s="829" t="s">
        <v>3360</v>
      </c>
      <c r="E83" s="830" t="s">
        <v>3360</v>
      </c>
    </row>
    <row r="84" spans="1:5">
      <c r="A84" s="826"/>
      <c r="B84" s="827"/>
      <c r="C84" s="828"/>
      <c r="D84" s="829"/>
      <c r="E84" s="830"/>
    </row>
    <row r="85" spans="1:5">
      <c r="A85" s="832">
        <v>82986</v>
      </c>
      <c r="B85" s="833" t="s">
        <v>3077</v>
      </c>
      <c r="C85" s="834" t="s">
        <v>3016</v>
      </c>
      <c r="D85" s="824">
        <v>35674</v>
      </c>
      <c r="E85" s="825">
        <v>12.4</v>
      </c>
    </row>
    <row r="86" spans="1:5">
      <c r="A86" s="832"/>
      <c r="B86" s="833"/>
      <c r="C86" s="834"/>
      <c r="D86" s="824"/>
      <c r="E86" s="825"/>
    </row>
    <row r="87" spans="1:5">
      <c r="A87" s="826">
        <v>82979</v>
      </c>
      <c r="B87" s="827" t="s">
        <v>3078</v>
      </c>
      <c r="C87" s="828" t="s">
        <v>3016</v>
      </c>
      <c r="D87" s="829">
        <v>37622</v>
      </c>
      <c r="E87" s="830">
        <v>14.6</v>
      </c>
    </row>
    <row r="88" spans="1:5">
      <c r="A88" s="826"/>
      <c r="B88" s="827"/>
      <c r="C88" s="828"/>
      <c r="D88" s="829"/>
      <c r="E88" s="830"/>
    </row>
    <row r="89" spans="1:5">
      <c r="A89" s="832">
        <v>83229</v>
      </c>
      <c r="B89" s="833" t="s">
        <v>3079</v>
      </c>
      <c r="C89" s="834" t="s">
        <v>3016</v>
      </c>
      <c r="D89" s="824">
        <v>39630</v>
      </c>
      <c r="E89" s="825">
        <v>17.5</v>
      </c>
    </row>
    <row r="90" spans="1:5">
      <c r="A90" s="832"/>
      <c r="B90" s="833"/>
      <c r="C90" s="834"/>
      <c r="D90" s="824"/>
      <c r="E90" s="825"/>
    </row>
    <row r="91" spans="1:5">
      <c r="A91" s="832"/>
      <c r="B91" s="833"/>
      <c r="C91" s="834"/>
      <c r="D91" s="824"/>
      <c r="E91" s="825"/>
    </row>
    <row r="92" spans="1:5">
      <c r="A92" s="826">
        <v>83088</v>
      </c>
      <c r="B92" s="827" t="s">
        <v>3080</v>
      </c>
      <c r="C92" s="828" t="s">
        <v>3016</v>
      </c>
      <c r="D92" s="829" t="s">
        <v>3360</v>
      </c>
      <c r="E92" s="830" t="s">
        <v>3360</v>
      </c>
    </row>
    <row r="93" spans="1:5">
      <c r="A93" s="826"/>
      <c r="B93" s="827"/>
      <c r="C93" s="828"/>
      <c r="D93" s="829"/>
      <c r="E93" s="830"/>
    </row>
    <row r="94" spans="1:5">
      <c r="A94" s="826"/>
      <c r="B94" s="827"/>
      <c r="C94" s="828"/>
      <c r="D94" s="829"/>
      <c r="E94" s="830"/>
    </row>
    <row r="95" spans="1:5">
      <c r="A95" s="826"/>
      <c r="B95" s="827"/>
      <c r="C95" s="828"/>
      <c r="D95" s="829"/>
      <c r="E95" s="830"/>
    </row>
    <row r="96" spans="1:5" ht="15.75">
      <c r="A96" s="77">
        <v>83190</v>
      </c>
      <c r="B96" s="78" t="s">
        <v>3081</v>
      </c>
      <c r="C96" s="79" t="s">
        <v>3016</v>
      </c>
      <c r="D96" s="86">
        <v>35582</v>
      </c>
      <c r="E96" s="80">
        <v>11.2</v>
      </c>
    </row>
    <row r="97" spans="1:5">
      <c r="A97" s="826">
        <v>83076</v>
      </c>
      <c r="B97" s="827" t="s">
        <v>3082</v>
      </c>
      <c r="C97" s="828" t="s">
        <v>3016</v>
      </c>
      <c r="D97" s="829" t="s">
        <v>3360</v>
      </c>
      <c r="E97" s="830" t="s">
        <v>3360</v>
      </c>
    </row>
    <row r="98" spans="1:5">
      <c r="A98" s="826"/>
      <c r="B98" s="827"/>
      <c r="C98" s="828"/>
      <c r="D98" s="829"/>
      <c r="E98" s="830"/>
    </row>
    <row r="99" spans="1:5">
      <c r="A99" s="832">
        <v>83344</v>
      </c>
      <c r="B99" s="833" t="s">
        <v>3083</v>
      </c>
      <c r="C99" s="834" t="s">
        <v>3016</v>
      </c>
      <c r="D99" s="824" t="s">
        <v>3362</v>
      </c>
      <c r="E99" s="825" t="s">
        <v>3360</v>
      </c>
    </row>
    <row r="100" spans="1:5">
      <c r="A100" s="832"/>
      <c r="B100" s="833"/>
      <c r="C100" s="834"/>
      <c r="D100" s="824"/>
      <c r="E100" s="825"/>
    </row>
    <row r="101" spans="1:5">
      <c r="A101" s="826">
        <v>82294</v>
      </c>
      <c r="B101" s="827" t="s">
        <v>3084</v>
      </c>
      <c r="C101" s="828" t="s">
        <v>3018</v>
      </c>
      <c r="D101" s="829" t="s">
        <v>3360</v>
      </c>
      <c r="E101" s="830" t="s">
        <v>3360</v>
      </c>
    </row>
    <row r="102" spans="1:5">
      <c r="A102" s="826"/>
      <c r="B102" s="827"/>
      <c r="C102" s="828"/>
      <c r="D102" s="829"/>
      <c r="E102" s="830"/>
    </row>
    <row r="103" spans="1:5" ht="15.75">
      <c r="A103" s="77">
        <v>82784</v>
      </c>
      <c r="B103" s="78" t="s">
        <v>3085</v>
      </c>
      <c r="C103" s="79" t="s">
        <v>3018</v>
      </c>
      <c r="D103" s="86" t="s">
        <v>3360</v>
      </c>
      <c r="E103" s="80" t="s">
        <v>3360</v>
      </c>
    </row>
    <row r="104" spans="1:5">
      <c r="A104" s="826">
        <v>82777</v>
      </c>
      <c r="B104" s="827" t="s">
        <v>3086</v>
      </c>
      <c r="C104" s="828" t="s">
        <v>3018</v>
      </c>
      <c r="D104" s="829" t="s">
        <v>3360</v>
      </c>
      <c r="E104" s="830" t="s">
        <v>3360</v>
      </c>
    </row>
    <row r="105" spans="1:5">
      <c r="A105" s="826"/>
      <c r="B105" s="827"/>
      <c r="C105" s="828"/>
      <c r="D105" s="829"/>
      <c r="E105" s="830"/>
    </row>
    <row r="106" spans="1:5">
      <c r="A106" s="826"/>
      <c r="B106" s="827"/>
      <c r="C106" s="828"/>
      <c r="D106" s="829"/>
      <c r="E106" s="830"/>
    </row>
    <row r="107" spans="1:5">
      <c r="A107" s="826"/>
      <c r="B107" s="827"/>
      <c r="C107" s="828"/>
      <c r="D107" s="829"/>
      <c r="E107" s="830"/>
    </row>
    <row r="108" spans="1:5" ht="15.75">
      <c r="A108" s="77">
        <v>82583</v>
      </c>
      <c r="B108" s="78" t="s">
        <v>3087</v>
      </c>
      <c r="C108" s="79" t="s">
        <v>3018</v>
      </c>
      <c r="D108" s="86">
        <v>34881</v>
      </c>
      <c r="E108" s="80">
        <v>13.5</v>
      </c>
    </row>
    <row r="109" spans="1:5" ht="15.75">
      <c r="A109" s="81">
        <v>82397</v>
      </c>
      <c r="B109" s="82" t="s">
        <v>3088</v>
      </c>
      <c r="C109" s="83" t="s">
        <v>3018</v>
      </c>
      <c r="D109" s="85">
        <v>39630</v>
      </c>
      <c r="E109" s="84">
        <v>19.899999999999999</v>
      </c>
    </row>
    <row r="110" spans="1:5">
      <c r="A110" s="832">
        <v>82487</v>
      </c>
      <c r="B110" s="833" t="s">
        <v>3089</v>
      </c>
      <c r="C110" s="834" t="s">
        <v>3018</v>
      </c>
      <c r="D110" s="824">
        <v>34516</v>
      </c>
      <c r="E110" s="825">
        <v>12.4</v>
      </c>
    </row>
    <row r="111" spans="1:5">
      <c r="A111" s="832"/>
      <c r="B111" s="833"/>
      <c r="C111" s="834"/>
      <c r="D111" s="824"/>
      <c r="E111" s="825"/>
    </row>
    <row r="112" spans="1:5">
      <c r="A112" s="832"/>
      <c r="B112" s="833"/>
      <c r="C112" s="834"/>
      <c r="D112" s="824"/>
      <c r="E112" s="825"/>
    </row>
    <row r="113" spans="1:5" ht="15.75">
      <c r="A113" s="81">
        <v>82686</v>
      </c>
      <c r="B113" s="82" t="s">
        <v>3090</v>
      </c>
      <c r="C113" s="83" t="s">
        <v>3018</v>
      </c>
      <c r="D113" s="85">
        <v>36342</v>
      </c>
      <c r="E113" s="84">
        <v>14.3</v>
      </c>
    </row>
    <row r="114" spans="1:5" ht="15.75">
      <c r="A114" s="77">
        <v>82493</v>
      </c>
      <c r="B114" s="78" t="s">
        <v>3091</v>
      </c>
      <c r="C114" s="79" t="s">
        <v>3018</v>
      </c>
      <c r="D114" s="86">
        <v>30103</v>
      </c>
      <c r="E114" s="80">
        <v>16.899999999999999</v>
      </c>
    </row>
    <row r="115" spans="1:5" ht="15.75">
      <c r="A115" s="826">
        <v>82588</v>
      </c>
      <c r="B115" s="827" t="s">
        <v>3092</v>
      </c>
      <c r="C115" s="828" t="s">
        <v>3018</v>
      </c>
      <c r="D115" s="85">
        <v>37438</v>
      </c>
      <c r="E115" s="830">
        <v>16.5</v>
      </c>
    </row>
    <row r="116" spans="1:5" ht="15.75">
      <c r="A116" s="826"/>
      <c r="B116" s="827"/>
      <c r="C116" s="828"/>
      <c r="D116" s="85">
        <v>31260</v>
      </c>
      <c r="E116" s="830"/>
    </row>
    <row r="117" spans="1:5" ht="15.75">
      <c r="A117" s="77">
        <v>82586</v>
      </c>
      <c r="B117" s="78" t="s">
        <v>3093</v>
      </c>
      <c r="C117" s="79" t="s">
        <v>3018</v>
      </c>
      <c r="D117" s="86">
        <v>39600</v>
      </c>
      <c r="E117" s="80">
        <v>16</v>
      </c>
    </row>
    <row r="118" spans="1:5">
      <c r="A118" s="826">
        <v>82392</v>
      </c>
      <c r="B118" s="827" t="s">
        <v>3094</v>
      </c>
      <c r="C118" s="828" t="s">
        <v>3018</v>
      </c>
      <c r="D118" s="829">
        <v>34881</v>
      </c>
      <c r="E118" s="830">
        <v>15.3</v>
      </c>
    </row>
    <row r="119" spans="1:5">
      <c r="A119" s="826"/>
      <c r="B119" s="827"/>
      <c r="C119" s="828"/>
      <c r="D119" s="829"/>
      <c r="E119" s="830"/>
    </row>
    <row r="120" spans="1:5">
      <c r="A120" s="826"/>
      <c r="B120" s="827"/>
      <c r="C120" s="828"/>
      <c r="D120" s="829"/>
      <c r="E120" s="830"/>
    </row>
    <row r="121" spans="1:5" ht="15.75">
      <c r="A121" s="77">
        <v>82683</v>
      </c>
      <c r="B121" s="78" t="s">
        <v>3095</v>
      </c>
      <c r="C121" s="79" t="s">
        <v>3018</v>
      </c>
      <c r="D121" s="86">
        <v>34881</v>
      </c>
      <c r="E121" s="80">
        <v>12.7</v>
      </c>
    </row>
    <row r="122" spans="1:5">
      <c r="A122" s="826">
        <v>83377</v>
      </c>
      <c r="B122" s="827" t="s">
        <v>3096</v>
      </c>
      <c r="C122" s="828" t="s">
        <v>3020</v>
      </c>
      <c r="D122" s="829" t="s">
        <v>3360</v>
      </c>
      <c r="E122" s="830" t="s">
        <v>3360</v>
      </c>
    </row>
    <row r="123" spans="1:5">
      <c r="A123" s="826"/>
      <c r="B123" s="827"/>
      <c r="C123" s="828"/>
      <c r="D123" s="829"/>
      <c r="E123" s="830"/>
    </row>
    <row r="124" spans="1:5" ht="15.75">
      <c r="A124" s="77">
        <v>83373</v>
      </c>
      <c r="B124" s="78" t="s">
        <v>3097</v>
      </c>
      <c r="C124" s="79" t="s">
        <v>3020</v>
      </c>
      <c r="D124" s="86" t="s">
        <v>3360</v>
      </c>
      <c r="E124" s="80" t="s">
        <v>3360</v>
      </c>
    </row>
    <row r="125" spans="1:5" ht="15.75">
      <c r="A125" s="81">
        <v>83043</v>
      </c>
      <c r="B125" s="82" t="s">
        <v>3098</v>
      </c>
      <c r="C125" s="83" t="s">
        <v>3022</v>
      </c>
      <c r="D125" s="85" t="s">
        <v>3360</v>
      </c>
      <c r="E125" s="84" t="s">
        <v>3360</v>
      </c>
    </row>
    <row r="126" spans="1:5">
      <c r="A126" s="832">
        <v>83557</v>
      </c>
      <c r="B126" s="833" t="s">
        <v>3099</v>
      </c>
      <c r="C126" s="834" t="s">
        <v>3022</v>
      </c>
      <c r="D126" s="824">
        <v>32690</v>
      </c>
      <c r="E126" s="825">
        <v>10.7</v>
      </c>
    </row>
    <row r="127" spans="1:5">
      <c r="A127" s="832"/>
      <c r="B127" s="833"/>
      <c r="C127" s="834"/>
      <c r="D127" s="824"/>
      <c r="E127" s="825"/>
    </row>
    <row r="128" spans="1:5">
      <c r="A128" s="826">
        <v>83546</v>
      </c>
      <c r="B128" s="827" t="s">
        <v>3100</v>
      </c>
      <c r="C128" s="828" t="s">
        <v>3022</v>
      </c>
      <c r="D128" s="829" t="s">
        <v>3360</v>
      </c>
      <c r="E128" s="830" t="s">
        <v>3360</v>
      </c>
    </row>
    <row r="129" spans="1:5">
      <c r="A129" s="826"/>
      <c r="B129" s="827"/>
      <c r="C129" s="828"/>
      <c r="D129" s="829"/>
      <c r="E129" s="830"/>
    </row>
    <row r="130" spans="1:5">
      <c r="A130" s="832">
        <v>83034</v>
      </c>
      <c r="B130" s="833" t="s">
        <v>3101</v>
      </c>
      <c r="C130" s="834" t="s">
        <v>3022</v>
      </c>
      <c r="D130" s="824" t="s">
        <v>3360</v>
      </c>
      <c r="E130" s="825" t="s">
        <v>3360</v>
      </c>
    </row>
    <row r="131" spans="1:5">
      <c r="A131" s="832"/>
      <c r="B131" s="833"/>
      <c r="C131" s="834"/>
      <c r="D131" s="824"/>
      <c r="E131" s="825"/>
    </row>
    <row r="132" spans="1:5" ht="15.75">
      <c r="A132" s="81">
        <v>83597</v>
      </c>
      <c r="B132" s="82" t="s">
        <v>3102</v>
      </c>
      <c r="C132" s="83" t="s">
        <v>3022</v>
      </c>
      <c r="D132" s="85">
        <v>35643</v>
      </c>
      <c r="E132" s="84">
        <v>10</v>
      </c>
    </row>
    <row r="133" spans="1:5">
      <c r="A133" s="832">
        <v>83596</v>
      </c>
      <c r="B133" s="833" t="s">
        <v>3103</v>
      </c>
      <c r="C133" s="834" t="s">
        <v>3022</v>
      </c>
      <c r="D133" s="824">
        <v>32690</v>
      </c>
      <c r="E133" s="825">
        <v>8.3000000000000007</v>
      </c>
    </row>
    <row r="134" spans="1:5">
      <c r="A134" s="832"/>
      <c r="B134" s="833"/>
      <c r="C134" s="834"/>
      <c r="D134" s="824"/>
      <c r="E134" s="825"/>
    </row>
    <row r="135" spans="1:5" ht="15.75">
      <c r="A135" s="81">
        <v>83013</v>
      </c>
      <c r="B135" s="82" t="s">
        <v>3104</v>
      </c>
      <c r="C135" s="83" t="s">
        <v>3022</v>
      </c>
      <c r="D135" s="85" t="s">
        <v>3362</v>
      </c>
      <c r="E135" s="84" t="s">
        <v>3360</v>
      </c>
    </row>
    <row r="136" spans="1:5" ht="15.75" customHeight="1">
      <c r="A136" s="832">
        <v>83647</v>
      </c>
      <c r="B136" s="833" t="s">
        <v>3105</v>
      </c>
      <c r="C136" s="834" t="s">
        <v>3022</v>
      </c>
      <c r="D136" s="839" t="s">
        <v>3360</v>
      </c>
      <c r="E136" s="825" t="s">
        <v>3360</v>
      </c>
    </row>
    <row r="137" spans="1:5" ht="15.75" customHeight="1">
      <c r="A137" s="832"/>
      <c r="B137" s="833"/>
      <c r="C137" s="834"/>
      <c r="D137" s="840"/>
      <c r="E137" s="825"/>
    </row>
    <row r="138" spans="1:5">
      <c r="A138" s="826">
        <v>83550</v>
      </c>
      <c r="B138" s="827" t="s">
        <v>3106</v>
      </c>
      <c r="C138" s="828" t="s">
        <v>3022</v>
      </c>
      <c r="D138" s="829">
        <v>35643</v>
      </c>
      <c r="E138" s="830">
        <v>8</v>
      </c>
    </row>
    <row r="139" spans="1:5">
      <c r="A139" s="826"/>
      <c r="B139" s="827"/>
      <c r="C139" s="828"/>
      <c r="D139" s="829"/>
      <c r="E139" s="830"/>
    </row>
    <row r="140" spans="1:5">
      <c r="A140" s="832">
        <v>83045</v>
      </c>
      <c r="B140" s="833" t="s">
        <v>3107</v>
      </c>
      <c r="C140" s="834" t="s">
        <v>3022</v>
      </c>
      <c r="D140" s="824" t="s">
        <v>3360</v>
      </c>
      <c r="E140" s="825" t="s">
        <v>3360</v>
      </c>
    </row>
    <row r="141" spans="1:5">
      <c r="A141" s="832"/>
      <c r="B141" s="833"/>
      <c r="C141" s="834"/>
      <c r="D141" s="824"/>
      <c r="E141" s="825"/>
    </row>
    <row r="142" spans="1:5" ht="15.75">
      <c r="A142" s="81">
        <v>83648</v>
      </c>
      <c r="B142" s="82" t="s">
        <v>3108</v>
      </c>
      <c r="C142" s="83" t="s">
        <v>3022</v>
      </c>
      <c r="D142" s="85">
        <v>38961</v>
      </c>
      <c r="E142" s="84">
        <v>14.4</v>
      </c>
    </row>
    <row r="143" spans="1:5">
      <c r="A143" s="832">
        <v>83368</v>
      </c>
      <c r="B143" s="833" t="s">
        <v>3109</v>
      </c>
      <c r="C143" s="834" t="s">
        <v>3024</v>
      </c>
      <c r="D143" s="824" t="s">
        <v>3360</v>
      </c>
      <c r="E143" s="825" t="s">
        <v>3360</v>
      </c>
    </row>
    <row r="144" spans="1:5">
      <c r="A144" s="832"/>
      <c r="B144" s="833"/>
      <c r="C144" s="834"/>
      <c r="D144" s="824"/>
      <c r="E144" s="825"/>
    </row>
    <row r="145" spans="1:5" ht="15.75" customHeight="1">
      <c r="A145" s="826">
        <v>83526</v>
      </c>
      <c r="B145" s="827" t="s">
        <v>3110</v>
      </c>
      <c r="C145" s="828" t="s">
        <v>3024</v>
      </c>
      <c r="D145" s="837" t="s">
        <v>3360</v>
      </c>
      <c r="E145" s="830" t="s">
        <v>3360</v>
      </c>
    </row>
    <row r="146" spans="1:5" ht="15.75" customHeight="1">
      <c r="A146" s="826"/>
      <c r="B146" s="827"/>
      <c r="C146" s="828"/>
      <c r="D146" s="838"/>
      <c r="E146" s="830"/>
    </row>
    <row r="147" spans="1:5">
      <c r="A147" s="832">
        <v>83379</v>
      </c>
      <c r="B147" s="833" t="s">
        <v>3111</v>
      </c>
      <c r="C147" s="834" t="s">
        <v>3024</v>
      </c>
      <c r="D147" s="824" t="s">
        <v>3360</v>
      </c>
      <c r="E147" s="825" t="s">
        <v>3360</v>
      </c>
    </row>
    <row r="148" spans="1:5">
      <c r="A148" s="832"/>
      <c r="B148" s="833"/>
      <c r="C148" s="834"/>
      <c r="D148" s="824"/>
      <c r="E148" s="825"/>
    </row>
    <row r="149" spans="1:5" ht="15.75">
      <c r="A149" s="81">
        <v>83350</v>
      </c>
      <c r="B149" s="82" t="s">
        <v>3112</v>
      </c>
      <c r="C149" s="83" t="s">
        <v>3024</v>
      </c>
      <c r="D149" s="85" t="s">
        <v>3360</v>
      </c>
      <c r="E149" s="84" t="s">
        <v>3360</v>
      </c>
    </row>
    <row r="150" spans="1:5">
      <c r="A150" s="832">
        <v>83423</v>
      </c>
      <c r="B150" s="833" t="s">
        <v>3113</v>
      </c>
      <c r="C150" s="834" t="s">
        <v>3024</v>
      </c>
      <c r="D150" s="824" t="s">
        <v>3360</v>
      </c>
      <c r="E150" s="825" t="s">
        <v>3360</v>
      </c>
    </row>
    <row r="151" spans="1:5">
      <c r="A151" s="832"/>
      <c r="B151" s="833"/>
      <c r="C151" s="834"/>
      <c r="D151" s="824"/>
      <c r="E151" s="825"/>
    </row>
    <row r="152" spans="1:5" ht="15.75">
      <c r="A152" s="81">
        <v>83374</v>
      </c>
      <c r="B152" s="82" t="s">
        <v>3114</v>
      </c>
      <c r="C152" s="83" t="s">
        <v>3024</v>
      </c>
      <c r="D152" s="85" t="s">
        <v>3360</v>
      </c>
      <c r="E152" s="84" t="s">
        <v>3360</v>
      </c>
    </row>
    <row r="153" spans="1:5" ht="15.75">
      <c r="A153" s="77">
        <v>83522</v>
      </c>
      <c r="B153" s="78" t="s">
        <v>3115</v>
      </c>
      <c r="C153" s="79" t="s">
        <v>3024</v>
      </c>
      <c r="D153" s="86" t="s">
        <v>3360</v>
      </c>
      <c r="E153" s="80" t="s">
        <v>3360</v>
      </c>
    </row>
    <row r="154" spans="1:5">
      <c r="A154" s="826">
        <v>83523</v>
      </c>
      <c r="B154" s="827" t="s">
        <v>3116</v>
      </c>
      <c r="C154" s="828" t="s">
        <v>3024</v>
      </c>
      <c r="D154" s="829" t="s">
        <v>3360</v>
      </c>
      <c r="E154" s="830" t="s">
        <v>3360</v>
      </c>
    </row>
    <row r="155" spans="1:5">
      <c r="A155" s="826"/>
      <c r="B155" s="827"/>
      <c r="C155" s="828"/>
      <c r="D155" s="829"/>
      <c r="E155" s="830"/>
    </row>
    <row r="156" spans="1:5">
      <c r="A156" s="832">
        <v>83464</v>
      </c>
      <c r="B156" s="833" t="s">
        <v>3117</v>
      </c>
      <c r="C156" s="834" t="s">
        <v>3024</v>
      </c>
      <c r="D156" s="824">
        <v>32325</v>
      </c>
      <c r="E156" s="825">
        <v>-1</v>
      </c>
    </row>
    <row r="157" spans="1:5">
      <c r="A157" s="832"/>
      <c r="B157" s="833"/>
      <c r="C157" s="834"/>
      <c r="D157" s="824"/>
      <c r="E157" s="825"/>
    </row>
    <row r="158" spans="1:5">
      <c r="A158" s="826">
        <v>83376</v>
      </c>
      <c r="B158" s="827" t="s">
        <v>3118</v>
      </c>
      <c r="C158" s="828" t="s">
        <v>3024</v>
      </c>
      <c r="D158" s="829">
        <v>36708</v>
      </c>
      <c r="E158" s="830">
        <v>4.0999999999999996</v>
      </c>
    </row>
    <row r="159" spans="1:5">
      <c r="A159" s="826"/>
      <c r="B159" s="827"/>
      <c r="C159" s="828"/>
      <c r="D159" s="829"/>
      <c r="E159" s="830"/>
    </row>
    <row r="160" spans="1:5">
      <c r="A160" s="832">
        <v>83332</v>
      </c>
      <c r="B160" s="833" t="s">
        <v>3119</v>
      </c>
      <c r="C160" s="834" t="s">
        <v>3024</v>
      </c>
      <c r="D160" s="824">
        <v>31199</v>
      </c>
      <c r="E160" s="825">
        <v>11.8</v>
      </c>
    </row>
    <row r="161" spans="1:5">
      <c r="A161" s="832"/>
      <c r="B161" s="833"/>
      <c r="C161" s="834"/>
      <c r="D161" s="824"/>
      <c r="E161" s="825"/>
    </row>
    <row r="162" spans="1:5">
      <c r="A162" s="826">
        <v>83470</v>
      </c>
      <c r="B162" s="827" t="s">
        <v>3120</v>
      </c>
      <c r="C162" s="828" t="s">
        <v>3024</v>
      </c>
      <c r="D162" s="829" t="s">
        <v>3360</v>
      </c>
      <c r="E162" s="830" t="s">
        <v>3360</v>
      </c>
    </row>
    <row r="163" spans="1:5">
      <c r="A163" s="826"/>
      <c r="B163" s="827"/>
      <c r="C163" s="828"/>
      <c r="D163" s="829"/>
      <c r="E163" s="830"/>
    </row>
    <row r="164" spans="1:5">
      <c r="A164" s="832">
        <v>82970</v>
      </c>
      <c r="B164" s="833" t="s">
        <v>3121</v>
      </c>
      <c r="C164" s="834" t="s">
        <v>3026</v>
      </c>
      <c r="D164" s="824" t="s">
        <v>3360</v>
      </c>
      <c r="E164" s="825" t="s">
        <v>3360</v>
      </c>
    </row>
    <row r="165" spans="1:5">
      <c r="A165" s="832"/>
      <c r="B165" s="833"/>
      <c r="C165" s="834"/>
      <c r="D165" s="824"/>
      <c r="E165" s="825"/>
    </row>
    <row r="166" spans="1:5">
      <c r="A166" s="832"/>
      <c r="B166" s="833"/>
      <c r="C166" s="834"/>
      <c r="D166" s="824"/>
      <c r="E166" s="825"/>
    </row>
    <row r="167" spans="1:5" ht="15.75">
      <c r="A167" s="81">
        <v>82460</v>
      </c>
      <c r="B167" s="82" t="s">
        <v>3122</v>
      </c>
      <c r="C167" s="83" t="s">
        <v>3026</v>
      </c>
      <c r="D167" s="85">
        <v>33939</v>
      </c>
      <c r="E167" s="84">
        <v>16.600000000000001</v>
      </c>
    </row>
    <row r="168" spans="1:5" ht="15.75">
      <c r="A168" s="77">
        <v>82768</v>
      </c>
      <c r="B168" s="78" t="s">
        <v>3123</v>
      </c>
      <c r="C168" s="79" t="s">
        <v>3026</v>
      </c>
      <c r="D168" s="86" t="s">
        <v>3360</v>
      </c>
      <c r="E168" s="80" t="s">
        <v>3360</v>
      </c>
    </row>
    <row r="169" spans="1:5">
      <c r="A169" s="826">
        <v>82571</v>
      </c>
      <c r="B169" s="827" t="s">
        <v>3124</v>
      </c>
      <c r="C169" s="828" t="s">
        <v>3026</v>
      </c>
      <c r="D169" s="829">
        <v>34881</v>
      </c>
      <c r="E169" s="830">
        <v>13.4</v>
      </c>
    </row>
    <row r="170" spans="1:5">
      <c r="A170" s="826"/>
      <c r="B170" s="827"/>
      <c r="C170" s="828"/>
      <c r="D170" s="829"/>
      <c r="E170" s="830"/>
    </row>
    <row r="171" spans="1:5">
      <c r="A171" s="832">
        <v>82765</v>
      </c>
      <c r="B171" s="833" t="s">
        <v>3125</v>
      </c>
      <c r="C171" s="834" t="s">
        <v>3026</v>
      </c>
      <c r="D171" s="824">
        <v>35735</v>
      </c>
      <c r="E171" s="825">
        <v>14.9</v>
      </c>
    </row>
    <row r="172" spans="1:5">
      <c r="A172" s="832"/>
      <c r="B172" s="833"/>
      <c r="C172" s="834"/>
      <c r="D172" s="824"/>
      <c r="E172" s="825"/>
    </row>
    <row r="173" spans="1:5">
      <c r="A173" s="832"/>
      <c r="B173" s="833"/>
      <c r="C173" s="834"/>
      <c r="D173" s="824"/>
      <c r="E173" s="825"/>
    </row>
    <row r="174" spans="1:5" ht="15.75">
      <c r="A174" s="81">
        <v>82476</v>
      </c>
      <c r="B174" s="82" t="s">
        <v>3126</v>
      </c>
      <c r="C174" s="83" t="s">
        <v>3026</v>
      </c>
      <c r="D174" s="85">
        <v>33420</v>
      </c>
      <c r="E174" s="84">
        <v>15.3</v>
      </c>
    </row>
    <row r="175" spans="1:5" ht="15.75">
      <c r="A175" s="77">
        <v>82382</v>
      </c>
      <c r="B175" s="78" t="s">
        <v>3127</v>
      </c>
      <c r="C175" s="79" t="s">
        <v>3026</v>
      </c>
      <c r="D175" s="86">
        <v>34029</v>
      </c>
      <c r="E175" s="80">
        <v>15.4</v>
      </c>
    </row>
    <row r="176" spans="1:5" ht="15.75">
      <c r="A176" s="826">
        <v>82676</v>
      </c>
      <c r="B176" s="827" t="s">
        <v>3128</v>
      </c>
      <c r="C176" s="828" t="s">
        <v>3026</v>
      </c>
      <c r="D176" s="85">
        <v>29768</v>
      </c>
      <c r="E176" s="830">
        <v>14.1</v>
      </c>
    </row>
    <row r="177" spans="1:5" ht="15.75">
      <c r="A177" s="826"/>
      <c r="B177" s="827"/>
      <c r="C177" s="828"/>
      <c r="D177" s="85">
        <v>35247</v>
      </c>
      <c r="E177" s="830"/>
    </row>
    <row r="178" spans="1:5">
      <c r="A178" s="832">
        <v>82568</v>
      </c>
      <c r="B178" s="833" t="s">
        <v>3129</v>
      </c>
      <c r="C178" s="834" t="s">
        <v>3026</v>
      </c>
      <c r="D178" s="824">
        <v>33420</v>
      </c>
      <c r="E178" s="825">
        <v>11.7</v>
      </c>
    </row>
    <row r="179" spans="1:5">
      <c r="A179" s="832"/>
      <c r="B179" s="833"/>
      <c r="C179" s="834"/>
      <c r="D179" s="824"/>
      <c r="E179" s="825"/>
    </row>
    <row r="180" spans="1:5">
      <c r="A180" s="832"/>
      <c r="B180" s="833"/>
      <c r="C180" s="834"/>
      <c r="D180" s="824"/>
      <c r="E180" s="825"/>
    </row>
    <row r="181" spans="1:5">
      <c r="A181" s="826">
        <v>82564</v>
      </c>
      <c r="B181" s="827" t="s">
        <v>3130</v>
      </c>
      <c r="C181" s="828" t="s">
        <v>3026</v>
      </c>
      <c r="D181" s="829">
        <v>33025</v>
      </c>
      <c r="E181" s="830">
        <v>15</v>
      </c>
    </row>
    <row r="182" spans="1:5">
      <c r="A182" s="826"/>
      <c r="B182" s="827"/>
      <c r="C182" s="828"/>
      <c r="D182" s="829"/>
      <c r="E182" s="830"/>
    </row>
    <row r="183" spans="1:5">
      <c r="A183" s="832">
        <v>82280</v>
      </c>
      <c r="B183" s="833" t="s">
        <v>3131</v>
      </c>
      <c r="C183" s="834" t="s">
        <v>3026</v>
      </c>
      <c r="D183" s="824">
        <v>31837</v>
      </c>
      <c r="E183" s="825">
        <v>17.899999999999999</v>
      </c>
    </row>
    <row r="184" spans="1:5">
      <c r="A184" s="832"/>
      <c r="B184" s="833"/>
      <c r="C184" s="834"/>
      <c r="D184" s="824"/>
      <c r="E184" s="825"/>
    </row>
    <row r="185" spans="1:5">
      <c r="A185" s="832"/>
      <c r="B185" s="833"/>
      <c r="C185" s="834"/>
      <c r="D185" s="824"/>
      <c r="E185" s="825"/>
    </row>
    <row r="186" spans="1:5">
      <c r="A186" s="826">
        <v>82198</v>
      </c>
      <c r="B186" s="827" t="s">
        <v>3132</v>
      </c>
      <c r="C186" s="828" t="s">
        <v>3026</v>
      </c>
      <c r="D186" s="829">
        <v>31778</v>
      </c>
      <c r="E186" s="830">
        <v>16.5</v>
      </c>
    </row>
    <row r="187" spans="1:5">
      <c r="A187" s="826"/>
      <c r="B187" s="827"/>
      <c r="C187" s="828"/>
      <c r="D187" s="829"/>
      <c r="E187" s="830"/>
    </row>
    <row r="188" spans="1:5" ht="15.75">
      <c r="A188" s="77">
        <v>82376</v>
      </c>
      <c r="B188" s="78" t="s">
        <v>3133</v>
      </c>
      <c r="C188" s="79" t="s">
        <v>3026</v>
      </c>
      <c r="D188" s="86">
        <v>37165</v>
      </c>
      <c r="E188" s="80">
        <v>14.6</v>
      </c>
    </row>
    <row r="189" spans="1:5">
      <c r="A189" s="826">
        <v>83595</v>
      </c>
      <c r="B189" s="827" t="s">
        <v>3134</v>
      </c>
      <c r="C189" s="828" t="s">
        <v>3028</v>
      </c>
      <c r="D189" s="829" t="s">
        <v>3360</v>
      </c>
      <c r="E189" s="830" t="s">
        <v>3360</v>
      </c>
    </row>
    <row r="190" spans="1:5">
      <c r="A190" s="826"/>
      <c r="B190" s="827"/>
      <c r="C190" s="828"/>
      <c r="D190" s="829"/>
      <c r="E190" s="830"/>
    </row>
    <row r="191" spans="1:5" ht="15.75">
      <c r="A191" s="77">
        <v>83442</v>
      </c>
      <c r="B191" s="78" t="s">
        <v>3135</v>
      </c>
      <c r="C191" s="79" t="s">
        <v>3028</v>
      </c>
      <c r="D191" s="86" t="s">
        <v>3360</v>
      </c>
      <c r="E191" s="80" t="s">
        <v>3360</v>
      </c>
    </row>
    <row r="192" spans="1:5">
      <c r="A192" s="826">
        <v>83579</v>
      </c>
      <c r="B192" s="827" t="s">
        <v>3136</v>
      </c>
      <c r="C192" s="828" t="s">
        <v>3028</v>
      </c>
      <c r="D192" s="829" t="s">
        <v>3360</v>
      </c>
      <c r="E192" s="830" t="s">
        <v>3362</v>
      </c>
    </row>
    <row r="193" spans="1:5">
      <c r="A193" s="826"/>
      <c r="B193" s="827"/>
      <c r="C193" s="828"/>
      <c r="D193" s="829"/>
      <c r="E193" s="830"/>
    </row>
    <row r="194" spans="1:5">
      <c r="A194" s="832">
        <v>83384</v>
      </c>
      <c r="B194" s="833" t="s">
        <v>3137</v>
      </c>
      <c r="C194" s="834" t="s">
        <v>3028</v>
      </c>
      <c r="D194" s="824" t="s">
        <v>3360</v>
      </c>
      <c r="E194" s="825" t="s">
        <v>3360</v>
      </c>
    </row>
    <row r="195" spans="1:5">
      <c r="A195" s="832"/>
      <c r="B195" s="833"/>
      <c r="C195" s="834"/>
      <c r="D195" s="824"/>
      <c r="E195" s="825"/>
    </row>
    <row r="196" spans="1:5" ht="15.75">
      <c r="A196" s="81">
        <v>83582</v>
      </c>
      <c r="B196" s="82" t="s">
        <v>3138</v>
      </c>
      <c r="C196" s="83" t="s">
        <v>3028</v>
      </c>
      <c r="D196" s="85" t="s">
        <v>3360</v>
      </c>
      <c r="E196" s="84" t="s">
        <v>3360</v>
      </c>
    </row>
    <row r="197" spans="1:5" ht="15.75">
      <c r="A197" s="77">
        <v>83689</v>
      </c>
      <c r="B197" s="78" t="s">
        <v>3139</v>
      </c>
      <c r="C197" s="79" t="s">
        <v>3028</v>
      </c>
      <c r="D197" s="86" t="s">
        <v>3360</v>
      </c>
      <c r="E197" s="80" t="s">
        <v>3360</v>
      </c>
    </row>
    <row r="198" spans="1:5" ht="15.75">
      <c r="A198" s="81">
        <v>83587</v>
      </c>
      <c r="B198" s="82" t="s">
        <v>3140</v>
      </c>
      <c r="C198" s="83" t="s">
        <v>3028</v>
      </c>
      <c r="D198" s="85">
        <v>32994</v>
      </c>
      <c r="E198" s="84">
        <v>7.8</v>
      </c>
    </row>
    <row r="199" spans="1:5" ht="15.75">
      <c r="A199" s="77">
        <v>83533</v>
      </c>
      <c r="B199" s="78" t="s">
        <v>3141</v>
      </c>
      <c r="C199" s="79" t="s">
        <v>3028</v>
      </c>
      <c r="D199" s="86" t="s">
        <v>3360</v>
      </c>
      <c r="E199" s="80" t="s">
        <v>3360</v>
      </c>
    </row>
    <row r="200" spans="1:5" ht="15.75">
      <c r="A200" s="81">
        <v>83383</v>
      </c>
      <c r="B200" s="82" t="s">
        <v>3142</v>
      </c>
      <c r="C200" s="83" t="s">
        <v>3028</v>
      </c>
      <c r="D200" s="85" t="s">
        <v>3360</v>
      </c>
      <c r="E200" s="84" t="s">
        <v>3360</v>
      </c>
    </row>
    <row r="201" spans="1:5">
      <c r="A201" s="832">
        <v>83589</v>
      </c>
      <c r="B201" s="833" t="s">
        <v>3143</v>
      </c>
      <c r="C201" s="834" t="s">
        <v>3028</v>
      </c>
      <c r="D201" s="824">
        <v>38169</v>
      </c>
      <c r="E201" s="825">
        <v>1</v>
      </c>
    </row>
    <row r="202" spans="1:5">
      <c r="A202" s="832"/>
      <c r="B202" s="833"/>
      <c r="C202" s="834"/>
      <c r="D202" s="824"/>
      <c r="E202" s="825"/>
    </row>
    <row r="203" spans="1:5" ht="15.75">
      <c r="A203" s="81">
        <v>83681</v>
      </c>
      <c r="B203" s="82" t="s">
        <v>3144</v>
      </c>
      <c r="C203" s="83" t="s">
        <v>3028</v>
      </c>
      <c r="D203" s="85">
        <v>34516</v>
      </c>
      <c r="E203" s="84">
        <v>-5</v>
      </c>
    </row>
    <row r="204" spans="1:5" ht="15.75">
      <c r="A204" s="77">
        <v>83639</v>
      </c>
      <c r="B204" s="78" t="s">
        <v>3145</v>
      </c>
      <c r="C204" s="79" t="s">
        <v>3028</v>
      </c>
      <c r="D204" s="86" t="s">
        <v>3360</v>
      </c>
      <c r="E204" s="80" t="s">
        <v>3360</v>
      </c>
    </row>
    <row r="205" spans="1:5" ht="15.75">
      <c r="A205" s="826">
        <v>83514</v>
      </c>
      <c r="B205" s="827" t="s">
        <v>3146</v>
      </c>
      <c r="C205" s="828" t="s">
        <v>3028</v>
      </c>
      <c r="D205" s="85">
        <v>36281</v>
      </c>
      <c r="E205" s="830">
        <v>5.0999999999999996</v>
      </c>
    </row>
    <row r="206" spans="1:5" ht="15.75">
      <c r="A206" s="826"/>
      <c r="B206" s="827"/>
      <c r="C206" s="828"/>
      <c r="D206" s="85">
        <v>36708</v>
      </c>
      <c r="E206" s="830"/>
    </row>
    <row r="207" spans="1:5">
      <c r="A207" s="832">
        <v>83592</v>
      </c>
      <c r="B207" s="833" t="s">
        <v>3147</v>
      </c>
      <c r="C207" s="834" t="s">
        <v>3028</v>
      </c>
      <c r="D207" s="824" t="s">
        <v>3360</v>
      </c>
      <c r="E207" s="825" t="s">
        <v>3360</v>
      </c>
    </row>
    <row r="208" spans="1:5">
      <c r="A208" s="832"/>
      <c r="B208" s="833"/>
      <c r="C208" s="834"/>
      <c r="D208" s="824"/>
      <c r="E208" s="825"/>
    </row>
    <row r="209" spans="1:5" ht="15.75">
      <c r="A209" s="81">
        <v>83485</v>
      </c>
      <c r="B209" s="82" t="s">
        <v>3148</v>
      </c>
      <c r="C209" s="83" t="s">
        <v>3028</v>
      </c>
      <c r="D209" s="85">
        <v>39934</v>
      </c>
      <c r="E209" s="84">
        <v>0.9</v>
      </c>
    </row>
    <row r="210" spans="1:5" ht="15.75">
      <c r="A210" s="77">
        <v>83686</v>
      </c>
      <c r="B210" s="78" t="s">
        <v>3149</v>
      </c>
      <c r="C210" s="79" t="s">
        <v>3028</v>
      </c>
      <c r="D210" s="86">
        <v>34486</v>
      </c>
      <c r="E210" s="80">
        <v>0</v>
      </c>
    </row>
    <row r="211" spans="1:5">
      <c r="A211" s="826">
        <v>83613</v>
      </c>
      <c r="B211" s="827" t="s">
        <v>3150</v>
      </c>
      <c r="C211" s="828" t="s">
        <v>3028</v>
      </c>
      <c r="D211" s="829" t="s">
        <v>3360</v>
      </c>
      <c r="E211" s="830" t="s">
        <v>3360</v>
      </c>
    </row>
    <row r="212" spans="1:5">
      <c r="A212" s="826"/>
      <c r="B212" s="827"/>
      <c r="C212" s="828"/>
      <c r="D212" s="829"/>
      <c r="E212" s="830"/>
    </row>
    <row r="213" spans="1:5" ht="15.75">
      <c r="A213" s="77">
        <v>83037</v>
      </c>
      <c r="B213" s="78" t="s">
        <v>3151</v>
      </c>
      <c r="C213" s="79" t="s">
        <v>3028</v>
      </c>
      <c r="D213" s="86">
        <v>34486</v>
      </c>
      <c r="E213" s="80">
        <v>1.3</v>
      </c>
    </row>
    <row r="214" spans="1:5" ht="15.75">
      <c r="A214" s="81">
        <v>83536</v>
      </c>
      <c r="B214" s="82" t="s">
        <v>3152</v>
      </c>
      <c r="C214" s="83" t="s">
        <v>3028</v>
      </c>
      <c r="D214" s="85">
        <v>36708</v>
      </c>
      <c r="E214" s="84">
        <v>3</v>
      </c>
    </row>
    <row r="215" spans="1:5">
      <c r="A215" s="832">
        <v>83538</v>
      </c>
      <c r="B215" s="833" t="s">
        <v>3153</v>
      </c>
      <c r="C215" s="834" t="s">
        <v>3028</v>
      </c>
      <c r="D215" s="824" t="s">
        <v>3360</v>
      </c>
      <c r="E215" s="825" t="s">
        <v>3360</v>
      </c>
    </row>
    <row r="216" spans="1:5">
      <c r="A216" s="832"/>
      <c r="B216" s="833"/>
      <c r="C216" s="834"/>
      <c r="D216" s="824"/>
      <c r="E216" s="825"/>
    </row>
    <row r="217" spans="1:5" ht="15.75">
      <c r="A217" s="81">
        <v>83635</v>
      </c>
      <c r="B217" s="82" t="s">
        <v>3154</v>
      </c>
      <c r="C217" s="83" t="s">
        <v>3028</v>
      </c>
      <c r="D217" s="85" t="s">
        <v>3360</v>
      </c>
      <c r="E217" s="84" t="s">
        <v>3360</v>
      </c>
    </row>
    <row r="218" spans="1:5" ht="15.75">
      <c r="A218" s="77">
        <v>83438</v>
      </c>
      <c r="B218" s="78" t="s">
        <v>3155</v>
      </c>
      <c r="C218" s="79" t="s">
        <v>3028</v>
      </c>
      <c r="D218" s="86">
        <v>35582</v>
      </c>
      <c r="E218" s="80">
        <v>0</v>
      </c>
    </row>
    <row r="219" spans="1:5" ht="15.75">
      <c r="A219" s="81">
        <v>83338</v>
      </c>
      <c r="B219" s="82" t="s">
        <v>3156</v>
      </c>
      <c r="C219" s="83" t="s">
        <v>3028</v>
      </c>
      <c r="D219" s="85" t="s">
        <v>3360</v>
      </c>
      <c r="E219" s="84" t="s">
        <v>3360</v>
      </c>
    </row>
    <row r="220" spans="1:5" ht="15.75">
      <c r="A220" s="77">
        <v>83657</v>
      </c>
      <c r="B220" s="78" t="s">
        <v>3157</v>
      </c>
      <c r="C220" s="79" t="s">
        <v>3028</v>
      </c>
      <c r="D220" s="86">
        <v>34486</v>
      </c>
      <c r="E220" s="80">
        <v>-3.2</v>
      </c>
    </row>
    <row r="221" spans="1:5">
      <c r="A221" s="826">
        <v>83581</v>
      </c>
      <c r="B221" s="827" t="s">
        <v>3158</v>
      </c>
      <c r="C221" s="828" t="s">
        <v>3028</v>
      </c>
      <c r="D221" s="829" t="s">
        <v>3360</v>
      </c>
      <c r="E221" s="830" t="s">
        <v>3360</v>
      </c>
    </row>
    <row r="222" spans="1:5">
      <c r="A222" s="826"/>
      <c r="B222" s="827"/>
      <c r="C222" s="828"/>
      <c r="D222" s="829"/>
      <c r="E222" s="830"/>
    </row>
    <row r="223" spans="1:5">
      <c r="A223" s="832">
        <v>83334</v>
      </c>
      <c r="B223" s="833" t="s">
        <v>3159</v>
      </c>
      <c r="C223" s="834" t="s">
        <v>3028</v>
      </c>
      <c r="D223" s="824" t="s">
        <v>3360</v>
      </c>
      <c r="E223" s="825" t="s">
        <v>3360</v>
      </c>
    </row>
    <row r="224" spans="1:5">
      <c r="A224" s="832"/>
      <c r="B224" s="833"/>
      <c r="C224" s="834"/>
      <c r="D224" s="824"/>
      <c r="E224" s="825"/>
    </row>
    <row r="225" spans="1:5">
      <c r="A225" s="826">
        <v>83574</v>
      </c>
      <c r="B225" s="827" t="s">
        <v>3160</v>
      </c>
      <c r="C225" s="828" t="s">
        <v>3028</v>
      </c>
      <c r="D225" s="829" t="s">
        <v>3360</v>
      </c>
      <c r="E225" s="830" t="s">
        <v>3360</v>
      </c>
    </row>
    <row r="226" spans="1:5">
      <c r="A226" s="826"/>
      <c r="B226" s="827"/>
      <c r="C226" s="828"/>
      <c r="D226" s="829"/>
      <c r="E226" s="830"/>
    </row>
    <row r="227" spans="1:5" ht="15.75">
      <c r="A227" s="77">
        <v>83543</v>
      </c>
      <c r="B227" s="78" t="s">
        <v>3161</v>
      </c>
      <c r="C227" s="79" t="s">
        <v>3028</v>
      </c>
      <c r="D227" s="86" t="s">
        <v>3360</v>
      </c>
      <c r="E227" s="80" t="s">
        <v>3360</v>
      </c>
    </row>
    <row r="228" spans="1:5" ht="15.75">
      <c r="A228" s="81">
        <v>83632</v>
      </c>
      <c r="B228" s="82" t="s">
        <v>3162</v>
      </c>
      <c r="C228" s="83" t="s">
        <v>3028</v>
      </c>
      <c r="D228" s="85">
        <v>30133</v>
      </c>
      <c r="E228" s="84">
        <v>0.4</v>
      </c>
    </row>
    <row r="229" spans="1:5" ht="15.75">
      <c r="A229" s="77">
        <v>83488</v>
      </c>
      <c r="B229" s="78" t="s">
        <v>3163</v>
      </c>
      <c r="C229" s="79" t="s">
        <v>3028</v>
      </c>
      <c r="D229" s="86">
        <v>39264</v>
      </c>
      <c r="E229" s="80">
        <v>3.6</v>
      </c>
    </row>
    <row r="230" spans="1:5" ht="15.75">
      <c r="A230" s="81">
        <v>83521</v>
      </c>
      <c r="B230" s="82" t="s">
        <v>3164</v>
      </c>
      <c r="C230" s="83" t="s">
        <v>3028</v>
      </c>
      <c r="D230" s="85">
        <v>36708</v>
      </c>
      <c r="E230" s="84">
        <v>0</v>
      </c>
    </row>
    <row r="231" spans="1:5">
      <c r="A231" s="832">
        <v>83395</v>
      </c>
      <c r="B231" s="833" t="s">
        <v>3165</v>
      </c>
      <c r="C231" s="834" t="s">
        <v>3028</v>
      </c>
      <c r="D231" s="824" t="s">
        <v>3360</v>
      </c>
      <c r="E231" s="825" t="s">
        <v>3360</v>
      </c>
    </row>
    <row r="232" spans="1:5">
      <c r="A232" s="832"/>
      <c r="B232" s="833"/>
      <c r="C232" s="834"/>
      <c r="D232" s="824"/>
      <c r="E232" s="825"/>
    </row>
    <row r="233" spans="1:5" ht="15.75">
      <c r="A233" s="81">
        <v>83386</v>
      </c>
      <c r="B233" s="82" t="s">
        <v>3166</v>
      </c>
      <c r="C233" s="83" t="s">
        <v>3028</v>
      </c>
      <c r="D233" s="85" t="s">
        <v>3360</v>
      </c>
      <c r="E233" s="84" t="s">
        <v>3360</v>
      </c>
    </row>
    <row r="234" spans="1:5">
      <c r="A234" s="832">
        <v>83591</v>
      </c>
      <c r="B234" s="833" t="s">
        <v>3167</v>
      </c>
      <c r="C234" s="834" t="s">
        <v>3028</v>
      </c>
      <c r="D234" s="824" t="s">
        <v>3360</v>
      </c>
      <c r="E234" s="825" t="s">
        <v>3360</v>
      </c>
    </row>
    <row r="235" spans="1:5">
      <c r="A235" s="832"/>
      <c r="B235" s="833"/>
      <c r="C235" s="834"/>
      <c r="D235" s="824"/>
      <c r="E235" s="825"/>
    </row>
    <row r="236" spans="1:5">
      <c r="A236" s="826">
        <v>83481</v>
      </c>
      <c r="B236" s="827" t="s">
        <v>3168</v>
      </c>
      <c r="C236" s="828" t="s">
        <v>3028</v>
      </c>
      <c r="D236" s="829" t="s">
        <v>3360</v>
      </c>
      <c r="E236" s="830" t="s">
        <v>3360</v>
      </c>
    </row>
    <row r="237" spans="1:5">
      <c r="A237" s="826"/>
      <c r="B237" s="827"/>
      <c r="C237" s="828"/>
      <c r="D237" s="829"/>
      <c r="E237" s="830"/>
    </row>
    <row r="238" spans="1:5" ht="15.75">
      <c r="A238" s="77">
        <v>83692</v>
      </c>
      <c r="B238" s="78" t="s">
        <v>3169</v>
      </c>
      <c r="C238" s="79" t="s">
        <v>3028</v>
      </c>
      <c r="D238" s="86">
        <v>31199</v>
      </c>
      <c r="E238" s="80">
        <v>3.1</v>
      </c>
    </row>
    <row r="239" spans="1:5">
      <c r="A239" s="826">
        <v>83452</v>
      </c>
      <c r="B239" s="827" t="s">
        <v>3170</v>
      </c>
      <c r="C239" s="828" t="s">
        <v>3028</v>
      </c>
      <c r="D239" s="829" t="s">
        <v>3360</v>
      </c>
      <c r="E239" s="830" t="s">
        <v>3360</v>
      </c>
    </row>
    <row r="240" spans="1:5">
      <c r="A240" s="826"/>
      <c r="B240" s="827"/>
      <c r="C240" s="828"/>
      <c r="D240" s="829"/>
      <c r="E240" s="830"/>
    </row>
    <row r="241" spans="1:5" ht="15.75">
      <c r="A241" s="77">
        <v>83032</v>
      </c>
      <c r="B241" s="78" t="s">
        <v>3171</v>
      </c>
      <c r="C241" s="79" t="s">
        <v>3028</v>
      </c>
      <c r="D241" s="86">
        <v>34516</v>
      </c>
      <c r="E241" s="80">
        <v>-4.5999999999999996</v>
      </c>
    </row>
    <row r="242" spans="1:5" ht="15.75">
      <c r="A242" s="81">
        <v>83687</v>
      </c>
      <c r="B242" s="82" t="s">
        <v>3172</v>
      </c>
      <c r="C242" s="83" t="s">
        <v>3028</v>
      </c>
      <c r="D242" s="85">
        <v>29768</v>
      </c>
      <c r="E242" s="84">
        <v>-0.2</v>
      </c>
    </row>
    <row r="243" spans="1:5" ht="15.75">
      <c r="A243" s="77">
        <v>83683</v>
      </c>
      <c r="B243" s="78" t="s">
        <v>3173</v>
      </c>
      <c r="C243" s="79" t="s">
        <v>3028</v>
      </c>
      <c r="D243" s="86">
        <v>31199</v>
      </c>
      <c r="E243" s="80">
        <v>-1.8</v>
      </c>
    </row>
    <row r="244" spans="1:5">
      <c r="A244" s="826">
        <v>83015</v>
      </c>
      <c r="B244" s="827" t="s">
        <v>3174</v>
      </c>
      <c r="C244" s="828" t="s">
        <v>3028</v>
      </c>
      <c r="D244" s="829">
        <v>29768</v>
      </c>
      <c r="E244" s="830">
        <v>-8.4</v>
      </c>
    </row>
    <row r="245" spans="1:5">
      <c r="A245" s="826"/>
      <c r="B245" s="827"/>
      <c r="C245" s="828"/>
      <c r="D245" s="829"/>
      <c r="E245" s="830"/>
    </row>
    <row r="246" spans="1:5" ht="15.75">
      <c r="A246" s="77">
        <v>83389</v>
      </c>
      <c r="B246" s="78" t="s">
        <v>3175</v>
      </c>
      <c r="C246" s="79" t="s">
        <v>3028</v>
      </c>
      <c r="D246" s="86" t="s">
        <v>3360</v>
      </c>
      <c r="E246" s="80" t="s">
        <v>3360</v>
      </c>
    </row>
    <row r="247" spans="1:5">
      <c r="A247" s="826">
        <v>83388</v>
      </c>
      <c r="B247" s="827" t="s">
        <v>3176</v>
      </c>
      <c r="C247" s="828" t="s">
        <v>3028</v>
      </c>
      <c r="D247" s="829">
        <v>40330</v>
      </c>
      <c r="E247" s="830">
        <v>11.3</v>
      </c>
    </row>
    <row r="248" spans="1:5">
      <c r="A248" s="826"/>
      <c r="B248" s="827"/>
      <c r="C248" s="828"/>
      <c r="D248" s="829"/>
      <c r="E248" s="830"/>
    </row>
    <row r="249" spans="1:5">
      <c r="A249" s="832">
        <v>83437</v>
      </c>
      <c r="B249" s="833" t="s">
        <v>3177</v>
      </c>
      <c r="C249" s="834" t="s">
        <v>3028</v>
      </c>
      <c r="D249" s="824">
        <v>36708</v>
      </c>
      <c r="E249" s="825">
        <v>5.8</v>
      </c>
    </row>
    <row r="250" spans="1:5">
      <c r="A250" s="832"/>
      <c r="B250" s="833"/>
      <c r="C250" s="834"/>
      <c r="D250" s="824"/>
      <c r="E250" s="825"/>
    </row>
    <row r="251" spans="1:5" ht="15.75">
      <c r="A251" s="826">
        <v>83694</v>
      </c>
      <c r="B251" s="827" t="s">
        <v>3178</v>
      </c>
      <c r="C251" s="828" t="s">
        <v>3028</v>
      </c>
      <c r="D251" s="85">
        <v>31199</v>
      </c>
      <c r="E251" s="830">
        <v>6.3</v>
      </c>
    </row>
    <row r="252" spans="1:5" ht="15.75">
      <c r="A252" s="826"/>
      <c r="B252" s="827"/>
      <c r="C252" s="828"/>
      <c r="D252" s="85">
        <v>36708</v>
      </c>
      <c r="E252" s="830"/>
    </row>
    <row r="253" spans="1:5" ht="15.75">
      <c r="A253" s="77">
        <v>83637</v>
      </c>
      <c r="B253" s="78" t="s">
        <v>3179</v>
      </c>
      <c r="C253" s="79" t="s">
        <v>3028</v>
      </c>
      <c r="D253" s="86" t="s">
        <v>77</v>
      </c>
      <c r="E253" s="80" t="s">
        <v>77</v>
      </c>
    </row>
    <row r="254" spans="1:5" ht="15.75">
      <c r="A254" s="81">
        <v>83479</v>
      </c>
      <c r="B254" s="82" t="s">
        <v>3180</v>
      </c>
      <c r="C254" s="83" t="s">
        <v>3028</v>
      </c>
      <c r="D254" s="85">
        <v>36708</v>
      </c>
      <c r="E254" s="84">
        <v>6.6</v>
      </c>
    </row>
    <row r="255" spans="1:5" ht="15.75">
      <c r="A255" s="77">
        <v>83737</v>
      </c>
      <c r="B255" s="78" t="s">
        <v>3181</v>
      </c>
      <c r="C255" s="79" t="s">
        <v>3028</v>
      </c>
      <c r="D255" s="86">
        <v>39965</v>
      </c>
      <c r="E255" s="80">
        <v>-1</v>
      </c>
    </row>
    <row r="256" spans="1:5" ht="15.75">
      <c r="A256" s="81">
        <v>83531</v>
      </c>
      <c r="B256" s="82" t="s">
        <v>3182</v>
      </c>
      <c r="C256" s="83" t="s">
        <v>3028</v>
      </c>
      <c r="D256" s="85">
        <v>34486</v>
      </c>
      <c r="E256" s="84">
        <v>2.8</v>
      </c>
    </row>
    <row r="257" spans="1:5">
      <c r="A257" s="832">
        <v>83393</v>
      </c>
      <c r="B257" s="833" t="s">
        <v>3183</v>
      </c>
      <c r="C257" s="834" t="s">
        <v>3028</v>
      </c>
      <c r="D257" s="824">
        <v>34547</v>
      </c>
      <c r="E257" s="825">
        <v>5.6</v>
      </c>
    </row>
    <row r="258" spans="1:5">
      <c r="A258" s="832"/>
      <c r="B258" s="833"/>
      <c r="C258" s="834"/>
      <c r="D258" s="824"/>
      <c r="E258" s="825"/>
    </row>
    <row r="259" spans="1:5" ht="15.75">
      <c r="A259" s="81">
        <v>83483</v>
      </c>
      <c r="B259" s="82" t="s">
        <v>3184</v>
      </c>
      <c r="C259" s="83" t="s">
        <v>3028</v>
      </c>
      <c r="D259" s="85" t="s">
        <v>3360</v>
      </c>
      <c r="E259" s="84" t="s">
        <v>3360</v>
      </c>
    </row>
    <row r="260" spans="1:5">
      <c r="A260" s="832">
        <v>83570</v>
      </c>
      <c r="B260" s="833" t="s">
        <v>3185</v>
      </c>
      <c r="C260" s="834" t="s">
        <v>3028</v>
      </c>
      <c r="D260" s="824" t="s">
        <v>3360</v>
      </c>
      <c r="E260" s="825" t="s">
        <v>3360</v>
      </c>
    </row>
    <row r="261" spans="1:5">
      <c r="A261" s="832"/>
      <c r="B261" s="833"/>
      <c r="C261" s="834"/>
      <c r="D261" s="824"/>
      <c r="E261" s="825"/>
    </row>
    <row r="262" spans="1:5" ht="15.75">
      <c r="A262" s="81">
        <v>83061</v>
      </c>
      <c r="B262" s="82" t="s">
        <v>3186</v>
      </c>
      <c r="C262" s="83" t="s">
        <v>3028</v>
      </c>
      <c r="D262" s="85" t="s">
        <v>3360</v>
      </c>
      <c r="E262" s="84" t="s">
        <v>3360</v>
      </c>
    </row>
    <row r="263" spans="1:5" ht="15.75">
      <c r="A263" s="77">
        <v>83441</v>
      </c>
      <c r="B263" s="78" t="s">
        <v>3187</v>
      </c>
      <c r="C263" s="79" t="s">
        <v>3028</v>
      </c>
      <c r="D263" s="86" t="s">
        <v>3360</v>
      </c>
      <c r="E263" s="80" t="s">
        <v>3360</v>
      </c>
    </row>
    <row r="264" spans="1:5" ht="15.75">
      <c r="A264" s="81">
        <v>83688</v>
      </c>
      <c r="B264" s="82" t="s">
        <v>3188</v>
      </c>
      <c r="C264" s="83" t="s">
        <v>3028</v>
      </c>
      <c r="D264" s="85">
        <v>36708</v>
      </c>
      <c r="E264" s="84">
        <v>0.4</v>
      </c>
    </row>
    <row r="265" spans="1:5" ht="15.75">
      <c r="A265" s="77">
        <v>83736</v>
      </c>
      <c r="B265" s="78" t="s">
        <v>3189</v>
      </c>
      <c r="C265" s="79" t="s">
        <v>3028</v>
      </c>
      <c r="D265" s="86">
        <v>29768</v>
      </c>
      <c r="E265" s="80">
        <v>-1.3</v>
      </c>
    </row>
    <row r="266" spans="1:5">
      <c r="A266" s="826">
        <v>83631</v>
      </c>
      <c r="B266" s="827" t="s">
        <v>3190</v>
      </c>
      <c r="C266" s="828" t="s">
        <v>3028</v>
      </c>
      <c r="D266" s="829">
        <v>34516</v>
      </c>
      <c r="E266" s="830">
        <v>-2.8</v>
      </c>
    </row>
    <row r="267" spans="1:5">
      <c r="A267" s="826"/>
      <c r="B267" s="827"/>
      <c r="C267" s="828"/>
      <c r="D267" s="829"/>
      <c r="E267" s="830"/>
    </row>
    <row r="268" spans="1:5">
      <c r="A268" s="832">
        <v>83500</v>
      </c>
      <c r="B268" s="833" t="s">
        <v>3191</v>
      </c>
      <c r="C268" s="834" t="s">
        <v>3028</v>
      </c>
      <c r="D268" s="824" t="s">
        <v>77</v>
      </c>
      <c r="E268" s="825" t="s">
        <v>77</v>
      </c>
    </row>
    <row r="269" spans="1:5">
      <c r="A269" s="832"/>
      <c r="B269" s="833"/>
      <c r="C269" s="834"/>
      <c r="D269" s="824"/>
      <c r="E269" s="825"/>
    </row>
    <row r="270" spans="1:5" ht="15.75">
      <c r="A270" s="826">
        <v>83586</v>
      </c>
      <c r="B270" s="827" t="s">
        <v>3192</v>
      </c>
      <c r="C270" s="828" t="s">
        <v>3028</v>
      </c>
      <c r="D270" s="85">
        <v>35582</v>
      </c>
      <c r="E270" s="830">
        <v>3.5</v>
      </c>
    </row>
    <row r="271" spans="1:5" ht="15.75">
      <c r="A271" s="826"/>
      <c r="B271" s="827"/>
      <c r="C271" s="828"/>
      <c r="D271" s="85">
        <v>36708</v>
      </c>
      <c r="E271" s="830"/>
    </row>
    <row r="272" spans="1:5">
      <c r="A272" s="832">
        <v>83492</v>
      </c>
      <c r="B272" s="833" t="s">
        <v>3193</v>
      </c>
      <c r="C272" s="834" t="s">
        <v>3028</v>
      </c>
      <c r="D272" s="824" t="s">
        <v>3360</v>
      </c>
      <c r="E272" s="825" t="s">
        <v>3360</v>
      </c>
    </row>
    <row r="273" spans="1:5">
      <c r="A273" s="832"/>
      <c r="B273" s="833"/>
      <c r="C273" s="834"/>
      <c r="D273" s="824"/>
      <c r="E273" s="825"/>
    </row>
    <row r="274" spans="1:5">
      <c r="A274" s="826">
        <v>83577</v>
      </c>
      <c r="B274" s="827" t="s">
        <v>3194</v>
      </c>
      <c r="C274" s="828" t="s">
        <v>3028</v>
      </c>
      <c r="D274" s="829">
        <v>29768</v>
      </c>
      <c r="E274" s="830">
        <v>-2.2000000000000002</v>
      </c>
    </row>
    <row r="275" spans="1:5">
      <c r="A275" s="826"/>
      <c r="B275" s="827"/>
      <c r="C275" s="828"/>
      <c r="D275" s="829"/>
      <c r="E275" s="830"/>
    </row>
    <row r="276" spans="1:5">
      <c r="A276" s="832">
        <v>83527</v>
      </c>
      <c r="B276" s="833" t="s">
        <v>3195</v>
      </c>
      <c r="C276" s="834" t="s">
        <v>3028</v>
      </c>
      <c r="D276" s="824" t="s">
        <v>3360</v>
      </c>
      <c r="E276" s="825" t="s">
        <v>3360</v>
      </c>
    </row>
    <row r="277" spans="1:5">
      <c r="A277" s="832"/>
      <c r="B277" s="833"/>
      <c r="C277" s="834"/>
      <c r="D277" s="824"/>
      <c r="E277" s="825"/>
    </row>
    <row r="278" spans="1:5" ht="15.75">
      <c r="A278" s="81">
        <v>83428</v>
      </c>
      <c r="B278" s="82" t="s">
        <v>3196</v>
      </c>
      <c r="C278" s="83" t="s">
        <v>3028</v>
      </c>
      <c r="D278" s="85" t="s">
        <v>3360</v>
      </c>
      <c r="E278" s="84" t="s">
        <v>3364</v>
      </c>
    </row>
    <row r="279" spans="1:5" ht="15.75">
      <c r="A279" s="77">
        <v>83594</v>
      </c>
      <c r="B279" s="78" t="s">
        <v>3197</v>
      </c>
      <c r="C279" s="79" t="s">
        <v>3028</v>
      </c>
      <c r="D279" s="86">
        <v>34578</v>
      </c>
      <c r="E279" s="80">
        <v>0.8</v>
      </c>
    </row>
    <row r="280" spans="1:5">
      <c r="A280" s="826">
        <v>83642</v>
      </c>
      <c r="B280" s="827" t="s">
        <v>3198</v>
      </c>
      <c r="C280" s="828" t="s">
        <v>3028</v>
      </c>
      <c r="D280" s="829">
        <v>34151</v>
      </c>
      <c r="E280" s="830">
        <v>0.9</v>
      </c>
    </row>
    <row r="281" spans="1:5">
      <c r="A281" s="826"/>
      <c r="B281" s="827"/>
      <c r="C281" s="828"/>
      <c r="D281" s="829"/>
      <c r="E281" s="830"/>
    </row>
    <row r="282" spans="1:5" ht="15.75">
      <c r="A282" s="77">
        <v>83611</v>
      </c>
      <c r="B282" s="78" t="s">
        <v>514</v>
      </c>
      <c r="C282" s="79" t="s">
        <v>3030</v>
      </c>
      <c r="D282" s="86">
        <v>36708</v>
      </c>
      <c r="E282" s="80">
        <v>1.4</v>
      </c>
    </row>
    <row r="283" spans="1:5">
      <c r="A283" s="826">
        <v>83552</v>
      </c>
      <c r="B283" s="827" t="s">
        <v>3199</v>
      </c>
      <c r="C283" s="828" t="s">
        <v>3030</v>
      </c>
      <c r="D283" s="829">
        <v>34486</v>
      </c>
      <c r="E283" s="830">
        <v>4.5</v>
      </c>
    </row>
    <row r="284" spans="1:5">
      <c r="A284" s="826"/>
      <c r="B284" s="827"/>
      <c r="C284" s="828"/>
      <c r="D284" s="829"/>
      <c r="E284" s="830"/>
    </row>
    <row r="285" spans="1:5" ht="15.75">
      <c r="A285" s="77">
        <v>83659</v>
      </c>
      <c r="B285" s="78" t="s">
        <v>3200</v>
      </c>
      <c r="C285" s="79" t="s">
        <v>3030</v>
      </c>
      <c r="D285" s="86">
        <v>29768</v>
      </c>
      <c r="E285" s="80">
        <v>-1.7</v>
      </c>
    </row>
    <row r="286" spans="1:5" ht="15.75">
      <c r="A286" s="81">
        <v>83704</v>
      </c>
      <c r="B286" s="82" t="s">
        <v>3201</v>
      </c>
      <c r="C286" s="83" t="s">
        <v>3030</v>
      </c>
      <c r="D286" s="85">
        <v>36708</v>
      </c>
      <c r="E286" s="84">
        <v>0.6</v>
      </c>
    </row>
    <row r="287" spans="1:5" ht="15.75">
      <c r="A287" s="77">
        <v>83513</v>
      </c>
      <c r="B287" s="78" t="s">
        <v>3202</v>
      </c>
      <c r="C287" s="79" t="s">
        <v>3030</v>
      </c>
      <c r="D287" s="86">
        <v>34486</v>
      </c>
      <c r="E287" s="80">
        <v>0.2</v>
      </c>
    </row>
    <row r="288" spans="1:5">
      <c r="A288" s="826">
        <v>83565</v>
      </c>
      <c r="B288" s="827" t="s">
        <v>3203</v>
      </c>
      <c r="C288" s="828" t="s">
        <v>3030</v>
      </c>
      <c r="D288" s="829" t="s">
        <v>3362</v>
      </c>
      <c r="E288" s="830" t="s">
        <v>3362</v>
      </c>
    </row>
    <row r="289" spans="1:5">
      <c r="A289" s="826"/>
      <c r="B289" s="827"/>
      <c r="C289" s="828"/>
      <c r="D289" s="829"/>
      <c r="E289" s="830"/>
    </row>
    <row r="290" spans="1:5" ht="15.75">
      <c r="A290" s="77">
        <v>83702</v>
      </c>
      <c r="B290" s="78" t="s">
        <v>3204</v>
      </c>
      <c r="C290" s="79" t="s">
        <v>3030</v>
      </c>
      <c r="D290" s="86" t="s">
        <v>77</v>
      </c>
      <c r="E290" s="80" t="s">
        <v>77</v>
      </c>
    </row>
    <row r="291" spans="1:5" ht="15.75">
      <c r="A291" s="81">
        <v>83618</v>
      </c>
      <c r="B291" s="82" t="s">
        <v>3205</v>
      </c>
      <c r="C291" s="83" t="s">
        <v>3030</v>
      </c>
      <c r="D291" s="85" t="s">
        <v>3360</v>
      </c>
      <c r="E291" s="84" t="s">
        <v>3360</v>
      </c>
    </row>
    <row r="292" spans="1:5" ht="15.75">
      <c r="A292" s="77">
        <v>83405</v>
      </c>
      <c r="B292" s="78" t="s">
        <v>3206</v>
      </c>
      <c r="C292" s="79" t="s">
        <v>3032</v>
      </c>
      <c r="D292" s="86">
        <v>36373</v>
      </c>
      <c r="E292" s="80">
        <v>5.5</v>
      </c>
    </row>
    <row r="293" spans="1:5">
      <c r="A293" s="826">
        <v>83270</v>
      </c>
      <c r="B293" s="827" t="s">
        <v>3207</v>
      </c>
      <c r="C293" s="828" t="s">
        <v>3032</v>
      </c>
      <c r="D293" s="829">
        <v>36708</v>
      </c>
      <c r="E293" s="830">
        <v>11.2</v>
      </c>
    </row>
    <row r="294" spans="1:5">
      <c r="A294" s="826"/>
      <c r="B294" s="827"/>
      <c r="C294" s="828"/>
      <c r="D294" s="829"/>
      <c r="E294" s="830"/>
    </row>
    <row r="295" spans="1:5" ht="15.75">
      <c r="A295" s="77">
        <v>83361</v>
      </c>
      <c r="B295" s="78" t="s">
        <v>3208</v>
      </c>
      <c r="C295" s="79" t="s">
        <v>3032</v>
      </c>
      <c r="D295" s="86">
        <v>29768</v>
      </c>
      <c r="E295" s="80">
        <v>4.8</v>
      </c>
    </row>
    <row r="296" spans="1:5" ht="15.75">
      <c r="A296" s="81">
        <v>83309</v>
      </c>
      <c r="B296" s="82" t="s">
        <v>3209</v>
      </c>
      <c r="C296" s="83" t="s">
        <v>3032</v>
      </c>
      <c r="D296" s="85" t="s">
        <v>3360</v>
      </c>
      <c r="E296" s="84" t="s">
        <v>3360</v>
      </c>
    </row>
    <row r="297" spans="1:5" ht="15.75">
      <c r="A297" s="77">
        <v>83264</v>
      </c>
      <c r="B297" s="78" t="s">
        <v>3210</v>
      </c>
      <c r="C297" s="79" t="s">
        <v>3032</v>
      </c>
      <c r="D297" s="86" t="s">
        <v>3360</v>
      </c>
      <c r="E297" s="80" t="s">
        <v>3360</v>
      </c>
    </row>
    <row r="298" spans="1:5" ht="15.75">
      <c r="A298" s="81">
        <v>83214</v>
      </c>
      <c r="B298" s="82" t="s">
        <v>3211</v>
      </c>
      <c r="C298" s="83" t="s">
        <v>3032</v>
      </c>
      <c r="D298" s="85" t="s">
        <v>3360</v>
      </c>
      <c r="E298" s="84" t="s">
        <v>3360</v>
      </c>
    </row>
    <row r="299" spans="1:5">
      <c r="A299" s="832">
        <v>83319</v>
      </c>
      <c r="B299" s="833" t="s">
        <v>3213</v>
      </c>
      <c r="C299" s="834" t="s">
        <v>3032</v>
      </c>
      <c r="D299" s="824" t="s">
        <v>3360</v>
      </c>
      <c r="E299" s="825" t="s">
        <v>3360</v>
      </c>
    </row>
    <row r="300" spans="1:5">
      <c r="A300" s="832"/>
      <c r="B300" s="833"/>
      <c r="C300" s="834"/>
      <c r="D300" s="824"/>
      <c r="E300" s="825"/>
    </row>
    <row r="301" spans="1:5" ht="15.75">
      <c r="A301" s="81">
        <v>83364</v>
      </c>
      <c r="B301" s="82" t="s">
        <v>3214</v>
      </c>
      <c r="C301" s="83" t="s">
        <v>3032</v>
      </c>
      <c r="D301" s="85" t="s">
        <v>3360</v>
      </c>
      <c r="E301" s="84" t="s">
        <v>3360</v>
      </c>
    </row>
    <row r="302" spans="1:5">
      <c r="A302" s="832">
        <v>83358</v>
      </c>
      <c r="B302" s="833" t="s">
        <v>3215</v>
      </c>
      <c r="C302" s="834" t="s">
        <v>3032</v>
      </c>
      <c r="D302" s="824">
        <v>29768</v>
      </c>
      <c r="E302" s="825">
        <v>1</v>
      </c>
    </row>
    <row r="303" spans="1:5">
      <c r="A303" s="832"/>
      <c r="B303" s="833"/>
      <c r="C303" s="834"/>
      <c r="D303" s="824"/>
      <c r="E303" s="825"/>
    </row>
    <row r="304" spans="1:5" ht="15.75">
      <c r="A304" s="81">
        <v>83410</v>
      </c>
      <c r="B304" s="82" t="s">
        <v>3365</v>
      </c>
      <c r="C304" s="83" t="s">
        <v>3032</v>
      </c>
      <c r="D304" s="85" t="s">
        <v>77</v>
      </c>
      <c r="E304" s="84" t="s">
        <v>77</v>
      </c>
    </row>
    <row r="305" spans="1:5" ht="15.75">
      <c r="A305" s="77">
        <v>83267</v>
      </c>
      <c r="B305" s="78" t="s">
        <v>3216</v>
      </c>
      <c r="C305" s="79" t="s">
        <v>3032</v>
      </c>
      <c r="D305" s="86" t="s">
        <v>3360</v>
      </c>
      <c r="E305" s="80" t="s">
        <v>3360</v>
      </c>
    </row>
    <row r="306" spans="1:5" ht="15.75">
      <c r="A306" s="81">
        <v>83363</v>
      </c>
      <c r="B306" s="82" t="s">
        <v>3217</v>
      </c>
      <c r="C306" s="83" t="s">
        <v>3032</v>
      </c>
      <c r="D306" s="85" t="s">
        <v>77</v>
      </c>
      <c r="E306" s="84" t="s">
        <v>77</v>
      </c>
    </row>
    <row r="307" spans="1:5" ht="15.75">
      <c r="A307" s="77">
        <v>82353</v>
      </c>
      <c r="B307" s="78" t="s">
        <v>3218</v>
      </c>
      <c r="C307" s="79" t="s">
        <v>3034</v>
      </c>
      <c r="D307" s="86">
        <v>36557</v>
      </c>
      <c r="E307" s="80">
        <v>13.5</v>
      </c>
    </row>
    <row r="308" spans="1:5">
      <c r="A308" s="826">
        <v>82191</v>
      </c>
      <c r="B308" s="827" t="s">
        <v>3219</v>
      </c>
      <c r="C308" s="828" t="s">
        <v>3034</v>
      </c>
      <c r="D308" s="829">
        <v>30895</v>
      </c>
      <c r="E308" s="830">
        <v>18.5</v>
      </c>
    </row>
    <row r="309" spans="1:5">
      <c r="A309" s="826"/>
      <c r="B309" s="827"/>
      <c r="C309" s="828"/>
      <c r="D309" s="829"/>
      <c r="E309" s="830"/>
    </row>
    <row r="310" spans="1:5">
      <c r="A310" s="826"/>
      <c r="B310" s="827"/>
      <c r="C310" s="828"/>
      <c r="D310" s="829"/>
      <c r="E310" s="830"/>
    </row>
    <row r="311" spans="1:5">
      <c r="A311" s="826"/>
      <c r="B311" s="827"/>
      <c r="C311" s="828"/>
      <c r="D311" s="829"/>
      <c r="E311" s="830"/>
    </row>
    <row r="312" spans="1:5" ht="15.75">
      <c r="A312" s="77">
        <v>82246</v>
      </c>
      <c r="B312" s="78" t="s">
        <v>3220</v>
      </c>
      <c r="C312" s="79" t="s">
        <v>3034</v>
      </c>
      <c r="D312" s="86">
        <v>34182</v>
      </c>
      <c r="E312" s="80">
        <v>12.3</v>
      </c>
    </row>
    <row r="313" spans="1:5">
      <c r="A313" s="826">
        <v>82188</v>
      </c>
      <c r="B313" s="827" t="s">
        <v>3221</v>
      </c>
      <c r="C313" s="828" t="s">
        <v>3034</v>
      </c>
      <c r="D313" s="829">
        <v>35400</v>
      </c>
      <c r="E313" s="830">
        <v>18.8</v>
      </c>
    </row>
    <row r="314" spans="1:5">
      <c r="A314" s="826"/>
      <c r="B314" s="827"/>
      <c r="C314" s="828"/>
      <c r="D314" s="829"/>
      <c r="E314" s="830"/>
    </row>
    <row r="315" spans="1:5">
      <c r="A315" s="826"/>
      <c r="B315" s="827"/>
      <c r="C315" s="828"/>
      <c r="D315" s="829"/>
      <c r="E315" s="830"/>
    </row>
    <row r="316" spans="1:5">
      <c r="A316" s="832">
        <v>82263</v>
      </c>
      <c r="B316" s="833" t="s">
        <v>3222</v>
      </c>
      <c r="C316" s="834" t="s">
        <v>3034</v>
      </c>
      <c r="D316" s="824">
        <v>35004</v>
      </c>
      <c r="E316" s="825">
        <v>18.2</v>
      </c>
    </row>
    <row r="317" spans="1:5">
      <c r="A317" s="832"/>
      <c r="B317" s="833"/>
      <c r="C317" s="834"/>
      <c r="D317" s="824"/>
      <c r="E317" s="825"/>
    </row>
    <row r="318" spans="1:5" ht="15.75">
      <c r="A318" s="81">
        <v>82861</v>
      </c>
      <c r="B318" s="82" t="s">
        <v>3223</v>
      </c>
      <c r="C318" s="83" t="s">
        <v>3034</v>
      </c>
      <c r="D318" s="85">
        <v>31199</v>
      </c>
      <c r="E318" s="84">
        <v>15.6</v>
      </c>
    </row>
    <row r="319" spans="1:5" ht="15.75">
      <c r="A319" s="77">
        <v>82445</v>
      </c>
      <c r="B319" s="78" t="s">
        <v>3224</v>
      </c>
      <c r="C319" s="79" t="s">
        <v>3034</v>
      </c>
      <c r="D319" s="86">
        <v>33420</v>
      </c>
      <c r="E319" s="80">
        <v>16.899999999999999</v>
      </c>
    </row>
    <row r="320" spans="1:5">
      <c r="A320" s="826">
        <v>82562</v>
      </c>
      <c r="B320" s="827" t="s">
        <v>3225</v>
      </c>
      <c r="C320" s="828" t="s">
        <v>3034</v>
      </c>
      <c r="D320" s="829">
        <v>33420</v>
      </c>
      <c r="E320" s="830">
        <v>17.600000000000001</v>
      </c>
    </row>
    <row r="321" spans="1:5">
      <c r="A321" s="826"/>
      <c r="B321" s="827"/>
      <c r="C321" s="828"/>
      <c r="D321" s="829"/>
      <c r="E321" s="830"/>
    </row>
    <row r="322" spans="1:5" ht="15.75">
      <c r="A322" s="77">
        <v>82181</v>
      </c>
      <c r="B322" s="78" t="s">
        <v>3226</v>
      </c>
      <c r="C322" s="79" t="s">
        <v>3034</v>
      </c>
      <c r="D322" s="86">
        <v>29768</v>
      </c>
      <c r="E322" s="80">
        <v>19.8</v>
      </c>
    </row>
    <row r="323" spans="1:5" ht="15.75">
      <c r="A323" s="826">
        <v>82178</v>
      </c>
      <c r="B323" s="827" t="s">
        <v>3227</v>
      </c>
      <c r="C323" s="828" t="s">
        <v>3034</v>
      </c>
      <c r="D323" s="85">
        <v>32509</v>
      </c>
      <c r="E323" s="830">
        <v>20</v>
      </c>
    </row>
    <row r="324" spans="1:5" ht="15.75">
      <c r="A324" s="826"/>
      <c r="B324" s="827"/>
      <c r="C324" s="828"/>
      <c r="D324" s="85">
        <v>33970</v>
      </c>
      <c r="E324" s="830"/>
    </row>
    <row r="325" spans="1:5" ht="15.75">
      <c r="A325" s="826"/>
      <c r="B325" s="827"/>
      <c r="C325" s="828"/>
      <c r="D325" s="85">
        <v>36526</v>
      </c>
      <c r="E325" s="830"/>
    </row>
    <row r="326" spans="1:5" ht="15.75">
      <c r="A326" s="826"/>
      <c r="B326" s="827"/>
      <c r="C326" s="828"/>
      <c r="D326" s="85">
        <v>34029</v>
      </c>
      <c r="E326" s="830"/>
    </row>
    <row r="327" spans="1:5" ht="15.75">
      <c r="A327" s="826"/>
      <c r="B327" s="827"/>
      <c r="C327" s="828"/>
      <c r="D327" s="85">
        <v>36586</v>
      </c>
      <c r="E327" s="830"/>
    </row>
    <row r="328" spans="1:5" ht="15.75">
      <c r="A328" s="826"/>
      <c r="B328" s="827"/>
      <c r="C328" s="828"/>
      <c r="D328" s="85">
        <v>32629</v>
      </c>
      <c r="E328" s="830"/>
    </row>
    <row r="329" spans="1:5" ht="15.75">
      <c r="A329" s="826"/>
      <c r="B329" s="827"/>
      <c r="C329" s="828"/>
      <c r="D329" s="85">
        <v>34090</v>
      </c>
      <c r="E329" s="830"/>
    </row>
    <row r="330" spans="1:5" ht="15.75">
      <c r="A330" s="826"/>
      <c r="B330" s="827"/>
      <c r="C330" s="828"/>
      <c r="D330" s="85">
        <v>36647</v>
      </c>
      <c r="E330" s="830"/>
    </row>
    <row r="331" spans="1:5" ht="15.75">
      <c r="A331" s="826"/>
      <c r="B331" s="827"/>
      <c r="C331" s="828"/>
      <c r="D331" s="85">
        <v>29768</v>
      </c>
      <c r="E331" s="830"/>
    </row>
    <row r="332" spans="1:5" ht="15.75">
      <c r="A332" s="826"/>
      <c r="B332" s="827"/>
      <c r="C332" s="828"/>
      <c r="D332" s="85">
        <v>33786</v>
      </c>
      <c r="E332" s="830"/>
    </row>
    <row r="333" spans="1:5">
      <c r="A333" s="832">
        <v>82184</v>
      </c>
      <c r="B333" s="833" t="s">
        <v>3228</v>
      </c>
      <c r="C333" s="834" t="s">
        <v>3034</v>
      </c>
      <c r="D333" s="824">
        <v>33512</v>
      </c>
      <c r="E333" s="825">
        <v>16</v>
      </c>
    </row>
    <row r="334" spans="1:5">
      <c r="A334" s="832"/>
      <c r="B334" s="833"/>
      <c r="C334" s="834"/>
      <c r="D334" s="824"/>
      <c r="E334" s="825"/>
    </row>
    <row r="335" spans="1:5" ht="15.75">
      <c r="A335" s="81">
        <v>82668</v>
      </c>
      <c r="B335" s="82" t="s">
        <v>3229</v>
      </c>
      <c r="C335" s="83" t="s">
        <v>3034</v>
      </c>
      <c r="D335" s="85">
        <v>39264</v>
      </c>
      <c r="E335" s="84">
        <v>11.5</v>
      </c>
    </row>
    <row r="336" spans="1:5">
      <c r="A336" s="832">
        <v>82141</v>
      </c>
      <c r="B336" s="833" t="s">
        <v>3230</v>
      </c>
      <c r="C336" s="834" t="s">
        <v>3034</v>
      </c>
      <c r="D336" s="824">
        <v>35521</v>
      </c>
      <c r="E336" s="825">
        <v>19.399999999999999</v>
      </c>
    </row>
    <row r="337" spans="1:5">
      <c r="A337" s="832"/>
      <c r="B337" s="833"/>
      <c r="C337" s="834"/>
      <c r="D337" s="824"/>
      <c r="E337" s="825"/>
    </row>
    <row r="338" spans="1:5" ht="15.75">
      <c r="A338" s="81">
        <v>82145</v>
      </c>
      <c r="B338" s="82" t="s">
        <v>3231</v>
      </c>
      <c r="C338" s="83" t="s">
        <v>3034</v>
      </c>
      <c r="D338" s="85">
        <v>39264</v>
      </c>
      <c r="E338" s="84">
        <v>16.600000000000001</v>
      </c>
    </row>
    <row r="339" spans="1:5">
      <c r="A339" s="832">
        <v>82361</v>
      </c>
      <c r="B339" s="833" t="s">
        <v>3232</v>
      </c>
      <c r="C339" s="834" t="s">
        <v>3034</v>
      </c>
      <c r="D339" s="824">
        <v>29768</v>
      </c>
      <c r="E339" s="825">
        <v>18.399999999999999</v>
      </c>
    </row>
    <row r="340" spans="1:5">
      <c r="A340" s="832"/>
      <c r="B340" s="833"/>
      <c r="C340" s="834"/>
      <c r="D340" s="824"/>
      <c r="E340" s="825"/>
    </row>
    <row r="341" spans="1:5" ht="15.75">
      <c r="A341" s="81">
        <v>82696</v>
      </c>
      <c r="B341" s="82" t="s">
        <v>3233</v>
      </c>
      <c r="C341" s="83" t="s">
        <v>226</v>
      </c>
      <c r="D341" s="85" t="s">
        <v>3360</v>
      </c>
      <c r="E341" s="84" t="s">
        <v>3360</v>
      </c>
    </row>
    <row r="342" spans="1:5">
      <c r="A342" s="832">
        <v>82795</v>
      </c>
      <c r="B342" s="833" t="s">
        <v>3234</v>
      </c>
      <c r="C342" s="834" t="s">
        <v>226</v>
      </c>
      <c r="D342" s="824">
        <v>29768</v>
      </c>
      <c r="E342" s="825">
        <v>15.3</v>
      </c>
    </row>
    <row r="343" spans="1:5">
      <c r="A343" s="832"/>
      <c r="B343" s="833"/>
      <c r="C343" s="834"/>
      <c r="D343" s="824"/>
      <c r="E343" s="825"/>
    </row>
    <row r="344" spans="1:5">
      <c r="A344" s="826">
        <v>82798</v>
      </c>
      <c r="B344" s="827" t="s">
        <v>3235</v>
      </c>
      <c r="C344" s="828" t="s">
        <v>226</v>
      </c>
      <c r="D344" s="829">
        <v>40391</v>
      </c>
      <c r="E344" s="830">
        <v>15.6</v>
      </c>
    </row>
    <row r="345" spans="1:5">
      <c r="A345" s="826"/>
      <c r="B345" s="827"/>
      <c r="C345" s="828"/>
      <c r="D345" s="829"/>
      <c r="E345" s="830"/>
    </row>
    <row r="346" spans="1:5" ht="15.75">
      <c r="A346" s="832">
        <v>82792</v>
      </c>
      <c r="B346" s="833" t="s">
        <v>3236</v>
      </c>
      <c r="C346" s="834" t="s">
        <v>226</v>
      </c>
      <c r="D346" s="86">
        <v>30834</v>
      </c>
      <c r="E346" s="825">
        <v>11.1</v>
      </c>
    </row>
    <row r="347" spans="1:5" ht="15.75">
      <c r="A347" s="832"/>
      <c r="B347" s="833"/>
      <c r="C347" s="834"/>
      <c r="D347" s="86">
        <v>29768</v>
      </c>
      <c r="E347" s="825"/>
    </row>
    <row r="348" spans="1:5" ht="15.75">
      <c r="A348" s="832"/>
      <c r="B348" s="833"/>
      <c r="C348" s="834"/>
      <c r="D348" s="86">
        <v>30498</v>
      </c>
      <c r="E348" s="825"/>
    </row>
    <row r="349" spans="1:5">
      <c r="A349" s="826">
        <v>82791</v>
      </c>
      <c r="B349" s="827" t="s">
        <v>3237</v>
      </c>
      <c r="C349" s="828" t="s">
        <v>226</v>
      </c>
      <c r="D349" s="829" t="s">
        <v>3360</v>
      </c>
      <c r="E349" s="830" t="s">
        <v>3360</v>
      </c>
    </row>
    <row r="350" spans="1:5">
      <c r="A350" s="826"/>
      <c r="B350" s="827"/>
      <c r="C350" s="828"/>
      <c r="D350" s="829"/>
      <c r="E350" s="830"/>
    </row>
    <row r="351" spans="1:5">
      <c r="A351" s="832">
        <v>82689</v>
      </c>
      <c r="B351" s="833" t="s">
        <v>3238</v>
      </c>
      <c r="C351" s="834" t="s">
        <v>226</v>
      </c>
      <c r="D351" s="824">
        <v>39600</v>
      </c>
      <c r="E351" s="825">
        <v>12.2</v>
      </c>
    </row>
    <row r="352" spans="1:5">
      <c r="A352" s="832"/>
      <c r="B352" s="833"/>
      <c r="C352" s="834"/>
      <c r="D352" s="824"/>
      <c r="E352" s="825"/>
    </row>
    <row r="353" spans="1:5">
      <c r="A353" s="826">
        <v>82890</v>
      </c>
      <c r="B353" s="827" t="s">
        <v>3239</v>
      </c>
      <c r="C353" s="828" t="s">
        <v>3037</v>
      </c>
      <c r="D353" s="829">
        <v>38930</v>
      </c>
      <c r="E353" s="830">
        <v>11.4</v>
      </c>
    </row>
    <row r="354" spans="1:5">
      <c r="A354" s="826"/>
      <c r="B354" s="827"/>
      <c r="C354" s="828"/>
      <c r="D354" s="829"/>
      <c r="E354" s="830"/>
    </row>
    <row r="355" spans="1:5">
      <c r="A355" s="832">
        <v>82886</v>
      </c>
      <c r="B355" s="833" t="s">
        <v>3240</v>
      </c>
      <c r="C355" s="834" t="s">
        <v>3037</v>
      </c>
      <c r="D355" s="824" t="s">
        <v>77</v>
      </c>
      <c r="E355" s="825" t="s">
        <v>77</v>
      </c>
    </row>
    <row r="356" spans="1:5">
      <c r="A356" s="832"/>
      <c r="B356" s="833"/>
      <c r="C356" s="834"/>
      <c r="D356" s="824"/>
      <c r="E356" s="825"/>
    </row>
    <row r="357" spans="1:5">
      <c r="A357" s="826">
        <v>82893</v>
      </c>
      <c r="B357" s="827" t="s">
        <v>3241</v>
      </c>
      <c r="C357" s="828" t="s">
        <v>3037</v>
      </c>
      <c r="D357" s="829">
        <v>35977</v>
      </c>
      <c r="E357" s="830">
        <v>11.4</v>
      </c>
    </row>
    <row r="358" spans="1:5">
      <c r="A358" s="826"/>
      <c r="B358" s="827"/>
      <c r="C358" s="828"/>
      <c r="D358" s="829"/>
      <c r="E358" s="830"/>
    </row>
    <row r="359" spans="1:5" ht="15.75">
      <c r="A359" s="832">
        <v>82753</v>
      </c>
      <c r="B359" s="833" t="s">
        <v>3242</v>
      </c>
      <c r="C359" s="834" t="s">
        <v>3037</v>
      </c>
      <c r="D359" s="86">
        <v>29768</v>
      </c>
      <c r="E359" s="825">
        <v>12.6</v>
      </c>
    </row>
    <row r="360" spans="1:5" ht="15.75">
      <c r="A360" s="832"/>
      <c r="B360" s="833"/>
      <c r="C360" s="834"/>
      <c r="D360" s="86">
        <v>35247</v>
      </c>
      <c r="E360" s="825"/>
    </row>
    <row r="361" spans="1:5" ht="15.75">
      <c r="A361" s="81">
        <v>82892</v>
      </c>
      <c r="B361" s="82" t="s">
        <v>3243</v>
      </c>
      <c r="C361" s="83" t="s">
        <v>3037</v>
      </c>
      <c r="D361" s="85">
        <v>34547</v>
      </c>
      <c r="E361" s="84">
        <v>11.8</v>
      </c>
    </row>
    <row r="362" spans="1:5">
      <c r="A362" s="832">
        <v>82983</v>
      </c>
      <c r="B362" s="833" t="s">
        <v>3244</v>
      </c>
      <c r="C362" s="834" t="s">
        <v>3037</v>
      </c>
      <c r="D362" s="824">
        <v>29738</v>
      </c>
      <c r="E362" s="825">
        <v>12.4</v>
      </c>
    </row>
    <row r="363" spans="1:5">
      <c r="A363" s="832"/>
      <c r="B363" s="833"/>
      <c r="C363" s="834"/>
      <c r="D363" s="824"/>
      <c r="E363" s="825"/>
    </row>
    <row r="364" spans="1:5">
      <c r="A364" s="826">
        <v>82900</v>
      </c>
      <c r="B364" s="827" t="s">
        <v>3245</v>
      </c>
      <c r="C364" s="828" t="s">
        <v>3037</v>
      </c>
      <c r="D364" s="829">
        <v>36373</v>
      </c>
      <c r="E364" s="830">
        <v>15</v>
      </c>
    </row>
    <row r="365" spans="1:5">
      <c r="A365" s="826"/>
      <c r="B365" s="827"/>
      <c r="C365" s="828"/>
      <c r="D365" s="829"/>
      <c r="E365" s="830"/>
    </row>
    <row r="366" spans="1:5" ht="15.75">
      <c r="A366" s="77">
        <v>82797</v>
      </c>
      <c r="B366" s="78" t="s">
        <v>3246</v>
      </c>
      <c r="C366" s="79" t="s">
        <v>3037</v>
      </c>
      <c r="D366" s="86" t="s">
        <v>3360</v>
      </c>
      <c r="E366" s="80" t="s">
        <v>3360</v>
      </c>
    </row>
    <row r="367" spans="1:5">
      <c r="A367" s="826">
        <v>82789</v>
      </c>
      <c r="B367" s="827" t="s">
        <v>3247</v>
      </c>
      <c r="C367" s="828" t="s">
        <v>3037</v>
      </c>
      <c r="D367" s="829" t="s">
        <v>3360</v>
      </c>
      <c r="E367" s="830" t="s">
        <v>3360</v>
      </c>
    </row>
    <row r="368" spans="1:5">
      <c r="A368" s="826"/>
      <c r="B368" s="827"/>
      <c r="C368" s="828"/>
      <c r="D368" s="829"/>
      <c r="E368" s="830"/>
    </row>
    <row r="369" spans="1:5" ht="15.75">
      <c r="A369" s="77">
        <v>82975</v>
      </c>
      <c r="B369" s="78" t="s">
        <v>3248</v>
      </c>
      <c r="C369" s="79" t="s">
        <v>3038</v>
      </c>
      <c r="D369" s="86">
        <v>30468</v>
      </c>
      <c r="E369" s="80">
        <v>11.7</v>
      </c>
    </row>
    <row r="370" spans="1:5">
      <c r="A370" s="826">
        <v>82474</v>
      </c>
      <c r="B370" s="827" t="s">
        <v>3249</v>
      </c>
      <c r="C370" s="828" t="s">
        <v>3038</v>
      </c>
      <c r="D370" s="829" t="s">
        <v>3360</v>
      </c>
      <c r="E370" s="830" t="s">
        <v>3360</v>
      </c>
    </row>
    <row r="371" spans="1:5">
      <c r="A371" s="826"/>
      <c r="B371" s="827"/>
      <c r="C371" s="828"/>
      <c r="D371" s="829"/>
      <c r="E371" s="830"/>
    </row>
    <row r="372" spans="1:5">
      <c r="A372" s="826"/>
      <c r="B372" s="827"/>
      <c r="C372" s="828"/>
      <c r="D372" s="829"/>
      <c r="E372" s="830"/>
    </row>
    <row r="373" spans="1:5">
      <c r="A373" s="826"/>
      <c r="B373" s="827"/>
      <c r="C373" s="828"/>
      <c r="D373" s="829"/>
      <c r="E373" s="830"/>
    </row>
    <row r="374" spans="1:5">
      <c r="A374" s="832">
        <v>82976</v>
      </c>
      <c r="B374" s="833" t="s">
        <v>3250</v>
      </c>
      <c r="C374" s="834" t="s">
        <v>3038</v>
      </c>
      <c r="D374" s="824" t="s">
        <v>3360</v>
      </c>
      <c r="E374" s="825" t="s">
        <v>3360</v>
      </c>
    </row>
    <row r="375" spans="1:5">
      <c r="A375" s="832"/>
      <c r="B375" s="833"/>
      <c r="C375" s="834"/>
      <c r="D375" s="824"/>
      <c r="E375" s="825"/>
    </row>
    <row r="376" spans="1:5">
      <c r="A376" s="826">
        <v>82298</v>
      </c>
      <c r="B376" s="827" t="s">
        <v>3251</v>
      </c>
      <c r="C376" s="828" t="s">
        <v>3038</v>
      </c>
      <c r="D376" s="829">
        <v>29768</v>
      </c>
      <c r="E376" s="830">
        <v>16.2</v>
      </c>
    </row>
    <row r="377" spans="1:5">
      <c r="A377" s="826"/>
      <c r="B377" s="827"/>
      <c r="C377" s="828"/>
      <c r="D377" s="829"/>
      <c r="E377" s="830"/>
    </row>
    <row r="378" spans="1:5">
      <c r="A378" s="832">
        <v>82678</v>
      </c>
      <c r="B378" s="833" t="s">
        <v>3252</v>
      </c>
      <c r="C378" s="834" t="s">
        <v>3038</v>
      </c>
      <c r="D378" s="824">
        <v>35247</v>
      </c>
      <c r="E378" s="825">
        <v>15</v>
      </c>
    </row>
    <row r="379" spans="1:5">
      <c r="A379" s="832"/>
      <c r="B379" s="833"/>
      <c r="C379" s="834"/>
      <c r="D379" s="824"/>
      <c r="E379" s="825"/>
    </row>
    <row r="380" spans="1:5" ht="15.75">
      <c r="A380" s="826">
        <v>82296</v>
      </c>
      <c r="B380" s="827" t="s">
        <v>3253</v>
      </c>
      <c r="C380" s="828" t="s">
        <v>3038</v>
      </c>
      <c r="D380" s="85">
        <v>35827</v>
      </c>
      <c r="E380" s="830">
        <v>16</v>
      </c>
    </row>
    <row r="381" spans="1:5" ht="15.75">
      <c r="A381" s="826"/>
      <c r="B381" s="827"/>
      <c r="C381" s="828"/>
      <c r="D381" s="85">
        <v>36281</v>
      </c>
      <c r="E381" s="830"/>
    </row>
    <row r="382" spans="1:5" ht="15.75">
      <c r="A382" s="77">
        <v>82684</v>
      </c>
      <c r="B382" s="78" t="s">
        <v>3254</v>
      </c>
      <c r="C382" s="79" t="s">
        <v>3038</v>
      </c>
      <c r="D382" s="86" t="s">
        <v>3360</v>
      </c>
      <c r="E382" s="80" t="s">
        <v>3360</v>
      </c>
    </row>
    <row r="383" spans="1:5" ht="15.75">
      <c r="A383" s="81">
        <v>82287</v>
      </c>
      <c r="B383" s="82" t="s">
        <v>3255</v>
      </c>
      <c r="C383" s="83" t="s">
        <v>3038</v>
      </c>
      <c r="D383" s="85">
        <v>38565</v>
      </c>
      <c r="E383" s="84">
        <v>17.8</v>
      </c>
    </row>
    <row r="384" spans="1:5" ht="15.75">
      <c r="A384" s="77">
        <v>82882</v>
      </c>
      <c r="B384" s="78" t="s">
        <v>3256</v>
      </c>
      <c r="C384" s="79" t="s">
        <v>3038</v>
      </c>
      <c r="D384" s="86">
        <v>30803</v>
      </c>
      <c r="E384" s="80">
        <v>15.3</v>
      </c>
    </row>
    <row r="385" spans="1:5">
      <c r="A385" s="826">
        <v>82780</v>
      </c>
      <c r="B385" s="827" t="s">
        <v>3257</v>
      </c>
      <c r="C385" s="828" t="s">
        <v>3038</v>
      </c>
      <c r="D385" s="829">
        <v>36647</v>
      </c>
      <c r="E385" s="830">
        <v>12.1</v>
      </c>
    </row>
    <row r="386" spans="1:5">
      <c r="A386" s="826"/>
      <c r="B386" s="827"/>
      <c r="C386" s="828"/>
      <c r="D386" s="829"/>
      <c r="E386" s="830"/>
    </row>
    <row r="387" spans="1:5" ht="15.75">
      <c r="A387" s="77">
        <v>82480</v>
      </c>
      <c r="B387" s="78" t="s">
        <v>3258</v>
      </c>
      <c r="C387" s="79" t="s">
        <v>3038</v>
      </c>
      <c r="D387" s="86">
        <v>30834</v>
      </c>
      <c r="E387" s="80">
        <v>15</v>
      </c>
    </row>
    <row r="388" spans="1:5">
      <c r="A388" s="826">
        <v>82879</v>
      </c>
      <c r="B388" s="827" t="s">
        <v>3259</v>
      </c>
      <c r="C388" s="828" t="s">
        <v>3038</v>
      </c>
      <c r="D388" s="829" t="s">
        <v>3360</v>
      </c>
      <c r="E388" s="830" t="s">
        <v>3360</v>
      </c>
    </row>
    <row r="389" spans="1:5">
      <c r="A389" s="826"/>
      <c r="B389" s="827"/>
      <c r="C389" s="828"/>
      <c r="D389" s="829"/>
      <c r="E389" s="830"/>
    </row>
    <row r="390" spans="1:5">
      <c r="A390" s="832">
        <v>82578</v>
      </c>
      <c r="B390" s="833" t="s">
        <v>3260</v>
      </c>
      <c r="C390" s="834" t="s">
        <v>3038</v>
      </c>
      <c r="D390" s="824">
        <v>34943</v>
      </c>
      <c r="E390" s="825">
        <v>15.7</v>
      </c>
    </row>
    <row r="391" spans="1:5">
      <c r="A391" s="832"/>
      <c r="B391" s="833"/>
      <c r="C391" s="834"/>
      <c r="D391" s="824"/>
      <c r="E391" s="825"/>
    </row>
    <row r="392" spans="1:5">
      <c r="A392" s="832"/>
      <c r="B392" s="833"/>
      <c r="C392" s="834"/>
      <c r="D392" s="824"/>
      <c r="E392" s="825"/>
    </row>
    <row r="393" spans="1:5" ht="15.75">
      <c r="A393" s="81">
        <v>82870</v>
      </c>
      <c r="B393" s="82" t="s">
        <v>3261</v>
      </c>
      <c r="C393" s="83" t="s">
        <v>3038</v>
      </c>
      <c r="D393" s="85">
        <v>30164</v>
      </c>
      <c r="E393" s="84">
        <v>10.4</v>
      </c>
    </row>
    <row r="394" spans="1:5">
      <c r="A394" s="832">
        <v>83783</v>
      </c>
      <c r="B394" s="833" t="s">
        <v>3262</v>
      </c>
      <c r="C394" s="834" t="s">
        <v>2582</v>
      </c>
      <c r="D394" s="824">
        <v>36708</v>
      </c>
      <c r="E394" s="825">
        <v>-5.4</v>
      </c>
    </row>
    <row r="395" spans="1:5">
      <c r="A395" s="832"/>
      <c r="B395" s="833"/>
      <c r="C395" s="834"/>
      <c r="D395" s="824"/>
      <c r="E395" s="825"/>
    </row>
    <row r="396" spans="1:5">
      <c r="A396" s="832"/>
      <c r="B396" s="833"/>
      <c r="C396" s="834"/>
      <c r="D396" s="824"/>
      <c r="E396" s="825"/>
    </row>
    <row r="397" spans="1:5" ht="15.75">
      <c r="A397" s="81">
        <v>83813</v>
      </c>
      <c r="B397" s="82" t="s">
        <v>3263</v>
      </c>
      <c r="C397" s="83" t="s">
        <v>2582</v>
      </c>
      <c r="D397" s="85">
        <v>36708</v>
      </c>
      <c r="E397" s="84">
        <v>-5</v>
      </c>
    </row>
    <row r="398" spans="1:5">
      <c r="A398" s="832">
        <v>83842</v>
      </c>
      <c r="B398" s="833" t="s">
        <v>3264</v>
      </c>
      <c r="C398" s="834" t="s">
        <v>2582</v>
      </c>
      <c r="D398" s="824">
        <v>36708</v>
      </c>
      <c r="E398" s="825">
        <v>-3.5</v>
      </c>
    </row>
    <row r="399" spans="1:5">
      <c r="A399" s="832"/>
      <c r="B399" s="833"/>
      <c r="C399" s="834"/>
      <c r="D399" s="824"/>
      <c r="E399" s="825"/>
    </row>
    <row r="400" spans="1:5" ht="15.75">
      <c r="A400" s="81">
        <v>83775</v>
      </c>
      <c r="B400" s="82" t="s">
        <v>3265</v>
      </c>
      <c r="C400" s="83" t="s">
        <v>2582</v>
      </c>
      <c r="D400" s="85">
        <v>32325</v>
      </c>
      <c r="E400" s="84">
        <v>0.4</v>
      </c>
    </row>
    <row r="401" spans="1:5" ht="15.75">
      <c r="A401" s="77">
        <v>83836</v>
      </c>
      <c r="B401" s="78" t="s">
        <v>3266</v>
      </c>
      <c r="C401" s="79" t="s">
        <v>2582</v>
      </c>
      <c r="D401" s="86">
        <v>36708</v>
      </c>
      <c r="E401" s="80">
        <v>-5.0999999999999996</v>
      </c>
    </row>
    <row r="402" spans="1:5" ht="15.75">
      <c r="A402" s="81">
        <v>83811</v>
      </c>
      <c r="B402" s="82" t="s">
        <v>3267</v>
      </c>
      <c r="C402" s="83" t="s">
        <v>2582</v>
      </c>
      <c r="D402" s="85">
        <v>30895</v>
      </c>
      <c r="E402" s="84">
        <v>-4.7</v>
      </c>
    </row>
    <row r="403" spans="1:5">
      <c r="A403" s="832">
        <v>83769</v>
      </c>
      <c r="B403" s="833" t="s">
        <v>3268</v>
      </c>
      <c r="C403" s="834" t="s">
        <v>2582</v>
      </c>
      <c r="D403" s="824">
        <v>34486</v>
      </c>
      <c r="E403" s="825">
        <v>-1.8</v>
      </c>
    </row>
    <row r="404" spans="1:5">
      <c r="A404" s="832"/>
      <c r="B404" s="833"/>
      <c r="C404" s="834"/>
      <c r="D404" s="824"/>
      <c r="E404" s="825"/>
    </row>
    <row r="405" spans="1:5">
      <c r="A405" s="826">
        <v>83766</v>
      </c>
      <c r="B405" s="827" t="s">
        <v>3269</v>
      </c>
      <c r="C405" s="828" t="s">
        <v>2582</v>
      </c>
      <c r="D405" s="829">
        <v>36708</v>
      </c>
      <c r="E405" s="830">
        <v>-1.8</v>
      </c>
    </row>
    <row r="406" spans="1:5">
      <c r="A406" s="826"/>
      <c r="B406" s="827"/>
      <c r="C406" s="828"/>
      <c r="D406" s="829"/>
      <c r="E406" s="830"/>
    </row>
    <row r="407" spans="1:5">
      <c r="A407" s="826"/>
      <c r="B407" s="827"/>
      <c r="C407" s="828"/>
      <c r="D407" s="829"/>
      <c r="E407" s="830"/>
    </row>
    <row r="408" spans="1:5" ht="15.75">
      <c r="A408" s="832">
        <v>83767</v>
      </c>
      <c r="B408" s="833" t="s">
        <v>3270</v>
      </c>
      <c r="C408" s="834" t="s">
        <v>2582</v>
      </c>
      <c r="D408" s="86">
        <v>34486</v>
      </c>
      <c r="E408" s="825">
        <v>-0.2</v>
      </c>
    </row>
    <row r="409" spans="1:5" ht="15.75">
      <c r="A409" s="832"/>
      <c r="B409" s="833"/>
      <c r="C409" s="834"/>
      <c r="D409" s="86">
        <v>30895</v>
      </c>
      <c r="E409" s="825"/>
    </row>
    <row r="410" spans="1:5">
      <c r="A410" s="826">
        <v>83844</v>
      </c>
      <c r="B410" s="827" t="s">
        <v>3271</v>
      </c>
      <c r="C410" s="828" t="s">
        <v>2582</v>
      </c>
      <c r="D410" s="829">
        <v>33055</v>
      </c>
      <c r="E410" s="830">
        <v>3.8</v>
      </c>
    </row>
    <row r="411" spans="1:5">
      <c r="A411" s="826"/>
      <c r="B411" s="827"/>
      <c r="C411" s="828"/>
      <c r="D411" s="829"/>
      <c r="E411" s="830"/>
    </row>
    <row r="412" spans="1:5" ht="15.75">
      <c r="A412" s="77">
        <v>83007</v>
      </c>
      <c r="B412" s="78" t="s">
        <v>1207</v>
      </c>
      <c r="C412" s="79" t="s">
        <v>320</v>
      </c>
      <c r="D412" s="86">
        <v>34486</v>
      </c>
      <c r="E412" s="80">
        <v>6.7</v>
      </c>
    </row>
    <row r="413" spans="1:5">
      <c r="A413" s="826">
        <v>83788</v>
      </c>
      <c r="B413" s="827" t="s">
        <v>543</v>
      </c>
      <c r="C413" s="828" t="s">
        <v>320</v>
      </c>
      <c r="D413" s="829">
        <v>32356</v>
      </c>
      <c r="E413" s="830">
        <v>9.4</v>
      </c>
    </row>
    <row r="414" spans="1:5">
      <c r="A414" s="826"/>
      <c r="B414" s="827"/>
      <c r="C414" s="828"/>
      <c r="D414" s="829"/>
      <c r="E414" s="830"/>
    </row>
    <row r="415" spans="1:5">
      <c r="A415" s="826"/>
      <c r="B415" s="827"/>
      <c r="C415" s="828"/>
      <c r="D415" s="829"/>
      <c r="E415" s="830"/>
    </row>
    <row r="416" spans="1:5">
      <c r="A416" s="832">
        <v>83049</v>
      </c>
      <c r="B416" s="833" t="s">
        <v>3272</v>
      </c>
      <c r="C416" s="834" t="s">
        <v>320</v>
      </c>
      <c r="D416" s="824">
        <v>31199</v>
      </c>
      <c r="E416" s="825">
        <v>1.1000000000000001</v>
      </c>
    </row>
    <row r="417" spans="1:5">
      <c r="A417" s="832"/>
      <c r="B417" s="833"/>
      <c r="C417" s="834"/>
      <c r="D417" s="824"/>
      <c r="E417" s="825"/>
    </row>
    <row r="418" spans="1:5">
      <c r="A418" s="826">
        <v>83790</v>
      </c>
      <c r="B418" s="827" t="s">
        <v>3273</v>
      </c>
      <c r="C418" s="828" t="s">
        <v>320</v>
      </c>
      <c r="D418" s="829">
        <v>34486</v>
      </c>
      <c r="E418" s="830">
        <v>8.6999999999999993</v>
      </c>
    </row>
    <row r="419" spans="1:5">
      <c r="A419" s="826"/>
      <c r="B419" s="827"/>
      <c r="C419" s="828"/>
      <c r="D419" s="829"/>
      <c r="E419" s="830"/>
    </row>
    <row r="420" spans="1:5">
      <c r="A420" s="832">
        <v>83698</v>
      </c>
      <c r="B420" s="833" t="s">
        <v>3274</v>
      </c>
      <c r="C420" s="834" t="s">
        <v>320</v>
      </c>
      <c r="D420" s="824">
        <v>31503</v>
      </c>
      <c r="E420" s="825">
        <v>10.7</v>
      </c>
    </row>
    <row r="421" spans="1:5">
      <c r="A421" s="832"/>
      <c r="B421" s="833"/>
      <c r="C421" s="834"/>
      <c r="D421" s="824"/>
      <c r="E421" s="825"/>
    </row>
    <row r="422" spans="1:5">
      <c r="A422" s="826">
        <v>83807</v>
      </c>
      <c r="B422" s="827" t="s">
        <v>3275</v>
      </c>
      <c r="C422" s="828" t="s">
        <v>320</v>
      </c>
      <c r="D422" s="829">
        <v>34516</v>
      </c>
      <c r="E422" s="830">
        <v>5</v>
      </c>
    </row>
    <row r="423" spans="1:5">
      <c r="A423" s="826"/>
      <c r="B423" s="827"/>
      <c r="C423" s="828"/>
      <c r="D423" s="829"/>
      <c r="E423" s="830"/>
    </row>
    <row r="424" spans="1:5" ht="15.75">
      <c r="A424" s="832">
        <v>83718</v>
      </c>
      <c r="B424" s="833" t="s">
        <v>3276</v>
      </c>
      <c r="C424" s="834" t="s">
        <v>320</v>
      </c>
      <c r="D424" s="86">
        <v>31199</v>
      </c>
      <c r="E424" s="825">
        <v>3.6</v>
      </c>
    </row>
    <row r="425" spans="1:5" ht="15.75">
      <c r="A425" s="832"/>
      <c r="B425" s="833"/>
      <c r="C425" s="834"/>
      <c r="D425" s="86">
        <v>34516</v>
      </c>
      <c r="E425" s="825"/>
    </row>
    <row r="426" spans="1:5" ht="15.75">
      <c r="A426" s="81">
        <v>83741</v>
      </c>
      <c r="B426" s="82" t="s">
        <v>3277</v>
      </c>
      <c r="C426" s="83" t="s">
        <v>320</v>
      </c>
      <c r="D426" s="85">
        <v>34516</v>
      </c>
      <c r="E426" s="84">
        <v>7.3</v>
      </c>
    </row>
    <row r="427" spans="1:5">
      <c r="A427" s="832">
        <v>83087</v>
      </c>
      <c r="B427" s="833" t="s">
        <v>3278</v>
      </c>
      <c r="C427" s="834" t="s">
        <v>320</v>
      </c>
      <c r="D427" s="824">
        <v>34516</v>
      </c>
      <c r="E427" s="825">
        <v>3.5</v>
      </c>
    </row>
    <row r="428" spans="1:5">
      <c r="A428" s="832"/>
      <c r="B428" s="833"/>
      <c r="C428" s="834"/>
      <c r="D428" s="824"/>
      <c r="E428" s="825"/>
    </row>
    <row r="429" spans="1:5">
      <c r="A429" s="826">
        <v>83114</v>
      </c>
      <c r="B429" s="827" t="s">
        <v>3279</v>
      </c>
      <c r="C429" s="828" t="s">
        <v>320</v>
      </c>
      <c r="D429" s="829">
        <v>34486</v>
      </c>
      <c r="E429" s="830">
        <v>10.4</v>
      </c>
    </row>
    <row r="430" spans="1:5">
      <c r="A430" s="826"/>
      <c r="B430" s="827"/>
      <c r="C430" s="828"/>
      <c r="D430" s="829"/>
      <c r="E430" s="830"/>
    </row>
    <row r="431" spans="1:5" ht="15.75">
      <c r="A431" s="832">
        <v>83695</v>
      </c>
      <c r="B431" s="833" t="s">
        <v>3280</v>
      </c>
      <c r="C431" s="834" t="s">
        <v>320</v>
      </c>
      <c r="D431" s="86">
        <v>35582</v>
      </c>
      <c r="E431" s="825">
        <v>8.9</v>
      </c>
    </row>
    <row r="432" spans="1:5" ht="15.75">
      <c r="A432" s="832"/>
      <c r="B432" s="833"/>
      <c r="C432" s="834"/>
      <c r="D432" s="86">
        <v>36708</v>
      </c>
      <c r="E432" s="825"/>
    </row>
    <row r="433" spans="1:5" ht="15.75">
      <c r="A433" s="832"/>
      <c r="B433" s="833"/>
      <c r="C433" s="834"/>
      <c r="D433" s="86">
        <v>40391</v>
      </c>
      <c r="E433" s="825"/>
    </row>
    <row r="434" spans="1:5">
      <c r="A434" s="826">
        <v>83057</v>
      </c>
      <c r="B434" s="827" t="s">
        <v>3281</v>
      </c>
      <c r="C434" s="828" t="s">
        <v>320</v>
      </c>
      <c r="D434" s="829">
        <v>29921</v>
      </c>
      <c r="E434" s="830">
        <v>2.7</v>
      </c>
    </row>
    <row r="435" spans="1:5">
      <c r="A435" s="826"/>
      <c r="B435" s="827"/>
      <c r="C435" s="828"/>
      <c r="D435" s="829"/>
      <c r="E435" s="830"/>
    </row>
    <row r="436" spans="1:5" ht="15.75">
      <c r="A436" s="77">
        <v>83660</v>
      </c>
      <c r="B436" s="78" t="s">
        <v>3282</v>
      </c>
      <c r="C436" s="79" t="s">
        <v>320</v>
      </c>
      <c r="D436" s="86">
        <v>32325</v>
      </c>
      <c r="E436" s="80">
        <v>6.7</v>
      </c>
    </row>
    <row r="437" spans="1:5">
      <c r="A437" s="826">
        <v>83089</v>
      </c>
      <c r="B437" s="827" t="s">
        <v>3283</v>
      </c>
      <c r="C437" s="828" t="s">
        <v>320</v>
      </c>
      <c r="D437" s="829">
        <v>36708</v>
      </c>
      <c r="E437" s="830">
        <v>8.6</v>
      </c>
    </row>
    <row r="438" spans="1:5">
      <c r="A438" s="826"/>
      <c r="B438" s="827"/>
      <c r="C438" s="828"/>
      <c r="D438" s="829"/>
      <c r="E438" s="830"/>
    </row>
    <row r="439" spans="1:5">
      <c r="A439" s="832">
        <v>83745</v>
      </c>
      <c r="B439" s="833" t="s">
        <v>1214</v>
      </c>
      <c r="C439" s="834" t="s">
        <v>320</v>
      </c>
      <c r="D439" s="824">
        <v>29768</v>
      </c>
      <c r="E439" s="825">
        <v>1.2</v>
      </c>
    </row>
    <row r="440" spans="1:5">
      <c r="A440" s="832"/>
      <c r="B440" s="833"/>
      <c r="C440" s="834"/>
      <c r="D440" s="824"/>
      <c r="E440" s="825"/>
    </row>
    <row r="441" spans="1:5" ht="15.75">
      <c r="A441" s="81">
        <v>83757</v>
      </c>
      <c r="B441" s="82" t="s">
        <v>3284</v>
      </c>
      <c r="C441" s="83" t="s">
        <v>320</v>
      </c>
      <c r="D441" s="85">
        <v>36678</v>
      </c>
      <c r="E441" s="84">
        <v>3.3</v>
      </c>
    </row>
    <row r="442" spans="1:5" ht="15.75">
      <c r="A442" s="77">
        <v>83801</v>
      </c>
      <c r="B442" s="78" t="s">
        <v>3285</v>
      </c>
      <c r="C442" s="79" t="s">
        <v>320</v>
      </c>
      <c r="D442" s="86">
        <v>36708</v>
      </c>
      <c r="E442" s="80">
        <v>8.6</v>
      </c>
    </row>
    <row r="443" spans="1:5">
      <c r="A443" s="826">
        <v>83738</v>
      </c>
      <c r="B443" s="827" t="s">
        <v>3286</v>
      </c>
      <c r="C443" s="828" t="s">
        <v>320</v>
      </c>
      <c r="D443" s="829">
        <v>36708</v>
      </c>
      <c r="E443" s="830">
        <v>3</v>
      </c>
    </row>
    <row r="444" spans="1:5">
      <c r="A444" s="826"/>
      <c r="B444" s="827"/>
      <c r="C444" s="828"/>
      <c r="D444" s="829"/>
      <c r="E444" s="830"/>
    </row>
    <row r="445" spans="1:5">
      <c r="A445" s="826"/>
      <c r="B445" s="827"/>
      <c r="C445" s="828"/>
      <c r="D445" s="829"/>
      <c r="E445" s="830"/>
    </row>
    <row r="446" spans="1:5">
      <c r="A446" s="826"/>
      <c r="B446" s="827"/>
      <c r="C446" s="828"/>
      <c r="D446" s="829"/>
      <c r="E446" s="830"/>
    </row>
    <row r="447" spans="1:5">
      <c r="A447" s="832">
        <v>83048</v>
      </c>
      <c r="B447" s="833" t="s">
        <v>3287</v>
      </c>
      <c r="C447" s="834" t="s">
        <v>320</v>
      </c>
      <c r="D447" s="824">
        <v>36708</v>
      </c>
      <c r="E447" s="825">
        <v>4.9000000000000004</v>
      </c>
    </row>
    <row r="448" spans="1:5">
      <c r="A448" s="832"/>
      <c r="B448" s="833"/>
      <c r="C448" s="834"/>
      <c r="D448" s="824"/>
      <c r="E448" s="825"/>
    </row>
    <row r="449" spans="1:5">
      <c r="A449" s="826">
        <v>83743</v>
      </c>
      <c r="B449" s="827" t="s">
        <v>321</v>
      </c>
      <c r="C449" s="828" t="s">
        <v>320</v>
      </c>
      <c r="D449" s="829">
        <v>32994</v>
      </c>
      <c r="E449" s="830">
        <v>11.1</v>
      </c>
    </row>
    <row r="450" spans="1:5">
      <c r="A450" s="826"/>
      <c r="B450" s="827"/>
      <c r="C450" s="828"/>
      <c r="D450" s="829"/>
      <c r="E450" s="830"/>
    </row>
    <row r="451" spans="1:5">
      <c r="A451" s="832">
        <v>83789</v>
      </c>
      <c r="B451" s="833" t="s">
        <v>589</v>
      </c>
      <c r="C451" s="834" t="s">
        <v>320</v>
      </c>
      <c r="D451" s="824">
        <v>34516</v>
      </c>
      <c r="E451" s="825">
        <v>9.6999999999999993</v>
      </c>
    </row>
    <row r="452" spans="1:5">
      <c r="A452" s="832"/>
      <c r="B452" s="833"/>
      <c r="C452" s="834"/>
      <c r="D452" s="824"/>
      <c r="E452" s="825"/>
    </row>
    <row r="453" spans="1:5">
      <c r="A453" s="826">
        <v>83696</v>
      </c>
      <c r="B453" s="827" t="s">
        <v>3288</v>
      </c>
      <c r="C453" s="828" t="s">
        <v>320</v>
      </c>
      <c r="D453" s="829">
        <v>32325</v>
      </c>
      <c r="E453" s="830">
        <v>2.2999999999999998</v>
      </c>
    </row>
    <row r="454" spans="1:5">
      <c r="A454" s="826"/>
      <c r="B454" s="827"/>
      <c r="C454" s="828"/>
      <c r="D454" s="829"/>
      <c r="E454" s="830"/>
    </row>
    <row r="455" spans="1:5" ht="15.75">
      <c r="A455" s="77">
        <v>83052</v>
      </c>
      <c r="B455" s="78" t="s">
        <v>3289</v>
      </c>
      <c r="C455" s="79" t="s">
        <v>320</v>
      </c>
      <c r="D455" s="86">
        <v>34486</v>
      </c>
      <c r="E455" s="80">
        <v>2.5</v>
      </c>
    </row>
    <row r="456" spans="1:5">
      <c r="A456" s="826">
        <v>83805</v>
      </c>
      <c r="B456" s="827" t="s">
        <v>3290</v>
      </c>
      <c r="C456" s="828" t="s">
        <v>320</v>
      </c>
      <c r="D456" s="829">
        <v>36708</v>
      </c>
      <c r="E456" s="830">
        <v>6.1</v>
      </c>
    </row>
    <row r="457" spans="1:5">
      <c r="A457" s="826"/>
      <c r="B457" s="827"/>
      <c r="C457" s="828"/>
      <c r="D457" s="829"/>
      <c r="E457" s="830"/>
    </row>
    <row r="458" spans="1:5">
      <c r="A458" s="832">
        <v>83697</v>
      </c>
      <c r="B458" s="833" t="s">
        <v>3291</v>
      </c>
      <c r="C458" s="834" t="s">
        <v>320</v>
      </c>
      <c r="D458" s="824">
        <v>36708</v>
      </c>
      <c r="E458" s="825">
        <v>7.2</v>
      </c>
    </row>
    <row r="459" spans="1:5">
      <c r="A459" s="832"/>
      <c r="B459" s="833"/>
      <c r="C459" s="834"/>
      <c r="D459" s="824"/>
      <c r="E459" s="825"/>
    </row>
    <row r="460" spans="1:5">
      <c r="A460" s="826">
        <v>83744</v>
      </c>
      <c r="B460" s="827" t="s">
        <v>3292</v>
      </c>
      <c r="C460" s="828" t="s">
        <v>320</v>
      </c>
      <c r="D460" s="829">
        <v>31199</v>
      </c>
      <c r="E460" s="830">
        <v>3</v>
      </c>
    </row>
    <row r="461" spans="1:5">
      <c r="A461" s="826"/>
      <c r="B461" s="827"/>
      <c r="C461" s="828"/>
      <c r="D461" s="829"/>
      <c r="E461" s="830"/>
    </row>
    <row r="462" spans="1:5" ht="15.75">
      <c r="A462" s="77">
        <v>82590</v>
      </c>
      <c r="B462" s="78" t="s">
        <v>3293</v>
      </c>
      <c r="C462" s="79" t="s">
        <v>3042</v>
      </c>
      <c r="D462" s="86">
        <v>35735</v>
      </c>
      <c r="E462" s="80">
        <v>15.6</v>
      </c>
    </row>
    <row r="463" spans="1:5" ht="15.75">
      <c r="A463" s="81">
        <v>82596</v>
      </c>
      <c r="B463" s="82" t="s">
        <v>3294</v>
      </c>
      <c r="C463" s="83" t="s">
        <v>3042</v>
      </c>
      <c r="D463" s="85" t="s">
        <v>3360</v>
      </c>
      <c r="E463" s="84" t="s">
        <v>3360</v>
      </c>
    </row>
    <row r="464" spans="1:5">
      <c r="A464" s="832">
        <v>82693</v>
      </c>
      <c r="B464" s="833" t="s">
        <v>3295</v>
      </c>
      <c r="C464" s="834" t="s">
        <v>3042</v>
      </c>
      <c r="D464" s="824">
        <v>31625</v>
      </c>
      <c r="E464" s="825">
        <v>14.3</v>
      </c>
    </row>
    <row r="465" spans="1:5">
      <c r="A465" s="832"/>
      <c r="B465" s="833"/>
      <c r="C465" s="834"/>
      <c r="D465" s="824"/>
      <c r="E465" s="825"/>
    </row>
    <row r="466" spans="1:5">
      <c r="A466" s="826">
        <v>82691</v>
      </c>
      <c r="B466" s="827" t="s">
        <v>3296</v>
      </c>
      <c r="C466" s="828" t="s">
        <v>3042</v>
      </c>
      <c r="D466" s="829">
        <v>31260</v>
      </c>
      <c r="E466" s="830">
        <v>16</v>
      </c>
    </row>
    <row r="467" spans="1:5">
      <c r="A467" s="826"/>
      <c r="B467" s="827"/>
      <c r="C467" s="828"/>
      <c r="D467" s="829"/>
      <c r="E467" s="830"/>
    </row>
    <row r="468" spans="1:5">
      <c r="A468" s="832">
        <v>82594</v>
      </c>
      <c r="B468" s="833" t="s">
        <v>3297</v>
      </c>
      <c r="C468" s="834" t="s">
        <v>3042</v>
      </c>
      <c r="D468" s="824">
        <v>34912</v>
      </c>
      <c r="E468" s="825">
        <v>19.399999999999999</v>
      </c>
    </row>
    <row r="469" spans="1:5">
      <c r="A469" s="832"/>
      <c r="B469" s="833"/>
      <c r="C469" s="834"/>
      <c r="D469" s="824"/>
      <c r="E469" s="825"/>
    </row>
    <row r="470" spans="1:5" ht="15.75">
      <c r="A470" s="81">
        <v>82591</v>
      </c>
      <c r="B470" s="82" t="s">
        <v>3298</v>
      </c>
      <c r="C470" s="83" t="s">
        <v>3042</v>
      </c>
      <c r="D470" s="85">
        <v>35217</v>
      </c>
      <c r="E470" s="84">
        <v>16</v>
      </c>
    </row>
    <row r="471" spans="1:5">
      <c r="A471" s="832">
        <v>82598</v>
      </c>
      <c r="B471" s="833" t="s">
        <v>3299</v>
      </c>
      <c r="C471" s="834" t="s">
        <v>3042</v>
      </c>
      <c r="D471" s="824" t="s">
        <v>3360</v>
      </c>
      <c r="E471" s="825" t="s">
        <v>3360</v>
      </c>
    </row>
    <row r="472" spans="1:5">
      <c r="A472" s="832"/>
      <c r="B472" s="833"/>
      <c r="C472" s="834"/>
      <c r="D472" s="824"/>
      <c r="E472" s="825"/>
    </row>
    <row r="473" spans="1:5">
      <c r="A473" s="832"/>
      <c r="B473" s="833"/>
      <c r="C473" s="834"/>
      <c r="D473" s="824"/>
      <c r="E473" s="825"/>
    </row>
    <row r="474" spans="1:5">
      <c r="A474" s="826">
        <v>82690</v>
      </c>
      <c r="B474" s="827" t="s">
        <v>3300</v>
      </c>
      <c r="C474" s="828" t="s">
        <v>3042</v>
      </c>
      <c r="D474" s="829">
        <v>39508</v>
      </c>
      <c r="E474" s="830">
        <v>16.3</v>
      </c>
    </row>
    <row r="475" spans="1:5">
      <c r="A475" s="826"/>
      <c r="B475" s="827"/>
      <c r="C475" s="828"/>
      <c r="D475" s="829"/>
      <c r="E475" s="830"/>
    </row>
    <row r="476" spans="1:5" ht="15.75">
      <c r="A476" s="77">
        <v>82825</v>
      </c>
      <c r="B476" s="78" t="s">
        <v>3301</v>
      </c>
      <c r="C476" s="79" t="s">
        <v>3044</v>
      </c>
      <c r="D476" s="86">
        <v>29768</v>
      </c>
      <c r="E476" s="80">
        <v>10.5</v>
      </c>
    </row>
    <row r="477" spans="1:5" ht="15.75">
      <c r="A477" s="81">
        <v>82024</v>
      </c>
      <c r="B477" s="82" t="s">
        <v>3302</v>
      </c>
      <c r="C477" s="83" t="s">
        <v>3046</v>
      </c>
      <c r="D477" s="85">
        <v>34121</v>
      </c>
      <c r="E477" s="84">
        <v>12.4</v>
      </c>
    </row>
    <row r="478" spans="1:5">
      <c r="A478" s="832">
        <v>82042</v>
      </c>
      <c r="B478" s="833" t="s">
        <v>3303</v>
      </c>
      <c r="C478" s="834" t="s">
        <v>3046</v>
      </c>
      <c r="D478" s="824">
        <v>35947</v>
      </c>
      <c r="E478" s="825">
        <v>14.2</v>
      </c>
    </row>
    <row r="479" spans="1:5">
      <c r="A479" s="832"/>
      <c r="B479" s="833"/>
      <c r="C479" s="834"/>
      <c r="D479" s="824"/>
      <c r="E479" s="825"/>
    </row>
    <row r="480" spans="1:5">
      <c r="A480" s="826">
        <v>83980</v>
      </c>
      <c r="B480" s="827" t="s">
        <v>3304</v>
      </c>
      <c r="C480" s="828" t="s">
        <v>3048</v>
      </c>
      <c r="D480" s="829">
        <v>35217</v>
      </c>
      <c r="E480" s="830">
        <v>-3.9</v>
      </c>
    </row>
    <row r="481" spans="1:5">
      <c r="A481" s="826"/>
      <c r="B481" s="827"/>
      <c r="C481" s="828"/>
      <c r="D481" s="829"/>
      <c r="E481" s="830"/>
    </row>
    <row r="482" spans="1:5">
      <c r="A482" s="826"/>
      <c r="B482" s="827"/>
      <c r="C482" s="828"/>
      <c r="D482" s="829"/>
      <c r="E482" s="830"/>
    </row>
    <row r="483" spans="1:5" ht="15.75">
      <c r="A483" s="77">
        <v>83941</v>
      </c>
      <c r="B483" s="78" t="s">
        <v>3305</v>
      </c>
      <c r="C483" s="79" t="s">
        <v>3048</v>
      </c>
      <c r="D483" s="86">
        <v>36708</v>
      </c>
      <c r="E483" s="80">
        <v>-4.5</v>
      </c>
    </row>
    <row r="484" spans="1:5">
      <c r="A484" s="826">
        <v>83919</v>
      </c>
      <c r="B484" s="827" t="s">
        <v>3306</v>
      </c>
      <c r="C484" s="828" t="s">
        <v>3048</v>
      </c>
      <c r="D484" s="829">
        <v>33451</v>
      </c>
      <c r="E484" s="830">
        <v>-8</v>
      </c>
    </row>
    <row r="485" spans="1:5">
      <c r="A485" s="826"/>
      <c r="B485" s="827"/>
      <c r="C485" s="828"/>
      <c r="D485" s="829"/>
      <c r="E485" s="830"/>
    </row>
    <row r="486" spans="1:5" ht="15.75">
      <c r="A486" s="77">
        <v>83946</v>
      </c>
      <c r="B486" s="78" t="s">
        <v>3307</v>
      </c>
      <c r="C486" s="79" t="s">
        <v>3048</v>
      </c>
      <c r="D486" s="86">
        <v>36708</v>
      </c>
      <c r="E486" s="80">
        <v>-7.2</v>
      </c>
    </row>
    <row r="487" spans="1:5" ht="15.75">
      <c r="A487" s="826">
        <v>83961</v>
      </c>
      <c r="B487" s="827" t="s">
        <v>3308</v>
      </c>
      <c r="C487" s="828" t="s">
        <v>3048</v>
      </c>
      <c r="D487" s="85">
        <v>36708</v>
      </c>
      <c r="E487" s="830">
        <v>-1.8</v>
      </c>
    </row>
    <row r="488" spans="1:5" ht="15.75">
      <c r="A488" s="826"/>
      <c r="B488" s="827"/>
      <c r="C488" s="828"/>
      <c r="D488" s="85">
        <v>39995</v>
      </c>
      <c r="E488" s="830"/>
    </row>
    <row r="489" spans="1:5">
      <c r="A489" s="832">
        <v>83942</v>
      </c>
      <c r="B489" s="833" t="s">
        <v>3309</v>
      </c>
      <c r="C489" s="834" t="s">
        <v>3048</v>
      </c>
      <c r="D489" s="824">
        <v>36708</v>
      </c>
      <c r="E489" s="825">
        <v>-3</v>
      </c>
    </row>
    <row r="490" spans="1:5">
      <c r="A490" s="832"/>
      <c r="B490" s="833"/>
      <c r="C490" s="834"/>
      <c r="D490" s="824"/>
      <c r="E490" s="825"/>
    </row>
    <row r="491" spans="1:5">
      <c r="A491" s="826">
        <v>83912</v>
      </c>
      <c r="B491" s="827" t="s">
        <v>3310</v>
      </c>
      <c r="C491" s="828" t="s">
        <v>3048</v>
      </c>
      <c r="D491" s="829">
        <v>36708</v>
      </c>
      <c r="E491" s="830">
        <v>-3</v>
      </c>
    </row>
    <row r="492" spans="1:5">
      <c r="A492" s="826"/>
      <c r="B492" s="827"/>
      <c r="C492" s="828"/>
      <c r="D492" s="829"/>
      <c r="E492" s="830"/>
    </row>
    <row r="493" spans="1:5" ht="15.75">
      <c r="A493" s="77">
        <v>83964</v>
      </c>
      <c r="B493" s="78" t="s">
        <v>3311</v>
      </c>
      <c r="C493" s="79" t="s">
        <v>3048</v>
      </c>
      <c r="D493" s="86">
        <v>33420</v>
      </c>
      <c r="E493" s="80">
        <v>-2</v>
      </c>
    </row>
    <row r="494" spans="1:5" ht="15.75">
      <c r="A494" s="81">
        <v>83932</v>
      </c>
      <c r="B494" s="82" t="s">
        <v>3312</v>
      </c>
      <c r="C494" s="83" t="s">
        <v>3048</v>
      </c>
      <c r="D494" s="85">
        <v>36708</v>
      </c>
      <c r="E494" s="84">
        <v>-4</v>
      </c>
    </row>
    <row r="495" spans="1:5" ht="15.75">
      <c r="A495" s="832">
        <v>83881</v>
      </c>
      <c r="B495" s="833" t="s">
        <v>3313</v>
      </c>
      <c r="C495" s="834" t="s">
        <v>3048</v>
      </c>
      <c r="D495" s="86">
        <v>36708</v>
      </c>
      <c r="E495" s="825">
        <v>-2</v>
      </c>
    </row>
    <row r="496" spans="1:5" ht="15.75">
      <c r="A496" s="832"/>
      <c r="B496" s="833"/>
      <c r="C496" s="834"/>
      <c r="D496" s="86">
        <v>33451</v>
      </c>
      <c r="E496" s="825"/>
    </row>
    <row r="497" spans="1:5">
      <c r="A497" s="826">
        <v>83916</v>
      </c>
      <c r="B497" s="827" t="s">
        <v>3314</v>
      </c>
      <c r="C497" s="828" t="s">
        <v>3048</v>
      </c>
      <c r="D497" s="829">
        <v>36708</v>
      </c>
      <c r="E497" s="830">
        <v>-5.3</v>
      </c>
    </row>
    <row r="498" spans="1:5">
      <c r="A498" s="826"/>
      <c r="B498" s="827"/>
      <c r="C498" s="828"/>
      <c r="D498" s="829"/>
      <c r="E498" s="830"/>
    </row>
    <row r="499" spans="1:5" ht="15.75">
      <c r="A499" s="77">
        <v>83914</v>
      </c>
      <c r="B499" s="78" t="s">
        <v>3315</v>
      </c>
      <c r="C499" s="79" t="s">
        <v>3048</v>
      </c>
      <c r="D499" s="86">
        <v>36708</v>
      </c>
      <c r="E499" s="80">
        <v>-3.5</v>
      </c>
    </row>
    <row r="500" spans="1:5">
      <c r="A500" s="826">
        <v>83985</v>
      </c>
      <c r="B500" s="827" t="s">
        <v>3316</v>
      </c>
      <c r="C500" s="828" t="s">
        <v>3048</v>
      </c>
      <c r="D500" s="829">
        <v>35217</v>
      </c>
      <c r="E500" s="830">
        <v>-3</v>
      </c>
    </row>
    <row r="501" spans="1:5">
      <c r="A501" s="826"/>
      <c r="B501" s="827"/>
      <c r="C501" s="828"/>
      <c r="D501" s="829"/>
      <c r="E501" s="830"/>
    </row>
    <row r="502" spans="1:5" ht="15.75">
      <c r="A502" s="77">
        <v>83967</v>
      </c>
      <c r="B502" s="78" t="s">
        <v>3317</v>
      </c>
      <c r="C502" s="79" t="s">
        <v>3048</v>
      </c>
      <c r="D502" s="86">
        <v>34151</v>
      </c>
      <c r="E502" s="80">
        <v>-0.2</v>
      </c>
    </row>
    <row r="503" spans="1:5" ht="15.75">
      <c r="A503" s="81">
        <v>83995</v>
      </c>
      <c r="B503" s="82" t="s">
        <v>3318</v>
      </c>
      <c r="C503" s="83" t="s">
        <v>3048</v>
      </c>
      <c r="D503" s="85">
        <v>34486</v>
      </c>
      <c r="E503" s="84">
        <v>-0.5</v>
      </c>
    </row>
    <row r="504" spans="1:5">
      <c r="A504" s="832">
        <v>83936</v>
      </c>
      <c r="B504" s="833" t="s">
        <v>3319</v>
      </c>
      <c r="C504" s="834" t="s">
        <v>3048</v>
      </c>
      <c r="D504" s="824">
        <v>36708</v>
      </c>
      <c r="E504" s="825">
        <v>-2.9</v>
      </c>
    </row>
    <row r="505" spans="1:5">
      <c r="A505" s="832"/>
      <c r="B505" s="833"/>
      <c r="C505" s="834"/>
      <c r="D505" s="824"/>
      <c r="E505" s="825"/>
    </row>
    <row r="506" spans="1:5">
      <c r="A506" s="826">
        <v>83997</v>
      </c>
      <c r="B506" s="827" t="s">
        <v>3320</v>
      </c>
      <c r="C506" s="828" t="s">
        <v>3048</v>
      </c>
      <c r="D506" s="829">
        <v>35217</v>
      </c>
      <c r="E506" s="830">
        <v>-1.7</v>
      </c>
    </row>
    <row r="507" spans="1:5">
      <c r="A507" s="826"/>
      <c r="B507" s="827"/>
      <c r="C507" s="828"/>
      <c r="D507" s="829"/>
      <c r="E507" s="830"/>
    </row>
    <row r="508" spans="1:5" ht="15.75">
      <c r="A508" s="77">
        <v>83953</v>
      </c>
      <c r="B508" s="78" t="s">
        <v>3321</v>
      </c>
      <c r="C508" s="79" t="s">
        <v>3048</v>
      </c>
      <c r="D508" s="86">
        <v>39995</v>
      </c>
      <c r="E508" s="80">
        <v>-3.4</v>
      </c>
    </row>
    <row r="509" spans="1:5" ht="15.75">
      <c r="A509" s="81">
        <v>83907</v>
      </c>
      <c r="B509" s="82" t="s">
        <v>3322</v>
      </c>
      <c r="C509" s="83" t="s">
        <v>3048</v>
      </c>
      <c r="D509" s="85">
        <v>33451</v>
      </c>
      <c r="E509" s="84">
        <v>-1.8</v>
      </c>
    </row>
    <row r="510" spans="1:5">
      <c r="A510" s="832">
        <v>83948</v>
      </c>
      <c r="B510" s="833" t="s">
        <v>3323</v>
      </c>
      <c r="C510" s="834" t="s">
        <v>3048</v>
      </c>
      <c r="D510" s="824">
        <v>33451</v>
      </c>
      <c r="E510" s="825">
        <v>1</v>
      </c>
    </row>
    <row r="511" spans="1:5">
      <c r="A511" s="832"/>
      <c r="B511" s="833"/>
      <c r="C511" s="834"/>
      <c r="D511" s="824"/>
      <c r="E511" s="825"/>
    </row>
    <row r="512" spans="1:5" ht="15.75">
      <c r="A512" s="826">
        <v>83954</v>
      </c>
      <c r="B512" s="827" t="s">
        <v>3247</v>
      </c>
      <c r="C512" s="828" t="s">
        <v>3048</v>
      </c>
      <c r="D512" s="85">
        <v>36708</v>
      </c>
      <c r="E512" s="830">
        <v>-0.8</v>
      </c>
    </row>
    <row r="513" spans="1:5" ht="15.75">
      <c r="A513" s="826"/>
      <c r="B513" s="827"/>
      <c r="C513" s="828"/>
      <c r="D513" s="85">
        <v>39995</v>
      </c>
      <c r="E513" s="830"/>
    </row>
    <row r="514" spans="1:5" ht="15.75">
      <c r="A514" s="77">
        <v>83927</v>
      </c>
      <c r="B514" s="78" t="s">
        <v>3324</v>
      </c>
      <c r="C514" s="79" t="s">
        <v>3048</v>
      </c>
      <c r="D514" s="86">
        <v>36708</v>
      </c>
      <c r="E514" s="80">
        <v>-3.2</v>
      </c>
    </row>
    <row r="515" spans="1:5" ht="15.75">
      <c r="A515" s="81">
        <v>83887</v>
      </c>
      <c r="B515" s="82" t="s">
        <v>3325</v>
      </c>
      <c r="C515" s="83" t="s">
        <v>3050</v>
      </c>
      <c r="D515" s="85">
        <v>36708</v>
      </c>
      <c r="E515" s="84">
        <v>-5.6</v>
      </c>
    </row>
    <row r="516" spans="1:5" ht="15.75">
      <c r="A516" s="77">
        <v>83883</v>
      </c>
      <c r="B516" s="78" t="s">
        <v>3326</v>
      </c>
      <c r="C516" s="79" t="s">
        <v>3050</v>
      </c>
      <c r="D516" s="86">
        <v>36708</v>
      </c>
      <c r="E516" s="80">
        <v>-4.5</v>
      </c>
    </row>
    <row r="517" spans="1:5" ht="15.75">
      <c r="A517" s="81">
        <v>83897</v>
      </c>
      <c r="B517" s="82" t="s">
        <v>3327</v>
      </c>
      <c r="C517" s="83" t="s">
        <v>3050</v>
      </c>
      <c r="D517" s="85">
        <v>34486</v>
      </c>
      <c r="E517" s="84">
        <v>1.7</v>
      </c>
    </row>
    <row r="518" spans="1:5">
      <c r="A518" s="832">
        <v>83872</v>
      </c>
      <c r="B518" s="833" t="s">
        <v>3328</v>
      </c>
      <c r="C518" s="834" t="s">
        <v>3050</v>
      </c>
      <c r="D518" s="824">
        <v>36708</v>
      </c>
      <c r="E518" s="825">
        <v>-1.2</v>
      </c>
    </row>
    <row r="519" spans="1:5">
      <c r="A519" s="832"/>
      <c r="B519" s="833"/>
      <c r="C519" s="834"/>
      <c r="D519" s="824"/>
      <c r="E519" s="825"/>
    </row>
    <row r="520" spans="1:5">
      <c r="A520" s="832"/>
      <c r="B520" s="833"/>
      <c r="C520" s="834"/>
      <c r="D520" s="824"/>
      <c r="E520" s="825"/>
    </row>
    <row r="521" spans="1:5" ht="15.75">
      <c r="A521" s="81">
        <v>83891</v>
      </c>
      <c r="B521" s="82" t="s">
        <v>3329</v>
      </c>
      <c r="C521" s="83" t="s">
        <v>3050</v>
      </c>
      <c r="D521" s="85">
        <v>36708</v>
      </c>
      <c r="E521" s="84">
        <v>-6</v>
      </c>
    </row>
    <row r="522" spans="1:5">
      <c r="A522" s="832">
        <v>83920</v>
      </c>
      <c r="B522" s="833" t="s">
        <v>3330</v>
      </c>
      <c r="C522" s="834" t="s">
        <v>3050</v>
      </c>
      <c r="D522" s="824">
        <v>36708</v>
      </c>
      <c r="E522" s="825">
        <v>-9</v>
      </c>
    </row>
    <row r="523" spans="1:5">
      <c r="A523" s="832"/>
      <c r="B523" s="833"/>
      <c r="C523" s="834"/>
      <c r="D523" s="824"/>
      <c r="E523" s="825"/>
    </row>
    <row r="524" spans="1:5" ht="15.75">
      <c r="A524" s="81">
        <v>83923</v>
      </c>
      <c r="B524" s="82" t="s">
        <v>3331</v>
      </c>
      <c r="C524" s="83" t="s">
        <v>3050</v>
      </c>
      <c r="D524" s="85">
        <v>30560</v>
      </c>
      <c r="E524" s="84">
        <v>-1.2</v>
      </c>
    </row>
    <row r="525" spans="1:5" ht="15.75">
      <c r="A525" s="77">
        <v>83096</v>
      </c>
      <c r="B525" s="78" t="s">
        <v>3332</v>
      </c>
      <c r="C525" s="79" t="s">
        <v>3052</v>
      </c>
      <c r="D525" s="86">
        <v>39753</v>
      </c>
      <c r="E525" s="80">
        <v>11</v>
      </c>
    </row>
    <row r="526" spans="1:5">
      <c r="A526" s="826">
        <v>83195</v>
      </c>
      <c r="B526" s="827" t="s">
        <v>3333</v>
      </c>
      <c r="C526" s="828" t="s">
        <v>3052</v>
      </c>
      <c r="D526" s="829" t="s">
        <v>3360</v>
      </c>
      <c r="E526" s="830" t="s">
        <v>3360</v>
      </c>
    </row>
    <row r="527" spans="1:5">
      <c r="A527" s="826"/>
      <c r="B527" s="827"/>
      <c r="C527" s="828"/>
      <c r="D527" s="829"/>
      <c r="E527" s="830"/>
    </row>
    <row r="528" spans="1:5" ht="15.75">
      <c r="A528" s="77">
        <v>83097</v>
      </c>
      <c r="B528" s="78" t="s">
        <v>3334</v>
      </c>
      <c r="C528" s="79" t="s">
        <v>3052</v>
      </c>
      <c r="D528" s="86" t="s">
        <v>3360</v>
      </c>
      <c r="E528" s="80" t="s">
        <v>3360</v>
      </c>
    </row>
    <row r="529" spans="1:5" ht="15.75">
      <c r="A529" s="81">
        <v>83621</v>
      </c>
      <c r="B529" s="82" t="s">
        <v>3335</v>
      </c>
      <c r="C529" s="83" t="s">
        <v>3054</v>
      </c>
      <c r="D529" s="85">
        <v>34486</v>
      </c>
      <c r="E529" s="84">
        <v>0.9</v>
      </c>
    </row>
    <row r="530" spans="1:5">
      <c r="A530" s="832">
        <v>83773</v>
      </c>
      <c r="B530" s="833" t="s">
        <v>3336</v>
      </c>
      <c r="C530" s="834" t="s">
        <v>3054</v>
      </c>
      <c r="D530" s="824">
        <v>34486</v>
      </c>
      <c r="E530" s="825">
        <v>-0.2</v>
      </c>
    </row>
    <row r="531" spans="1:5">
      <c r="A531" s="832"/>
      <c r="B531" s="833"/>
      <c r="C531" s="834"/>
      <c r="D531" s="824"/>
      <c r="E531" s="825"/>
    </row>
    <row r="532" spans="1:5">
      <c r="A532" s="826">
        <v>83714</v>
      </c>
      <c r="B532" s="827" t="s">
        <v>3337</v>
      </c>
      <c r="C532" s="828" t="s">
        <v>3054</v>
      </c>
      <c r="D532" s="829">
        <v>32295</v>
      </c>
      <c r="E532" s="830">
        <v>-7.2</v>
      </c>
    </row>
    <row r="533" spans="1:5">
      <c r="A533" s="826"/>
      <c r="B533" s="827"/>
      <c r="C533" s="828"/>
      <c r="D533" s="829"/>
      <c r="E533" s="830"/>
    </row>
    <row r="534" spans="1:5">
      <c r="A534" s="832">
        <v>83676</v>
      </c>
      <c r="B534" s="833" t="s">
        <v>3338</v>
      </c>
      <c r="C534" s="834" t="s">
        <v>3054</v>
      </c>
      <c r="D534" s="824">
        <v>32540</v>
      </c>
      <c r="E534" s="825">
        <v>1.9</v>
      </c>
    </row>
    <row r="535" spans="1:5">
      <c r="A535" s="832"/>
      <c r="B535" s="833"/>
      <c r="C535" s="834"/>
      <c r="D535" s="824"/>
      <c r="E535" s="825"/>
    </row>
    <row r="536" spans="1:5">
      <c r="A536" s="826">
        <v>83630</v>
      </c>
      <c r="B536" s="827" t="s">
        <v>3339</v>
      </c>
      <c r="C536" s="828" t="s">
        <v>3054</v>
      </c>
      <c r="D536" s="829">
        <v>31199</v>
      </c>
      <c r="E536" s="830">
        <v>1.3</v>
      </c>
    </row>
    <row r="537" spans="1:5">
      <c r="A537" s="826"/>
      <c r="B537" s="827"/>
      <c r="C537" s="828"/>
      <c r="D537" s="829"/>
      <c r="E537" s="830"/>
    </row>
    <row r="538" spans="1:5">
      <c r="A538" s="832">
        <v>83075</v>
      </c>
      <c r="B538" s="833" t="s">
        <v>3340</v>
      </c>
      <c r="C538" s="834" t="s">
        <v>3054</v>
      </c>
      <c r="D538" s="824">
        <v>35612</v>
      </c>
      <c r="E538" s="825">
        <v>-0.3</v>
      </c>
    </row>
    <row r="539" spans="1:5">
      <c r="A539" s="832"/>
      <c r="B539" s="833"/>
      <c r="C539" s="834"/>
      <c r="D539" s="824"/>
      <c r="E539" s="825"/>
    </row>
    <row r="540" spans="1:5" ht="15.75">
      <c r="A540" s="81">
        <v>83821</v>
      </c>
      <c r="B540" s="82" t="s">
        <v>3341</v>
      </c>
      <c r="C540" s="83" t="s">
        <v>3054</v>
      </c>
      <c r="D540" s="85">
        <v>36708</v>
      </c>
      <c r="E540" s="84">
        <v>0.2</v>
      </c>
    </row>
    <row r="541" spans="1:5" ht="15.75">
      <c r="A541" s="77">
        <v>83678</v>
      </c>
      <c r="B541" s="78" t="s">
        <v>3342</v>
      </c>
      <c r="C541" s="79" t="s">
        <v>3054</v>
      </c>
      <c r="D541" s="86">
        <v>34516</v>
      </c>
      <c r="E541" s="80">
        <v>0.1</v>
      </c>
    </row>
    <row r="542" spans="1:5" ht="15.75">
      <c r="A542" s="81">
        <v>83716</v>
      </c>
      <c r="B542" s="82" t="s">
        <v>3343</v>
      </c>
      <c r="C542" s="83" t="s">
        <v>3054</v>
      </c>
      <c r="D542" s="85">
        <v>29768</v>
      </c>
      <c r="E542" s="84">
        <v>-0.1</v>
      </c>
    </row>
    <row r="543" spans="1:5" ht="15.75">
      <c r="A543" s="77">
        <v>83782</v>
      </c>
      <c r="B543" s="78" t="s">
        <v>3344</v>
      </c>
      <c r="C543" s="79" t="s">
        <v>3054</v>
      </c>
      <c r="D543" s="86">
        <v>33055</v>
      </c>
      <c r="E543" s="80">
        <v>7.1</v>
      </c>
    </row>
    <row r="544" spans="1:5" ht="15.75">
      <c r="A544" s="81">
        <v>83726</v>
      </c>
      <c r="B544" s="82" t="s">
        <v>3345</v>
      </c>
      <c r="C544" s="83" t="s">
        <v>3054</v>
      </c>
      <c r="D544" s="85">
        <v>36708</v>
      </c>
      <c r="E544" s="84">
        <v>-1</v>
      </c>
    </row>
    <row r="545" spans="1:5" ht="15.75">
      <c r="A545" s="77">
        <v>83781</v>
      </c>
      <c r="B545" s="78" t="s">
        <v>3346</v>
      </c>
      <c r="C545" s="79" t="s">
        <v>3054</v>
      </c>
      <c r="D545" s="86">
        <v>34516</v>
      </c>
      <c r="E545" s="80">
        <v>0.8</v>
      </c>
    </row>
    <row r="546" spans="1:5" ht="15.75">
      <c r="A546" s="81">
        <v>83669</v>
      </c>
      <c r="B546" s="82" t="s">
        <v>3347</v>
      </c>
      <c r="C546" s="83" t="s">
        <v>3054</v>
      </c>
      <c r="D546" s="85">
        <v>36708</v>
      </c>
      <c r="E546" s="84">
        <v>1.1000000000000001</v>
      </c>
    </row>
    <row r="547" spans="1:5">
      <c r="A547" s="832">
        <v>83851</v>
      </c>
      <c r="B547" s="833" t="s">
        <v>3348</v>
      </c>
      <c r="C547" s="834" t="s">
        <v>3054</v>
      </c>
      <c r="D547" s="824">
        <v>33055</v>
      </c>
      <c r="E547" s="825">
        <v>1</v>
      </c>
    </row>
    <row r="548" spans="1:5">
      <c r="A548" s="832"/>
      <c r="B548" s="833"/>
      <c r="C548" s="834"/>
      <c r="D548" s="824"/>
      <c r="E548" s="825"/>
    </row>
    <row r="549" spans="1:5" ht="15.75">
      <c r="A549" s="81">
        <v>83784</v>
      </c>
      <c r="B549" s="82" t="s">
        <v>3349</v>
      </c>
      <c r="C549" s="83" t="s">
        <v>3054</v>
      </c>
      <c r="D549" s="85">
        <v>34516</v>
      </c>
      <c r="E549" s="84">
        <v>0.9</v>
      </c>
    </row>
    <row r="550" spans="1:5">
      <c r="A550" s="832">
        <v>83786</v>
      </c>
      <c r="B550" s="833" t="s">
        <v>3350</v>
      </c>
      <c r="C550" s="834" t="s">
        <v>3054</v>
      </c>
      <c r="D550" s="824">
        <v>34486</v>
      </c>
      <c r="E550" s="825">
        <v>4.2</v>
      </c>
    </row>
    <row r="551" spans="1:5">
      <c r="A551" s="832"/>
      <c r="B551" s="833"/>
      <c r="C551" s="834"/>
      <c r="D551" s="824"/>
      <c r="E551" s="825"/>
    </row>
    <row r="552" spans="1:5" ht="15.75">
      <c r="A552" s="81">
        <v>83623</v>
      </c>
      <c r="B552" s="82" t="s">
        <v>3351</v>
      </c>
      <c r="C552" s="83" t="s">
        <v>3054</v>
      </c>
      <c r="D552" s="85">
        <v>33635</v>
      </c>
      <c r="E552" s="84">
        <v>-0.1</v>
      </c>
    </row>
    <row r="553" spans="1:5" ht="15.75">
      <c r="A553" s="832">
        <v>82659</v>
      </c>
      <c r="B553" s="833" t="s">
        <v>3352</v>
      </c>
      <c r="C553" s="834" t="s">
        <v>3056</v>
      </c>
      <c r="D553" s="86">
        <v>31625</v>
      </c>
      <c r="E553" s="825">
        <v>11.3</v>
      </c>
    </row>
    <row r="554" spans="1:5" ht="15.75">
      <c r="A554" s="832"/>
      <c r="B554" s="833"/>
      <c r="C554" s="834"/>
      <c r="D554" s="86">
        <v>32356</v>
      </c>
      <c r="E554" s="825"/>
    </row>
    <row r="555" spans="1:5">
      <c r="A555" s="826">
        <v>83033</v>
      </c>
      <c r="B555" s="827" t="s">
        <v>3353</v>
      </c>
      <c r="C555" s="828" t="s">
        <v>3056</v>
      </c>
      <c r="D555" s="837" t="s">
        <v>3360</v>
      </c>
      <c r="E555" s="830" t="s">
        <v>3360</v>
      </c>
    </row>
    <row r="556" spans="1:5">
      <c r="A556" s="826"/>
      <c r="B556" s="827"/>
      <c r="C556" s="828"/>
      <c r="D556" s="838"/>
      <c r="E556" s="830"/>
    </row>
    <row r="557" spans="1:5">
      <c r="A557" s="832">
        <v>82863</v>
      </c>
      <c r="B557" s="833" t="s">
        <v>3354</v>
      </c>
      <c r="C557" s="834" t="s">
        <v>3056</v>
      </c>
      <c r="D557" s="824">
        <v>30864</v>
      </c>
      <c r="E557" s="825">
        <v>14.5</v>
      </c>
    </row>
    <row r="558" spans="1:5">
      <c r="A558" s="832"/>
      <c r="B558" s="833"/>
      <c r="C558" s="834"/>
      <c r="D558" s="824"/>
      <c r="E558" s="825"/>
    </row>
    <row r="559" spans="1:5">
      <c r="A559" s="826">
        <v>83228</v>
      </c>
      <c r="B559" s="827" t="s">
        <v>3355</v>
      </c>
      <c r="C559" s="828" t="s">
        <v>3056</v>
      </c>
      <c r="D559" s="829" t="s">
        <v>3360</v>
      </c>
      <c r="E559" s="830" t="s">
        <v>3360</v>
      </c>
    </row>
    <row r="560" spans="1:5">
      <c r="A560" s="826"/>
      <c r="B560" s="827"/>
      <c r="C560" s="828"/>
      <c r="D560" s="829"/>
      <c r="E560" s="830"/>
    </row>
    <row r="561" spans="1:5">
      <c r="A561" s="832">
        <v>83064</v>
      </c>
      <c r="B561" s="833" t="s">
        <v>3356</v>
      </c>
      <c r="C561" s="834" t="s">
        <v>3056</v>
      </c>
      <c r="D561" s="824">
        <v>30133</v>
      </c>
      <c r="E561" s="825">
        <v>13.6</v>
      </c>
    </row>
    <row r="562" spans="1:5">
      <c r="A562" s="832"/>
      <c r="B562" s="833"/>
      <c r="C562" s="834"/>
      <c r="D562" s="824"/>
      <c r="E562" s="825"/>
    </row>
    <row r="563" spans="1:5">
      <c r="A563" s="826">
        <v>83235</v>
      </c>
      <c r="B563" s="827" t="s">
        <v>3357</v>
      </c>
      <c r="C563" s="828" t="s">
        <v>3056</v>
      </c>
      <c r="D563" s="829" t="s">
        <v>3360</v>
      </c>
      <c r="E563" s="830" t="s">
        <v>3360</v>
      </c>
    </row>
    <row r="564" spans="1:5">
      <c r="A564" s="826"/>
      <c r="B564" s="827"/>
      <c r="C564" s="828"/>
      <c r="D564" s="829"/>
      <c r="E564" s="830"/>
    </row>
  </sheetData>
  <sheetProtection formatRows="0"/>
  <dataConsolidate/>
  <mergeCells count="898">
    <mergeCell ref="D563:D564"/>
    <mergeCell ref="E563:E564"/>
    <mergeCell ref="D561:D562"/>
    <mergeCell ref="E561:E562"/>
    <mergeCell ref="A563:A564"/>
    <mergeCell ref="B563:B564"/>
    <mergeCell ref="C563:C564"/>
    <mergeCell ref="D559:D560"/>
    <mergeCell ref="E559:E560"/>
    <mergeCell ref="A561:A562"/>
    <mergeCell ref="B561:B562"/>
    <mergeCell ref="C561:C562"/>
    <mergeCell ref="D557:D558"/>
    <mergeCell ref="E557:E558"/>
    <mergeCell ref="A559:A560"/>
    <mergeCell ref="B559:B560"/>
    <mergeCell ref="C559:C560"/>
    <mergeCell ref="A557:A558"/>
    <mergeCell ref="B557:B558"/>
    <mergeCell ref="C557:C558"/>
    <mergeCell ref="D555:D556"/>
    <mergeCell ref="E555:E556"/>
    <mergeCell ref="E553:E554"/>
    <mergeCell ref="A555:A556"/>
    <mergeCell ref="B555:B556"/>
    <mergeCell ref="C555:C556"/>
    <mergeCell ref="D550:D551"/>
    <mergeCell ref="E550:E551"/>
    <mergeCell ref="A553:A554"/>
    <mergeCell ref="B553:B554"/>
    <mergeCell ref="C553:C554"/>
    <mergeCell ref="D547:D548"/>
    <mergeCell ref="E547:E548"/>
    <mergeCell ref="A550:A551"/>
    <mergeCell ref="B550:B551"/>
    <mergeCell ref="C550:C551"/>
    <mergeCell ref="D538:D539"/>
    <mergeCell ref="E538:E539"/>
    <mergeCell ref="A547:A548"/>
    <mergeCell ref="B547:B548"/>
    <mergeCell ref="C547:C548"/>
    <mergeCell ref="D536:D537"/>
    <mergeCell ref="E536:E537"/>
    <mergeCell ref="A538:A539"/>
    <mergeCell ref="B538:B539"/>
    <mergeCell ref="C538:C539"/>
    <mergeCell ref="D534:D535"/>
    <mergeCell ref="E534:E535"/>
    <mergeCell ref="A536:A537"/>
    <mergeCell ref="B536:B537"/>
    <mergeCell ref="C536:C537"/>
    <mergeCell ref="D532:D533"/>
    <mergeCell ref="E532:E533"/>
    <mergeCell ref="A534:A535"/>
    <mergeCell ref="B534:B535"/>
    <mergeCell ref="C534:C535"/>
    <mergeCell ref="A532:A533"/>
    <mergeCell ref="B532:B533"/>
    <mergeCell ref="C532:C533"/>
    <mergeCell ref="D530:D531"/>
    <mergeCell ref="E530:E531"/>
    <mergeCell ref="E526:E527"/>
    <mergeCell ref="A530:A531"/>
    <mergeCell ref="B530:B531"/>
    <mergeCell ref="C530:C531"/>
    <mergeCell ref="D526:D527"/>
    <mergeCell ref="E522:E523"/>
    <mergeCell ref="A526:A527"/>
    <mergeCell ref="B526:B527"/>
    <mergeCell ref="C526:C527"/>
    <mergeCell ref="D522:D523"/>
    <mergeCell ref="E518:E520"/>
    <mergeCell ref="A522:A523"/>
    <mergeCell ref="B522:B523"/>
    <mergeCell ref="C522:C523"/>
    <mergeCell ref="D518:D520"/>
    <mergeCell ref="E512:E513"/>
    <mergeCell ref="A518:A520"/>
    <mergeCell ref="B518:B520"/>
    <mergeCell ref="C518:C520"/>
    <mergeCell ref="D510:D511"/>
    <mergeCell ref="E510:E511"/>
    <mergeCell ref="A512:A513"/>
    <mergeCell ref="B512:B513"/>
    <mergeCell ref="C512:C513"/>
    <mergeCell ref="D506:D507"/>
    <mergeCell ref="E506:E507"/>
    <mergeCell ref="A510:A511"/>
    <mergeCell ref="B510:B511"/>
    <mergeCell ref="C510:C511"/>
    <mergeCell ref="D504:D505"/>
    <mergeCell ref="E504:E505"/>
    <mergeCell ref="A506:A507"/>
    <mergeCell ref="B506:B507"/>
    <mergeCell ref="C506:C507"/>
    <mergeCell ref="D500:D501"/>
    <mergeCell ref="E500:E501"/>
    <mergeCell ref="A504:A505"/>
    <mergeCell ref="B504:B505"/>
    <mergeCell ref="C504:C505"/>
    <mergeCell ref="A500:A501"/>
    <mergeCell ref="B500:B501"/>
    <mergeCell ref="C500:C501"/>
    <mergeCell ref="D497:D498"/>
    <mergeCell ref="E497:E498"/>
    <mergeCell ref="E495:E496"/>
    <mergeCell ref="A497:A498"/>
    <mergeCell ref="B497:B498"/>
    <mergeCell ref="C497:C498"/>
    <mergeCell ref="D491:D492"/>
    <mergeCell ref="E491:E492"/>
    <mergeCell ref="A495:A496"/>
    <mergeCell ref="B495:B496"/>
    <mergeCell ref="C495:C496"/>
    <mergeCell ref="D489:D490"/>
    <mergeCell ref="E489:E490"/>
    <mergeCell ref="A491:A492"/>
    <mergeCell ref="B491:B492"/>
    <mergeCell ref="C491:C492"/>
    <mergeCell ref="E487:E488"/>
    <mergeCell ref="A489:A490"/>
    <mergeCell ref="B489:B490"/>
    <mergeCell ref="C489:C490"/>
    <mergeCell ref="D484:D485"/>
    <mergeCell ref="E484:E485"/>
    <mergeCell ref="A487:A488"/>
    <mergeCell ref="B487:B488"/>
    <mergeCell ref="C487:C488"/>
    <mergeCell ref="D480:D482"/>
    <mergeCell ref="E480:E482"/>
    <mergeCell ref="A484:A485"/>
    <mergeCell ref="B484:B485"/>
    <mergeCell ref="C484:C485"/>
    <mergeCell ref="E478:E479"/>
    <mergeCell ref="A480:A482"/>
    <mergeCell ref="B480:B482"/>
    <mergeCell ref="C480:C482"/>
    <mergeCell ref="D478:D479"/>
    <mergeCell ref="A478:A479"/>
    <mergeCell ref="B478:B479"/>
    <mergeCell ref="C478:C479"/>
    <mergeCell ref="D474:D475"/>
    <mergeCell ref="E474:E475"/>
    <mergeCell ref="D471:D473"/>
    <mergeCell ref="E471:E473"/>
    <mergeCell ref="A474:A475"/>
    <mergeCell ref="B474:B475"/>
    <mergeCell ref="C474:C475"/>
    <mergeCell ref="D468:D469"/>
    <mergeCell ref="E468:E469"/>
    <mergeCell ref="A471:A473"/>
    <mergeCell ref="B471:B473"/>
    <mergeCell ref="C471:C473"/>
    <mergeCell ref="D466:D467"/>
    <mergeCell ref="E466:E467"/>
    <mergeCell ref="A468:A469"/>
    <mergeCell ref="B468:B469"/>
    <mergeCell ref="C468:C469"/>
    <mergeCell ref="E464:E465"/>
    <mergeCell ref="A466:A467"/>
    <mergeCell ref="B466:B467"/>
    <mergeCell ref="C466:C467"/>
    <mergeCell ref="D464:D465"/>
    <mergeCell ref="E460:E461"/>
    <mergeCell ref="A464:A465"/>
    <mergeCell ref="B464:B465"/>
    <mergeCell ref="C464:C465"/>
    <mergeCell ref="D460:D461"/>
    <mergeCell ref="E458:E459"/>
    <mergeCell ref="A460:A461"/>
    <mergeCell ref="B460:B461"/>
    <mergeCell ref="C460:C461"/>
    <mergeCell ref="D458:D459"/>
    <mergeCell ref="E456:E457"/>
    <mergeCell ref="A458:A459"/>
    <mergeCell ref="B458:B459"/>
    <mergeCell ref="C458:C459"/>
    <mergeCell ref="D456:D457"/>
    <mergeCell ref="E453:E454"/>
    <mergeCell ref="A456:A457"/>
    <mergeCell ref="B456:B457"/>
    <mergeCell ref="C456:C457"/>
    <mergeCell ref="D453:D454"/>
    <mergeCell ref="E451:E452"/>
    <mergeCell ref="A453:A454"/>
    <mergeCell ref="B453:B454"/>
    <mergeCell ref="C453:C454"/>
    <mergeCell ref="D451:D452"/>
    <mergeCell ref="E449:E450"/>
    <mergeCell ref="A451:A452"/>
    <mergeCell ref="B451:B452"/>
    <mergeCell ref="C451:C452"/>
    <mergeCell ref="D449:D450"/>
    <mergeCell ref="E447:E448"/>
    <mergeCell ref="A449:A450"/>
    <mergeCell ref="B449:B450"/>
    <mergeCell ref="C449:C450"/>
    <mergeCell ref="D447:D448"/>
    <mergeCell ref="E443:E446"/>
    <mergeCell ref="A447:A448"/>
    <mergeCell ref="B447:B448"/>
    <mergeCell ref="C447:C448"/>
    <mergeCell ref="D443:D446"/>
    <mergeCell ref="D439:D440"/>
    <mergeCell ref="E439:E440"/>
    <mergeCell ref="A443:A446"/>
    <mergeCell ref="B443:B446"/>
    <mergeCell ref="C443:C446"/>
    <mergeCell ref="D437:D438"/>
    <mergeCell ref="E437:E438"/>
    <mergeCell ref="A439:A440"/>
    <mergeCell ref="B439:B440"/>
    <mergeCell ref="C439:C440"/>
    <mergeCell ref="D434:D435"/>
    <mergeCell ref="E434:E435"/>
    <mergeCell ref="A437:A438"/>
    <mergeCell ref="B437:B438"/>
    <mergeCell ref="C437:C438"/>
    <mergeCell ref="E431:E433"/>
    <mergeCell ref="A434:A435"/>
    <mergeCell ref="B434:B435"/>
    <mergeCell ref="C434:C435"/>
    <mergeCell ref="D429:D430"/>
    <mergeCell ref="E429:E430"/>
    <mergeCell ref="A431:A433"/>
    <mergeCell ref="B431:B433"/>
    <mergeCell ref="C431:C433"/>
    <mergeCell ref="D427:D428"/>
    <mergeCell ref="E427:E428"/>
    <mergeCell ref="A429:A430"/>
    <mergeCell ref="B429:B430"/>
    <mergeCell ref="C429:C430"/>
    <mergeCell ref="E424:E425"/>
    <mergeCell ref="A427:A428"/>
    <mergeCell ref="B427:B428"/>
    <mergeCell ref="C427:C428"/>
    <mergeCell ref="D422:D423"/>
    <mergeCell ref="E422:E423"/>
    <mergeCell ref="A424:A425"/>
    <mergeCell ref="B424:B425"/>
    <mergeCell ref="C424:C425"/>
    <mergeCell ref="D420:D421"/>
    <mergeCell ref="E420:E421"/>
    <mergeCell ref="A422:A423"/>
    <mergeCell ref="B422:B423"/>
    <mergeCell ref="C422:C423"/>
    <mergeCell ref="D418:D419"/>
    <mergeCell ref="E418:E419"/>
    <mergeCell ref="A420:A421"/>
    <mergeCell ref="B420:B421"/>
    <mergeCell ref="C420:C421"/>
    <mergeCell ref="A418:A419"/>
    <mergeCell ref="B418:B419"/>
    <mergeCell ref="C418:C419"/>
    <mergeCell ref="D416:D417"/>
    <mergeCell ref="E416:E417"/>
    <mergeCell ref="E413:E415"/>
    <mergeCell ref="A416:A417"/>
    <mergeCell ref="B416:B417"/>
    <mergeCell ref="C416:C417"/>
    <mergeCell ref="D413:D415"/>
    <mergeCell ref="E410:E411"/>
    <mergeCell ref="A413:A415"/>
    <mergeCell ref="B413:B415"/>
    <mergeCell ref="C413:C415"/>
    <mergeCell ref="D410:D411"/>
    <mergeCell ref="E408:E409"/>
    <mergeCell ref="A410:A411"/>
    <mergeCell ref="B410:B411"/>
    <mergeCell ref="C410:C411"/>
    <mergeCell ref="E405:E407"/>
    <mergeCell ref="A408:A409"/>
    <mergeCell ref="B408:B409"/>
    <mergeCell ref="C408:C409"/>
    <mergeCell ref="D405:D407"/>
    <mergeCell ref="E403:E404"/>
    <mergeCell ref="A405:A407"/>
    <mergeCell ref="B405:B407"/>
    <mergeCell ref="C405:C407"/>
    <mergeCell ref="D403:D404"/>
    <mergeCell ref="E398:E399"/>
    <mergeCell ref="A403:A404"/>
    <mergeCell ref="B403:B404"/>
    <mergeCell ref="C403:C404"/>
    <mergeCell ref="D398:D399"/>
    <mergeCell ref="E394:E396"/>
    <mergeCell ref="A398:A399"/>
    <mergeCell ref="B398:B399"/>
    <mergeCell ref="C398:C399"/>
    <mergeCell ref="D394:D396"/>
    <mergeCell ref="D390:D392"/>
    <mergeCell ref="E390:E392"/>
    <mergeCell ref="A394:A396"/>
    <mergeCell ref="B394:B396"/>
    <mergeCell ref="C394:C396"/>
    <mergeCell ref="D388:D389"/>
    <mergeCell ref="E388:E389"/>
    <mergeCell ref="A390:A392"/>
    <mergeCell ref="B390:B392"/>
    <mergeCell ref="C390:C392"/>
    <mergeCell ref="D385:D386"/>
    <mergeCell ref="E385:E386"/>
    <mergeCell ref="A388:A389"/>
    <mergeCell ref="B388:B389"/>
    <mergeCell ref="C388:C389"/>
    <mergeCell ref="E380:E381"/>
    <mergeCell ref="A385:A386"/>
    <mergeCell ref="B385:B386"/>
    <mergeCell ref="C385:C386"/>
    <mergeCell ref="D378:D379"/>
    <mergeCell ref="E378:E379"/>
    <mergeCell ref="A380:A381"/>
    <mergeCell ref="B380:B381"/>
    <mergeCell ref="C380:C381"/>
    <mergeCell ref="D376:D377"/>
    <mergeCell ref="E376:E377"/>
    <mergeCell ref="A378:A379"/>
    <mergeCell ref="B378:B379"/>
    <mergeCell ref="C378:C379"/>
    <mergeCell ref="E374:E375"/>
    <mergeCell ref="A376:A377"/>
    <mergeCell ref="B376:B377"/>
    <mergeCell ref="C376:C377"/>
    <mergeCell ref="D374:D375"/>
    <mergeCell ref="E370:E373"/>
    <mergeCell ref="A374:A375"/>
    <mergeCell ref="B374:B375"/>
    <mergeCell ref="C374:C375"/>
    <mergeCell ref="D370:D373"/>
    <mergeCell ref="D367:D368"/>
    <mergeCell ref="E367:E368"/>
    <mergeCell ref="A370:A373"/>
    <mergeCell ref="B370:B373"/>
    <mergeCell ref="C370:C373"/>
    <mergeCell ref="D364:D365"/>
    <mergeCell ref="E364:E365"/>
    <mergeCell ref="A367:A368"/>
    <mergeCell ref="B367:B368"/>
    <mergeCell ref="C367:C368"/>
    <mergeCell ref="D362:D363"/>
    <mergeCell ref="E362:E363"/>
    <mergeCell ref="A364:A365"/>
    <mergeCell ref="B364:B365"/>
    <mergeCell ref="C364:C365"/>
    <mergeCell ref="E359:E360"/>
    <mergeCell ref="A362:A363"/>
    <mergeCell ref="B362:B363"/>
    <mergeCell ref="C362:C363"/>
    <mergeCell ref="E357:E358"/>
    <mergeCell ref="A359:A360"/>
    <mergeCell ref="B359:B360"/>
    <mergeCell ref="C359:C360"/>
    <mergeCell ref="D357:D358"/>
    <mergeCell ref="E355:E356"/>
    <mergeCell ref="A357:A358"/>
    <mergeCell ref="B357:B358"/>
    <mergeCell ref="C357:C358"/>
    <mergeCell ref="D355:D356"/>
    <mergeCell ref="E353:E354"/>
    <mergeCell ref="A355:A356"/>
    <mergeCell ref="B355:B356"/>
    <mergeCell ref="C355:C356"/>
    <mergeCell ref="D353:D354"/>
    <mergeCell ref="E351:E352"/>
    <mergeCell ref="A353:A354"/>
    <mergeCell ref="B353:B354"/>
    <mergeCell ref="C353:C354"/>
    <mergeCell ref="D351:D352"/>
    <mergeCell ref="D349:D350"/>
    <mergeCell ref="E349:E350"/>
    <mergeCell ref="A351:A352"/>
    <mergeCell ref="B351:B352"/>
    <mergeCell ref="C351:C352"/>
    <mergeCell ref="E346:E348"/>
    <mergeCell ref="A349:A350"/>
    <mergeCell ref="B349:B350"/>
    <mergeCell ref="C349:C350"/>
    <mergeCell ref="D344:D345"/>
    <mergeCell ref="E344:E345"/>
    <mergeCell ref="A346:A348"/>
    <mergeCell ref="B346:B348"/>
    <mergeCell ref="C346:C348"/>
    <mergeCell ref="D342:D343"/>
    <mergeCell ref="E342:E343"/>
    <mergeCell ref="A344:A345"/>
    <mergeCell ref="B344:B345"/>
    <mergeCell ref="C344:C345"/>
    <mergeCell ref="D339:D340"/>
    <mergeCell ref="E339:E340"/>
    <mergeCell ref="A342:A343"/>
    <mergeCell ref="B342:B343"/>
    <mergeCell ref="C342:C343"/>
    <mergeCell ref="D336:D337"/>
    <mergeCell ref="E336:E337"/>
    <mergeCell ref="A339:A340"/>
    <mergeCell ref="B339:B340"/>
    <mergeCell ref="C339:C340"/>
    <mergeCell ref="D333:D334"/>
    <mergeCell ref="E333:E334"/>
    <mergeCell ref="A336:A337"/>
    <mergeCell ref="B336:B337"/>
    <mergeCell ref="C336:C337"/>
    <mergeCell ref="E323:E332"/>
    <mergeCell ref="A333:A334"/>
    <mergeCell ref="B333:B334"/>
    <mergeCell ref="C333:C334"/>
    <mergeCell ref="D320:D321"/>
    <mergeCell ref="E320:E321"/>
    <mergeCell ref="A323:A332"/>
    <mergeCell ref="B323:B332"/>
    <mergeCell ref="C323:C332"/>
    <mergeCell ref="D316:D317"/>
    <mergeCell ref="E316:E317"/>
    <mergeCell ref="A320:A321"/>
    <mergeCell ref="B320:B321"/>
    <mergeCell ref="C320:C321"/>
    <mergeCell ref="D313:D315"/>
    <mergeCell ref="E313:E315"/>
    <mergeCell ref="A316:A317"/>
    <mergeCell ref="B316:B317"/>
    <mergeCell ref="C316:C317"/>
    <mergeCell ref="A313:A315"/>
    <mergeCell ref="B313:B315"/>
    <mergeCell ref="C313:C315"/>
    <mergeCell ref="D308:D311"/>
    <mergeCell ref="E308:E311"/>
    <mergeCell ref="E302:E303"/>
    <mergeCell ref="A308:A311"/>
    <mergeCell ref="B308:B311"/>
    <mergeCell ref="C308:C311"/>
    <mergeCell ref="D302:D303"/>
    <mergeCell ref="E299:E300"/>
    <mergeCell ref="A302:A303"/>
    <mergeCell ref="B302:B303"/>
    <mergeCell ref="C302:C303"/>
    <mergeCell ref="D299:D300"/>
    <mergeCell ref="D293:D294"/>
    <mergeCell ref="E293:E294"/>
    <mergeCell ref="A299:A300"/>
    <mergeCell ref="B299:B300"/>
    <mergeCell ref="C299:C300"/>
    <mergeCell ref="D288:D289"/>
    <mergeCell ref="E288:E289"/>
    <mergeCell ref="A293:A294"/>
    <mergeCell ref="B293:B294"/>
    <mergeCell ref="C293:C294"/>
    <mergeCell ref="D283:D284"/>
    <mergeCell ref="E283:E284"/>
    <mergeCell ref="A288:A289"/>
    <mergeCell ref="B288:B289"/>
    <mergeCell ref="C288:C289"/>
    <mergeCell ref="D280:D281"/>
    <mergeCell ref="E280:E281"/>
    <mergeCell ref="A283:A284"/>
    <mergeCell ref="B283:B284"/>
    <mergeCell ref="C283:C284"/>
    <mergeCell ref="D276:D277"/>
    <mergeCell ref="E276:E277"/>
    <mergeCell ref="A280:A281"/>
    <mergeCell ref="B280:B281"/>
    <mergeCell ref="C280:C281"/>
    <mergeCell ref="D274:D275"/>
    <mergeCell ref="E274:E275"/>
    <mergeCell ref="A276:A277"/>
    <mergeCell ref="B276:B277"/>
    <mergeCell ref="C276:C277"/>
    <mergeCell ref="D272:D273"/>
    <mergeCell ref="E272:E273"/>
    <mergeCell ref="A274:A275"/>
    <mergeCell ref="B274:B275"/>
    <mergeCell ref="C274:C275"/>
    <mergeCell ref="E270:E271"/>
    <mergeCell ref="A272:A273"/>
    <mergeCell ref="B272:B273"/>
    <mergeCell ref="C272:C273"/>
    <mergeCell ref="E268:E269"/>
    <mergeCell ref="A270:A271"/>
    <mergeCell ref="B270:B271"/>
    <mergeCell ref="C270:C271"/>
    <mergeCell ref="D268:D269"/>
    <mergeCell ref="E266:E267"/>
    <mergeCell ref="A268:A269"/>
    <mergeCell ref="B268:B269"/>
    <mergeCell ref="C268:C269"/>
    <mergeCell ref="D266:D267"/>
    <mergeCell ref="E260:E261"/>
    <mergeCell ref="A266:A267"/>
    <mergeCell ref="B266:B267"/>
    <mergeCell ref="C266:C267"/>
    <mergeCell ref="D260:D261"/>
    <mergeCell ref="D257:D258"/>
    <mergeCell ref="E257:E258"/>
    <mergeCell ref="A260:A261"/>
    <mergeCell ref="B260:B261"/>
    <mergeCell ref="C260:C261"/>
    <mergeCell ref="E251:E252"/>
    <mergeCell ref="A257:A258"/>
    <mergeCell ref="B257:B258"/>
    <mergeCell ref="C257:C258"/>
    <mergeCell ref="D249:D250"/>
    <mergeCell ref="E249:E250"/>
    <mergeCell ref="A251:A252"/>
    <mergeCell ref="B251:B252"/>
    <mergeCell ref="C251:C252"/>
    <mergeCell ref="D247:D248"/>
    <mergeCell ref="E247:E248"/>
    <mergeCell ref="A249:A250"/>
    <mergeCell ref="B249:B250"/>
    <mergeCell ref="C249:C250"/>
    <mergeCell ref="D244:D245"/>
    <mergeCell ref="E244:E245"/>
    <mergeCell ref="A247:A248"/>
    <mergeCell ref="B247:B248"/>
    <mergeCell ref="C247:C248"/>
    <mergeCell ref="D239:D240"/>
    <mergeCell ref="E239:E240"/>
    <mergeCell ref="A244:A245"/>
    <mergeCell ref="B244:B245"/>
    <mergeCell ref="C244:C245"/>
    <mergeCell ref="D236:D237"/>
    <mergeCell ref="E236:E237"/>
    <mergeCell ref="A239:A240"/>
    <mergeCell ref="B239:B240"/>
    <mergeCell ref="C239:C240"/>
    <mergeCell ref="D234:D235"/>
    <mergeCell ref="E234:E235"/>
    <mergeCell ref="A236:A237"/>
    <mergeCell ref="B236:B237"/>
    <mergeCell ref="C236:C237"/>
    <mergeCell ref="E231:E232"/>
    <mergeCell ref="A234:A235"/>
    <mergeCell ref="B234:B235"/>
    <mergeCell ref="C234:C235"/>
    <mergeCell ref="D231:D232"/>
    <mergeCell ref="E225:E226"/>
    <mergeCell ref="A231:A232"/>
    <mergeCell ref="B231:B232"/>
    <mergeCell ref="C231:C232"/>
    <mergeCell ref="D225:D226"/>
    <mergeCell ref="E223:E224"/>
    <mergeCell ref="A225:A226"/>
    <mergeCell ref="B225:B226"/>
    <mergeCell ref="C225:C226"/>
    <mergeCell ref="D223:D224"/>
    <mergeCell ref="D221:D222"/>
    <mergeCell ref="E221:E222"/>
    <mergeCell ref="A223:A224"/>
    <mergeCell ref="B223:B224"/>
    <mergeCell ref="C223:C224"/>
    <mergeCell ref="D215:D216"/>
    <mergeCell ref="E215:E216"/>
    <mergeCell ref="A221:A222"/>
    <mergeCell ref="B221:B222"/>
    <mergeCell ref="C221:C222"/>
    <mergeCell ref="D211:D212"/>
    <mergeCell ref="E211:E212"/>
    <mergeCell ref="A215:A216"/>
    <mergeCell ref="B215:B216"/>
    <mergeCell ref="C215:C216"/>
    <mergeCell ref="D207:D208"/>
    <mergeCell ref="E207:E208"/>
    <mergeCell ref="A211:A212"/>
    <mergeCell ref="B211:B212"/>
    <mergeCell ref="C211:C212"/>
    <mergeCell ref="A207:A208"/>
    <mergeCell ref="B207:B208"/>
    <mergeCell ref="C207:C208"/>
    <mergeCell ref="E205:E206"/>
    <mergeCell ref="E201:E202"/>
    <mergeCell ref="A205:A206"/>
    <mergeCell ref="B205:B206"/>
    <mergeCell ref="C205:C206"/>
    <mergeCell ref="D201:D202"/>
    <mergeCell ref="E194:E195"/>
    <mergeCell ref="A201:A202"/>
    <mergeCell ref="B201:B202"/>
    <mergeCell ref="C201:C202"/>
    <mergeCell ref="D194:D195"/>
    <mergeCell ref="E192:E193"/>
    <mergeCell ref="A194:A195"/>
    <mergeCell ref="B194:B195"/>
    <mergeCell ref="C194:C195"/>
    <mergeCell ref="D192:D193"/>
    <mergeCell ref="E189:E190"/>
    <mergeCell ref="A192:A193"/>
    <mergeCell ref="B192:B193"/>
    <mergeCell ref="C192:C193"/>
    <mergeCell ref="D189:D190"/>
    <mergeCell ref="E186:E187"/>
    <mergeCell ref="A189:A190"/>
    <mergeCell ref="B189:B190"/>
    <mergeCell ref="C189:C190"/>
    <mergeCell ref="D186:D187"/>
    <mergeCell ref="E183:E185"/>
    <mergeCell ref="A186:A187"/>
    <mergeCell ref="B186:B187"/>
    <mergeCell ref="C186:C187"/>
    <mergeCell ref="D183:D185"/>
    <mergeCell ref="D181:D182"/>
    <mergeCell ref="E181:E182"/>
    <mergeCell ref="A183:A185"/>
    <mergeCell ref="B183:B185"/>
    <mergeCell ref="C183:C185"/>
    <mergeCell ref="A181:A182"/>
    <mergeCell ref="B181:B182"/>
    <mergeCell ref="C181:C182"/>
    <mergeCell ref="D178:D180"/>
    <mergeCell ref="E178:E180"/>
    <mergeCell ref="E176:E177"/>
    <mergeCell ref="A178:A180"/>
    <mergeCell ref="B178:B180"/>
    <mergeCell ref="C178:C180"/>
    <mergeCell ref="A176:A177"/>
    <mergeCell ref="B176:B177"/>
    <mergeCell ref="C176:C177"/>
    <mergeCell ref="D171:D173"/>
    <mergeCell ref="E171:E173"/>
    <mergeCell ref="E169:E170"/>
    <mergeCell ref="A171:A173"/>
    <mergeCell ref="B171:B173"/>
    <mergeCell ref="C171:C173"/>
    <mergeCell ref="D169:D170"/>
    <mergeCell ref="D164:D166"/>
    <mergeCell ref="E164:E166"/>
    <mergeCell ref="A169:A170"/>
    <mergeCell ref="B169:B170"/>
    <mergeCell ref="C169:C170"/>
    <mergeCell ref="D162:D163"/>
    <mergeCell ref="E162:E163"/>
    <mergeCell ref="A164:A166"/>
    <mergeCell ref="B164:B166"/>
    <mergeCell ref="C164:C166"/>
    <mergeCell ref="D160:D161"/>
    <mergeCell ref="E160:E161"/>
    <mergeCell ref="A162:A163"/>
    <mergeCell ref="B162:B163"/>
    <mergeCell ref="C162:C163"/>
    <mergeCell ref="D158:D159"/>
    <mergeCell ref="E158:E159"/>
    <mergeCell ref="A160:A161"/>
    <mergeCell ref="B160:B161"/>
    <mergeCell ref="C160:C161"/>
    <mergeCell ref="D156:D157"/>
    <mergeCell ref="E156:E157"/>
    <mergeCell ref="A158:A159"/>
    <mergeCell ref="B158:B159"/>
    <mergeCell ref="C158:C159"/>
    <mergeCell ref="D154:D155"/>
    <mergeCell ref="E154:E155"/>
    <mergeCell ref="A156:A157"/>
    <mergeCell ref="B156:B157"/>
    <mergeCell ref="C156:C157"/>
    <mergeCell ref="D150:D151"/>
    <mergeCell ref="E150:E151"/>
    <mergeCell ref="A154:A155"/>
    <mergeCell ref="B154:B155"/>
    <mergeCell ref="C154:C155"/>
    <mergeCell ref="D147:D148"/>
    <mergeCell ref="E147:E148"/>
    <mergeCell ref="A150:A151"/>
    <mergeCell ref="B150:B151"/>
    <mergeCell ref="C150:C151"/>
    <mergeCell ref="D145:D146"/>
    <mergeCell ref="E145:E146"/>
    <mergeCell ref="A147:A148"/>
    <mergeCell ref="B147:B148"/>
    <mergeCell ref="C147:C148"/>
    <mergeCell ref="D143:D144"/>
    <mergeCell ref="E143:E144"/>
    <mergeCell ref="A145:A146"/>
    <mergeCell ref="B145:B146"/>
    <mergeCell ref="C145:C146"/>
    <mergeCell ref="D140:D141"/>
    <mergeCell ref="E140:E141"/>
    <mergeCell ref="A143:A144"/>
    <mergeCell ref="B143:B144"/>
    <mergeCell ref="C143:C144"/>
    <mergeCell ref="D138:D139"/>
    <mergeCell ref="E138:E139"/>
    <mergeCell ref="A140:A141"/>
    <mergeCell ref="B140:B141"/>
    <mergeCell ref="C140:C141"/>
    <mergeCell ref="D136:D137"/>
    <mergeCell ref="E136:E137"/>
    <mergeCell ref="A138:A139"/>
    <mergeCell ref="B138:B139"/>
    <mergeCell ref="C138:C139"/>
    <mergeCell ref="D133:D134"/>
    <mergeCell ref="E133:E134"/>
    <mergeCell ref="A136:A137"/>
    <mergeCell ref="B136:B137"/>
    <mergeCell ref="C136:C137"/>
    <mergeCell ref="D130:D131"/>
    <mergeCell ref="E130:E131"/>
    <mergeCell ref="A133:A134"/>
    <mergeCell ref="B133:B134"/>
    <mergeCell ref="C133:C134"/>
    <mergeCell ref="D128:D129"/>
    <mergeCell ref="E128:E129"/>
    <mergeCell ref="A130:A131"/>
    <mergeCell ref="B130:B131"/>
    <mergeCell ref="C130:C131"/>
    <mergeCell ref="E126:E127"/>
    <mergeCell ref="A128:A129"/>
    <mergeCell ref="B128:B129"/>
    <mergeCell ref="C128:C129"/>
    <mergeCell ref="D126:D127"/>
    <mergeCell ref="D122:D123"/>
    <mergeCell ref="E122:E123"/>
    <mergeCell ref="A126:A127"/>
    <mergeCell ref="B126:B127"/>
    <mergeCell ref="C126:C127"/>
    <mergeCell ref="D118:D120"/>
    <mergeCell ref="E118:E120"/>
    <mergeCell ref="A122:A123"/>
    <mergeCell ref="B122:B123"/>
    <mergeCell ref="C122:C123"/>
    <mergeCell ref="E115:E116"/>
    <mergeCell ref="A118:A120"/>
    <mergeCell ref="B118:B120"/>
    <mergeCell ref="C118:C120"/>
    <mergeCell ref="D110:D112"/>
    <mergeCell ref="E110:E112"/>
    <mergeCell ref="A115:A116"/>
    <mergeCell ref="B115:B116"/>
    <mergeCell ref="C115:C116"/>
    <mergeCell ref="D104:D107"/>
    <mergeCell ref="E104:E107"/>
    <mergeCell ref="A110:A112"/>
    <mergeCell ref="B110:B112"/>
    <mergeCell ref="C110:C112"/>
    <mergeCell ref="D101:D102"/>
    <mergeCell ref="E101:E102"/>
    <mergeCell ref="A104:A107"/>
    <mergeCell ref="B104:B107"/>
    <mergeCell ref="C104:C107"/>
    <mergeCell ref="D99:D100"/>
    <mergeCell ref="E99:E100"/>
    <mergeCell ref="A101:A102"/>
    <mergeCell ref="B101:B102"/>
    <mergeCell ref="C101:C102"/>
    <mergeCell ref="D97:D98"/>
    <mergeCell ref="E97:E98"/>
    <mergeCell ref="A99:A100"/>
    <mergeCell ref="B99:B100"/>
    <mergeCell ref="C99:C100"/>
    <mergeCell ref="D92:D95"/>
    <mergeCell ref="E92:E95"/>
    <mergeCell ref="A97:A98"/>
    <mergeCell ref="B97:B98"/>
    <mergeCell ref="C97:C98"/>
    <mergeCell ref="E89:E91"/>
    <mergeCell ref="A92:A95"/>
    <mergeCell ref="B92:B95"/>
    <mergeCell ref="C92:C95"/>
    <mergeCell ref="D89:D91"/>
    <mergeCell ref="D87:D88"/>
    <mergeCell ref="E87:E88"/>
    <mergeCell ref="A89:A91"/>
    <mergeCell ref="B89:B91"/>
    <mergeCell ref="C89:C91"/>
    <mergeCell ref="D85:D86"/>
    <mergeCell ref="E85:E86"/>
    <mergeCell ref="A87:A88"/>
    <mergeCell ref="B87:B88"/>
    <mergeCell ref="C87:C88"/>
    <mergeCell ref="D83:D84"/>
    <mergeCell ref="E83:E84"/>
    <mergeCell ref="A85:A86"/>
    <mergeCell ref="B85:B86"/>
    <mergeCell ref="C85:C86"/>
    <mergeCell ref="E80:E82"/>
    <mergeCell ref="D81:D82"/>
    <mergeCell ref="A83:A84"/>
    <mergeCell ref="B83:B84"/>
    <mergeCell ref="C83:C84"/>
    <mergeCell ref="D78:D79"/>
    <mergeCell ref="E78:E79"/>
    <mergeCell ref="A80:A82"/>
    <mergeCell ref="B80:B82"/>
    <mergeCell ref="C80:C82"/>
    <mergeCell ref="A78:A79"/>
    <mergeCell ref="B78:B79"/>
    <mergeCell ref="C78:C79"/>
    <mergeCell ref="D74:D75"/>
    <mergeCell ref="E74:E75"/>
    <mergeCell ref="E72:E73"/>
    <mergeCell ref="A74:A75"/>
    <mergeCell ref="B74:B75"/>
    <mergeCell ref="C74:C75"/>
    <mergeCell ref="D72:D73"/>
    <mergeCell ref="E70:E71"/>
    <mergeCell ref="A72:A73"/>
    <mergeCell ref="B72:B73"/>
    <mergeCell ref="C72:C73"/>
    <mergeCell ref="D70:D71"/>
    <mergeCell ref="E61:E62"/>
    <mergeCell ref="A70:A71"/>
    <mergeCell ref="B70:B71"/>
    <mergeCell ref="C70:C71"/>
    <mergeCell ref="D61:D62"/>
    <mergeCell ref="D58:D59"/>
    <mergeCell ref="E58:E59"/>
    <mergeCell ref="A61:A62"/>
    <mergeCell ref="B61:B62"/>
    <mergeCell ref="C61:C62"/>
    <mergeCell ref="D55:D56"/>
    <mergeCell ref="E55:E56"/>
    <mergeCell ref="A58:A59"/>
    <mergeCell ref="B58:B59"/>
    <mergeCell ref="C58:C59"/>
    <mergeCell ref="D53:D54"/>
    <mergeCell ref="E53:E54"/>
    <mergeCell ref="A55:A56"/>
    <mergeCell ref="B55:B56"/>
    <mergeCell ref="C55:C56"/>
    <mergeCell ref="D51:D52"/>
    <mergeCell ref="E51:E52"/>
    <mergeCell ref="A53:A54"/>
    <mergeCell ref="B53:B54"/>
    <mergeCell ref="C53:C54"/>
    <mergeCell ref="D49:D50"/>
    <mergeCell ref="E49:E50"/>
    <mergeCell ref="A51:A52"/>
    <mergeCell ref="B51:B52"/>
    <mergeCell ref="C51:C52"/>
    <mergeCell ref="D47:D48"/>
    <mergeCell ref="E47:E48"/>
    <mergeCell ref="A49:A50"/>
    <mergeCell ref="B49:B50"/>
    <mergeCell ref="C49:C50"/>
    <mergeCell ref="D45:D46"/>
    <mergeCell ref="E45:E46"/>
    <mergeCell ref="A47:A48"/>
    <mergeCell ref="B47:B48"/>
    <mergeCell ref="C47:C48"/>
    <mergeCell ref="D42:D43"/>
    <mergeCell ref="E42:E43"/>
    <mergeCell ref="A45:A46"/>
    <mergeCell ref="B45:B46"/>
    <mergeCell ref="C45:C46"/>
    <mergeCell ref="D40:D41"/>
    <mergeCell ref="E40:E41"/>
    <mergeCell ref="A42:A43"/>
    <mergeCell ref="B42:B43"/>
    <mergeCell ref="C42:C43"/>
    <mergeCell ref="D37:D39"/>
    <mergeCell ref="E37:E39"/>
    <mergeCell ref="A40:A41"/>
    <mergeCell ref="B40:B41"/>
    <mergeCell ref="C40:C41"/>
    <mergeCell ref="D31:D35"/>
    <mergeCell ref="E31:E35"/>
    <mergeCell ref="A37:A39"/>
    <mergeCell ref="B37:B39"/>
    <mergeCell ref="C37:C39"/>
    <mergeCell ref="A31:A35"/>
    <mergeCell ref="B31:B35"/>
    <mergeCell ref="C31:C35"/>
    <mergeCell ref="A24:A25"/>
    <mergeCell ref="B24:B25"/>
    <mergeCell ref="C24:C25"/>
    <mergeCell ref="D19:D20"/>
    <mergeCell ref="E19:E20"/>
    <mergeCell ref="A22:A23"/>
    <mergeCell ref="B22:B23"/>
    <mergeCell ref="C22:C23"/>
    <mergeCell ref="D29:D30"/>
    <mergeCell ref="E29:E30"/>
    <mergeCell ref="E27:E28"/>
    <mergeCell ref="A29:A30"/>
    <mergeCell ref="B29:B30"/>
    <mergeCell ref="C29:C30"/>
    <mergeCell ref="D27:D28"/>
    <mergeCell ref="E24:E25"/>
    <mergeCell ref="A27:A28"/>
    <mergeCell ref="B27:B28"/>
    <mergeCell ref="C27:C28"/>
    <mergeCell ref="D24:D25"/>
    <mergeCell ref="A19:A20"/>
    <mergeCell ref="B19:B20"/>
    <mergeCell ref="C19:C20"/>
    <mergeCell ref="D10:D12"/>
    <mergeCell ref="E10:E12"/>
    <mergeCell ref="A15:A17"/>
    <mergeCell ref="B15:B17"/>
    <mergeCell ref="C15:C17"/>
    <mergeCell ref="D22:D23"/>
    <mergeCell ref="E22:E23"/>
    <mergeCell ref="D4:E4"/>
    <mergeCell ref="A10:A12"/>
    <mergeCell ref="B10:B12"/>
    <mergeCell ref="C10:C12"/>
    <mergeCell ref="A4:A5"/>
    <mergeCell ref="B4:B5"/>
    <mergeCell ref="C4:C5"/>
    <mergeCell ref="D15:D17"/>
    <mergeCell ref="E15:E17"/>
  </mergeCells>
  <pageMargins left="0.511811024" right="0.511811024" top="0.78740157499999996" bottom="0.78740157499999996" header="0.31496062000000002" footer="0.31496062000000002"/>
  <pageSetup paperSize="9" orientation="portrait" horizontalDpi="4294967295" verticalDpi="4294967295"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A3D12-D1AF-47EB-9AC2-435614435186}">
  <sheetPr codeName="Planilha5"/>
  <dimension ref="A2:AX54"/>
  <sheetViews>
    <sheetView showGridLines="0" view="pageBreakPreview" zoomScale="60" zoomScaleNormal="100" workbookViewId="0"/>
  </sheetViews>
  <sheetFormatPr defaultRowHeight="15"/>
  <cols>
    <col min="9" max="9" width="9.140625" customWidth="1"/>
    <col min="20" max="20" width="11.7109375" customWidth="1"/>
    <col min="22" max="22" width="10.42578125" bestFit="1" customWidth="1"/>
    <col min="32" max="32" width="8.5703125" customWidth="1"/>
    <col min="35" max="35" width="5.5703125" customWidth="1"/>
    <col min="37" max="37" width="10.42578125" customWidth="1"/>
    <col min="40" max="40" width="14.7109375" customWidth="1"/>
  </cols>
  <sheetData>
    <row r="2" spans="1:50">
      <c r="A2" s="764" t="s">
        <v>3366</v>
      </c>
      <c r="B2" s="764"/>
      <c r="C2" s="764"/>
      <c r="D2" s="764"/>
      <c r="E2" s="764"/>
      <c r="F2" s="764"/>
      <c r="G2" s="764"/>
      <c r="H2" s="764"/>
      <c r="I2" s="764"/>
      <c r="J2" s="764"/>
      <c r="AO2" s="764" t="s">
        <v>3367</v>
      </c>
      <c r="AP2" s="764"/>
      <c r="AQ2" s="764"/>
      <c r="AR2" s="764"/>
      <c r="AS2" s="764"/>
      <c r="AT2" s="764"/>
      <c r="AU2" s="764"/>
      <c r="AV2" s="764"/>
      <c r="AW2" s="764"/>
      <c r="AX2" s="764"/>
    </row>
    <row r="3" spans="1:50">
      <c r="K3" s="130" t="s">
        <v>3368</v>
      </c>
      <c r="AF3" s="358"/>
      <c r="AG3" s="358"/>
      <c r="AH3" s="358"/>
      <c r="AI3" s="358"/>
      <c r="AJ3" s="358"/>
      <c r="AK3" s="358"/>
    </row>
    <row r="4" spans="1:50">
      <c r="AE4" s="358"/>
      <c r="AF4" s="358"/>
      <c r="AG4" s="897" t="s">
        <v>3369</v>
      </c>
      <c r="AH4" s="897"/>
      <c r="AI4" s="897"/>
      <c r="AJ4" s="897"/>
      <c r="AK4" s="897"/>
      <c r="AL4" s="897"/>
    </row>
    <row r="5" spans="1:50">
      <c r="A5" s="856" t="s">
        <v>3370</v>
      </c>
      <c r="B5" s="857"/>
      <c r="C5" s="857"/>
      <c r="D5" s="857"/>
      <c r="E5" s="857"/>
      <c r="F5" s="857"/>
      <c r="G5" s="857"/>
      <c r="H5" s="857"/>
      <c r="I5" s="857"/>
      <c r="J5" s="858"/>
      <c r="AE5" s="358"/>
      <c r="AF5" s="358"/>
      <c r="AG5" s="897"/>
      <c r="AH5" s="897"/>
      <c r="AI5" s="897"/>
      <c r="AJ5" s="897"/>
      <c r="AK5" s="897"/>
      <c r="AL5" s="897"/>
      <c r="AO5" s="856" t="s">
        <v>3370</v>
      </c>
      <c r="AP5" s="857"/>
      <c r="AQ5" s="857"/>
      <c r="AR5" s="857"/>
      <c r="AS5" s="857"/>
      <c r="AT5" s="857"/>
      <c r="AU5" s="857"/>
      <c r="AV5" s="857"/>
      <c r="AW5" s="857"/>
      <c r="AX5" s="858"/>
    </row>
    <row r="6" spans="1:50">
      <c r="A6" s="328" t="str">
        <f>"Código da UC:   "&amp;Início!$K$15</f>
        <v xml:space="preserve">Código da UC:   </v>
      </c>
      <c r="B6" s="329"/>
      <c r="C6" s="329"/>
      <c r="D6" s="329"/>
      <c r="E6" s="329"/>
      <c r="F6" s="329" t="str">
        <f>"Classe:   "&amp;Início!$K$8</f>
        <v>Classe:   B1 - Residencial</v>
      </c>
      <c r="G6" s="329"/>
      <c r="H6" s="329"/>
      <c r="I6" s="329"/>
      <c r="J6" s="330"/>
      <c r="AE6" s="358"/>
      <c r="AF6" s="358"/>
      <c r="AG6" s="358"/>
      <c r="AH6" s="358"/>
      <c r="AI6" s="358"/>
      <c r="AJ6" s="358"/>
      <c r="AK6" s="358"/>
      <c r="AO6" s="328" t="str">
        <f>"Código da UC:   "&amp;Início!$K$15</f>
        <v xml:space="preserve">Código da UC:   </v>
      </c>
      <c r="AP6" s="329"/>
      <c r="AQ6" s="329"/>
      <c r="AR6" s="329"/>
      <c r="AS6" s="329"/>
      <c r="AT6" s="329" t="str">
        <f>"Classe:   "&amp;Início!$K$8</f>
        <v>Classe:   B1 - Residencial</v>
      </c>
      <c r="AU6" s="329"/>
      <c r="AV6" s="329"/>
      <c r="AW6" s="329"/>
      <c r="AX6" s="330"/>
    </row>
    <row r="7" spans="1:50">
      <c r="A7" s="328" t="str">
        <f>"Titular da UC:   "&amp;Início!$F$7</f>
        <v>Titular da UC:   Flavia Louzada</v>
      </c>
      <c r="B7" s="329"/>
      <c r="C7" s="329"/>
      <c r="D7" s="329"/>
      <c r="E7" s="329"/>
      <c r="F7" s="329"/>
      <c r="G7" s="329"/>
      <c r="H7" s="329"/>
      <c r="I7" s="329"/>
      <c r="J7" s="330"/>
      <c r="AE7" s="898" t="s">
        <v>3371</v>
      </c>
      <c r="AF7" s="899"/>
      <c r="AG7" s="899"/>
      <c r="AH7" s="899"/>
      <c r="AI7" s="899"/>
      <c r="AJ7" s="900" t="s">
        <v>3372</v>
      </c>
      <c r="AK7" s="900"/>
      <c r="AL7" s="901" t="s">
        <v>3373</v>
      </c>
      <c r="AM7" s="902"/>
      <c r="AN7" s="902"/>
      <c r="AO7" s="328" t="str">
        <f>"Titular da UC:   "&amp;Início!$F$7</f>
        <v>Titular da UC:   Flavia Louzada</v>
      </c>
      <c r="AP7" s="329"/>
      <c r="AQ7" s="329"/>
      <c r="AR7" s="329"/>
      <c r="AS7" s="329"/>
      <c r="AT7" s="329"/>
      <c r="AU7" s="329"/>
      <c r="AV7" s="329"/>
      <c r="AW7" s="329"/>
      <c r="AX7" s="330"/>
    </row>
    <row r="8" spans="1:50">
      <c r="A8" s="328" t="str">
        <f>"Rua / Av.:   "&amp;Início!$F$27</f>
        <v xml:space="preserve">Rua / Av.:   </v>
      </c>
      <c r="B8" s="329"/>
      <c r="C8" s="329"/>
      <c r="D8" s="329"/>
      <c r="E8" s="329"/>
      <c r="F8" s="329" t="str">
        <f>"Nº:   "&amp;Início!$F$29</f>
        <v xml:space="preserve">Nº:   </v>
      </c>
      <c r="G8" s="329"/>
      <c r="H8" s="329" t="str">
        <f>"CEP:   "&amp;Início!$F$33</f>
        <v>CEP:   0</v>
      </c>
      <c r="I8" s="329"/>
      <c r="J8" s="330"/>
      <c r="AE8" s="884" t="s">
        <v>3374</v>
      </c>
      <c r="AF8" s="882"/>
      <c r="AG8" s="882"/>
      <c r="AH8" s="882"/>
      <c r="AI8" s="882"/>
      <c r="AJ8" s="878">
        <f>Resumo!$E$36</f>
        <v>0</v>
      </c>
      <c r="AK8" s="879"/>
      <c r="AL8" s="889" t="s">
        <v>3375</v>
      </c>
      <c r="AM8" s="889"/>
      <c r="AN8" s="890"/>
      <c r="AO8" s="328" t="str">
        <f>"Rua / Av.:   "&amp;Início!$F$27</f>
        <v xml:space="preserve">Rua / Av.:   </v>
      </c>
      <c r="AP8" s="329"/>
      <c r="AQ8" s="329"/>
      <c r="AR8" s="329"/>
      <c r="AS8" s="329"/>
      <c r="AT8" s="329" t="str">
        <f>"Nº:   "&amp;Início!$F$29</f>
        <v xml:space="preserve">Nº:   </v>
      </c>
      <c r="AU8" s="329"/>
      <c r="AV8" s="329" t="str">
        <f>"CEP:   "&amp;Início!$F$33</f>
        <v>CEP:   0</v>
      </c>
      <c r="AW8" s="329"/>
      <c r="AX8" s="330"/>
    </row>
    <row r="9" spans="1:50">
      <c r="A9" s="328" t="str">
        <f>"Bairro:   "&amp;Início!$F$31</f>
        <v xml:space="preserve">Bairro:   </v>
      </c>
      <c r="B9" s="329"/>
      <c r="C9" s="329"/>
      <c r="D9" s="329"/>
      <c r="E9" s="329"/>
      <c r="F9" s="329" t="str">
        <f>"Cidade:   "&amp;Início!$F$25</f>
        <v xml:space="preserve">Cidade:   </v>
      </c>
      <c r="G9" s="329"/>
      <c r="H9" s="329"/>
      <c r="I9" s="329"/>
      <c r="J9" s="330"/>
      <c r="K9" s="334" t="s">
        <v>3376</v>
      </c>
      <c r="AE9" s="868" t="s">
        <v>3377</v>
      </c>
      <c r="AF9" s="869"/>
      <c r="AG9" s="869"/>
      <c r="AH9" s="869"/>
      <c r="AI9" s="869"/>
      <c r="AJ9" s="870">
        <f>Resumo!E37</f>
        <v>0</v>
      </c>
      <c r="AK9" s="871"/>
      <c r="AL9" s="889" t="s">
        <v>3378</v>
      </c>
      <c r="AM9" s="889"/>
      <c r="AN9" s="890"/>
      <c r="AO9" s="328" t="str">
        <f>"Bairro:   "&amp;Início!$F$31</f>
        <v xml:space="preserve">Bairro:   </v>
      </c>
      <c r="AP9" s="329"/>
      <c r="AQ9" s="329"/>
      <c r="AR9" s="329"/>
      <c r="AS9" s="329"/>
      <c r="AT9" s="329" t="str">
        <f>"Cidade:   "&amp;Início!$F$25</f>
        <v xml:space="preserve">Cidade:   </v>
      </c>
      <c r="AU9" s="329"/>
      <c r="AV9" s="329"/>
      <c r="AW9" s="329"/>
      <c r="AX9" s="330"/>
    </row>
    <row r="10" spans="1:50">
      <c r="A10" s="328" t="str">
        <f>"E-mail:   "&amp;Início!$F$17</f>
        <v>E-mail:   flavialouzada@uol.com.br</v>
      </c>
      <c r="B10" s="329"/>
      <c r="C10" s="329"/>
      <c r="D10" s="329"/>
      <c r="E10" s="329"/>
      <c r="F10" s="329"/>
      <c r="G10" s="329"/>
      <c r="H10" s="329"/>
      <c r="I10" s="329"/>
      <c r="J10" s="330"/>
      <c r="AE10" s="868"/>
      <c r="AF10" s="869"/>
      <c r="AG10" s="869"/>
      <c r="AH10" s="869"/>
      <c r="AI10" s="869"/>
      <c r="AJ10" s="872"/>
      <c r="AK10" s="873"/>
      <c r="AL10" s="889"/>
      <c r="AM10" s="889"/>
      <c r="AN10" s="890"/>
      <c r="AO10" s="328" t="str">
        <f>"E-mail:   "&amp;Início!$F$17</f>
        <v>E-mail:   flavialouzada@uol.com.br</v>
      </c>
      <c r="AP10" s="329"/>
      <c r="AQ10" s="329"/>
      <c r="AR10" s="329"/>
      <c r="AS10" s="329"/>
      <c r="AT10" s="329"/>
      <c r="AU10" s="329"/>
      <c r="AV10" s="329"/>
      <c r="AW10" s="329"/>
      <c r="AX10" s="330"/>
    </row>
    <row r="11" spans="1:50">
      <c r="A11" s="328" t="str">
        <f>"Telefone:   "&amp;Início!$F$19</f>
        <v>Telefone:   5521988662268</v>
      </c>
      <c r="B11" s="329"/>
      <c r="C11" s="329"/>
      <c r="D11" s="329"/>
      <c r="E11" s="329"/>
      <c r="F11" s="329" t="str">
        <f>"Celular:   "&amp;Início!$F$19</f>
        <v>Celular:   5521988662268</v>
      </c>
      <c r="G11" s="329"/>
      <c r="H11" s="329"/>
      <c r="I11" s="329"/>
      <c r="J11" s="330"/>
      <c r="K11" t="str">
        <f>"Titular da UC:   "&amp;Início!$F$7</f>
        <v>Titular da UC:   Flavia Louzada</v>
      </c>
      <c r="AE11" s="868" t="s">
        <v>3379</v>
      </c>
      <c r="AF11" s="869"/>
      <c r="AG11" s="869"/>
      <c r="AH11" s="869"/>
      <c r="AI11" s="869"/>
      <c r="AJ11" s="891">
        <f ca="1">TODAY()</f>
        <v>45866</v>
      </c>
      <c r="AK11" s="892"/>
      <c r="AL11" s="895" t="s">
        <v>3380</v>
      </c>
      <c r="AM11" s="895"/>
      <c r="AN11" s="896"/>
      <c r="AO11" s="328" t="str">
        <f>"Telefone:   "&amp;Início!$F$19</f>
        <v>Telefone:   5521988662268</v>
      </c>
      <c r="AP11" s="329"/>
      <c r="AQ11" s="329"/>
      <c r="AR11" s="329"/>
      <c r="AS11" s="329"/>
      <c r="AT11" s="329" t="str">
        <f>"Celular:   "&amp;Início!$F$19</f>
        <v>Celular:   5521988662268</v>
      </c>
      <c r="AU11" s="329"/>
      <c r="AV11" s="329"/>
      <c r="AW11" s="329"/>
      <c r="AX11" s="330"/>
    </row>
    <row r="12" spans="1:50">
      <c r="A12" s="328" t="str">
        <f>"CNPJ/CPF:   "&amp;TEXT(Resumo!$E$4,"000\.000\.000-00")</f>
        <v xml:space="preserve">CNPJ/CPF:   </v>
      </c>
      <c r="B12" s="329"/>
      <c r="C12" s="329"/>
      <c r="D12" s="329"/>
      <c r="E12" s="329"/>
      <c r="F12" s="329"/>
      <c r="G12" s="329"/>
      <c r="H12" s="329"/>
      <c r="I12" s="329"/>
      <c r="J12" s="330"/>
      <c r="K12" s="335" t="str">
        <f>"Rua / Av.:   "&amp;Início!$F$27</f>
        <v xml:space="preserve">Rua / Av.:   </v>
      </c>
      <c r="P12" t="str">
        <f>"Nº:   "&amp;Início!$F$29</f>
        <v xml:space="preserve">Nº:   </v>
      </c>
      <c r="R12" t="str">
        <f>"CEP:   "&amp;Início!$F$33</f>
        <v>CEP:   0</v>
      </c>
      <c r="AE12" s="868"/>
      <c r="AF12" s="869"/>
      <c r="AG12" s="869"/>
      <c r="AH12" s="869"/>
      <c r="AI12" s="869"/>
      <c r="AJ12" s="893"/>
      <c r="AK12" s="894"/>
      <c r="AL12" s="895"/>
      <c r="AM12" s="895"/>
      <c r="AN12" s="896"/>
      <c r="AO12" s="328" t="str">
        <f>"CNPJ/CPF:   "&amp;TEXT(Resumo!$E$4,"000\.000\.000-00")</f>
        <v xml:space="preserve">CNPJ/CPF:   </v>
      </c>
      <c r="AP12" s="329"/>
      <c r="AQ12" s="329"/>
      <c r="AR12" s="329"/>
      <c r="AS12" s="329"/>
      <c r="AT12" s="329"/>
      <c r="AU12" s="329"/>
      <c r="AV12" s="329"/>
      <c r="AW12" s="329"/>
      <c r="AX12" s="330"/>
    </row>
    <row r="13" spans="1:50">
      <c r="A13" s="856" t="s">
        <v>3381</v>
      </c>
      <c r="B13" s="857"/>
      <c r="C13" s="857"/>
      <c r="D13" s="857"/>
      <c r="E13" s="857"/>
      <c r="F13" s="857"/>
      <c r="G13" s="857"/>
      <c r="H13" s="857"/>
      <c r="I13" s="857"/>
      <c r="J13" s="858"/>
      <c r="K13" s="335" t="str">
        <f>"Bairro:   "&amp;Início!$F$31</f>
        <v xml:space="preserve">Bairro:   </v>
      </c>
      <c r="P13" t="str">
        <f>"Cidade:   "&amp;Início!$F$25</f>
        <v xml:space="preserve">Cidade:   </v>
      </c>
      <c r="AE13" s="868" t="s">
        <v>3382</v>
      </c>
      <c r="AF13" s="869"/>
      <c r="AG13" s="869"/>
      <c r="AH13" s="869"/>
      <c r="AI13" s="869"/>
      <c r="AJ13" s="874" t="s">
        <v>3383</v>
      </c>
      <c r="AK13" s="875"/>
      <c r="AL13" s="903" t="s">
        <v>3384</v>
      </c>
      <c r="AM13" s="903"/>
      <c r="AN13" s="904"/>
      <c r="AO13" s="856" t="s">
        <v>3381</v>
      </c>
      <c r="AP13" s="857"/>
      <c r="AQ13" s="857"/>
      <c r="AR13" s="857"/>
      <c r="AS13" s="857"/>
      <c r="AT13" s="857"/>
      <c r="AU13" s="857"/>
      <c r="AV13" s="857"/>
      <c r="AW13" s="857"/>
      <c r="AX13" s="858"/>
    </row>
    <row r="14" spans="1:50">
      <c r="A14" s="328" t="e">
        <f>"Carga instalada (kW):    "&amp;TEXT(Resumo!$F$307,"0,00")</f>
        <v>#VALUE!</v>
      </c>
      <c r="B14" s="329"/>
      <c r="C14" s="329"/>
      <c r="D14" s="329"/>
      <c r="E14" s="329"/>
      <c r="F14" s="329" t="str">
        <f>"Tensão de atendimento (V):  "&amp;Início!$K$11</f>
        <v>Tensão de atendimento (V):  127/220V</v>
      </c>
      <c r="G14" s="329"/>
      <c r="H14" s="329"/>
      <c r="I14" s="329"/>
      <c r="J14" s="330"/>
      <c r="K14" s="335" t="str">
        <f>"E-mail:   "&amp;Início!$F$17</f>
        <v>E-mail:   flavialouzada@uol.com.br</v>
      </c>
      <c r="O14" t="str">
        <f>"Telefone:   "&amp;Início!$F$19</f>
        <v>Telefone:   5521988662268</v>
      </c>
      <c r="R14" t="str">
        <f>"Celular:   "&amp;Início!$F$19</f>
        <v>Celular:   5521988662268</v>
      </c>
      <c r="AE14" s="868"/>
      <c r="AF14" s="869"/>
      <c r="AG14" s="869"/>
      <c r="AH14" s="869"/>
      <c r="AI14" s="869"/>
      <c r="AJ14" s="876"/>
      <c r="AK14" s="877"/>
      <c r="AL14" s="903"/>
      <c r="AM14" s="903"/>
      <c r="AN14" s="904"/>
      <c r="AO14" s="328" t="e">
        <f>"Carga instalada (kW):    "&amp;TEXT(Resumo!$F$307,"0,00")</f>
        <v>#VALUE!</v>
      </c>
      <c r="AP14" s="329"/>
      <c r="AQ14" s="329"/>
      <c r="AR14" s="329"/>
      <c r="AS14" s="329"/>
      <c r="AT14" s="329" t="str">
        <f>"Tensão de atendimento (V):  "&amp;Início!$K$11</f>
        <v>Tensão de atendimento (V):  127/220V</v>
      </c>
      <c r="AU14" s="329"/>
      <c r="AV14" s="329"/>
      <c r="AW14" s="329"/>
      <c r="AX14" s="330"/>
    </row>
    <row r="15" spans="1:50">
      <c r="A15" s="328" t="s">
        <v>3385</v>
      </c>
      <c r="B15" s="329"/>
      <c r="C15" s="329" t="s">
        <v>3386</v>
      </c>
      <c r="D15" s="329"/>
      <c r="E15" s="329"/>
      <c r="F15" s="329" t="s">
        <v>3387</v>
      </c>
      <c r="G15" s="329"/>
      <c r="H15" s="329"/>
      <c r="I15" s="329" t="s">
        <v>3388</v>
      </c>
      <c r="J15" s="330"/>
      <c r="K15" s="335" t="str">
        <f>"CNPJ/CPF:    "&amp;TEXT(Resumo!$E$4,"000\.000\.000-00")</f>
        <v xml:space="preserve">CNPJ/CPF:    </v>
      </c>
      <c r="AE15" s="880" t="s">
        <v>3389</v>
      </c>
      <c r="AF15" s="881"/>
      <c r="AG15" s="882" t="s">
        <v>3390</v>
      </c>
      <c r="AH15" s="882"/>
      <c r="AI15" s="882"/>
      <c r="AJ15" s="878">
        <f>Resumo!$E$187</f>
        <v>14</v>
      </c>
      <c r="AK15" s="879"/>
      <c r="AL15" s="889" t="s">
        <v>3391</v>
      </c>
      <c r="AM15" s="889"/>
      <c r="AN15" s="890"/>
      <c r="AO15" s="328" t="s">
        <v>3385</v>
      </c>
      <c r="AP15" s="329"/>
      <c r="AQ15" s="405" t="s">
        <v>3386</v>
      </c>
      <c r="AR15" s="406" t="str">
        <f>IF(Resumo!$E$32=1,"X","")</f>
        <v/>
      </c>
      <c r="AS15" s="329"/>
      <c r="AT15" s="329" t="s">
        <v>3387</v>
      </c>
      <c r="AU15" s="406" t="str">
        <f>IF(Resumo!$E$32=2,"X","")</f>
        <v/>
      </c>
      <c r="AV15" s="329"/>
      <c r="AW15" s="329" t="s">
        <v>3388</v>
      </c>
      <c r="AX15" s="407" t="str">
        <f>IF(Resumo!$E$32=3,"X","")</f>
        <v/>
      </c>
    </row>
    <row r="16" spans="1:50">
      <c r="A16" s="859" t="s">
        <v>3392</v>
      </c>
      <c r="B16" s="860"/>
      <c r="C16" s="860"/>
      <c r="D16" s="860"/>
      <c r="E16" s="860"/>
      <c r="F16" s="860"/>
      <c r="G16" s="860"/>
      <c r="H16" s="860"/>
      <c r="I16" s="860"/>
      <c r="J16" s="861"/>
      <c r="AE16" s="880"/>
      <c r="AF16" s="881"/>
      <c r="AG16" s="882" t="s">
        <v>3393</v>
      </c>
      <c r="AH16" s="882"/>
      <c r="AI16" s="882"/>
      <c r="AJ16" s="878" t="str">
        <f>Resumo!$E$222</f>
        <v>DAH SOLAR</v>
      </c>
      <c r="AK16" s="879"/>
      <c r="AL16" s="889" t="s">
        <v>3394</v>
      </c>
      <c r="AM16" s="889"/>
      <c r="AN16" s="890"/>
      <c r="AO16" s="3" t="s">
        <v>3395</v>
      </c>
      <c r="AP16" s="4"/>
      <c r="AQ16" s="4" t="s">
        <v>3396</v>
      </c>
      <c r="AR16" s="408" t="str">
        <f>IF(Resumo!$E$318="Aéreo","X","")</f>
        <v>X</v>
      </c>
      <c r="AS16" s="4"/>
      <c r="AT16" s="4" t="s">
        <v>3397</v>
      </c>
      <c r="AU16" s="4"/>
      <c r="AV16" s="408" t="str">
        <f>IF(Resumo!$E$318="Subterrâneo","X","")</f>
        <v/>
      </c>
      <c r="AW16" s="4"/>
      <c r="AX16" s="5"/>
    </row>
    <row r="17" spans="1:50">
      <c r="A17" s="3" t="str">
        <f>"Potência instalada de geração (kW):    "&amp;TEXT(Resumo!$F$193,"0,0")</f>
        <v>Potência instalada de geração (kW):    8,2</v>
      </c>
      <c r="B17" s="4"/>
      <c r="C17" s="4"/>
      <c r="D17" s="4"/>
      <c r="E17" s="4"/>
      <c r="F17" s="4"/>
      <c r="G17" s="4"/>
      <c r="H17" s="4"/>
      <c r="I17" s="4"/>
      <c r="J17" s="5"/>
      <c r="AE17" s="880"/>
      <c r="AF17" s="881"/>
      <c r="AG17" s="882" t="s">
        <v>3398</v>
      </c>
      <c r="AH17" s="882"/>
      <c r="AI17" s="882"/>
      <c r="AJ17" s="878" t="str">
        <f>TEXT(Resumo!$F$161,"0,0")</f>
        <v>38,0</v>
      </c>
      <c r="AK17" s="879"/>
      <c r="AL17" s="889" t="s">
        <v>3399</v>
      </c>
      <c r="AM17" s="889"/>
      <c r="AN17" s="890"/>
      <c r="AO17" s="859" t="s">
        <v>3392</v>
      </c>
      <c r="AP17" s="860"/>
      <c r="AQ17" s="860"/>
      <c r="AR17" s="860"/>
      <c r="AS17" s="860"/>
      <c r="AT17" s="860"/>
      <c r="AU17" s="860"/>
      <c r="AV17" s="860"/>
      <c r="AW17" s="860"/>
      <c r="AX17" s="861"/>
    </row>
    <row r="18" spans="1:50">
      <c r="A18" s="6" t="s">
        <v>3400</v>
      </c>
      <c r="J18" s="7"/>
      <c r="K18" s="334" t="s">
        <v>3401</v>
      </c>
      <c r="AE18" s="880"/>
      <c r="AF18" s="881"/>
      <c r="AG18" s="882" t="s">
        <v>3402</v>
      </c>
      <c r="AH18" s="882"/>
      <c r="AI18" s="882"/>
      <c r="AJ18" s="878">
        <f>Resumo!$E$188</f>
        <v>4</v>
      </c>
      <c r="AK18" s="879"/>
      <c r="AL18" s="889" t="s">
        <v>3403</v>
      </c>
      <c r="AM18" s="889"/>
      <c r="AN18" s="890"/>
      <c r="AO18" s="3" t="str">
        <f>"Potência instalada de geração (kW):    "&amp;TEXT(Resumo!$F$193,"0,0")</f>
        <v>Potência instalada de geração (kW):    8,2</v>
      </c>
      <c r="AP18" s="4"/>
      <c r="AQ18" s="4"/>
      <c r="AR18" s="4"/>
      <c r="AS18" s="4"/>
      <c r="AT18" s="4"/>
      <c r="AU18" s="4"/>
      <c r="AV18" s="4"/>
      <c r="AW18" s="4"/>
      <c r="AX18" s="5"/>
    </row>
    <row r="19" spans="1:50">
      <c r="A19" s="6" t="s">
        <v>3404</v>
      </c>
      <c r="C19" t="s">
        <v>3405</v>
      </c>
      <c r="D19" s="28" t="s">
        <v>3406</v>
      </c>
      <c r="F19" t="s">
        <v>3407</v>
      </c>
      <c r="H19" t="s">
        <v>3408</v>
      </c>
      <c r="J19" s="7"/>
      <c r="K19" s="335" t="str">
        <f>"Quantidade de Módulos:      "&amp;Resumo!$E$187&amp;"                                          Fabricante dos Módulos:    "&amp;Resumo!$E$222</f>
        <v>Quantidade de Módulos:      14                                          Fabricante dos Módulos:    DAH SOLAR</v>
      </c>
      <c r="AE19" s="880"/>
      <c r="AF19" s="881"/>
      <c r="AG19" s="882" t="s">
        <v>3409</v>
      </c>
      <c r="AH19" s="882"/>
      <c r="AI19" s="882"/>
      <c r="AJ19" s="878" t="str">
        <f>Resumo!$E$200</f>
        <v>FoxEss</v>
      </c>
      <c r="AK19" s="879"/>
      <c r="AL19" s="889" t="s">
        <v>3410</v>
      </c>
      <c r="AM19" s="889"/>
      <c r="AN19" s="890"/>
      <c r="AO19" s="6" t="s">
        <v>3400</v>
      </c>
      <c r="AX19" s="7"/>
    </row>
    <row r="20" spans="1:50">
      <c r="A20" s="8" t="s">
        <v>3411</v>
      </c>
      <c r="B20" s="2"/>
      <c r="C20" s="2"/>
      <c r="D20" s="2"/>
      <c r="E20" s="2"/>
      <c r="F20" s="2"/>
      <c r="G20" s="2"/>
      <c r="H20" s="2"/>
      <c r="I20" s="2"/>
      <c r="J20" s="9"/>
      <c r="K20" s="335" t="str">
        <f>"Quantidade de Inversores:     "&amp;Resumo!$E$188&amp;"                                          Fabricante do Inversor:   "&amp;Resumo!$E$200</f>
        <v>Quantidade de Inversores:     4                                          Fabricante do Inversor:   FoxEss</v>
      </c>
      <c r="AE20" s="880"/>
      <c r="AF20" s="881"/>
      <c r="AG20" s="882" t="s">
        <v>3412</v>
      </c>
      <c r="AH20" s="882"/>
      <c r="AI20" s="882"/>
      <c r="AJ20" s="878">
        <f>Resumo!$E$189</f>
        <v>8.19</v>
      </c>
      <c r="AK20" s="879"/>
      <c r="AL20" s="889" t="s">
        <v>3413</v>
      </c>
      <c r="AM20" s="889"/>
      <c r="AN20" s="890"/>
      <c r="AO20" s="6" t="s">
        <v>3404</v>
      </c>
      <c r="AQ20" t="s">
        <v>3405</v>
      </c>
      <c r="AR20" s="28" t="s">
        <v>3406</v>
      </c>
      <c r="AT20" t="s">
        <v>3407</v>
      </c>
      <c r="AV20" t="s">
        <v>3408</v>
      </c>
      <c r="AX20" s="7"/>
    </row>
    <row r="21" spans="1:50">
      <c r="A21" s="862" t="s">
        <v>3414</v>
      </c>
      <c r="B21" s="863"/>
      <c r="C21" s="863"/>
      <c r="D21" s="863"/>
      <c r="E21" s="863"/>
      <c r="F21" s="863"/>
      <c r="G21" s="863"/>
      <c r="H21" s="863"/>
      <c r="I21" s="863"/>
      <c r="J21" s="864"/>
      <c r="K21" s="335" t="str">
        <f>"Potência dos Módulos (kWp):   "&amp;Resumo!$E$189&amp;"                                  Potência dos Inversores (kWp):   "&amp;Resumo!$E$191</f>
        <v>Potência dos Módulos (kWp):   8,19                                  Potência dos Inversores (kWp):   10</v>
      </c>
      <c r="AE21" s="880"/>
      <c r="AF21" s="881"/>
      <c r="AG21" s="882" t="s">
        <v>3415</v>
      </c>
      <c r="AH21" s="882"/>
      <c r="AI21" s="882"/>
      <c r="AJ21" s="905">
        <f>Resumo!$E$191</f>
        <v>10</v>
      </c>
      <c r="AK21" s="906"/>
      <c r="AL21" s="889" t="s">
        <v>3416</v>
      </c>
      <c r="AM21" s="889"/>
      <c r="AN21" s="890"/>
      <c r="AO21" s="8" t="s">
        <v>3411</v>
      </c>
      <c r="AP21" s="2"/>
      <c r="AQ21" s="2"/>
      <c r="AR21" s="2"/>
      <c r="AS21" s="2"/>
      <c r="AT21" s="2"/>
      <c r="AU21" s="2"/>
      <c r="AV21" s="2"/>
      <c r="AW21" s="2"/>
      <c r="AX21" s="9"/>
    </row>
    <row r="22" spans="1:50">
      <c r="A22" s="331" t="s">
        <v>3417</v>
      </c>
      <c r="B22" s="865" t="s">
        <v>3418</v>
      </c>
      <c r="C22" s="865"/>
      <c r="D22" s="865"/>
      <c r="E22" s="865"/>
      <c r="F22" s="865"/>
      <c r="G22" s="865"/>
      <c r="H22" s="865"/>
      <c r="I22" s="865"/>
      <c r="J22" s="866"/>
      <c r="K22" s="335" t="str">
        <f>"Área dos Arranjos (m2):   "&amp;TEXT(Resumo!$F$161,"0,0")</f>
        <v>Área dos Arranjos (m2):   38,0</v>
      </c>
      <c r="AE22" s="880"/>
      <c r="AF22" s="881"/>
      <c r="AG22" s="869" t="s">
        <v>3419</v>
      </c>
      <c r="AH22" s="869"/>
      <c r="AI22" s="869"/>
      <c r="AJ22" s="885"/>
      <c r="AK22" s="886"/>
      <c r="AL22" s="895" t="s">
        <v>3420</v>
      </c>
      <c r="AM22" s="895"/>
      <c r="AN22" s="896"/>
      <c r="AO22" s="862" t="s">
        <v>3414</v>
      </c>
      <c r="AP22" s="863"/>
      <c r="AQ22" s="863"/>
      <c r="AR22" s="863"/>
      <c r="AS22" s="863"/>
      <c r="AT22" s="863"/>
      <c r="AU22" s="863"/>
      <c r="AV22" s="863"/>
      <c r="AW22" s="863"/>
      <c r="AX22" s="864"/>
    </row>
    <row r="23" spans="1:50">
      <c r="A23" s="332" t="s">
        <v>3421</v>
      </c>
      <c r="B23" s="849" t="s">
        <v>3422</v>
      </c>
      <c r="C23" s="849"/>
      <c r="D23" s="849"/>
      <c r="E23" s="849"/>
      <c r="F23" s="849"/>
      <c r="G23" s="849"/>
      <c r="H23" s="849"/>
      <c r="I23" s="849"/>
      <c r="J23" s="850"/>
      <c r="AE23" s="880"/>
      <c r="AF23" s="881"/>
      <c r="AG23" s="869"/>
      <c r="AH23" s="869"/>
      <c r="AI23" s="869"/>
      <c r="AJ23" s="887"/>
      <c r="AK23" s="888"/>
      <c r="AL23" s="895"/>
      <c r="AM23" s="895"/>
      <c r="AN23" s="896"/>
      <c r="AO23" s="331" t="s">
        <v>3417</v>
      </c>
      <c r="AP23" s="865" t="s">
        <v>3418</v>
      </c>
      <c r="AQ23" s="865"/>
      <c r="AR23" s="865"/>
      <c r="AS23" s="865"/>
      <c r="AT23" s="865"/>
      <c r="AU23" s="865"/>
      <c r="AV23" s="865"/>
      <c r="AW23" s="865"/>
      <c r="AX23" s="866"/>
    </row>
    <row r="24" spans="1:50">
      <c r="A24" s="332"/>
      <c r="B24" s="849" t="s">
        <v>3423</v>
      </c>
      <c r="C24" s="849"/>
      <c r="D24" s="849"/>
      <c r="E24" s="849"/>
      <c r="F24" s="849"/>
      <c r="G24" s="849"/>
      <c r="H24" s="849"/>
      <c r="I24" s="849"/>
      <c r="J24" s="850"/>
      <c r="AE24" s="880" t="s">
        <v>3424</v>
      </c>
      <c r="AF24" s="881"/>
      <c r="AG24" s="882" t="s">
        <v>1771</v>
      </c>
      <c r="AH24" s="882"/>
      <c r="AI24" s="882"/>
      <c r="AJ24" s="883"/>
      <c r="AK24" s="884"/>
      <c r="AL24" s="889" t="s">
        <v>3425</v>
      </c>
      <c r="AM24" s="889"/>
      <c r="AN24" s="890"/>
      <c r="AO24" s="332" t="s">
        <v>3421</v>
      </c>
      <c r="AP24" s="409" t="s">
        <v>3426</v>
      </c>
      <c r="AQ24" s="409"/>
      <c r="AR24" s="409"/>
      <c r="AS24" s="409"/>
      <c r="AT24" s="409"/>
      <c r="AU24" s="409"/>
      <c r="AV24" s="409"/>
      <c r="AW24" s="409"/>
      <c r="AX24" s="403"/>
    </row>
    <row r="25" spans="1:50">
      <c r="A25" s="332" t="s">
        <v>3427</v>
      </c>
      <c r="B25" s="849" t="s">
        <v>3428</v>
      </c>
      <c r="C25" s="849"/>
      <c r="D25" s="849"/>
      <c r="E25" s="849"/>
      <c r="F25" s="849"/>
      <c r="G25" s="849"/>
      <c r="H25" s="849"/>
      <c r="I25" s="849"/>
      <c r="J25" s="850"/>
      <c r="K25" s="334" t="s">
        <v>3429</v>
      </c>
      <c r="AE25" s="880"/>
      <c r="AF25" s="881"/>
      <c r="AG25" s="882" t="s">
        <v>1772</v>
      </c>
      <c r="AH25" s="882"/>
      <c r="AI25" s="882"/>
      <c r="AJ25" s="883"/>
      <c r="AK25" s="884"/>
      <c r="AL25" s="889" t="s">
        <v>3430</v>
      </c>
      <c r="AM25" s="889"/>
      <c r="AN25" s="890"/>
      <c r="AO25" s="332" t="s">
        <v>3427</v>
      </c>
      <c r="AP25" s="849" t="s">
        <v>3431</v>
      </c>
      <c r="AQ25" s="849"/>
      <c r="AR25" s="849"/>
      <c r="AS25" s="849"/>
      <c r="AT25" s="849"/>
      <c r="AU25" s="849"/>
      <c r="AV25" s="849"/>
      <c r="AW25" s="849"/>
      <c r="AX25" s="850"/>
    </row>
    <row r="26" spans="1:50">
      <c r="A26" s="332"/>
      <c r="B26" s="849" t="s">
        <v>3432</v>
      </c>
      <c r="C26" s="849"/>
      <c r="D26" s="849"/>
      <c r="E26" s="849"/>
      <c r="F26" s="849"/>
      <c r="G26" s="849"/>
      <c r="H26" s="849"/>
      <c r="I26" s="849"/>
      <c r="J26" s="850"/>
      <c r="K26" s="335" t="s">
        <v>3433</v>
      </c>
      <c r="AE26" s="880"/>
      <c r="AF26" s="881"/>
      <c r="AG26" s="882" t="s">
        <v>3434</v>
      </c>
      <c r="AH26" s="882"/>
      <c r="AI26" s="882"/>
      <c r="AJ26" s="883"/>
      <c r="AK26" s="884"/>
      <c r="AL26" s="889" t="s">
        <v>3435</v>
      </c>
      <c r="AM26" s="889"/>
      <c r="AN26" s="890"/>
      <c r="AO26" s="332" t="s">
        <v>3436</v>
      </c>
      <c r="AP26" s="849" t="s">
        <v>3428</v>
      </c>
      <c r="AQ26" s="849"/>
      <c r="AR26" s="849"/>
      <c r="AS26" s="849"/>
      <c r="AT26" s="849"/>
      <c r="AU26" s="849"/>
      <c r="AV26" s="849"/>
      <c r="AW26" s="849"/>
      <c r="AX26" s="850"/>
    </row>
    <row r="27" spans="1:50">
      <c r="A27" s="332" t="s">
        <v>3436</v>
      </c>
      <c r="B27" s="849" t="s">
        <v>3437</v>
      </c>
      <c r="C27" s="849"/>
      <c r="D27" s="849"/>
      <c r="E27" s="849"/>
      <c r="F27" s="849"/>
      <c r="G27" s="849"/>
      <c r="H27" s="849"/>
      <c r="I27" s="849"/>
      <c r="J27" s="850"/>
      <c r="K27" s="335" t="s">
        <v>3438</v>
      </c>
      <c r="AE27" s="880"/>
      <c r="AF27" s="881"/>
      <c r="AG27" s="869" t="s">
        <v>3439</v>
      </c>
      <c r="AH27" s="869"/>
      <c r="AI27" s="869"/>
      <c r="AJ27" s="885"/>
      <c r="AK27" s="886"/>
      <c r="AL27" s="895" t="s">
        <v>3440</v>
      </c>
      <c r="AM27" s="895"/>
      <c r="AN27" s="896"/>
      <c r="AO27" s="332"/>
      <c r="AP27" s="849" t="s">
        <v>3432</v>
      </c>
      <c r="AQ27" s="849"/>
      <c r="AR27" s="849"/>
      <c r="AS27" s="849"/>
      <c r="AT27" s="849"/>
      <c r="AU27" s="849"/>
      <c r="AV27" s="849"/>
      <c r="AW27" s="849"/>
      <c r="AX27" s="850"/>
    </row>
    <row r="28" spans="1:50">
      <c r="A28" s="332"/>
      <c r="B28" s="851" t="s">
        <v>3441</v>
      </c>
      <c r="C28" s="852"/>
      <c r="D28" s="852"/>
      <c r="E28" s="852"/>
      <c r="F28" s="852"/>
      <c r="G28" s="852"/>
      <c r="H28" s="852"/>
      <c r="I28" s="852"/>
      <c r="J28" s="853"/>
      <c r="K28" s="335" t="s">
        <v>3442</v>
      </c>
      <c r="AE28" s="880"/>
      <c r="AF28" s="881"/>
      <c r="AG28" s="869"/>
      <c r="AH28" s="869"/>
      <c r="AI28" s="869"/>
      <c r="AJ28" s="887"/>
      <c r="AK28" s="888"/>
      <c r="AL28" s="895"/>
      <c r="AM28" s="895"/>
      <c r="AN28" s="896"/>
      <c r="AO28" s="332" t="s">
        <v>3443</v>
      </c>
      <c r="AP28" s="849" t="s">
        <v>3437</v>
      </c>
      <c r="AQ28" s="849"/>
      <c r="AR28" s="849"/>
      <c r="AS28" s="849"/>
      <c r="AT28" s="849"/>
      <c r="AU28" s="849"/>
      <c r="AV28" s="849"/>
      <c r="AW28" s="849"/>
      <c r="AX28" s="850"/>
    </row>
    <row r="29" spans="1:50">
      <c r="A29" s="332" t="s">
        <v>3443</v>
      </c>
      <c r="B29" s="849" t="s">
        <v>3444</v>
      </c>
      <c r="C29" s="849"/>
      <c r="D29" s="849"/>
      <c r="E29" s="849"/>
      <c r="F29" s="849"/>
      <c r="G29" s="849"/>
      <c r="H29" s="849"/>
      <c r="I29" s="849"/>
      <c r="J29" s="850"/>
      <c r="AE29" s="880"/>
      <c r="AF29" s="881"/>
      <c r="AG29" s="882" t="s">
        <v>3445</v>
      </c>
      <c r="AH29" s="882"/>
      <c r="AI29" s="882"/>
      <c r="AJ29" s="883"/>
      <c r="AK29" s="884"/>
      <c r="AL29" s="889" t="s">
        <v>3416</v>
      </c>
      <c r="AM29" s="889"/>
      <c r="AN29" s="890"/>
      <c r="AO29" s="332"/>
      <c r="AP29" s="851" t="s">
        <v>3441</v>
      </c>
      <c r="AQ29" s="852"/>
      <c r="AR29" s="852"/>
      <c r="AS29" s="852"/>
      <c r="AT29" s="852"/>
      <c r="AU29" s="852"/>
      <c r="AV29" s="852"/>
      <c r="AW29" s="852"/>
      <c r="AX29" s="853"/>
    </row>
    <row r="30" spans="1:50">
      <c r="A30" s="332"/>
      <c r="B30" s="849" t="s">
        <v>3446</v>
      </c>
      <c r="C30" s="849"/>
      <c r="D30" s="849"/>
      <c r="E30" s="849"/>
      <c r="F30" s="849"/>
      <c r="G30" s="849"/>
      <c r="H30" s="849"/>
      <c r="I30" s="849"/>
      <c r="J30" s="850"/>
      <c r="V30" s="131" t="str">
        <f ca="1">"Rio de Janeiro, " &amp; TEXT(TODAY(),"dd") &amp;" de "&amp;TEXT(TODAY(),"mmmm") &amp;" de "&amp;TEXT(TODAY(),"aaaa")&amp;"."</f>
        <v>Rio de Janeiro, 28 de julho de 2025.</v>
      </c>
      <c r="AE30" s="880"/>
      <c r="AF30" s="881"/>
      <c r="AG30" s="882" t="s">
        <v>3447</v>
      </c>
      <c r="AH30" s="882"/>
      <c r="AI30" s="882"/>
      <c r="AJ30" s="883"/>
      <c r="AK30" s="884"/>
      <c r="AL30" s="889" t="s">
        <v>3448</v>
      </c>
      <c r="AM30" s="889"/>
      <c r="AN30" s="890"/>
      <c r="AO30" s="332" t="s">
        <v>3449</v>
      </c>
      <c r="AP30" s="849" t="s">
        <v>3444</v>
      </c>
      <c r="AQ30" s="849"/>
      <c r="AR30" s="849"/>
      <c r="AS30" s="849"/>
      <c r="AT30" s="849"/>
      <c r="AU30" s="849"/>
      <c r="AV30" s="849"/>
      <c r="AW30" s="849"/>
      <c r="AX30" s="850"/>
    </row>
    <row r="31" spans="1:50">
      <c r="A31" s="332"/>
      <c r="B31" s="849" t="s">
        <v>3450</v>
      </c>
      <c r="C31" s="849"/>
      <c r="D31" s="849"/>
      <c r="E31" s="849"/>
      <c r="F31" s="849"/>
      <c r="G31" s="849"/>
      <c r="H31" s="849"/>
      <c r="I31" s="849"/>
      <c r="J31" s="850"/>
      <c r="K31" s="334" t="s">
        <v>3451</v>
      </c>
      <c r="AE31" s="880"/>
      <c r="AF31" s="881"/>
      <c r="AG31" s="869" t="s">
        <v>3419</v>
      </c>
      <c r="AH31" s="869"/>
      <c r="AI31" s="869"/>
      <c r="AJ31" s="907"/>
      <c r="AK31" s="908"/>
      <c r="AL31" s="895" t="s">
        <v>3420</v>
      </c>
      <c r="AM31" s="895"/>
      <c r="AN31" s="896"/>
      <c r="AP31" s="849" t="s">
        <v>3446</v>
      </c>
      <c r="AQ31" s="849"/>
      <c r="AR31" s="849"/>
      <c r="AS31" s="849"/>
      <c r="AT31" s="849"/>
      <c r="AU31" s="849"/>
      <c r="AV31" s="849"/>
      <c r="AW31" s="849"/>
      <c r="AX31" s="850"/>
    </row>
    <row r="32" spans="1:50">
      <c r="A32" s="332" t="s">
        <v>3449</v>
      </c>
      <c r="B32" s="849" t="s">
        <v>3452</v>
      </c>
      <c r="C32" s="849"/>
      <c r="D32" s="849"/>
      <c r="E32" s="849"/>
      <c r="F32" s="849"/>
      <c r="G32" s="849"/>
      <c r="H32" s="849"/>
      <c r="I32" s="849"/>
      <c r="J32" s="850"/>
      <c r="K32" s="335" t="s">
        <v>3453</v>
      </c>
      <c r="AE32" s="880"/>
      <c r="AF32" s="881"/>
      <c r="AG32" s="869"/>
      <c r="AH32" s="869"/>
      <c r="AI32" s="869"/>
      <c r="AJ32" s="846"/>
      <c r="AK32" s="848"/>
      <c r="AL32" s="895"/>
      <c r="AM32" s="895"/>
      <c r="AN32" s="896"/>
      <c r="AO32" s="332"/>
      <c r="AP32" s="849" t="s">
        <v>3450</v>
      </c>
      <c r="AQ32" s="849"/>
      <c r="AR32" s="849"/>
      <c r="AS32" s="849"/>
      <c r="AT32" s="849"/>
      <c r="AU32" s="849"/>
      <c r="AV32" s="849"/>
      <c r="AW32" s="849"/>
      <c r="AX32" s="850"/>
    </row>
    <row r="33" spans="1:50">
      <c r="A33" s="332"/>
      <c r="B33" s="849" t="s">
        <v>3454</v>
      </c>
      <c r="C33" s="849"/>
      <c r="D33" s="849"/>
      <c r="E33" s="849"/>
      <c r="F33" s="849"/>
      <c r="G33" s="849"/>
      <c r="H33" s="849"/>
      <c r="I33" s="849"/>
      <c r="J33" s="850"/>
      <c r="K33" s="335" t="s">
        <v>3455</v>
      </c>
      <c r="AE33" s="880" t="s">
        <v>3456</v>
      </c>
      <c r="AF33" s="881"/>
      <c r="AG33" s="882" t="s">
        <v>3457</v>
      </c>
      <c r="AH33" s="882"/>
      <c r="AI33" s="882"/>
      <c r="AJ33" s="883"/>
      <c r="AK33" s="884"/>
      <c r="AL33" s="889" t="s">
        <v>3458</v>
      </c>
      <c r="AM33" s="889"/>
      <c r="AN33" s="890"/>
      <c r="AO33" s="332" t="s">
        <v>3459</v>
      </c>
      <c r="AP33" s="849" t="s">
        <v>3452</v>
      </c>
      <c r="AQ33" s="849"/>
      <c r="AR33" s="849"/>
      <c r="AS33" s="849"/>
      <c r="AT33" s="849"/>
      <c r="AU33" s="849"/>
      <c r="AV33" s="849"/>
      <c r="AW33" s="849"/>
      <c r="AX33" s="850"/>
    </row>
    <row r="34" spans="1:50">
      <c r="A34" s="333" t="s">
        <v>3459</v>
      </c>
      <c r="B34" s="854" t="s">
        <v>3460</v>
      </c>
      <c r="C34" s="854"/>
      <c r="D34" s="854"/>
      <c r="E34" s="854"/>
      <c r="F34" s="854"/>
      <c r="G34" s="854"/>
      <c r="H34" s="854"/>
      <c r="I34" s="854"/>
      <c r="J34" s="855"/>
      <c r="K34" s="335" t="s">
        <v>3461</v>
      </c>
      <c r="AE34" s="880"/>
      <c r="AF34" s="881"/>
      <c r="AG34" s="882" t="s">
        <v>3462</v>
      </c>
      <c r="AH34" s="882"/>
      <c r="AI34" s="882"/>
      <c r="AJ34" s="883"/>
      <c r="AK34" s="884"/>
      <c r="AL34" s="889" t="s">
        <v>3463</v>
      </c>
      <c r="AM34" s="889"/>
      <c r="AN34" s="890"/>
      <c r="AO34" s="332"/>
      <c r="AP34" s="849" t="s">
        <v>3454</v>
      </c>
      <c r="AQ34" s="849"/>
      <c r="AR34" s="849"/>
      <c r="AS34" s="849"/>
      <c r="AT34" s="849"/>
      <c r="AU34" s="849"/>
      <c r="AV34" s="849"/>
      <c r="AW34" s="849"/>
      <c r="AX34" s="850"/>
    </row>
    <row r="35" spans="1:50">
      <c r="A35" s="841" t="s">
        <v>3464</v>
      </c>
      <c r="B35" s="841"/>
      <c r="C35" s="841"/>
      <c r="D35" s="841"/>
      <c r="E35" s="841"/>
      <c r="F35" s="841"/>
      <c r="G35" s="841"/>
      <c r="H35" s="841"/>
      <c r="I35" s="841"/>
      <c r="J35" s="841"/>
      <c r="U35" s="190" t="s">
        <v>2847</v>
      </c>
      <c r="V35" s="190"/>
      <c r="W35" s="190"/>
      <c r="X35" s="190"/>
      <c r="Y35" s="190"/>
      <c r="Z35" s="190"/>
      <c r="AA35" s="190"/>
      <c r="AB35" s="190"/>
      <c r="AC35" s="190"/>
      <c r="AD35" s="190"/>
      <c r="AE35" s="880"/>
      <c r="AF35" s="881"/>
      <c r="AG35" s="882" t="s">
        <v>3465</v>
      </c>
      <c r="AH35" s="882"/>
      <c r="AI35" s="882"/>
      <c r="AJ35" s="883"/>
      <c r="AK35" s="884"/>
      <c r="AL35" s="889" t="s">
        <v>3466</v>
      </c>
      <c r="AM35" s="889"/>
      <c r="AN35" s="890"/>
      <c r="AO35" s="333" t="s">
        <v>3467</v>
      </c>
      <c r="AP35" s="854" t="s">
        <v>3460</v>
      </c>
      <c r="AQ35" s="854"/>
      <c r="AR35" s="854"/>
      <c r="AS35" s="854"/>
      <c r="AT35" s="854"/>
      <c r="AU35" s="854"/>
      <c r="AV35" s="854"/>
      <c r="AW35" s="854"/>
      <c r="AX35" s="855"/>
    </row>
    <row r="36" spans="1:50">
      <c r="A36" s="3" t="s">
        <v>3468</v>
      </c>
      <c r="B36" s="4"/>
      <c r="C36" s="4"/>
      <c r="D36" s="4"/>
      <c r="E36" s="4"/>
      <c r="F36" s="4"/>
      <c r="G36" s="4"/>
      <c r="H36" s="4"/>
      <c r="I36" s="4"/>
      <c r="J36" s="5"/>
      <c r="U36" s="284" t="str">
        <f>Resumo!$E$2</f>
        <v>FLAVIA LOUZADA</v>
      </c>
      <c r="V36" s="190"/>
      <c r="W36" s="190"/>
      <c r="X36" s="190"/>
      <c r="Y36" s="190"/>
      <c r="Z36" s="190"/>
      <c r="AA36" s="190"/>
      <c r="AB36" s="190"/>
      <c r="AC36" s="190"/>
      <c r="AD36" s="190"/>
      <c r="AE36" s="880"/>
      <c r="AF36" s="881"/>
      <c r="AG36" s="882" t="s">
        <v>3469</v>
      </c>
      <c r="AH36" s="882"/>
      <c r="AI36" s="882"/>
      <c r="AJ36" s="883"/>
      <c r="AK36" s="884"/>
      <c r="AL36" s="889" t="s">
        <v>3470</v>
      </c>
      <c r="AM36" s="889"/>
      <c r="AN36" s="890"/>
      <c r="AO36" s="841" t="s">
        <v>3464</v>
      </c>
      <c r="AP36" s="841"/>
      <c r="AQ36" s="841"/>
      <c r="AR36" s="841"/>
      <c r="AS36" s="841"/>
      <c r="AT36" s="841"/>
      <c r="AU36" s="841"/>
      <c r="AV36" s="841"/>
      <c r="AW36" s="841"/>
      <c r="AX36" s="841"/>
    </row>
    <row r="37" spans="1:50">
      <c r="A37" s="6" t="s">
        <v>2359</v>
      </c>
      <c r="J37" s="7"/>
      <c r="K37" s="334" t="s">
        <v>3471</v>
      </c>
      <c r="U37" s="341" t="str">
        <f>Resumo!$D$4&amp;": "&amp;Resumo!$E$4</f>
        <v xml:space="preserve">CPF: </v>
      </c>
      <c r="V37" s="190"/>
      <c r="W37" s="190"/>
      <c r="X37" s="190"/>
      <c r="Y37" s="190"/>
      <c r="Z37" s="190"/>
      <c r="AA37" s="190"/>
      <c r="AB37" s="190"/>
      <c r="AC37" s="190"/>
      <c r="AD37" s="190"/>
      <c r="AE37" s="880"/>
      <c r="AF37" s="881"/>
      <c r="AG37" s="869" t="s">
        <v>3472</v>
      </c>
      <c r="AH37" s="869"/>
      <c r="AI37" s="869"/>
      <c r="AJ37" s="885"/>
      <c r="AK37" s="886"/>
      <c r="AL37" s="895" t="s">
        <v>3473</v>
      </c>
      <c r="AM37" s="895"/>
      <c r="AN37" s="896"/>
      <c r="AO37" s="3" t="s">
        <v>3468</v>
      </c>
      <c r="AP37" s="4"/>
      <c r="AQ37" s="4"/>
      <c r="AR37" s="4"/>
      <c r="AS37" s="4"/>
      <c r="AT37" s="4"/>
      <c r="AU37" s="4"/>
      <c r="AV37" s="4"/>
      <c r="AW37" s="4"/>
      <c r="AX37" s="5"/>
    </row>
    <row r="38" spans="1:50">
      <c r="A38" s="6" t="s">
        <v>2152</v>
      </c>
      <c r="J38" s="7"/>
      <c r="K38" s="335" t="s">
        <v>3474</v>
      </c>
      <c r="U38" s="190" t="s">
        <v>3475</v>
      </c>
      <c r="V38" s="190"/>
      <c r="W38" s="190"/>
      <c r="X38" s="190"/>
      <c r="Y38" s="190"/>
      <c r="Z38" s="190"/>
      <c r="AA38" s="190"/>
      <c r="AB38" s="190"/>
      <c r="AC38" s="190"/>
      <c r="AD38" s="190"/>
      <c r="AE38" s="880"/>
      <c r="AF38" s="881"/>
      <c r="AG38" s="869"/>
      <c r="AH38" s="869"/>
      <c r="AI38" s="869"/>
      <c r="AJ38" s="887"/>
      <c r="AK38" s="888"/>
      <c r="AL38" s="895"/>
      <c r="AM38" s="895"/>
      <c r="AN38" s="896"/>
      <c r="AO38" s="6" t="s">
        <v>2359</v>
      </c>
      <c r="AX38" s="7"/>
    </row>
    <row r="39" spans="1:50">
      <c r="A39" s="8" t="s">
        <v>3476</v>
      </c>
      <c r="B39" s="2"/>
      <c r="C39" s="2"/>
      <c r="D39" s="2"/>
      <c r="E39" s="2"/>
      <c r="F39" s="2"/>
      <c r="G39" s="2"/>
      <c r="H39" s="2"/>
      <c r="I39" s="2"/>
      <c r="J39" s="9"/>
      <c r="K39" s="335" t="s">
        <v>3477</v>
      </c>
      <c r="U39" s="341" t="str">
        <f>IF(Resumo!$D$4="CNPJ",Resumo!$E$22,"")</f>
        <v/>
      </c>
      <c r="V39" s="190"/>
      <c r="W39" s="190"/>
      <c r="X39" s="190"/>
      <c r="Y39" s="190"/>
      <c r="Z39" s="190"/>
      <c r="AA39" s="190"/>
      <c r="AB39" s="190"/>
      <c r="AC39" s="190"/>
      <c r="AD39" s="190"/>
      <c r="AE39" s="880"/>
      <c r="AF39" s="881"/>
      <c r="AG39" s="869" t="s">
        <v>3478</v>
      </c>
      <c r="AH39" s="869"/>
      <c r="AI39" s="869"/>
      <c r="AJ39" s="907"/>
      <c r="AK39" s="908"/>
      <c r="AL39" s="895" t="s">
        <v>3479</v>
      </c>
      <c r="AM39" s="895"/>
      <c r="AN39" s="896"/>
      <c r="AO39" s="6" t="s">
        <v>2152</v>
      </c>
      <c r="AX39" s="7"/>
    </row>
    <row r="40" spans="1:50">
      <c r="A40" s="841" t="s">
        <v>3480</v>
      </c>
      <c r="B40" s="841"/>
      <c r="C40" s="841"/>
      <c r="D40" s="841"/>
      <c r="E40" s="841"/>
      <c r="F40" s="841"/>
      <c r="G40" s="841"/>
      <c r="H40" s="841"/>
      <c r="I40" s="841"/>
      <c r="J40" s="841"/>
      <c r="U40" s="341" t="str">
        <f>IF(Resumo!$D$4="CNPJ","CPF: "&amp;Resumo!$E$23,"")</f>
        <v/>
      </c>
      <c r="V40" s="190"/>
      <c r="W40" s="190"/>
      <c r="X40" s="190"/>
      <c r="Y40" s="190"/>
      <c r="Z40" s="190"/>
      <c r="AA40" s="190"/>
      <c r="AB40" s="190"/>
      <c r="AC40" s="190"/>
      <c r="AD40" s="190"/>
      <c r="AE40" s="880"/>
      <c r="AF40" s="881"/>
      <c r="AG40" s="869"/>
      <c r="AH40" s="869"/>
      <c r="AI40" s="869"/>
      <c r="AJ40" s="846"/>
      <c r="AK40" s="848"/>
      <c r="AL40" s="895"/>
      <c r="AM40" s="895"/>
      <c r="AN40" s="896"/>
      <c r="AO40" s="8" t="s">
        <v>3476</v>
      </c>
      <c r="AP40" s="2"/>
      <c r="AQ40" s="2"/>
      <c r="AR40" s="2"/>
      <c r="AS40" s="2"/>
      <c r="AT40" s="2"/>
      <c r="AU40" s="2"/>
      <c r="AV40" s="2"/>
      <c r="AW40" s="2"/>
      <c r="AX40" s="9"/>
    </row>
    <row r="41" spans="1:50">
      <c r="A41" s="3" t="str">
        <f>"Nome/Procurador Legal:   "&amp;Projetos!$Q$5</f>
        <v>Nome/Procurador Legal:   Vinícius Carlos de Lima Teixeira</v>
      </c>
      <c r="B41" s="4"/>
      <c r="C41" s="4"/>
      <c r="D41" s="4"/>
      <c r="E41" s="4"/>
      <c r="F41" s="4"/>
      <c r="G41" s="4"/>
      <c r="H41" s="4"/>
      <c r="I41" s="4"/>
      <c r="J41" s="5"/>
      <c r="AE41" s="880"/>
      <c r="AF41" s="881"/>
      <c r="AG41" s="882" t="s">
        <v>3481</v>
      </c>
      <c r="AH41" s="882"/>
      <c r="AI41" s="882"/>
      <c r="AJ41" s="883"/>
      <c r="AK41" s="884"/>
      <c r="AL41" s="889" t="s">
        <v>3482</v>
      </c>
      <c r="AM41" s="889"/>
      <c r="AN41" s="890"/>
      <c r="AO41" s="841" t="s">
        <v>3480</v>
      </c>
      <c r="AP41" s="841"/>
      <c r="AQ41" s="841"/>
      <c r="AR41" s="841"/>
      <c r="AS41" s="841"/>
      <c r="AT41" s="841"/>
      <c r="AU41" s="841"/>
      <c r="AV41" s="841"/>
      <c r="AW41" s="841"/>
      <c r="AX41" s="841"/>
    </row>
    <row r="42" spans="1:50">
      <c r="A42" s="6" t="str">
        <f>"Telefone:   "&amp;TEXT(Projetos!$Q$7,"(00) 00000-0000")</f>
        <v>Telefone:   (21) 97681-1065</v>
      </c>
      <c r="J42" s="7"/>
      <c r="K42" s="334" t="s">
        <v>3483</v>
      </c>
      <c r="AE42" s="880"/>
      <c r="AF42" s="881"/>
      <c r="AG42" s="882" t="s">
        <v>3484</v>
      </c>
      <c r="AH42" s="882"/>
      <c r="AI42" s="882"/>
      <c r="AJ42" s="885"/>
      <c r="AK42" s="886"/>
      <c r="AL42" s="889" t="s">
        <v>3485</v>
      </c>
      <c r="AM42" s="889"/>
      <c r="AN42" s="890"/>
      <c r="AO42" s="3" t="str">
        <f>"Nome/Procurador Legal:   "&amp;Projetos!$Q$5</f>
        <v>Nome/Procurador Legal:   Vinícius Carlos de Lima Teixeira</v>
      </c>
      <c r="AP42" s="4"/>
      <c r="AQ42" s="4"/>
      <c r="AR42" s="4"/>
      <c r="AS42" s="4"/>
      <c r="AT42" s="4"/>
      <c r="AU42" s="4"/>
      <c r="AV42" s="4"/>
      <c r="AW42" s="4"/>
      <c r="AX42" s="5"/>
    </row>
    <row r="43" spans="1:50">
      <c r="A43" s="6" t="str">
        <f>"E-mail:   "&amp;Projetos!$Q$8</f>
        <v>E-mail:   vinicius@energiacactos.com.br</v>
      </c>
      <c r="J43" s="7"/>
      <c r="K43" t="str">
        <f>"Nome/Procurador Legal:   "&amp;Projetos!$Q$5</f>
        <v>Nome/Procurador Legal:   Vinícius Carlos de Lima Teixeira</v>
      </c>
      <c r="AE43" s="880"/>
      <c r="AF43" s="881"/>
      <c r="AG43" s="882"/>
      <c r="AH43" s="882"/>
      <c r="AI43" s="882"/>
      <c r="AJ43" s="887"/>
      <c r="AK43" s="888"/>
      <c r="AL43" s="889"/>
      <c r="AM43" s="889"/>
      <c r="AN43" s="890"/>
      <c r="AO43" s="6" t="str">
        <f>"Telefone:   "&amp;TEXT(Projetos!$Q$7,"(00) 00000-0000")</f>
        <v>Telefone:   (21) 97681-1065</v>
      </c>
      <c r="AX43" s="7"/>
    </row>
    <row r="44" spans="1:50">
      <c r="A44" s="6"/>
      <c r="J44" s="7"/>
      <c r="K44" t="str">
        <f>"Telefone:   "&amp;TEXT(Projetos!$Q$7,"(00) 00000-0000")</f>
        <v>Telefone:   (21) 97681-1065</v>
      </c>
      <c r="AE44" s="880"/>
      <c r="AF44" s="881"/>
      <c r="AG44" s="869" t="s">
        <v>3419</v>
      </c>
      <c r="AH44" s="869"/>
      <c r="AI44" s="869"/>
      <c r="AJ44" s="907"/>
      <c r="AK44" s="908"/>
      <c r="AL44" s="895" t="s">
        <v>3420</v>
      </c>
      <c r="AM44" s="895"/>
      <c r="AN44" s="896"/>
      <c r="AO44" s="6" t="str">
        <f>"E-mail:   "&amp;Projetos!$Q$8</f>
        <v>E-mail:   vinicius@energiacactos.com.br</v>
      </c>
      <c r="AX44" s="7"/>
    </row>
    <row r="45" spans="1:50">
      <c r="A45" s="6"/>
      <c r="J45" s="7"/>
      <c r="K45" t="str">
        <f>"E-mail:   "&amp;Projetos!$Q$8</f>
        <v>E-mail:   vinicius@energiacactos.com.br</v>
      </c>
      <c r="AE45" s="880"/>
      <c r="AF45" s="881"/>
      <c r="AG45" s="869"/>
      <c r="AH45" s="869"/>
      <c r="AI45" s="869"/>
      <c r="AJ45" s="846"/>
      <c r="AK45" s="848"/>
      <c r="AL45" s="895"/>
      <c r="AM45" s="895"/>
      <c r="AN45" s="896"/>
      <c r="AO45" s="6"/>
      <c r="AX45" s="7"/>
    </row>
    <row r="46" spans="1:50">
      <c r="A46" s="6"/>
      <c r="J46" s="7"/>
      <c r="AE46" s="909" t="s">
        <v>3486</v>
      </c>
      <c r="AF46" s="910"/>
      <c r="AG46" s="869" t="s">
        <v>3478</v>
      </c>
      <c r="AH46" s="869"/>
      <c r="AI46" s="869"/>
      <c r="AJ46" s="885"/>
      <c r="AK46" s="886"/>
      <c r="AL46" s="889" t="s">
        <v>3479</v>
      </c>
      <c r="AM46" s="889"/>
      <c r="AN46" s="890"/>
      <c r="AO46" s="6"/>
      <c r="AX46" s="7"/>
    </row>
    <row r="47" spans="1:50">
      <c r="A47" s="842" t="s">
        <v>1346</v>
      </c>
      <c r="B47" s="843"/>
      <c r="C47" s="843"/>
      <c r="D47" s="844">
        <f ca="1">TODAY()</f>
        <v>45866</v>
      </c>
      <c r="E47" s="843"/>
      <c r="F47" s="843"/>
      <c r="G47" s="790" t="s">
        <v>3487</v>
      </c>
      <c r="H47" s="790"/>
      <c r="I47" s="790"/>
      <c r="J47" s="845"/>
      <c r="AE47" s="909"/>
      <c r="AF47" s="910"/>
      <c r="AG47" s="869"/>
      <c r="AH47" s="869"/>
      <c r="AI47" s="869"/>
      <c r="AJ47" s="887"/>
      <c r="AK47" s="888"/>
      <c r="AL47" s="889"/>
      <c r="AM47" s="889"/>
      <c r="AN47" s="890"/>
      <c r="AO47" s="6"/>
      <c r="AX47" s="7"/>
    </row>
    <row r="48" spans="1:50">
      <c r="A48" s="846" t="s">
        <v>3488</v>
      </c>
      <c r="B48" s="847"/>
      <c r="C48" s="847"/>
      <c r="D48" s="847" t="s">
        <v>91</v>
      </c>
      <c r="E48" s="847"/>
      <c r="F48" s="847"/>
      <c r="G48" s="847" t="s">
        <v>3489</v>
      </c>
      <c r="H48" s="847"/>
      <c r="I48" s="847"/>
      <c r="J48" s="848"/>
      <c r="AE48" s="909"/>
      <c r="AF48" s="910"/>
      <c r="AG48" s="882" t="s">
        <v>3481</v>
      </c>
      <c r="AH48" s="882"/>
      <c r="AI48" s="882"/>
      <c r="AJ48" s="883"/>
      <c r="AK48" s="884"/>
      <c r="AL48" s="889" t="s">
        <v>3482</v>
      </c>
      <c r="AM48" s="889"/>
      <c r="AN48" s="890"/>
      <c r="AO48" s="842" t="s">
        <v>1346</v>
      </c>
      <c r="AP48" s="843"/>
      <c r="AQ48" s="843"/>
      <c r="AR48" s="844">
        <f ca="1">TODAY()</f>
        <v>45866</v>
      </c>
      <c r="AS48" s="843"/>
      <c r="AT48" s="843"/>
      <c r="AU48" s="790" t="s">
        <v>3487</v>
      </c>
      <c r="AV48" s="790"/>
      <c r="AW48" s="790"/>
      <c r="AX48" s="845"/>
    </row>
    <row r="49" spans="11:50">
      <c r="AE49" s="909"/>
      <c r="AF49" s="910"/>
      <c r="AG49" s="869" t="s">
        <v>3484</v>
      </c>
      <c r="AH49" s="869"/>
      <c r="AI49" s="869"/>
      <c r="AJ49" s="913"/>
      <c r="AK49" s="914"/>
      <c r="AL49" s="895" t="s">
        <v>3490</v>
      </c>
      <c r="AM49" s="895"/>
      <c r="AN49" s="896"/>
      <c r="AO49" s="846" t="s">
        <v>3488</v>
      </c>
      <c r="AP49" s="847"/>
      <c r="AQ49" s="847"/>
      <c r="AR49" s="847" t="s">
        <v>91</v>
      </c>
      <c r="AS49" s="847"/>
      <c r="AT49" s="847"/>
      <c r="AU49" s="847" t="s">
        <v>3489</v>
      </c>
      <c r="AV49" s="847"/>
      <c r="AW49" s="847"/>
      <c r="AX49" s="848"/>
    </row>
    <row r="50" spans="11:50">
      <c r="K50" s="843" t="s">
        <v>1346</v>
      </c>
      <c r="L50" s="843"/>
      <c r="M50" s="843"/>
      <c r="N50" s="844">
        <f ca="1">TODAY()</f>
        <v>45866</v>
      </c>
      <c r="O50" s="843"/>
      <c r="P50" s="843"/>
      <c r="R50" s="335" t="s">
        <v>3491</v>
      </c>
      <c r="AE50" s="909"/>
      <c r="AF50" s="910"/>
      <c r="AG50" s="869"/>
      <c r="AH50" s="869"/>
      <c r="AI50" s="869"/>
      <c r="AJ50" s="915"/>
      <c r="AK50" s="916"/>
      <c r="AL50" s="895"/>
      <c r="AM50" s="895"/>
      <c r="AN50" s="896"/>
    </row>
    <row r="51" spans="11:50">
      <c r="K51" s="867" t="s">
        <v>3488</v>
      </c>
      <c r="L51" s="867"/>
      <c r="M51" s="867"/>
      <c r="N51" s="867" t="s">
        <v>91</v>
      </c>
      <c r="O51" s="867"/>
      <c r="P51" s="867"/>
      <c r="R51" s="867" t="s">
        <v>3489</v>
      </c>
      <c r="S51" s="867"/>
      <c r="T51" s="867"/>
      <c r="AE51" s="909"/>
      <c r="AF51" s="910"/>
      <c r="AG51" s="869" t="s">
        <v>3492</v>
      </c>
      <c r="AH51" s="869"/>
      <c r="AI51" s="869"/>
      <c r="AJ51" s="885"/>
      <c r="AK51" s="886"/>
      <c r="AL51" s="895" t="s">
        <v>3493</v>
      </c>
      <c r="AM51" s="895"/>
      <c r="AN51" s="896"/>
    </row>
    <row r="52" spans="11:50">
      <c r="AE52" s="909"/>
      <c r="AF52" s="910"/>
      <c r="AG52" s="869"/>
      <c r="AH52" s="869"/>
      <c r="AI52" s="869"/>
      <c r="AJ52" s="887"/>
      <c r="AK52" s="888"/>
      <c r="AL52" s="895"/>
      <c r="AM52" s="895"/>
      <c r="AN52" s="896"/>
    </row>
    <row r="53" spans="11:50">
      <c r="AE53" s="909"/>
      <c r="AF53" s="910"/>
      <c r="AG53" s="869" t="s">
        <v>3419</v>
      </c>
      <c r="AH53" s="869"/>
      <c r="AI53" s="869"/>
      <c r="AJ53" s="907"/>
      <c r="AK53" s="908"/>
      <c r="AL53" s="895" t="s">
        <v>3420</v>
      </c>
      <c r="AM53" s="895"/>
      <c r="AN53" s="896"/>
    </row>
    <row r="54" spans="11:50">
      <c r="AE54" s="911"/>
      <c r="AF54" s="912"/>
      <c r="AG54" s="917"/>
      <c r="AH54" s="917"/>
      <c r="AI54" s="917"/>
      <c r="AJ54" s="918"/>
      <c r="AK54" s="845"/>
      <c r="AL54" s="919"/>
      <c r="AM54" s="919"/>
      <c r="AN54" s="920"/>
    </row>
  </sheetData>
  <sheetProtection formatRows="0" selectLockedCells="1"/>
  <mergeCells count="163">
    <mergeCell ref="AE46:AF54"/>
    <mergeCell ref="AG46:AI47"/>
    <mergeCell ref="AJ46:AK47"/>
    <mergeCell ref="AL46:AN47"/>
    <mergeCell ref="AG48:AI48"/>
    <mergeCell ref="AJ48:AK48"/>
    <mergeCell ref="AL48:AN48"/>
    <mergeCell ref="AG49:AI50"/>
    <mergeCell ref="AJ49:AK50"/>
    <mergeCell ref="AL49:AN50"/>
    <mergeCell ref="AG51:AI52"/>
    <mergeCell ref="AJ51:AK52"/>
    <mergeCell ref="AL51:AN52"/>
    <mergeCell ref="AG53:AI54"/>
    <mergeCell ref="AJ53:AK54"/>
    <mergeCell ref="AL53:AN54"/>
    <mergeCell ref="AL37:AN38"/>
    <mergeCell ref="AG42:AI43"/>
    <mergeCell ref="AJ42:AK43"/>
    <mergeCell ref="AL42:AN43"/>
    <mergeCell ref="AG44:AI45"/>
    <mergeCell ref="AJ44:AK45"/>
    <mergeCell ref="AL44:AN45"/>
    <mergeCell ref="AG39:AI40"/>
    <mergeCell ref="AJ39:AK40"/>
    <mergeCell ref="AL39:AN40"/>
    <mergeCell ref="AG41:AI41"/>
    <mergeCell ref="AJ41:AK41"/>
    <mergeCell ref="AL41:AN41"/>
    <mergeCell ref="AL33:AN33"/>
    <mergeCell ref="AG34:AI34"/>
    <mergeCell ref="AJ34:AK34"/>
    <mergeCell ref="AL34:AN34"/>
    <mergeCell ref="AG35:AI35"/>
    <mergeCell ref="AJ35:AK35"/>
    <mergeCell ref="AL35:AN35"/>
    <mergeCell ref="AG36:AI36"/>
    <mergeCell ref="AJ36:AK36"/>
    <mergeCell ref="AL36:AN36"/>
    <mergeCell ref="AL20:AN20"/>
    <mergeCell ref="AG30:AI30"/>
    <mergeCell ref="AJ30:AK30"/>
    <mergeCell ref="AL30:AN30"/>
    <mergeCell ref="AG31:AI32"/>
    <mergeCell ref="AJ31:AK32"/>
    <mergeCell ref="AL31:AN32"/>
    <mergeCell ref="AE24:AF32"/>
    <mergeCell ref="AG24:AI24"/>
    <mergeCell ref="AJ24:AK24"/>
    <mergeCell ref="AL24:AN24"/>
    <mergeCell ref="AG25:AI25"/>
    <mergeCell ref="AJ25:AK25"/>
    <mergeCell ref="AL25:AN25"/>
    <mergeCell ref="AG26:AI26"/>
    <mergeCell ref="AJ26:AK26"/>
    <mergeCell ref="AL26:AN26"/>
    <mergeCell ref="AG27:AI28"/>
    <mergeCell ref="AJ27:AK28"/>
    <mergeCell ref="AL27:AN28"/>
    <mergeCell ref="AG29:AI29"/>
    <mergeCell ref="AJ29:AK29"/>
    <mergeCell ref="AL29:AN29"/>
    <mergeCell ref="AL13:AN14"/>
    <mergeCell ref="AE15:AF23"/>
    <mergeCell ref="AG15:AI15"/>
    <mergeCell ref="AJ15:AK15"/>
    <mergeCell ref="AL15:AN15"/>
    <mergeCell ref="AG16:AI16"/>
    <mergeCell ref="AJ16:AK16"/>
    <mergeCell ref="AL16:AN16"/>
    <mergeCell ref="AG17:AI17"/>
    <mergeCell ref="AJ17:AK17"/>
    <mergeCell ref="AL17:AN17"/>
    <mergeCell ref="AG18:AI18"/>
    <mergeCell ref="AJ18:AK18"/>
    <mergeCell ref="AL18:AN18"/>
    <mergeCell ref="AG21:AI21"/>
    <mergeCell ref="AJ21:AK21"/>
    <mergeCell ref="AL21:AN21"/>
    <mergeCell ref="AG22:AI23"/>
    <mergeCell ref="AJ22:AK23"/>
    <mergeCell ref="AL22:AN23"/>
    <mergeCell ref="AG19:AI19"/>
    <mergeCell ref="AJ19:AK19"/>
    <mergeCell ref="AL19:AN19"/>
    <mergeCell ref="AG20:AI20"/>
    <mergeCell ref="AL9:AN10"/>
    <mergeCell ref="AE11:AI12"/>
    <mergeCell ref="AJ11:AK12"/>
    <mergeCell ref="AL11:AN12"/>
    <mergeCell ref="AG4:AL5"/>
    <mergeCell ref="AE7:AI7"/>
    <mergeCell ref="AJ7:AK7"/>
    <mergeCell ref="AL7:AN7"/>
    <mergeCell ref="AE8:AI8"/>
    <mergeCell ref="AJ8:AK8"/>
    <mergeCell ref="AL8:AN8"/>
    <mergeCell ref="B34:J34"/>
    <mergeCell ref="B23:J23"/>
    <mergeCell ref="B26:J26"/>
    <mergeCell ref="B27:J27"/>
    <mergeCell ref="B28:J28"/>
    <mergeCell ref="B29:J29"/>
    <mergeCell ref="B30:J30"/>
    <mergeCell ref="AE9:AI10"/>
    <mergeCell ref="AJ9:AK10"/>
    <mergeCell ref="AE13:AI14"/>
    <mergeCell ref="AJ13:AK14"/>
    <mergeCell ref="AJ20:AK20"/>
    <mergeCell ref="AE33:AF45"/>
    <mergeCell ref="AG33:AI33"/>
    <mergeCell ref="AJ33:AK33"/>
    <mergeCell ref="AG37:AI38"/>
    <mergeCell ref="AJ37:AK38"/>
    <mergeCell ref="A2:J2"/>
    <mergeCell ref="R51:T51"/>
    <mergeCell ref="K51:M51"/>
    <mergeCell ref="N51:P51"/>
    <mergeCell ref="K50:M50"/>
    <mergeCell ref="N50:P50"/>
    <mergeCell ref="A40:J40"/>
    <mergeCell ref="A47:C47"/>
    <mergeCell ref="D47:F47"/>
    <mergeCell ref="G47:J47"/>
    <mergeCell ref="A48:C48"/>
    <mergeCell ref="D48:F48"/>
    <mergeCell ref="G48:J48"/>
    <mergeCell ref="A35:J35"/>
    <mergeCell ref="B24:J24"/>
    <mergeCell ref="B25:J25"/>
    <mergeCell ref="A5:J5"/>
    <mergeCell ref="A13:J13"/>
    <mergeCell ref="A16:J16"/>
    <mergeCell ref="A21:J21"/>
    <mergeCell ref="B22:J22"/>
    <mergeCell ref="B31:J31"/>
    <mergeCell ref="B32:J32"/>
    <mergeCell ref="B33:J33"/>
    <mergeCell ref="AO2:AX2"/>
    <mergeCell ref="AO5:AX5"/>
    <mergeCell ref="AO13:AX13"/>
    <mergeCell ref="AO17:AX17"/>
    <mergeCell ref="AO22:AX22"/>
    <mergeCell ref="AP23:AX23"/>
    <mergeCell ref="AP25:AX25"/>
    <mergeCell ref="AP26:AX26"/>
    <mergeCell ref="AP27:AX27"/>
    <mergeCell ref="AO41:AX41"/>
    <mergeCell ref="AO48:AQ48"/>
    <mergeCell ref="AR48:AT48"/>
    <mergeCell ref="AU48:AX48"/>
    <mergeCell ref="AO49:AQ49"/>
    <mergeCell ref="AR49:AT49"/>
    <mergeCell ref="AU49:AX49"/>
    <mergeCell ref="AP28:AX28"/>
    <mergeCell ref="AP29:AX29"/>
    <mergeCell ref="AP30:AX30"/>
    <mergeCell ref="AP31:AX31"/>
    <mergeCell ref="AP32:AX32"/>
    <mergeCell ref="AP33:AX33"/>
    <mergeCell ref="AP34:AX34"/>
    <mergeCell ref="AP35:AX35"/>
    <mergeCell ref="AO36:AX36"/>
  </mergeCells>
  <hyperlinks>
    <hyperlink ref="B28" r:id="rId1" xr:uid="{928D29C9-820F-4DB1-A23F-9545802DA365}"/>
    <hyperlink ref="AP29" r:id="rId2" xr:uid="{31D323DD-2BE7-4DA6-9892-6FAAA5E92D2C}"/>
  </hyperlinks>
  <pageMargins left="0.51181102362204722" right="0.51181102362204722" top="0" bottom="0" header="0" footer="0"/>
  <pageSetup paperSize="9" scale="98" orientation="portrait" r:id="rId3"/>
  <headerFooter differentFirst="1"/>
  <colBreaks count="4" manualBreakCount="4">
    <brk id="10" max="53" man="1"/>
    <brk id="20" max="1048575" man="1"/>
    <brk id="30" max="53" man="1"/>
    <brk id="40" max="1048575" man="1"/>
  </colBreaks>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00979-AB24-4FDA-B2AA-5809EC8FFC6A}">
  <sheetPr codeName="Planilha2"/>
  <dimension ref="A1:AL75"/>
  <sheetViews>
    <sheetView showGridLines="0" view="pageBreakPreview" zoomScale="60" zoomScaleNormal="100" workbookViewId="0"/>
  </sheetViews>
  <sheetFormatPr defaultRowHeight="15"/>
  <cols>
    <col min="10" max="10" width="8.85546875" customWidth="1"/>
    <col min="12" max="12" width="20.7109375" customWidth="1"/>
    <col min="14" max="14" width="11.140625" customWidth="1"/>
    <col min="18" max="18" width="23" customWidth="1"/>
    <col min="20" max="20" width="14.7109375" customWidth="1"/>
    <col min="22" max="22" width="17.7109375" customWidth="1"/>
    <col min="24" max="24" width="21.7109375" customWidth="1"/>
    <col min="26" max="26" width="35.28515625" customWidth="1"/>
    <col min="32" max="32" width="29.5703125" customWidth="1"/>
    <col min="33" max="33" width="26.140625" customWidth="1"/>
  </cols>
  <sheetData>
    <row r="1" spans="1:33">
      <c r="L1" t="s">
        <v>2828</v>
      </c>
      <c r="V1" t="s">
        <v>3494</v>
      </c>
      <c r="AE1" t="s">
        <v>3495</v>
      </c>
    </row>
    <row r="2" spans="1:33">
      <c r="A2" s="346" t="str">
        <f>HYPERLINK("https://maps.google.com/?q="&amp;IFERROR(LEFT(Início!$F$35,SEARCH("°",Início!$F$35)-1),Início!$F$35)&amp;","&amp;IFERROR(LEFT(Início!$F$37,SEARCH("°",Início!$F$37)-1),Início!$F$37),"Mapa de Localização")</f>
        <v>Mapa de Localização</v>
      </c>
      <c r="L2" t="s">
        <v>3496</v>
      </c>
      <c r="R2" t="s">
        <v>3497</v>
      </c>
    </row>
    <row r="3" spans="1:33">
      <c r="W3" s="28" t="s">
        <v>3498</v>
      </c>
      <c r="X3" t="str">
        <f>Resumo!$E$2</f>
        <v>FLAVIA LOUZADA</v>
      </c>
      <c r="AF3" s="130" t="s">
        <v>3499</v>
      </c>
    </row>
    <row r="4" spans="1:33">
      <c r="L4" t="s">
        <v>3500</v>
      </c>
      <c r="W4" s="28" t="s">
        <v>3501</v>
      </c>
      <c r="X4">
        <f>Resumo!$E$36</f>
        <v>0</v>
      </c>
      <c r="AF4" s="28" t="s">
        <v>3502</v>
      </c>
      <c r="AG4" s="378">
        <f>Resumo!$E$37</f>
        <v>0</v>
      </c>
    </row>
    <row r="5" spans="1:33">
      <c r="M5" t="s">
        <v>3503</v>
      </c>
      <c r="W5" s="28" t="s">
        <v>3504</v>
      </c>
      <c r="X5" t="str">
        <f>IF(Início!$F$6="CPF","Física","Jurídica")</f>
        <v>Física</v>
      </c>
      <c r="AF5" s="28" t="s">
        <v>3505</v>
      </c>
      <c r="AG5" t="str">
        <f>MID(Resumo!$E$28,6,99)</f>
        <v>Residencial</v>
      </c>
    </row>
    <row r="6" spans="1:33">
      <c r="N6" t="s">
        <v>3506</v>
      </c>
      <c r="W6" s="28" t="s">
        <v>3507</v>
      </c>
      <c r="X6" s="131" t="str">
        <f>Resumo!$E$7</f>
        <v/>
      </c>
      <c r="AF6" s="28" t="s">
        <v>3508</v>
      </c>
      <c r="AG6" t="str">
        <f>Resumo!$E$2</f>
        <v>FLAVIA LOUZADA</v>
      </c>
    </row>
    <row r="7" spans="1:33">
      <c r="W7" s="28" t="s">
        <v>1546</v>
      </c>
      <c r="X7">
        <f>Resumo!$E$5</f>
        <v>0</v>
      </c>
      <c r="AF7" s="28" t="s">
        <v>2154</v>
      </c>
      <c r="AG7" t="str">
        <f>Resumo!$E$8</f>
        <v>flavialouzada@uol.com.br</v>
      </c>
    </row>
    <row r="8" spans="1:33">
      <c r="L8" t="s">
        <v>3509</v>
      </c>
      <c r="W8" s="28" t="s">
        <v>3510</v>
      </c>
      <c r="X8">
        <f>Resumo!$E$6</f>
        <v>0</v>
      </c>
      <c r="AF8" s="28" t="s">
        <v>3511</v>
      </c>
      <c r="AG8">
        <f>Resumo!$E$17</f>
        <v>0</v>
      </c>
    </row>
    <row r="9" spans="1:33">
      <c r="M9" s="28" t="s">
        <v>3512</v>
      </c>
      <c r="N9" s="20" t="str">
        <f>TEXT(Início!$F$9,"00000000000")</f>
        <v/>
      </c>
      <c r="O9" s="20"/>
      <c r="W9" s="28" t="s">
        <v>2477</v>
      </c>
      <c r="X9" t="str">
        <f>Resumo!$E$4</f>
        <v/>
      </c>
      <c r="AF9" s="28" t="s">
        <v>3513</v>
      </c>
      <c r="AG9" t="str">
        <f>UPPER(IF(Início!$F$28="",Início!$F$27,Início!$F$28))</f>
        <v/>
      </c>
    </row>
    <row r="10" spans="1:33">
      <c r="M10" s="28" t="s">
        <v>3514</v>
      </c>
      <c r="N10" t="str">
        <f>Início!$F$7</f>
        <v>Flavia Louzada</v>
      </c>
      <c r="W10" s="28" t="s">
        <v>278</v>
      </c>
      <c r="X10" t="str">
        <f>Resumo!$E$9</f>
        <v>(5521) 9 8866-2268</v>
      </c>
      <c r="AF10" s="28" t="s">
        <v>3515</v>
      </c>
      <c r="AG10" t="str">
        <f>UPPER(IF(Início!$F$30="",Início!$F$29,Início!$F$30))</f>
        <v/>
      </c>
    </row>
    <row r="11" spans="1:33">
      <c r="M11" s="28" t="s">
        <v>3516</v>
      </c>
      <c r="N11" t="s">
        <v>3517</v>
      </c>
      <c r="W11" s="28" t="s">
        <v>1555</v>
      </c>
      <c r="X11" t="str">
        <f>Resumo!$E$8</f>
        <v>flavialouzada@uol.com.br</v>
      </c>
      <c r="AF11" s="28" t="s">
        <v>3518</v>
      </c>
      <c r="AG11" t="str">
        <f>Resumo!$E$16</f>
        <v/>
      </c>
    </row>
    <row r="12" spans="1:33">
      <c r="M12" s="28" t="s">
        <v>3519</v>
      </c>
      <c r="N12" t="str">
        <f>SUBSTITUTE(Início!$F$33,"-","")</f>
        <v>0</v>
      </c>
      <c r="P12" t="s">
        <v>3520</v>
      </c>
      <c r="AF12" s="28" t="s">
        <v>3521</v>
      </c>
      <c r="AG12" t="str">
        <f>Resumo!$E$13</f>
        <v/>
      </c>
    </row>
    <row r="13" spans="1:33">
      <c r="M13" s="28" t="s">
        <v>3522</v>
      </c>
      <c r="N13" t="str">
        <f>Início!$F$27</f>
        <v/>
      </c>
      <c r="P13">
        <f>IF(Início!$F$30="",Início!$F$29,Início!$F$30)</f>
        <v>0</v>
      </c>
      <c r="W13" s="130" t="s">
        <v>3523</v>
      </c>
      <c r="AF13" s="28" t="s">
        <v>3524</v>
      </c>
    </row>
    <row r="14" spans="1:33">
      <c r="M14" s="28" t="s">
        <v>3525</v>
      </c>
      <c r="N14" t="str">
        <f>Início!$F$23</f>
        <v>RJ</v>
      </c>
      <c r="O14" t="str">
        <f>Início!$F$25</f>
        <v/>
      </c>
      <c r="Q14" t="str">
        <f>Início!$F$31</f>
        <v/>
      </c>
      <c r="W14" s="28" t="s">
        <v>88</v>
      </c>
      <c r="X14" t="s">
        <v>3526</v>
      </c>
      <c r="AF14" s="28" t="str">
        <f>Resumo!$D$4&amp;":"</f>
        <v>CPF:</v>
      </c>
      <c r="AG14" t="str">
        <f>Resumo!$E$4</f>
        <v/>
      </c>
    </row>
    <row r="15" spans="1:33">
      <c r="M15" s="28" t="s">
        <v>3527</v>
      </c>
      <c r="N15" s="378" t="str">
        <f>Início!F35</f>
        <v/>
      </c>
      <c r="O15" s="378" t="str">
        <f>Início!$F$37</f>
        <v>Preencher</v>
      </c>
      <c r="W15" s="28" t="s">
        <v>3528</v>
      </c>
      <c r="X15" s="379">
        <v>21976811065</v>
      </c>
      <c r="AF15" s="28" t="s">
        <v>2152</v>
      </c>
      <c r="AG15" t="str">
        <f>Resumo!$E$9</f>
        <v>(5521) 9 8866-2268</v>
      </c>
    </row>
    <row r="16" spans="1:33">
      <c r="W16" s="28" t="s">
        <v>1555</v>
      </c>
      <c r="X16" t="s">
        <v>2155</v>
      </c>
    </row>
    <row r="17" spans="12:33">
      <c r="L17" t="s">
        <v>3529</v>
      </c>
      <c r="AF17" s="130" t="s">
        <v>3530</v>
      </c>
    </row>
    <row r="18" spans="12:33">
      <c r="W18" s="130" t="s">
        <v>3531</v>
      </c>
      <c r="AF18" s="28" t="s">
        <v>3532</v>
      </c>
      <c r="AG18" t="s">
        <v>3405</v>
      </c>
    </row>
    <row r="19" spans="12:33">
      <c r="M19" s="28" t="s">
        <v>3533</v>
      </c>
      <c r="N19" t="s">
        <v>3534</v>
      </c>
      <c r="W19" s="28" t="s">
        <v>3535</v>
      </c>
      <c r="X19" s="378">
        <f>Resumo!$E$37</f>
        <v>0</v>
      </c>
      <c r="AF19" s="28" t="s">
        <v>2567</v>
      </c>
      <c r="AG19">
        <f>Resumo!$E$187</f>
        <v>14</v>
      </c>
    </row>
    <row r="20" spans="12:33">
      <c r="M20" s="28" t="s">
        <v>3536</v>
      </c>
      <c r="N20" t="s">
        <v>3537</v>
      </c>
      <c r="W20" s="28" t="s">
        <v>279</v>
      </c>
      <c r="X20" t="str">
        <f>UPPER(IF(Início!$F$28="",Início!$F$27,Início!$F$28))</f>
        <v/>
      </c>
      <c r="AF20" s="28" t="s">
        <v>1724</v>
      </c>
      <c r="AG20" s="17">
        <f>Resumo!$F$193</f>
        <v>8.19</v>
      </c>
    </row>
    <row r="21" spans="12:33">
      <c r="M21" s="28" t="s">
        <v>3538</v>
      </c>
      <c r="N21" t="s">
        <v>3539</v>
      </c>
      <c r="Q21" t="s">
        <v>3540</v>
      </c>
      <c r="T21" t="s">
        <v>3541</v>
      </c>
      <c r="W21" s="28" t="s">
        <v>1561</v>
      </c>
      <c r="X21" t="str">
        <f>UPPER(IF(Início!$F$30="",Início!$F$29,Início!$F$30))</f>
        <v/>
      </c>
      <c r="AF21" s="28" t="s">
        <v>3542</v>
      </c>
      <c r="AG21" s="17">
        <f>Resumo!$F$161</f>
        <v>37.973804399999999</v>
      </c>
    </row>
    <row r="22" spans="12:33">
      <c r="M22" s="28" t="s">
        <v>3543</v>
      </c>
      <c r="N22" t="s">
        <v>3544</v>
      </c>
      <c r="Q22" t="s">
        <v>3545</v>
      </c>
      <c r="W22" s="28" t="s">
        <v>283</v>
      </c>
      <c r="X22" t="str">
        <f>Resumo!$E$16</f>
        <v/>
      </c>
      <c r="AF22" s="28" t="s">
        <v>1823</v>
      </c>
      <c r="AG22" t="str">
        <f>Resumo!$E$222</f>
        <v>DAH SOLAR</v>
      </c>
    </row>
    <row r="23" spans="12:33">
      <c r="M23" s="28" t="s">
        <v>3546</v>
      </c>
      <c r="N23" t="s">
        <v>3547</v>
      </c>
      <c r="W23" s="28" t="s">
        <v>282</v>
      </c>
      <c r="X23" t="str">
        <f>Resumo!$E$13</f>
        <v/>
      </c>
      <c r="AF23" s="28" t="s">
        <v>1830</v>
      </c>
      <c r="AG23" t="str">
        <f>Resumo!$F$223</f>
        <v>585W</v>
      </c>
    </row>
    <row r="24" spans="12:33">
      <c r="M24" s="28" t="s">
        <v>3548</v>
      </c>
      <c r="N24" s="131">
        <f ca="1">TODAY()</f>
        <v>45866</v>
      </c>
      <c r="W24" s="28" t="s">
        <v>280</v>
      </c>
      <c r="X24">
        <f>Resumo!$E$17</f>
        <v>0</v>
      </c>
      <c r="AF24" s="28" t="s">
        <v>3549</v>
      </c>
      <c r="AG24" t="str">
        <f>Resumo!$E$200</f>
        <v>FoxEss</v>
      </c>
    </row>
    <row r="25" spans="12:33">
      <c r="M25" s="28" t="s">
        <v>3550</v>
      </c>
      <c r="N25" s="17">
        <f>Resumo!$F$193</f>
        <v>8.19</v>
      </c>
      <c r="AF25" s="28" t="s">
        <v>3551</v>
      </c>
      <c r="AG25" t="str">
        <f>Resumo!$E$201</f>
        <v>Q1-2500-E</v>
      </c>
    </row>
    <row r="26" spans="12:33">
      <c r="M26" s="28" t="s">
        <v>3552</v>
      </c>
      <c r="N26" t="s">
        <v>3553</v>
      </c>
      <c r="W26" s="130" t="s">
        <v>3554</v>
      </c>
      <c r="AF26" s="28" t="s">
        <v>3555</v>
      </c>
      <c r="AG26" s="17">
        <f>Resumo!$F$193</f>
        <v>8.19</v>
      </c>
    </row>
    <row r="27" spans="12:33">
      <c r="M27" s="28" t="s">
        <v>3556</v>
      </c>
      <c r="AF27" s="28" t="s">
        <v>3557</v>
      </c>
      <c r="AG27" t="str">
        <f>Resumo!$E$184</f>
        <v>Microgeração &lt;= 10kWp</v>
      </c>
    </row>
    <row r="28" spans="12:33">
      <c r="M28" s="28" t="s">
        <v>3558</v>
      </c>
      <c r="N28" s="131">
        <f ca="1">TODAY()</f>
        <v>45866</v>
      </c>
      <c r="W28" s="130" t="s">
        <v>3559</v>
      </c>
      <c r="AF28" s="28" t="s">
        <v>3560</v>
      </c>
    </row>
    <row r="29" spans="12:33">
      <c r="M29" s="28" t="s">
        <v>3561</v>
      </c>
      <c r="N29">
        <v>6</v>
      </c>
      <c r="O29" t="s">
        <v>3562</v>
      </c>
      <c r="P29">
        <v>0</v>
      </c>
      <c r="Q29" t="s">
        <v>3563</v>
      </c>
      <c r="W29" s="28" t="s">
        <v>1570</v>
      </c>
      <c r="X29" t="str">
        <f>Resumo!$F$18</f>
        <v/>
      </c>
      <c r="AF29" s="28" t="s">
        <v>3564</v>
      </c>
      <c r="AG29" s="131">
        <f ca="1">TODAY()+16</f>
        <v>45882</v>
      </c>
    </row>
    <row r="30" spans="12:33">
      <c r="W30" s="28" t="s">
        <v>1573</v>
      </c>
      <c r="X30" t="str">
        <f>Resumo!$F$19</f>
        <v>Preencher</v>
      </c>
    </row>
    <row r="31" spans="12:33">
      <c r="M31" s="28" t="s">
        <v>3565</v>
      </c>
      <c r="N31" s="357">
        <v>1000</v>
      </c>
      <c r="W31" s="28" t="s">
        <v>2711</v>
      </c>
      <c r="X31" s="17" t="e">
        <f>Resumo!$F$307</f>
        <v>#VALUE!</v>
      </c>
      <c r="AF31" s="130" t="s">
        <v>3566</v>
      </c>
    </row>
    <row r="32" spans="12:33">
      <c r="M32" s="28" t="s">
        <v>3567</v>
      </c>
      <c r="N32" t="str">
        <f>IF(LEFT(Início!$K$8,2)="B1","RESIDENCIAL","VERIFICAR")</f>
        <v>RESIDENCIAL</v>
      </c>
      <c r="W32" s="28" t="s">
        <v>3568</v>
      </c>
      <c r="X32" t="s">
        <v>77</v>
      </c>
      <c r="AF32" s="28" t="s">
        <v>3569</v>
      </c>
      <c r="AG32" s="17" t="e">
        <f>Resumo!$F$307</f>
        <v>#VALUE!</v>
      </c>
    </row>
    <row r="33" spans="13:35">
      <c r="M33" s="28" t="s">
        <v>3570</v>
      </c>
      <c r="N33" s="922" t="str">
        <f>TEXT(Início!$F$9,"00000000000")</f>
        <v/>
      </c>
      <c r="O33" s="922"/>
      <c r="P33" t="s">
        <v>3571</v>
      </c>
      <c r="W33" s="28" t="s">
        <v>3572</v>
      </c>
      <c r="X33" t="str">
        <f>Resumo!$E$34</f>
        <v>127/220V</v>
      </c>
      <c r="AF33" s="28" t="s">
        <v>3573</v>
      </c>
      <c r="AG33" t="s">
        <v>3574</v>
      </c>
    </row>
    <row r="34" spans="13:35">
      <c r="M34" s="28" t="s">
        <v>3575</v>
      </c>
      <c r="N34" t="str">
        <f>Início!$F$7</f>
        <v>Flavia Louzada</v>
      </c>
      <c r="W34" s="28" t="s">
        <v>3576</v>
      </c>
      <c r="X34">
        <f>Resumo!$E$29</f>
        <v>0</v>
      </c>
      <c r="AF34" s="28" t="s">
        <v>3577</v>
      </c>
      <c r="AG34">
        <f>Resumo!$E$29</f>
        <v>0</v>
      </c>
    </row>
    <row r="35" spans="13:35">
      <c r="W35" s="28" t="s">
        <v>3578</v>
      </c>
      <c r="X35">
        <f>Resumo!$F$193</f>
        <v>8.19</v>
      </c>
      <c r="AF35" s="28" t="s">
        <v>3579</v>
      </c>
      <c r="AG35" t="str">
        <f>Resumo!$E$34</f>
        <v>127/220V</v>
      </c>
    </row>
    <row r="36" spans="13:35">
      <c r="M36" s="28" t="s">
        <v>3580</v>
      </c>
      <c r="N36" s="921" t="str">
        <f>"USINA SOLAR FOTOVOLTAICA DE MICROGERAÇÃO DISTRIBUÍDA PARA GERAÇÃO JUNTO A CARGA DE "&amp;TEXT(Resumo!$F$193,"0,00")&amp;" kWp, QUE CONECTAR-SE-Á À REDE ELÉTRICA DA CONCESSIONÁRIA LOCAL."</f>
        <v>USINA SOLAR FOTOVOLTAICA DE MICROGERAÇÃO DISTRIBUÍDA PARA GERAÇÃO JUNTO A CARGA DE 8,19 kWp, QUE CONECTAR-SE-Á À REDE ELÉTRICA DA CONCESSIONÁRIA LOCAL.</v>
      </c>
      <c r="O36" s="921"/>
      <c r="P36" s="921"/>
      <c r="Q36" s="921"/>
      <c r="R36" s="921"/>
      <c r="S36" s="921"/>
      <c r="T36" s="921"/>
      <c r="U36" s="133"/>
      <c r="AD36" s="133"/>
      <c r="AF36" s="28" t="s">
        <v>3581</v>
      </c>
      <c r="AG36">
        <f>Resumo!$F$306</f>
        <v>0</v>
      </c>
    </row>
    <row r="37" spans="13:35">
      <c r="N37" s="921"/>
      <c r="O37" s="921"/>
      <c r="P37" s="921"/>
      <c r="Q37" s="921"/>
      <c r="R37" s="921"/>
      <c r="S37" s="921"/>
      <c r="T37" s="921"/>
      <c r="U37" s="133"/>
      <c r="AD37" s="133"/>
      <c r="AF37" s="28" t="s">
        <v>3582</v>
      </c>
      <c r="AG37" t="str">
        <f>LEFT(Resumo!$E$28,2)</f>
        <v>B1</v>
      </c>
    </row>
    <row r="38" spans="13:35">
      <c r="N38" s="921"/>
      <c r="O38" s="921"/>
      <c r="P38" s="921"/>
      <c r="Q38" s="921"/>
      <c r="R38" s="921"/>
      <c r="S38" s="921"/>
      <c r="T38" s="921"/>
      <c r="W38" s="28" t="s">
        <v>3583</v>
      </c>
      <c r="AF38" s="28" t="s">
        <v>3584</v>
      </c>
      <c r="AG38" t="s">
        <v>3585</v>
      </c>
    </row>
    <row r="39" spans="13:35">
      <c r="W39" s="28" t="s">
        <v>3586</v>
      </c>
      <c r="X39" t="s">
        <v>3587</v>
      </c>
      <c r="AF39" s="28"/>
      <c r="AG39" s="130" t="s">
        <v>2464</v>
      </c>
      <c r="AH39" s="130" t="s">
        <v>2465</v>
      </c>
      <c r="AI39" s="130" t="s">
        <v>2466</v>
      </c>
    </row>
    <row r="40" spans="13:35">
      <c r="M40" s="28" t="s">
        <v>3519</v>
      </c>
      <c r="N40" t="str">
        <f>SUBSTITUTE(Início!$F$33,"-","")</f>
        <v>0</v>
      </c>
      <c r="P40" t="s">
        <v>3520</v>
      </c>
      <c r="X40" t="s">
        <v>3588</v>
      </c>
      <c r="AF40" s="28" t="s">
        <v>3589</v>
      </c>
      <c r="AG40" t="e">
        <f>Resumo!G18</f>
        <v>#VALUE!</v>
      </c>
      <c r="AH40" t="e">
        <f>Resumo!H18</f>
        <v>#VALUE!</v>
      </c>
      <c r="AI40" t="e">
        <f>Resumo!I18</f>
        <v>#VALUE!</v>
      </c>
    </row>
    <row r="41" spans="13:35">
      <c r="M41" s="28" t="s">
        <v>3522</v>
      </c>
      <c r="N41" t="str">
        <f>Início!$F$27</f>
        <v/>
      </c>
      <c r="P41">
        <f>IF(Início!$F$30="",Início!$F$29,Início!$F$30)</f>
        <v>0</v>
      </c>
      <c r="W41" s="28" t="s">
        <v>3590</v>
      </c>
      <c r="X41" t="s">
        <v>3591</v>
      </c>
      <c r="AF41" s="28" t="s">
        <v>3592</v>
      </c>
      <c r="AG41" t="e">
        <f>Resumo!G19</f>
        <v>#VALUE!</v>
      </c>
      <c r="AH41" t="e">
        <f>Resumo!H19</f>
        <v>#VALUE!</v>
      </c>
      <c r="AI41" t="e">
        <f>Resumo!I19</f>
        <v>#VALUE!</v>
      </c>
    </row>
    <row r="42" spans="13:35">
      <c r="M42" s="28" t="s">
        <v>3525</v>
      </c>
      <c r="N42" t="str">
        <f>Início!$F$23</f>
        <v>RJ</v>
      </c>
      <c r="O42" t="str">
        <f>Início!$F$25</f>
        <v/>
      </c>
      <c r="Q42" t="str">
        <f>Início!$F$31</f>
        <v/>
      </c>
      <c r="X42" t="s">
        <v>3593</v>
      </c>
      <c r="AF42" s="28"/>
    </row>
    <row r="43" spans="13:35" ht="14.45" customHeight="1">
      <c r="X43" s="923" t="s">
        <v>3594</v>
      </c>
      <c r="Y43" s="923"/>
      <c r="Z43" s="923"/>
      <c r="AA43" s="923"/>
      <c r="AB43" s="923"/>
      <c r="AC43" s="923"/>
      <c r="AF43" s="130" t="s">
        <v>3595</v>
      </c>
    </row>
    <row r="44" spans="13:35">
      <c r="X44" s="923"/>
      <c r="Y44" s="923"/>
      <c r="Z44" s="923"/>
      <c r="AA44" s="923"/>
      <c r="AB44" s="923"/>
      <c r="AC44" s="923"/>
      <c r="AF44" s="28" t="s">
        <v>3596</v>
      </c>
      <c r="AG44" t="s">
        <v>3526</v>
      </c>
    </row>
    <row r="45" spans="13:35">
      <c r="AF45" s="28" t="s">
        <v>3597</v>
      </c>
      <c r="AG45" s="379">
        <v>21976811065</v>
      </c>
    </row>
    <row r="46" spans="13:35">
      <c r="AF46" s="28" t="s">
        <v>2154</v>
      </c>
      <c r="AG46" t="s">
        <v>2155</v>
      </c>
    </row>
    <row r="47" spans="13:35">
      <c r="AF47" s="28" t="s">
        <v>3511</v>
      </c>
      <c r="AG47">
        <v>22753807</v>
      </c>
    </row>
    <row r="48" spans="13:35">
      <c r="AF48" s="28" t="s">
        <v>2359</v>
      </c>
      <c r="AG48" t="s">
        <v>3598</v>
      </c>
    </row>
    <row r="49" spans="32:33">
      <c r="AF49" s="28" t="s">
        <v>3521</v>
      </c>
      <c r="AG49" t="s">
        <v>321</v>
      </c>
    </row>
    <row r="52" spans="32:33">
      <c r="AF52" s="28" t="s">
        <v>3501</v>
      </c>
      <c r="AG52">
        <f>Resumo!$E$36</f>
        <v>0</v>
      </c>
    </row>
    <row r="53" spans="32:33">
      <c r="AF53" s="28" t="s">
        <v>3504</v>
      </c>
      <c r="AG53" t="str">
        <f>IF(Início!$F$6="CPF","Física","Jurídica")</f>
        <v>Física</v>
      </c>
    </row>
    <row r="54" spans="32:33">
      <c r="AF54" s="28" t="s">
        <v>3507</v>
      </c>
      <c r="AG54" s="131" t="str">
        <f>Resumo!$E$7</f>
        <v/>
      </c>
    </row>
    <row r="55" spans="32:33">
      <c r="AF55" s="28" t="s">
        <v>1546</v>
      </c>
      <c r="AG55">
        <f>Resumo!$E$5</f>
        <v>0</v>
      </c>
    </row>
    <row r="56" spans="32:33">
      <c r="AF56" s="28" t="s">
        <v>3510</v>
      </c>
      <c r="AG56">
        <f>Resumo!$E$6</f>
        <v>0</v>
      </c>
    </row>
    <row r="57" spans="32:33">
      <c r="AF57" s="130" t="s">
        <v>3554</v>
      </c>
    </row>
    <row r="59" spans="32:33">
      <c r="AF59" s="130" t="s">
        <v>3559</v>
      </c>
    </row>
    <row r="60" spans="32:33">
      <c r="AF60" s="28" t="s">
        <v>1570</v>
      </c>
      <c r="AG60" t="str">
        <f>Resumo!$F$18</f>
        <v/>
      </c>
    </row>
    <row r="61" spans="32:33">
      <c r="AF61" s="28" t="s">
        <v>1573</v>
      </c>
      <c r="AG61" t="str">
        <f>Resumo!$F$19</f>
        <v>Preencher</v>
      </c>
    </row>
    <row r="62" spans="32:33">
      <c r="AF62" s="28" t="s">
        <v>2711</v>
      </c>
    </row>
    <row r="63" spans="32:33">
      <c r="AF63" s="28" t="s">
        <v>3568</v>
      </c>
      <c r="AG63" t="s">
        <v>77</v>
      </c>
    </row>
    <row r="64" spans="32:33">
      <c r="AF64" s="28" t="s">
        <v>3572</v>
      </c>
    </row>
    <row r="65" spans="32:38">
      <c r="AF65" s="28" t="s">
        <v>3576</v>
      </c>
    </row>
    <row r="66" spans="32:38">
      <c r="AF66" s="28" t="s">
        <v>3578</v>
      </c>
      <c r="AG66">
        <f>Resumo!$F$193</f>
        <v>8.19</v>
      </c>
    </row>
    <row r="69" spans="32:38">
      <c r="AF69" s="28" t="s">
        <v>3583</v>
      </c>
    </row>
    <row r="70" spans="32:38">
      <c r="AF70" s="28" t="s">
        <v>3586</v>
      </c>
      <c r="AG70" t="s">
        <v>3587</v>
      </c>
    </row>
    <row r="71" spans="32:38">
      <c r="AG71" t="s">
        <v>3588</v>
      </c>
    </row>
    <row r="72" spans="32:38">
      <c r="AF72" s="28" t="s">
        <v>3590</v>
      </c>
      <c r="AG72" t="s">
        <v>3591</v>
      </c>
    </row>
    <row r="73" spans="32:38">
      <c r="AG73" t="s">
        <v>3593</v>
      </c>
    </row>
    <row r="74" spans="32:38">
      <c r="AG74" s="923" t="s">
        <v>3594</v>
      </c>
      <c r="AH74" s="923"/>
      <c r="AI74" s="923"/>
      <c r="AJ74" s="923"/>
      <c r="AK74" s="923"/>
      <c r="AL74" s="923"/>
    </row>
    <row r="75" spans="32:38">
      <c r="AG75" s="923"/>
      <c r="AH75" s="923"/>
      <c r="AI75" s="923"/>
      <c r="AJ75" s="923"/>
      <c r="AK75" s="923"/>
      <c r="AL75" s="923"/>
    </row>
  </sheetData>
  <sheetProtection formatRows="0" selectLockedCells="1"/>
  <mergeCells count="4">
    <mergeCell ref="N36:T38"/>
    <mergeCell ref="N33:O33"/>
    <mergeCell ref="X43:AC44"/>
    <mergeCell ref="AG74:AL75"/>
  </mergeCells>
  <pageMargins left="0" right="0" top="0" bottom="0" header="0" footer="0"/>
  <pageSetup paperSize="9" scale="74" orientation="portrait" r:id="rId1"/>
  <colBreaks count="3" manualBreakCount="3">
    <brk id="11" max="55" man="1"/>
    <brk id="20" max="1048575" man="1"/>
    <brk id="30" max="1048575" man="1"/>
  </colBreaks>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060315A-BEEA-4606-A0F6-504B808AE6C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23</vt:i4>
      </vt:variant>
      <vt:variant>
        <vt:lpstr>Intervalos Nomeados</vt:lpstr>
      </vt:variant>
      <vt:variant>
        <vt:i4>8</vt:i4>
      </vt:variant>
    </vt:vector>
  </HeadingPairs>
  <TitlesOfParts>
    <vt:vector size="31" baseType="lpstr">
      <vt:lpstr>Financeiro</vt:lpstr>
      <vt:lpstr>Controle</vt:lpstr>
      <vt:lpstr>Dash</vt:lpstr>
      <vt:lpstr>Planilha3</vt:lpstr>
      <vt:lpstr>Prospectos</vt:lpstr>
      <vt:lpstr>PréDim</vt:lpstr>
      <vt:lpstr>Início</vt:lpstr>
      <vt:lpstr>Simulação_Dados</vt:lpstr>
      <vt:lpstr>Simulação</vt:lpstr>
      <vt:lpstr>Kits</vt:lpstr>
      <vt:lpstr>Orçamento</vt:lpstr>
      <vt:lpstr>Orç._Vendedor</vt:lpstr>
      <vt:lpstr>Projetos</vt:lpstr>
      <vt:lpstr>Visita Técnica</vt:lpstr>
      <vt:lpstr>Resumo</vt:lpstr>
      <vt:lpstr>Pré-Proposta</vt:lpstr>
      <vt:lpstr>Proposta Comercial</vt:lpstr>
      <vt:lpstr>Módulos</vt:lpstr>
      <vt:lpstr>Inversores</vt:lpstr>
      <vt:lpstr>Temperatura Máxima (ºC)</vt:lpstr>
      <vt:lpstr>Temperatura Mínima (ºC)</vt:lpstr>
      <vt:lpstr>Homologação</vt:lpstr>
      <vt:lpstr>Solicitação</vt:lpstr>
      <vt:lpstr>'Pré-Proposta'!_Toc49896416</vt:lpstr>
      <vt:lpstr>'Proposta Comercial'!_Toc49896416</vt:lpstr>
      <vt:lpstr>'Pré-Proposta'!_Toc49896417</vt:lpstr>
      <vt:lpstr>'Proposta Comercial'!_Toc49896417</vt:lpstr>
      <vt:lpstr>'Pré-Proposta'!Area_de_impressao</vt:lpstr>
      <vt:lpstr>'Proposta Comercial'!Area_de_impressao</vt:lpstr>
      <vt:lpstr>Equipamentos</vt:lpstr>
      <vt:lpstr>EstudoProsp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Vinicius Teixeira</dc:creator>
  <cp:keywords/>
  <dc:description/>
  <cp:lastModifiedBy>VINICIUS TEIXEIRA</cp:lastModifiedBy>
  <cp:revision/>
  <cp:lastPrinted>2025-07-25T12:35:26Z</cp:lastPrinted>
  <dcterms:created xsi:type="dcterms:W3CDTF">2020-06-08T18:58:47Z</dcterms:created>
  <dcterms:modified xsi:type="dcterms:W3CDTF">2025-07-28T23:16:36Z</dcterms:modified>
  <cp:category/>
  <cp:contentStatus/>
</cp:coreProperties>
</file>