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becip.sharepoint.com/sites/InteligenciaMercado/Documentos Compartilhados/DADOS ECONÔMICOS/Poupança/Saldo - captação - faixas/"/>
    </mc:Choice>
  </mc:AlternateContent>
  <xr:revisionPtr revIDLastSave="385" documentId="8_{7EFC4F44-6833-4214-8F49-5521BCB6A884}" xr6:coauthVersionLast="47" xr6:coauthVersionMax="47" xr10:uidLastSave="{44258B1B-DEB3-4EEF-A337-9F149E258037}"/>
  <bookViews>
    <workbookView xWindow="-120" yWindow="-120" windowWidth="29040" windowHeight="15840" tabRatio="697" xr2:uid="{00000000-000D-0000-FFFF-FFFF00000000}"/>
  </bookViews>
  <sheets>
    <sheet name="SBPE" sheetId="11" r:id="rId1"/>
    <sheet name="SBPE_Mensal" sheetId="1" r:id="rId2"/>
    <sheet name="Rural_Mensal" sheetId="7" r:id="rId3"/>
    <sheet name="Total_Anual" sheetId="10" r:id="rId4"/>
  </sheets>
  <definedNames>
    <definedName name="_xlnm.Print_Area" localSheetId="2">Rural_Mensal!$A$1:$H$584</definedName>
    <definedName name="_xlnm.Print_Area" localSheetId="0">SBPE!$B$1:$Q$81</definedName>
    <definedName name="_xlnm.Print_Area" localSheetId="1">SBPE_Mensal!$A$1:$H$531</definedName>
    <definedName name="_xlnm.Print_Area" localSheetId="3">Total_Anual!$A$1:$M$62</definedName>
    <definedName name="_xlnm.Print_Titles" localSheetId="2">Rural_Mensal!$1:$7</definedName>
    <definedName name="_xlnm.Print_Titles" localSheetId="1">SBPE_Mensal!$1:$6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6" i="7" l="1"/>
  <c r="E571" i="1"/>
  <c r="D570" i="1"/>
  <c r="D570" i="7"/>
  <c r="D569" i="7"/>
  <c r="E570" i="1"/>
  <c r="C578" i="1"/>
  <c r="E566" i="1"/>
  <c r="G578" i="7"/>
  <c r="F39" i="10" s="1"/>
  <c r="F578" i="7"/>
  <c r="C578" i="7"/>
  <c r="B578" i="7"/>
  <c r="D577" i="7"/>
  <c r="E577" i="7" s="1"/>
  <c r="D576" i="7"/>
  <c r="D575" i="7"/>
  <c r="E575" i="7" s="1"/>
  <c r="D574" i="7"/>
  <c r="E574" i="7" s="1"/>
  <c r="D573" i="7"/>
  <c r="E573" i="7" s="1"/>
  <c r="D572" i="7"/>
  <c r="E572" i="7" s="1"/>
  <c r="D571" i="7"/>
  <c r="E571" i="7" s="1"/>
  <c r="E570" i="7"/>
  <c r="E569" i="7"/>
  <c r="D568" i="7"/>
  <c r="E568" i="7" s="1"/>
  <c r="D567" i="7"/>
  <c r="E567" i="7" s="1"/>
  <c r="D566" i="7"/>
  <c r="G578" i="1"/>
  <c r="B39" i="10" s="1"/>
  <c r="F578" i="1"/>
  <c r="B578" i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D569" i="1"/>
  <c r="E569" i="1" s="1"/>
  <c r="D568" i="1"/>
  <c r="E568" i="1" s="1"/>
  <c r="D567" i="1"/>
  <c r="E567" i="1" s="1"/>
  <c r="D566" i="1"/>
  <c r="E391" i="7"/>
  <c r="E390" i="7"/>
  <c r="E389" i="7"/>
  <c r="E388" i="7"/>
  <c r="E387" i="7"/>
  <c r="E386" i="7"/>
  <c r="E385" i="7"/>
  <c r="E382" i="7"/>
  <c r="E381" i="7"/>
  <c r="E380" i="7"/>
  <c r="E379" i="7"/>
  <c r="E378" i="7"/>
  <c r="E377" i="7"/>
  <c r="E376" i="7"/>
  <c r="E375" i="7"/>
  <c r="E374" i="7"/>
  <c r="E373" i="7"/>
  <c r="E372" i="7"/>
  <c r="E369" i="7"/>
  <c r="E368" i="7"/>
  <c r="E367" i="7"/>
  <c r="E366" i="7"/>
  <c r="E365" i="7"/>
  <c r="E364" i="7"/>
  <c r="E363" i="7"/>
  <c r="E362" i="7"/>
  <c r="E361" i="7"/>
  <c r="E360" i="7"/>
  <c r="E359" i="7"/>
  <c r="E356" i="7"/>
  <c r="E355" i="7"/>
  <c r="E354" i="7"/>
  <c r="E353" i="7"/>
  <c r="E352" i="7"/>
  <c r="E351" i="7"/>
  <c r="E350" i="7"/>
  <c r="E349" i="7"/>
  <c r="E348" i="7"/>
  <c r="E347" i="7"/>
  <c r="E346" i="7"/>
  <c r="E343" i="7"/>
  <c r="E342" i="7"/>
  <c r="E341" i="7"/>
  <c r="E340" i="7"/>
  <c r="E339" i="7"/>
  <c r="E338" i="7"/>
  <c r="E337" i="7"/>
  <c r="E336" i="7"/>
  <c r="E335" i="7"/>
  <c r="E334" i="7"/>
  <c r="E333" i="7"/>
  <c r="E330" i="7"/>
  <c r="E329" i="7"/>
  <c r="E328" i="7"/>
  <c r="E327" i="7"/>
  <c r="E326" i="7"/>
  <c r="E325" i="7"/>
  <c r="E324" i="7"/>
  <c r="E323" i="7"/>
  <c r="E322" i="7"/>
  <c r="E321" i="7"/>
  <c r="E320" i="7"/>
  <c r="E317" i="7"/>
  <c r="E316" i="7"/>
  <c r="E315" i="7"/>
  <c r="E314" i="7"/>
  <c r="E313" i="7"/>
  <c r="E312" i="7"/>
  <c r="E311" i="7"/>
  <c r="E310" i="7"/>
  <c r="E309" i="7"/>
  <c r="E308" i="7"/>
  <c r="E307" i="7"/>
  <c r="E304" i="7"/>
  <c r="E303" i="7"/>
  <c r="E302" i="7"/>
  <c r="E301" i="7"/>
  <c r="E300" i="7"/>
  <c r="E299" i="7"/>
  <c r="E298" i="7"/>
  <c r="E297" i="7"/>
  <c r="E296" i="7"/>
  <c r="E295" i="7"/>
  <c r="E294" i="7"/>
  <c r="E291" i="7"/>
  <c r="E290" i="7"/>
  <c r="E289" i="7"/>
  <c r="E288" i="7"/>
  <c r="E287" i="7"/>
  <c r="E286" i="7"/>
  <c r="E285" i="7"/>
  <c r="E284" i="7"/>
  <c r="E283" i="7"/>
  <c r="E282" i="7"/>
  <c r="E281" i="7"/>
  <c r="E498" i="1"/>
  <c r="E395" i="1"/>
  <c r="E394" i="1"/>
  <c r="E393" i="1"/>
  <c r="E392" i="1"/>
  <c r="E391" i="1"/>
  <c r="E390" i="1"/>
  <c r="E389" i="1"/>
  <c r="E388" i="1"/>
  <c r="E387" i="1"/>
  <c r="E386" i="1"/>
  <c r="E385" i="1"/>
  <c r="E382" i="1"/>
  <c r="E381" i="1"/>
  <c r="E380" i="1"/>
  <c r="E379" i="1"/>
  <c r="E378" i="1"/>
  <c r="E377" i="1"/>
  <c r="E376" i="1"/>
  <c r="E375" i="1"/>
  <c r="E374" i="1"/>
  <c r="E373" i="1"/>
  <c r="E372" i="1"/>
  <c r="E369" i="1"/>
  <c r="E368" i="1"/>
  <c r="E367" i="1"/>
  <c r="E366" i="1"/>
  <c r="E365" i="1"/>
  <c r="E364" i="1"/>
  <c r="E363" i="1"/>
  <c r="E362" i="1"/>
  <c r="E361" i="1"/>
  <c r="E360" i="1"/>
  <c r="E359" i="1"/>
  <c r="E356" i="1"/>
  <c r="E355" i="1"/>
  <c r="E354" i="1"/>
  <c r="E353" i="1"/>
  <c r="E352" i="1"/>
  <c r="E351" i="1"/>
  <c r="E350" i="1"/>
  <c r="E349" i="1"/>
  <c r="E348" i="1"/>
  <c r="E347" i="1"/>
  <c r="E346" i="1"/>
  <c r="E343" i="1"/>
  <c r="E342" i="1"/>
  <c r="E341" i="1"/>
  <c r="E340" i="1"/>
  <c r="E339" i="1"/>
  <c r="E338" i="1"/>
  <c r="E337" i="1"/>
  <c r="E336" i="1"/>
  <c r="E335" i="1"/>
  <c r="E334" i="1"/>
  <c r="E333" i="1"/>
  <c r="E330" i="1"/>
  <c r="E329" i="1"/>
  <c r="E328" i="1"/>
  <c r="E327" i="1"/>
  <c r="E326" i="1"/>
  <c r="E325" i="1"/>
  <c r="E324" i="1"/>
  <c r="E323" i="1"/>
  <c r="E322" i="1"/>
  <c r="E321" i="1"/>
  <c r="E320" i="1"/>
  <c r="E317" i="1"/>
  <c r="E316" i="1"/>
  <c r="E315" i="1"/>
  <c r="E314" i="1"/>
  <c r="E313" i="1"/>
  <c r="E312" i="1"/>
  <c r="E311" i="1"/>
  <c r="E310" i="1"/>
  <c r="E309" i="1"/>
  <c r="E308" i="1"/>
  <c r="E307" i="1"/>
  <c r="E304" i="1"/>
  <c r="E303" i="1"/>
  <c r="E302" i="1"/>
  <c r="E301" i="1"/>
  <c r="E300" i="1"/>
  <c r="E299" i="1"/>
  <c r="E298" i="1"/>
  <c r="E297" i="1"/>
  <c r="E296" i="1"/>
  <c r="E295" i="1"/>
  <c r="E294" i="1"/>
  <c r="E291" i="1"/>
  <c r="E290" i="1"/>
  <c r="E289" i="1"/>
  <c r="E288" i="1"/>
  <c r="E287" i="1"/>
  <c r="E286" i="1"/>
  <c r="E285" i="1"/>
  <c r="E284" i="1"/>
  <c r="E283" i="1"/>
  <c r="E282" i="1"/>
  <c r="E281" i="1"/>
  <c r="E278" i="1"/>
  <c r="E277" i="1"/>
  <c r="E276" i="1"/>
  <c r="E275" i="1"/>
  <c r="E274" i="1"/>
  <c r="E273" i="1"/>
  <c r="E272" i="1"/>
  <c r="E271" i="1"/>
  <c r="E270" i="1"/>
  <c r="E269" i="1"/>
  <c r="E268" i="1"/>
  <c r="E265" i="1"/>
  <c r="E264" i="1"/>
  <c r="E263" i="1"/>
  <c r="E262" i="1"/>
  <c r="E261" i="1"/>
  <c r="E260" i="1"/>
  <c r="E259" i="1"/>
  <c r="E258" i="1"/>
  <c r="E257" i="1"/>
  <c r="E256" i="1"/>
  <c r="E255" i="1"/>
  <c r="E252" i="1"/>
  <c r="E251" i="1"/>
  <c r="E250" i="1"/>
  <c r="E249" i="1"/>
  <c r="E248" i="1"/>
  <c r="E247" i="1"/>
  <c r="E246" i="1"/>
  <c r="E245" i="1"/>
  <c r="E244" i="1"/>
  <c r="E243" i="1"/>
  <c r="E242" i="1"/>
  <c r="E239" i="1"/>
  <c r="E238" i="1"/>
  <c r="E237" i="1"/>
  <c r="E236" i="1"/>
  <c r="E235" i="1"/>
  <c r="E234" i="1"/>
  <c r="E233" i="1"/>
  <c r="E232" i="1"/>
  <c r="E231" i="1"/>
  <c r="E230" i="1"/>
  <c r="E229" i="1"/>
  <c r="E226" i="1"/>
  <c r="E225" i="1"/>
  <c r="E224" i="1"/>
  <c r="E223" i="1"/>
  <c r="E222" i="1"/>
  <c r="E221" i="1"/>
  <c r="E220" i="1"/>
  <c r="E219" i="1"/>
  <c r="E218" i="1"/>
  <c r="E217" i="1"/>
  <c r="E216" i="1"/>
  <c r="E213" i="1"/>
  <c r="E212" i="1"/>
  <c r="E211" i="1"/>
  <c r="E210" i="1"/>
  <c r="E209" i="1"/>
  <c r="E208" i="1"/>
  <c r="E207" i="1"/>
  <c r="E206" i="1"/>
  <c r="E205" i="1"/>
  <c r="E204" i="1"/>
  <c r="E203" i="1"/>
  <c r="E200" i="1"/>
  <c r="E199" i="1"/>
  <c r="E198" i="1"/>
  <c r="E197" i="1"/>
  <c r="E196" i="1"/>
  <c r="E195" i="1"/>
  <c r="E194" i="1"/>
  <c r="E193" i="1"/>
  <c r="E192" i="1"/>
  <c r="E191" i="1"/>
  <c r="E190" i="1"/>
  <c r="E187" i="1"/>
  <c r="E186" i="1"/>
  <c r="E185" i="1"/>
  <c r="E184" i="1"/>
  <c r="E183" i="1"/>
  <c r="E182" i="1"/>
  <c r="E181" i="1"/>
  <c r="E180" i="1"/>
  <c r="E179" i="1"/>
  <c r="E178" i="1"/>
  <c r="E177" i="1"/>
  <c r="E174" i="1"/>
  <c r="E173" i="1"/>
  <c r="E172" i="1"/>
  <c r="E171" i="1"/>
  <c r="E170" i="1"/>
  <c r="E169" i="1"/>
  <c r="E168" i="1"/>
  <c r="E167" i="1"/>
  <c r="E166" i="1"/>
  <c r="E165" i="1"/>
  <c r="E164" i="1"/>
  <c r="E161" i="1"/>
  <c r="E160" i="1"/>
  <c r="E159" i="1"/>
  <c r="E158" i="1"/>
  <c r="E157" i="1"/>
  <c r="E156" i="1"/>
  <c r="E155" i="1"/>
  <c r="E154" i="1"/>
  <c r="E153" i="1"/>
  <c r="E152" i="1"/>
  <c r="E151" i="1"/>
  <c r="E148" i="1"/>
  <c r="E147" i="1"/>
  <c r="E146" i="1"/>
  <c r="E145" i="1"/>
  <c r="E144" i="1"/>
  <c r="E143" i="1"/>
  <c r="E142" i="1"/>
  <c r="E141" i="1"/>
  <c r="E140" i="1"/>
  <c r="E139" i="1"/>
  <c r="E138" i="1"/>
  <c r="E135" i="1"/>
  <c r="E134" i="1"/>
  <c r="E133" i="1"/>
  <c r="E132" i="1"/>
  <c r="E131" i="1"/>
  <c r="E130" i="1"/>
  <c r="E129" i="1"/>
  <c r="E128" i="1"/>
  <c r="E127" i="1"/>
  <c r="E126" i="1"/>
  <c r="E125" i="1"/>
  <c r="E122" i="1"/>
  <c r="E121" i="1"/>
  <c r="E120" i="1"/>
  <c r="E119" i="1"/>
  <c r="E118" i="1"/>
  <c r="E117" i="1"/>
  <c r="E116" i="1"/>
  <c r="E115" i="1"/>
  <c r="E114" i="1"/>
  <c r="E113" i="1"/>
  <c r="E112" i="1"/>
  <c r="E109" i="1"/>
  <c r="E108" i="1"/>
  <c r="E107" i="1"/>
  <c r="E106" i="1"/>
  <c r="E105" i="1"/>
  <c r="E104" i="1"/>
  <c r="E103" i="1"/>
  <c r="E102" i="1"/>
  <c r="E101" i="1"/>
  <c r="E100" i="1"/>
  <c r="E99" i="1"/>
  <c r="E96" i="1"/>
  <c r="E95" i="1"/>
  <c r="E94" i="1"/>
  <c r="E93" i="1"/>
  <c r="E92" i="1"/>
  <c r="E91" i="1"/>
  <c r="E90" i="1"/>
  <c r="E89" i="1"/>
  <c r="E88" i="1"/>
  <c r="E87" i="1"/>
  <c r="E86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7" i="1"/>
  <c r="E56" i="1"/>
  <c r="E55" i="1"/>
  <c r="E54" i="1"/>
  <c r="E53" i="1"/>
  <c r="E52" i="1"/>
  <c r="E51" i="1"/>
  <c r="E50" i="1"/>
  <c r="E49" i="1"/>
  <c r="E48" i="1"/>
  <c r="E47" i="1"/>
  <c r="E44" i="1"/>
  <c r="E43" i="1"/>
  <c r="E42" i="1"/>
  <c r="E41" i="1"/>
  <c r="E40" i="1"/>
  <c r="E39" i="1"/>
  <c r="E38" i="1"/>
  <c r="E37" i="1"/>
  <c r="E36" i="1"/>
  <c r="E35" i="1"/>
  <c r="E34" i="1"/>
  <c r="G565" i="1"/>
  <c r="B38" i="10" s="1"/>
  <c r="G565" i="7"/>
  <c r="F565" i="7"/>
  <c r="C565" i="7"/>
  <c r="B565" i="7"/>
  <c r="D564" i="7"/>
  <c r="E564" i="7" s="1"/>
  <c r="D563" i="7"/>
  <c r="E563" i="7" s="1"/>
  <c r="D562" i="7"/>
  <c r="E562" i="7" s="1"/>
  <c r="D561" i="7"/>
  <c r="E561" i="7" s="1"/>
  <c r="D560" i="7"/>
  <c r="E560" i="7" s="1"/>
  <c r="D559" i="7"/>
  <c r="E559" i="7" s="1"/>
  <c r="D558" i="7"/>
  <c r="E558" i="7" s="1"/>
  <c r="D557" i="7"/>
  <c r="E557" i="7" s="1"/>
  <c r="D556" i="7"/>
  <c r="E556" i="7" s="1"/>
  <c r="D555" i="7"/>
  <c r="E555" i="7" s="1"/>
  <c r="D554" i="7"/>
  <c r="E554" i="7" s="1"/>
  <c r="D553" i="7"/>
  <c r="F565" i="1"/>
  <c r="C565" i="1"/>
  <c r="B565" i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C39" i="10" l="1"/>
  <c r="J39" i="10"/>
  <c r="D578" i="7"/>
  <c r="E566" i="7"/>
  <c r="D578" i="1"/>
  <c r="D565" i="7"/>
  <c r="D565" i="1"/>
  <c r="B552" i="1"/>
  <c r="G552" i="7"/>
  <c r="E553" i="7" s="1"/>
  <c r="C539" i="7"/>
  <c r="F552" i="7"/>
  <c r="C552" i="7"/>
  <c r="B552" i="7"/>
  <c r="D551" i="7"/>
  <c r="E551" i="7" s="1"/>
  <c r="D550" i="7"/>
  <c r="E550" i="7" s="1"/>
  <c r="D549" i="7"/>
  <c r="E549" i="7" s="1"/>
  <c r="D548" i="7"/>
  <c r="E548" i="7" s="1"/>
  <c r="D547" i="7"/>
  <c r="E547" i="7" s="1"/>
  <c r="D546" i="7"/>
  <c r="E546" i="7" s="1"/>
  <c r="D545" i="7"/>
  <c r="E545" i="7" s="1"/>
  <c r="D544" i="7"/>
  <c r="E544" i="7" s="1"/>
  <c r="D543" i="7"/>
  <c r="E543" i="7" s="1"/>
  <c r="D542" i="7"/>
  <c r="E542" i="7" s="1"/>
  <c r="D541" i="7"/>
  <c r="E541" i="7" s="1"/>
  <c r="D540" i="7"/>
  <c r="E578" i="7" l="1"/>
  <c r="H39" i="10"/>
  <c r="E578" i="1"/>
  <c r="F23" i="11" s="1"/>
  <c r="D39" i="10"/>
  <c r="H38" i="10"/>
  <c r="E565" i="7"/>
  <c r="D38" i="10"/>
  <c r="F37" i="10"/>
  <c r="D552" i="7"/>
  <c r="G552" i="1"/>
  <c r="E553" i="1" s="1"/>
  <c r="E39" i="10" l="1"/>
  <c r="L39" i="10"/>
  <c r="H37" i="10"/>
  <c r="L38" i="10"/>
  <c r="E565" i="1"/>
  <c r="I38" i="10"/>
  <c r="B37" i="10"/>
  <c r="C38" i="10" l="1"/>
  <c r="E38" i="10"/>
  <c r="J37" i="10"/>
  <c r="M38" i="10" s="1"/>
  <c r="F552" i="1"/>
  <c r="C552" i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D552" i="1" l="1"/>
  <c r="G539" i="7"/>
  <c r="G539" i="1"/>
  <c r="E540" i="7" l="1"/>
  <c r="E552" i="7"/>
  <c r="E552" i="1"/>
  <c r="E540" i="1"/>
  <c r="D37" i="10"/>
  <c r="F36" i="10"/>
  <c r="B36" i="10"/>
  <c r="C37" i="10" s="1"/>
  <c r="F539" i="7"/>
  <c r="B539" i="7"/>
  <c r="D538" i="7"/>
  <c r="E538" i="7" s="1"/>
  <c r="D537" i="7"/>
  <c r="E537" i="7" s="1"/>
  <c r="D536" i="7"/>
  <c r="E536" i="7" s="1"/>
  <c r="D535" i="7"/>
  <c r="E535" i="7" s="1"/>
  <c r="D534" i="7"/>
  <c r="E534" i="7" s="1"/>
  <c r="D533" i="7"/>
  <c r="E533" i="7" s="1"/>
  <c r="D532" i="7"/>
  <c r="E532" i="7" s="1"/>
  <c r="D531" i="7"/>
  <c r="E531" i="7" s="1"/>
  <c r="D530" i="7"/>
  <c r="E530" i="7" s="1"/>
  <c r="D529" i="7"/>
  <c r="E529" i="7" s="1"/>
  <c r="D528" i="7"/>
  <c r="E528" i="7" s="1"/>
  <c r="D527" i="7"/>
  <c r="F539" i="1"/>
  <c r="C539" i="1"/>
  <c r="B539" i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J36" i="10" l="1"/>
  <c r="K37" i="10" s="1"/>
  <c r="E37" i="10"/>
  <c r="L37" i="10"/>
  <c r="G37" i="10"/>
  <c r="I37" i="10"/>
  <c r="D539" i="7"/>
  <c r="D539" i="1"/>
  <c r="C82" i="10"/>
  <c r="M37" i="10" l="1"/>
  <c r="D36" i="10"/>
  <c r="H36" i="10"/>
  <c r="G526" i="7"/>
  <c r="E527" i="7" s="1"/>
  <c r="G526" i="1"/>
  <c r="E527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490" i="7"/>
  <c r="E490" i="7" s="1"/>
  <c r="D491" i="7"/>
  <c r="E491" i="7" s="1"/>
  <c r="D492" i="7"/>
  <c r="E492" i="7" s="1"/>
  <c r="D493" i="7"/>
  <c r="E493" i="7" s="1"/>
  <c r="D494" i="7"/>
  <c r="E494" i="7" s="1"/>
  <c r="D495" i="7"/>
  <c r="E495" i="7" s="1"/>
  <c r="D496" i="7"/>
  <c r="E496" i="7" s="1"/>
  <c r="D497" i="7"/>
  <c r="E497" i="7" s="1"/>
  <c r="D498" i="7"/>
  <c r="E498" i="7" s="1"/>
  <c r="D499" i="7"/>
  <c r="E499" i="7" s="1"/>
  <c r="D503" i="7"/>
  <c r="E503" i="7" s="1"/>
  <c r="D504" i="7"/>
  <c r="E504" i="7" s="1"/>
  <c r="D505" i="7"/>
  <c r="E505" i="7" s="1"/>
  <c r="D506" i="7"/>
  <c r="E506" i="7" s="1"/>
  <c r="D507" i="7"/>
  <c r="E507" i="7" s="1"/>
  <c r="D508" i="7"/>
  <c r="E508" i="7" s="1"/>
  <c r="D509" i="7"/>
  <c r="E509" i="7" s="1"/>
  <c r="D510" i="7"/>
  <c r="E510" i="7" s="1"/>
  <c r="D511" i="7"/>
  <c r="E511" i="7" s="1"/>
  <c r="D512" i="7"/>
  <c r="E512" i="7" s="1"/>
  <c r="D515" i="7"/>
  <c r="E515" i="7" s="1"/>
  <c r="D516" i="7"/>
  <c r="E516" i="7" s="1"/>
  <c r="D517" i="7"/>
  <c r="E517" i="7" s="1"/>
  <c r="D518" i="7"/>
  <c r="E518" i="7" s="1"/>
  <c r="D519" i="7"/>
  <c r="E519" i="7" s="1"/>
  <c r="D520" i="7"/>
  <c r="E520" i="7" s="1"/>
  <c r="D521" i="7"/>
  <c r="E521" i="7" s="1"/>
  <c r="D522" i="7"/>
  <c r="E522" i="7" s="1"/>
  <c r="D523" i="7"/>
  <c r="E523" i="7" s="1"/>
  <c r="D524" i="7"/>
  <c r="E524" i="7" s="1"/>
  <c r="D525" i="7"/>
  <c r="E525" i="7" s="1"/>
  <c r="F526" i="7"/>
  <c r="C526" i="7"/>
  <c r="B526" i="7"/>
  <c r="D514" i="7"/>
  <c r="F526" i="1"/>
  <c r="C526" i="1"/>
  <c r="B526" i="1"/>
  <c r="D515" i="1"/>
  <c r="E515" i="1" s="1"/>
  <c r="D514" i="1"/>
  <c r="E539" i="7" l="1"/>
  <c r="E539" i="1"/>
  <c r="L36" i="10"/>
  <c r="F35" i="10"/>
  <c r="B35" i="10"/>
  <c r="D526" i="7"/>
  <c r="D526" i="1"/>
  <c r="H35" i="10" l="1"/>
  <c r="J35" i="10"/>
  <c r="C36" i="10"/>
  <c r="E36" i="10"/>
  <c r="I36" i="10"/>
  <c r="G36" i="10"/>
  <c r="D35" i="10"/>
  <c r="B513" i="1"/>
  <c r="F513" i="1"/>
  <c r="G513" i="1"/>
  <c r="E514" i="1" s="1"/>
  <c r="L35" i="10" l="1"/>
  <c r="E526" i="1"/>
  <c r="K36" i="10"/>
  <c r="M36" i="10"/>
  <c r="P4" i="11" l="1"/>
  <c r="F64" i="11" s="1"/>
  <c r="G513" i="7"/>
  <c r="C513" i="7"/>
  <c r="B513" i="7"/>
  <c r="D502" i="7"/>
  <c r="E502" i="7" s="1"/>
  <c r="D501" i="7"/>
  <c r="G500" i="1"/>
  <c r="D502" i="1"/>
  <c r="E502" i="1" s="1"/>
  <c r="D501" i="1"/>
  <c r="C513" i="1"/>
  <c r="E514" i="7" l="1"/>
  <c r="E526" i="7"/>
  <c r="E501" i="1"/>
  <c r="P5" i="11"/>
  <c r="P6" i="11"/>
  <c r="B21" i="11"/>
  <c r="B17" i="11"/>
  <c r="B15" i="11"/>
  <c r="B14" i="11"/>
  <c r="B12" i="11"/>
  <c r="B11" i="11"/>
  <c r="B23" i="11"/>
  <c r="B20" i="11"/>
  <c r="B19" i="11"/>
  <c r="B16" i="11"/>
  <c r="B13" i="11"/>
  <c r="B18" i="11"/>
  <c r="B22" i="11"/>
  <c r="F34" i="10"/>
  <c r="B34" i="10"/>
  <c r="F513" i="7"/>
  <c r="D513" i="7"/>
  <c r="D513" i="1"/>
  <c r="H23" i="11" l="1"/>
  <c r="D34" i="10"/>
  <c r="E513" i="1"/>
  <c r="G35" i="10"/>
  <c r="I35" i="10"/>
  <c r="J34" i="10"/>
  <c r="C35" i="10"/>
  <c r="E35" i="10"/>
  <c r="H34" i="10"/>
  <c r="L34" i="10" l="1"/>
  <c r="K35" i="10"/>
  <c r="M35" i="10"/>
  <c r="D488" i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F494" i="1" l="1"/>
  <c r="E494" i="1"/>
  <c r="G500" i="7"/>
  <c r="C500" i="7"/>
  <c r="B500" i="7"/>
  <c r="F493" i="7"/>
  <c r="F491" i="7"/>
  <c r="D489" i="7"/>
  <c r="D488" i="7"/>
  <c r="C500" i="1"/>
  <c r="B500" i="1"/>
  <c r="D499" i="1"/>
  <c r="E499" i="1" s="1"/>
  <c r="D497" i="1"/>
  <c r="E497" i="1" s="1"/>
  <c r="D496" i="1"/>
  <c r="E496" i="1" s="1"/>
  <c r="D495" i="1"/>
  <c r="F490" i="1"/>
  <c r="F489" i="1"/>
  <c r="F489" i="7" l="1"/>
  <c r="E489" i="7"/>
  <c r="E501" i="7"/>
  <c r="E513" i="7"/>
  <c r="F495" i="1"/>
  <c r="E495" i="1"/>
  <c r="F33" i="10"/>
  <c r="I34" i="10" s="1"/>
  <c r="B33" i="10"/>
  <c r="F492" i="7"/>
  <c r="F493" i="1"/>
  <c r="F491" i="1"/>
  <c r="F490" i="7"/>
  <c r="D500" i="7"/>
  <c r="F492" i="1"/>
  <c r="D500" i="1"/>
  <c r="G487" i="7"/>
  <c r="E488" i="7" s="1"/>
  <c r="C487" i="7"/>
  <c r="B487" i="7"/>
  <c r="D486" i="7"/>
  <c r="D485" i="7"/>
  <c r="D484" i="7"/>
  <c r="D483" i="7"/>
  <c r="E483" i="7" s="1"/>
  <c r="D482" i="7"/>
  <c r="E482" i="7" s="1"/>
  <c r="D481" i="7"/>
  <c r="E481" i="7" s="1"/>
  <c r="D480" i="7"/>
  <c r="D479" i="7"/>
  <c r="D478" i="7"/>
  <c r="D477" i="7"/>
  <c r="E477" i="7" s="1"/>
  <c r="D476" i="7"/>
  <c r="D475" i="7"/>
  <c r="G487" i="1"/>
  <c r="C487" i="1"/>
  <c r="B487" i="1"/>
  <c r="D486" i="1"/>
  <c r="D485" i="1"/>
  <c r="D484" i="1"/>
  <c r="D483" i="1"/>
  <c r="D482" i="1"/>
  <c r="E482" i="1" s="1"/>
  <c r="D481" i="1"/>
  <c r="E481" i="1" s="1"/>
  <c r="D480" i="1"/>
  <c r="E480" i="1" s="1"/>
  <c r="D479" i="1"/>
  <c r="E479" i="1" s="1"/>
  <c r="D478" i="1"/>
  <c r="D477" i="1"/>
  <c r="D476" i="1"/>
  <c r="E476" i="1" s="1"/>
  <c r="D475" i="1"/>
  <c r="F476" i="7" l="1"/>
  <c r="E476" i="7"/>
  <c r="F478" i="7"/>
  <c r="E478" i="7"/>
  <c r="F486" i="7"/>
  <c r="E486" i="7"/>
  <c r="F484" i="7"/>
  <c r="E484" i="7"/>
  <c r="F485" i="7"/>
  <c r="E485" i="7"/>
  <c r="F479" i="7"/>
  <c r="E479" i="7"/>
  <c r="F480" i="7"/>
  <c r="E480" i="7"/>
  <c r="H33" i="10"/>
  <c r="E500" i="7"/>
  <c r="B32" i="10"/>
  <c r="E488" i="1"/>
  <c r="D33" i="10"/>
  <c r="E500" i="1"/>
  <c r="F484" i="1"/>
  <c r="E484" i="1"/>
  <c r="F477" i="1"/>
  <c r="E477" i="1"/>
  <c r="F485" i="1"/>
  <c r="E485" i="1"/>
  <c r="F478" i="1"/>
  <c r="E478" i="1"/>
  <c r="F486" i="1"/>
  <c r="E486" i="1"/>
  <c r="F483" i="1"/>
  <c r="E483" i="1"/>
  <c r="G34" i="10"/>
  <c r="C34" i="10"/>
  <c r="E34" i="10"/>
  <c r="J33" i="10"/>
  <c r="F481" i="7"/>
  <c r="F32" i="10"/>
  <c r="F488" i="7"/>
  <c r="F500" i="7" s="1"/>
  <c r="F488" i="1"/>
  <c r="F482" i="7"/>
  <c r="F479" i="1"/>
  <c r="D487" i="1"/>
  <c r="F477" i="7"/>
  <c r="D487" i="7"/>
  <c r="F483" i="7"/>
  <c r="F481" i="1"/>
  <c r="F482" i="1"/>
  <c r="F480" i="1"/>
  <c r="F476" i="1"/>
  <c r="G474" i="7"/>
  <c r="E475" i="7" s="1"/>
  <c r="L33" i="10" l="1"/>
  <c r="H32" i="10"/>
  <c r="E487" i="7"/>
  <c r="D32" i="10"/>
  <c r="K34" i="10"/>
  <c r="M34" i="10"/>
  <c r="G33" i="10"/>
  <c r="I33" i="10"/>
  <c r="E33" i="10"/>
  <c r="C33" i="10"/>
  <c r="F500" i="1"/>
  <c r="J32" i="10"/>
  <c r="F475" i="7"/>
  <c r="F487" i="7" s="1"/>
  <c r="F31" i="10"/>
  <c r="G32" i="10" s="1"/>
  <c r="C474" i="7"/>
  <c r="B474" i="7"/>
  <c r="D473" i="7"/>
  <c r="E473" i="7" s="1"/>
  <c r="D472" i="7"/>
  <c r="D471" i="7"/>
  <c r="D470" i="7"/>
  <c r="E470" i="7" s="1"/>
  <c r="D469" i="7"/>
  <c r="E469" i="7" s="1"/>
  <c r="D468" i="7"/>
  <c r="D467" i="7"/>
  <c r="D466" i="7"/>
  <c r="E466" i="7" s="1"/>
  <c r="D465" i="7"/>
  <c r="E465" i="7" s="1"/>
  <c r="D464" i="7"/>
  <c r="E464" i="7" s="1"/>
  <c r="D463" i="7"/>
  <c r="D462" i="7"/>
  <c r="G474" i="1"/>
  <c r="E475" i="1" s="1"/>
  <c r="C474" i="1"/>
  <c r="B474" i="1"/>
  <c r="D473" i="1"/>
  <c r="D472" i="1"/>
  <c r="E472" i="1" s="1"/>
  <c r="D471" i="1"/>
  <c r="E471" i="1" s="1"/>
  <c r="D470" i="1"/>
  <c r="D469" i="1"/>
  <c r="D468" i="1"/>
  <c r="E468" i="1" s="1"/>
  <c r="D467" i="1"/>
  <c r="E467" i="1" s="1"/>
  <c r="D466" i="1"/>
  <c r="D465" i="1"/>
  <c r="D464" i="1"/>
  <c r="D463" i="1"/>
  <c r="E463" i="1" s="1"/>
  <c r="D462" i="1"/>
  <c r="D454" i="1"/>
  <c r="D455" i="1"/>
  <c r="D456" i="1"/>
  <c r="E456" i="1" s="1"/>
  <c r="D457" i="1"/>
  <c r="E457" i="1" s="1"/>
  <c r="D458" i="1"/>
  <c r="D459" i="1"/>
  <c r="D460" i="1"/>
  <c r="D452" i="7"/>
  <c r="E452" i="7" s="1"/>
  <c r="G461" i="7"/>
  <c r="C461" i="7"/>
  <c r="B461" i="7"/>
  <c r="D460" i="7"/>
  <c r="E460" i="7" s="1"/>
  <c r="D459" i="7"/>
  <c r="E459" i="7" s="1"/>
  <c r="D458" i="7"/>
  <c r="D457" i="7"/>
  <c r="E457" i="7" s="1"/>
  <c r="D456" i="7"/>
  <c r="D455" i="7"/>
  <c r="E455" i="7" s="1"/>
  <c r="D454" i="7"/>
  <c r="D453" i="7"/>
  <c r="D451" i="7"/>
  <c r="D450" i="7"/>
  <c r="E450" i="7" s="1"/>
  <c r="D449" i="7"/>
  <c r="G461" i="1"/>
  <c r="C461" i="1"/>
  <c r="B461" i="1"/>
  <c r="D453" i="1"/>
  <c r="D452" i="1"/>
  <c r="D451" i="1"/>
  <c r="D450" i="1"/>
  <c r="E450" i="1" s="1"/>
  <c r="D449" i="1"/>
  <c r="D447" i="7"/>
  <c r="D446" i="7"/>
  <c r="D444" i="7"/>
  <c r="D445" i="7"/>
  <c r="E445" i="7" s="1"/>
  <c r="D443" i="7"/>
  <c r="E443" i="7" s="1"/>
  <c r="D442" i="7"/>
  <c r="D441" i="7"/>
  <c r="D434" i="7"/>
  <c r="G448" i="7"/>
  <c r="F29" i="10" s="1"/>
  <c r="C448" i="7"/>
  <c r="B448" i="7"/>
  <c r="D440" i="7"/>
  <c r="D439" i="7"/>
  <c r="D438" i="7"/>
  <c r="E438" i="7" s="1"/>
  <c r="D437" i="7"/>
  <c r="D436" i="7"/>
  <c r="G448" i="1"/>
  <c r="C448" i="1"/>
  <c r="B448" i="1"/>
  <c r="D447" i="1"/>
  <c r="E447" i="1" s="1"/>
  <c r="D446" i="1"/>
  <c r="D445" i="1"/>
  <c r="E445" i="1" s="1"/>
  <c r="D444" i="1"/>
  <c r="E444" i="1" s="1"/>
  <c r="D443" i="1"/>
  <c r="D442" i="1"/>
  <c r="E442" i="1" s="1"/>
  <c r="D441" i="1"/>
  <c r="E441" i="1" s="1"/>
  <c r="D440" i="1"/>
  <c r="E440" i="1" s="1"/>
  <c r="D439" i="1"/>
  <c r="E439" i="1" s="1"/>
  <c r="D438" i="1"/>
  <c r="D437" i="1"/>
  <c r="E437" i="1" s="1"/>
  <c r="D436" i="1"/>
  <c r="D434" i="1"/>
  <c r="E434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11" i="1"/>
  <c r="R111" i="1" s="1"/>
  <c r="R99" i="1"/>
  <c r="R100" i="1"/>
  <c r="R101" i="1"/>
  <c r="R102" i="1"/>
  <c r="R103" i="1"/>
  <c r="R104" i="1"/>
  <c r="R105" i="1"/>
  <c r="R106" i="1"/>
  <c r="R107" i="1"/>
  <c r="R108" i="1"/>
  <c r="R109" i="1"/>
  <c r="R98" i="1"/>
  <c r="R86" i="1"/>
  <c r="R87" i="1"/>
  <c r="R88" i="1"/>
  <c r="R89" i="1"/>
  <c r="R90" i="1"/>
  <c r="R91" i="1"/>
  <c r="R92" i="1"/>
  <c r="R93" i="1"/>
  <c r="R94" i="1"/>
  <c r="R95" i="1"/>
  <c r="R96" i="1"/>
  <c r="R85" i="1"/>
  <c r="D432" i="7"/>
  <c r="E432" i="7" s="1"/>
  <c r="D433" i="7"/>
  <c r="E433" i="7" s="1"/>
  <c r="D433" i="1"/>
  <c r="E433" i="1" s="1"/>
  <c r="D432" i="1"/>
  <c r="E432" i="1" s="1"/>
  <c r="D431" i="7"/>
  <c r="E431" i="7" s="1"/>
  <c r="D430" i="7"/>
  <c r="D431" i="1"/>
  <c r="E431" i="1" s="1"/>
  <c r="D430" i="1"/>
  <c r="E430" i="1" s="1"/>
  <c r="D429" i="7"/>
  <c r="E429" i="7" s="1"/>
  <c r="D429" i="1"/>
  <c r="D428" i="7"/>
  <c r="E428" i="7" s="1"/>
  <c r="D428" i="1"/>
  <c r="E428" i="1" s="1"/>
  <c r="D427" i="7"/>
  <c r="D427" i="1"/>
  <c r="D426" i="7"/>
  <c r="D426" i="1"/>
  <c r="D425" i="7"/>
  <c r="E425" i="7" s="1"/>
  <c r="D425" i="1"/>
  <c r="D424" i="7"/>
  <c r="D424" i="1"/>
  <c r="G435" i="7"/>
  <c r="F28" i="10" s="1"/>
  <c r="C435" i="7"/>
  <c r="B435" i="7"/>
  <c r="D423" i="7"/>
  <c r="G435" i="1"/>
  <c r="C435" i="1"/>
  <c r="B435" i="1"/>
  <c r="D423" i="1"/>
  <c r="D411" i="1"/>
  <c r="E411" i="1" s="1"/>
  <c r="D412" i="1"/>
  <c r="E412" i="1" s="1"/>
  <c r="D413" i="1"/>
  <c r="D414" i="1"/>
  <c r="E414" i="1" s="1"/>
  <c r="D415" i="1"/>
  <c r="D416" i="1"/>
  <c r="E416" i="1" s="1"/>
  <c r="D417" i="1"/>
  <c r="D418" i="1"/>
  <c r="D419" i="1"/>
  <c r="E419" i="1" s="1"/>
  <c r="D420" i="1"/>
  <c r="D421" i="1"/>
  <c r="E421" i="1" s="1"/>
  <c r="D421" i="7"/>
  <c r="E421" i="7" s="1"/>
  <c r="D420" i="7"/>
  <c r="D419" i="7"/>
  <c r="E419" i="7" s="1"/>
  <c r="D417" i="7"/>
  <c r="D418" i="7"/>
  <c r="E418" i="7" s="1"/>
  <c r="D416" i="7"/>
  <c r="E416" i="7" s="1"/>
  <c r="D415" i="7"/>
  <c r="D414" i="7"/>
  <c r="D412" i="7"/>
  <c r="D413" i="7"/>
  <c r="G422" i="7"/>
  <c r="F27" i="10" s="1"/>
  <c r="C422" i="7"/>
  <c r="B422" i="7"/>
  <c r="G422" i="1"/>
  <c r="D411" i="7"/>
  <c r="E411" i="7" s="1"/>
  <c r="D410" i="7"/>
  <c r="C422" i="1"/>
  <c r="B422" i="1"/>
  <c r="D410" i="1"/>
  <c r="G396" i="7"/>
  <c r="F25" i="10" s="1"/>
  <c r="G409" i="7"/>
  <c r="F26" i="10" s="1"/>
  <c r="D408" i="7"/>
  <c r="D408" i="1"/>
  <c r="D407" i="7"/>
  <c r="D407" i="1"/>
  <c r="D406" i="1"/>
  <c r="E406" i="1" s="1"/>
  <c r="D405" i="1"/>
  <c r="D404" i="1"/>
  <c r="E404" i="1" s="1"/>
  <c r="D403" i="1"/>
  <c r="D402" i="1"/>
  <c r="D401" i="1"/>
  <c r="E401" i="1" s="1"/>
  <c r="D406" i="7"/>
  <c r="E406" i="7" s="1"/>
  <c r="D405" i="7"/>
  <c r="E405" i="7" s="1"/>
  <c r="D404" i="7"/>
  <c r="D403" i="7"/>
  <c r="D402" i="7"/>
  <c r="E402" i="7" s="1"/>
  <c r="D401" i="7"/>
  <c r="E401" i="7" s="1"/>
  <c r="D400" i="7"/>
  <c r="E400" i="7" s="1"/>
  <c r="D399" i="7"/>
  <c r="D398" i="7"/>
  <c r="E398" i="7" s="1"/>
  <c r="D397" i="7"/>
  <c r="D395" i="7"/>
  <c r="E395" i="7" s="1"/>
  <c r="D394" i="7"/>
  <c r="E394" i="7" s="1"/>
  <c r="C409" i="7"/>
  <c r="B409" i="7"/>
  <c r="D400" i="1"/>
  <c r="E400" i="1" s="1"/>
  <c r="D399" i="1"/>
  <c r="E399" i="1" s="1"/>
  <c r="D397" i="1"/>
  <c r="G409" i="1"/>
  <c r="B26" i="10" s="1"/>
  <c r="D398" i="1"/>
  <c r="E398" i="1" s="1"/>
  <c r="F389" i="1"/>
  <c r="F390" i="1"/>
  <c r="F391" i="1"/>
  <c r="F392" i="1"/>
  <c r="F393" i="1"/>
  <c r="F394" i="1"/>
  <c r="F395" i="1"/>
  <c r="C409" i="1"/>
  <c r="B409" i="1"/>
  <c r="D393" i="7"/>
  <c r="D392" i="7"/>
  <c r="F386" i="7"/>
  <c r="F387" i="7"/>
  <c r="F388" i="7"/>
  <c r="F389" i="7"/>
  <c r="F390" i="7"/>
  <c r="F391" i="7"/>
  <c r="G396" i="1"/>
  <c r="B25" i="10" s="1"/>
  <c r="F388" i="1"/>
  <c r="F386" i="1"/>
  <c r="F387" i="1"/>
  <c r="F385" i="7"/>
  <c r="F385" i="1"/>
  <c r="F384" i="7"/>
  <c r="C396" i="7"/>
  <c r="B396" i="7"/>
  <c r="C396" i="1"/>
  <c r="B396" i="1"/>
  <c r="F384" i="1"/>
  <c r="G383" i="7"/>
  <c r="F382" i="7"/>
  <c r="F381" i="7"/>
  <c r="J52" i="11"/>
  <c r="G383" i="1"/>
  <c r="F381" i="1"/>
  <c r="B370" i="1"/>
  <c r="B383" i="1"/>
  <c r="B279" i="7"/>
  <c r="C279" i="7"/>
  <c r="F330" i="7"/>
  <c r="F328" i="7"/>
  <c r="F326" i="7"/>
  <c r="F324" i="7"/>
  <c r="F322" i="7"/>
  <c r="F323" i="7"/>
  <c r="F320" i="7"/>
  <c r="F319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332" i="7"/>
  <c r="F333" i="7"/>
  <c r="F334" i="7"/>
  <c r="F335" i="7"/>
  <c r="F336" i="7"/>
  <c r="C383" i="7"/>
  <c r="B383" i="7"/>
  <c r="G370" i="7"/>
  <c r="D370" i="7"/>
  <c r="C370" i="7"/>
  <c r="B370" i="7"/>
  <c r="G357" i="7"/>
  <c r="E358" i="7" s="1"/>
  <c r="D357" i="7"/>
  <c r="B357" i="7"/>
  <c r="G344" i="7"/>
  <c r="E345" i="7" s="1"/>
  <c r="D344" i="7"/>
  <c r="C344" i="7"/>
  <c r="B344" i="7"/>
  <c r="G331" i="7"/>
  <c r="E332" i="7" s="1"/>
  <c r="D331" i="7"/>
  <c r="E331" i="7" s="1"/>
  <c r="C331" i="7"/>
  <c r="B331" i="7"/>
  <c r="G318" i="7"/>
  <c r="E319" i="7" s="1"/>
  <c r="D318" i="7"/>
  <c r="C318" i="7"/>
  <c r="B318" i="7"/>
  <c r="G305" i="7"/>
  <c r="E306" i="7" s="1"/>
  <c r="D305" i="7"/>
  <c r="E305" i="7" s="1"/>
  <c r="C305" i="7"/>
  <c r="B305" i="7"/>
  <c r="G292" i="7"/>
  <c r="E293" i="7" s="1"/>
  <c r="D292" i="7"/>
  <c r="C292" i="7"/>
  <c r="B292" i="7"/>
  <c r="G279" i="7"/>
  <c r="E280" i="7" s="1"/>
  <c r="D279" i="7"/>
  <c r="E279" i="7" s="1"/>
  <c r="F337" i="7"/>
  <c r="F338" i="7"/>
  <c r="F339" i="7"/>
  <c r="F340" i="7"/>
  <c r="F341" i="7"/>
  <c r="F342" i="7"/>
  <c r="F343" i="7"/>
  <c r="C345" i="7"/>
  <c r="F345" i="7"/>
  <c r="C346" i="7"/>
  <c r="F346" i="7"/>
  <c r="C347" i="7"/>
  <c r="F347" i="7"/>
  <c r="C348" i="7"/>
  <c r="F348" i="7"/>
  <c r="C349" i="7"/>
  <c r="F349" i="7"/>
  <c r="C350" i="7"/>
  <c r="F350" i="7"/>
  <c r="C351" i="7"/>
  <c r="F351" i="7"/>
  <c r="C352" i="7"/>
  <c r="F352" i="7"/>
  <c r="C353" i="7"/>
  <c r="F353" i="7"/>
  <c r="C354" i="7"/>
  <c r="F354" i="7"/>
  <c r="C355" i="7"/>
  <c r="F355" i="7"/>
  <c r="C356" i="7"/>
  <c r="F356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1" i="7"/>
  <c r="J9" i="10"/>
  <c r="C10" i="10"/>
  <c r="E10" i="10"/>
  <c r="G10" i="10"/>
  <c r="J10" i="10"/>
  <c r="C11" i="10"/>
  <c r="E11" i="10"/>
  <c r="G11" i="10"/>
  <c r="J11" i="10"/>
  <c r="C12" i="10"/>
  <c r="E12" i="10"/>
  <c r="G12" i="10"/>
  <c r="J12" i="10"/>
  <c r="L12" i="10"/>
  <c r="C13" i="10"/>
  <c r="E13" i="10"/>
  <c r="G13" i="10"/>
  <c r="I13" i="10"/>
  <c r="J13" i="10"/>
  <c r="L13" i="10"/>
  <c r="C14" i="10"/>
  <c r="E14" i="10"/>
  <c r="G14" i="10"/>
  <c r="I14" i="10"/>
  <c r="J14" i="10"/>
  <c r="L14" i="10"/>
  <c r="C15" i="10"/>
  <c r="E15" i="10"/>
  <c r="G15" i="10"/>
  <c r="I15" i="10"/>
  <c r="J15" i="10"/>
  <c r="L15" i="10"/>
  <c r="C16" i="10"/>
  <c r="E16" i="10"/>
  <c r="G16" i="10"/>
  <c r="I16" i="10"/>
  <c r="J16" i="10"/>
  <c r="L16" i="10"/>
  <c r="C17" i="10"/>
  <c r="E17" i="10"/>
  <c r="G17" i="10"/>
  <c r="I17" i="10"/>
  <c r="J17" i="10"/>
  <c r="L17" i="10"/>
  <c r="C18" i="10"/>
  <c r="E18" i="10"/>
  <c r="G18" i="10"/>
  <c r="I18" i="10"/>
  <c r="J18" i="10"/>
  <c r="L18" i="10"/>
  <c r="C19" i="10"/>
  <c r="E19" i="10"/>
  <c r="G19" i="10"/>
  <c r="I19" i="10"/>
  <c r="J19" i="10"/>
  <c r="L19" i="10"/>
  <c r="C20" i="10"/>
  <c r="E20" i="10"/>
  <c r="G20" i="10"/>
  <c r="I20" i="10"/>
  <c r="J20" i="10"/>
  <c r="L20" i="10"/>
  <c r="C21" i="10"/>
  <c r="E21" i="10"/>
  <c r="G21" i="10"/>
  <c r="I21" i="10"/>
  <c r="J21" i="10"/>
  <c r="L21" i="10"/>
  <c r="B22" i="10"/>
  <c r="C22" i="10" s="1"/>
  <c r="E22" i="10"/>
  <c r="G22" i="10"/>
  <c r="I22" i="10"/>
  <c r="L22" i="10"/>
  <c r="B23" i="10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C32" i="1"/>
  <c r="D32" i="1"/>
  <c r="E32" i="1" s="1"/>
  <c r="G32" i="1"/>
  <c r="E33" i="1" s="1"/>
  <c r="B33" i="1"/>
  <c r="B20" i="1" s="1"/>
  <c r="F33" i="1"/>
  <c r="B34" i="1"/>
  <c r="B21" i="1" s="1"/>
  <c r="F34" i="1"/>
  <c r="B35" i="1"/>
  <c r="B22" i="1" s="1"/>
  <c r="F35" i="1"/>
  <c r="B36" i="1"/>
  <c r="B23" i="1" s="1"/>
  <c r="F36" i="1"/>
  <c r="B37" i="1"/>
  <c r="B24" i="1" s="1"/>
  <c r="F37" i="1"/>
  <c r="B38" i="1"/>
  <c r="B25" i="1" s="1"/>
  <c r="F38" i="1"/>
  <c r="B39" i="1"/>
  <c r="B26" i="1" s="1"/>
  <c r="F39" i="1"/>
  <c r="B40" i="1"/>
  <c r="B27" i="1" s="1"/>
  <c r="F40" i="1"/>
  <c r="B41" i="1"/>
  <c r="B28" i="1" s="1"/>
  <c r="F41" i="1"/>
  <c r="B42" i="1"/>
  <c r="B29" i="1" s="1"/>
  <c r="F42" i="1"/>
  <c r="B43" i="1"/>
  <c r="B30" i="1" s="1"/>
  <c r="F43" i="1"/>
  <c r="B44" i="1"/>
  <c r="B31" i="1" s="1"/>
  <c r="F44" i="1"/>
  <c r="C45" i="1"/>
  <c r="D45" i="1"/>
  <c r="G45" i="1"/>
  <c r="E46" i="1" s="1"/>
  <c r="F46" i="1"/>
  <c r="F47" i="1"/>
  <c r="F48" i="1"/>
  <c r="F49" i="1"/>
  <c r="F50" i="1"/>
  <c r="F51" i="1"/>
  <c r="F52" i="1"/>
  <c r="F53" i="1"/>
  <c r="F54" i="1"/>
  <c r="F55" i="1"/>
  <c r="F56" i="1"/>
  <c r="F57" i="1"/>
  <c r="B58" i="1"/>
  <c r="C58" i="1"/>
  <c r="D58" i="1"/>
  <c r="G58" i="1"/>
  <c r="E59" i="1" s="1"/>
  <c r="F59" i="1"/>
  <c r="F60" i="1"/>
  <c r="F61" i="1"/>
  <c r="F62" i="1"/>
  <c r="F63" i="1"/>
  <c r="F64" i="1"/>
  <c r="F65" i="1"/>
  <c r="F66" i="1"/>
  <c r="F67" i="1"/>
  <c r="F68" i="1"/>
  <c r="F69" i="1"/>
  <c r="F70" i="1"/>
  <c r="B71" i="1"/>
  <c r="C71" i="1"/>
  <c r="D71" i="1"/>
  <c r="G71" i="1"/>
  <c r="E72" i="1" s="1"/>
  <c r="F72" i="1"/>
  <c r="F73" i="1"/>
  <c r="F74" i="1"/>
  <c r="F75" i="1"/>
  <c r="F76" i="1"/>
  <c r="F77" i="1"/>
  <c r="F78" i="1"/>
  <c r="F79" i="1"/>
  <c r="F80" i="1"/>
  <c r="F81" i="1"/>
  <c r="F82" i="1"/>
  <c r="F83" i="1"/>
  <c r="B84" i="1"/>
  <c r="C84" i="1"/>
  <c r="D84" i="1"/>
  <c r="G84" i="1"/>
  <c r="E85" i="1" s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C97" i="1"/>
  <c r="D97" i="1"/>
  <c r="G97" i="1"/>
  <c r="E98" i="1" s="1"/>
  <c r="F98" i="1"/>
  <c r="F99" i="1"/>
  <c r="F100" i="1"/>
  <c r="F101" i="1"/>
  <c r="F102" i="1"/>
  <c r="F103" i="1"/>
  <c r="F104" i="1"/>
  <c r="F105" i="1"/>
  <c r="F106" i="1"/>
  <c r="F107" i="1"/>
  <c r="F108" i="1"/>
  <c r="F109" i="1"/>
  <c r="B110" i="1"/>
  <c r="C110" i="1"/>
  <c r="D110" i="1"/>
  <c r="G110" i="1"/>
  <c r="E111" i="1" s="1"/>
  <c r="F111" i="1"/>
  <c r="F112" i="1"/>
  <c r="F113" i="1"/>
  <c r="F114" i="1"/>
  <c r="F115" i="1"/>
  <c r="F116" i="1"/>
  <c r="F117" i="1"/>
  <c r="F118" i="1"/>
  <c r="F119" i="1"/>
  <c r="F120" i="1"/>
  <c r="F121" i="1"/>
  <c r="F122" i="1"/>
  <c r="B123" i="1"/>
  <c r="C123" i="1"/>
  <c r="D123" i="1"/>
  <c r="G123" i="1"/>
  <c r="E124" i="1" s="1"/>
  <c r="F124" i="1"/>
  <c r="F125" i="1"/>
  <c r="F126" i="1"/>
  <c r="F127" i="1"/>
  <c r="F128" i="1"/>
  <c r="F129" i="1"/>
  <c r="F130" i="1"/>
  <c r="F131" i="1"/>
  <c r="F132" i="1"/>
  <c r="F133" i="1"/>
  <c r="F134" i="1"/>
  <c r="F135" i="1"/>
  <c r="B136" i="1"/>
  <c r="C136" i="1"/>
  <c r="D136" i="1"/>
  <c r="G136" i="1"/>
  <c r="E137" i="1" s="1"/>
  <c r="F137" i="1"/>
  <c r="F138" i="1"/>
  <c r="F139" i="1"/>
  <c r="F140" i="1"/>
  <c r="F141" i="1"/>
  <c r="F142" i="1"/>
  <c r="F143" i="1"/>
  <c r="F144" i="1"/>
  <c r="F145" i="1"/>
  <c r="F146" i="1"/>
  <c r="F147" i="1"/>
  <c r="F148" i="1"/>
  <c r="B149" i="1"/>
  <c r="C149" i="1"/>
  <c r="D149" i="1"/>
  <c r="G149" i="1"/>
  <c r="E150" i="1" s="1"/>
  <c r="F150" i="1"/>
  <c r="F151" i="1"/>
  <c r="F152" i="1"/>
  <c r="F153" i="1"/>
  <c r="F154" i="1"/>
  <c r="F155" i="1"/>
  <c r="F156" i="1"/>
  <c r="F157" i="1"/>
  <c r="F158" i="1"/>
  <c r="F159" i="1"/>
  <c r="F160" i="1"/>
  <c r="F161" i="1"/>
  <c r="B162" i="1"/>
  <c r="C162" i="1"/>
  <c r="D162" i="1"/>
  <c r="G162" i="1"/>
  <c r="E163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B175" i="1"/>
  <c r="C175" i="1"/>
  <c r="D175" i="1"/>
  <c r="G175" i="1"/>
  <c r="E176" i="1" s="1"/>
  <c r="F176" i="1"/>
  <c r="F177" i="1"/>
  <c r="F178" i="1"/>
  <c r="F179" i="1"/>
  <c r="F180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C188" i="1"/>
  <c r="D188" i="1"/>
  <c r="G188" i="1"/>
  <c r="E189" i="1" s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C201" i="1"/>
  <c r="D201" i="1"/>
  <c r="G201" i="1"/>
  <c r="E202" i="1" s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F213" i="1"/>
  <c r="C214" i="1"/>
  <c r="D214" i="1"/>
  <c r="G214" i="1"/>
  <c r="E215" i="1" s="1"/>
  <c r="F215" i="1"/>
  <c r="F216" i="1"/>
  <c r="F217" i="1"/>
  <c r="F218" i="1"/>
  <c r="F219" i="1"/>
  <c r="F220" i="1"/>
  <c r="F221" i="1"/>
  <c r="F222" i="1"/>
  <c r="F223" i="1"/>
  <c r="F224" i="1"/>
  <c r="F225" i="1"/>
  <c r="F226" i="1"/>
  <c r="B227" i="1"/>
  <c r="C227" i="1"/>
  <c r="D227" i="1"/>
  <c r="G227" i="1"/>
  <c r="E228" i="1" s="1"/>
  <c r="B228" i="1"/>
  <c r="F228" i="1"/>
  <c r="F229" i="1"/>
  <c r="F230" i="1"/>
  <c r="F231" i="1"/>
  <c r="F232" i="1"/>
  <c r="F233" i="1"/>
  <c r="B234" i="1"/>
  <c r="F234" i="1"/>
  <c r="B235" i="1"/>
  <c r="F235" i="1"/>
  <c r="B236" i="1"/>
  <c r="F236" i="1"/>
  <c r="F237" i="1"/>
  <c r="B238" i="1"/>
  <c r="F238" i="1"/>
  <c r="B239" i="1"/>
  <c r="F239" i="1"/>
  <c r="C240" i="1"/>
  <c r="D240" i="1"/>
  <c r="G240" i="1"/>
  <c r="E241" i="1" s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C253" i="1"/>
  <c r="D253" i="1"/>
  <c r="G253" i="1"/>
  <c r="E254" i="1" s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C266" i="1"/>
  <c r="D266" i="1"/>
  <c r="G266" i="1"/>
  <c r="E267" i="1" s="1"/>
  <c r="B267" i="1"/>
  <c r="B279" i="1" s="1"/>
  <c r="F267" i="1"/>
  <c r="F268" i="1"/>
  <c r="F269" i="1"/>
  <c r="F270" i="1"/>
  <c r="F271" i="1"/>
  <c r="F272" i="1"/>
  <c r="F273" i="1"/>
  <c r="F274" i="1"/>
  <c r="F275" i="1"/>
  <c r="F276" i="1"/>
  <c r="F277" i="1"/>
  <c r="F278" i="1"/>
  <c r="C279" i="1"/>
  <c r="D279" i="1"/>
  <c r="G279" i="1"/>
  <c r="E280" i="1" s="1"/>
  <c r="F280" i="1"/>
  <c r="F281" i="1"/>
  <c r="F282" i="1"/>
  <c r="F283" i="1"/>
  <c r="F284" i="1"/>
  <c r="F285" i="1"/>
  <c r="F286" i="1"/>
  <c r="F287" i="1"/>
  <c r="F288" i="1"/>
  <c r="F289" i="1"/>
  <c r="F290" i="1"/>
  <c r="F291" i="1"/>
  <c r="B292" i="1"/>
  <c r="C292" i="1"/>
  <c r="D292" i="1"/>
  <c r="G292" i="1"/>
  <c r="E293" i="1" s="1"/>
  <c r="C293" i="1"/>
  <c r="F293" i="1"/>
  <c r="C294" i="1"/>
  <c r="F294" i="1"/>
  <c r="C295" i="1"/>
  <c r="F295" i="1"/>
  <c r="C296" i="1"/>
  <c r="F296" i="1"/>
  <c r="C297" i="1"/>
  <c r="F297" i="1"/>
  <c r="C298" i="1"/>
  <c r="F298" i="1"/>
  <c r="C299" i="1"/>
  <c r="F299" i="1"/>
  <c r="C300" i="1"/>
  <c r="F300" i="1"/>
  <c r="C301" i="1"/>
  <c r="F301" i="1"/>
  <c r="C302" i="1"/>
  <c r="F302" i="1"/>
  <c r="C303" i="1"/>
  <c r="F303" i="1"/>
  <c r="C304" i="1"/>
  <c r="F304" i="1"/>
  <c r="B305" i="1"/>
  <c r="D305" i="1"/>
  <c r="G305" i="1"/>
  <c r="E306" i="1" s="1"/>
  <c r="F306" i="1"/>
  <c r="F307" i="1"/>
  <c r="F308" i="1"/>
  <c r="F309" i="1"/>
  <c r="F310" i="1"/>
  <c r="F311" i="1"/>
  <c r="F312" i="1"/>
  <c r="F313" i="1"/>
  <c r="F314" i="1"/>
  <c r="F315" i="1"/>
  <c r="F316" i="1"/>
  <c r="F317" i="1"/>
  <c r="B318" i="1"/>
  <c r="C318" i="1"/>
  <c r="D318" i="1"/>
  <c r="E318" i="1" s="1"/>
  <c r="G318" i="1"/>
  <c r="E319" i="1" s="1"/>
  <c r="F319" i="1"/>
  <c r="F320" i="1"/>
  <c r="F321" i="1"/>
  <c r="F322" i="1"/>
  <c r="F323" i="1"/>
  <c r="F324" i="1"/>
  <c r="F325" i="1"/>
  <c r="F326" i="1"/>
  <c r="F327" i="1"/>
  <c r="F328" i="1"/>
  <c r="F329" i="1"/>
  <c r="F330" i="1"/>
  <c r="B331" i="1"/>
  <c r="C331" i="1"/>
  <c r="D331" i="1"/>
  <c r="G331" i="1"/>
  <c r="E332" i="1" s="1"/>
  <c r="F332" i="1"/>
  <c r="F333" i="1"/>
  <c r="F334" i="1"/>
  <c r="F335" i="1"/>
  <c r="F336" i="1"/>
  <c r="F337" i="1"/>
  <c r="F338" i="1"/>
  <c r="F339" i="1"/>
  <c r="F340" i="1"/>
  <c r="F341" i="1"/>
  <c r="F342" i="1"/>
  <c r="F343" i="1"/>
  <c r="B344" i="1"/>
  <c r="C344" i="1"/>
  <c r="D344" i="1"/>
  <c r="G344" i="1"/>
  <c r="E345" i="1" s="1"/>
  <c r="F345" i="1"/>
  <c r="F346" i="1"/>
  <c r="F347" i="1"/>
  <c r="F348" i="1"/>
  <c r="F349" i="1"/>
  <c r="F350" i="1"/>
  <c r="F351" i="1"/>
  <c r="F352" i="1"/>
  <c r="F353" i="1"/>
  <c r="F354" i="1"/>
  <c r="F355" i="1"/>
  <c r="F356" i="1"/>
  <c r="B357" i="1"/>
  <c r="C357" i="1"/>
  <c r="D357" i="1"/>
  <c r="E357" i="1" s="1"/>
  <c r="G357" i="1"/>
  <c r="E358" i="1" s="1"/>
  <c r="F358" i="1"/>
  <c r="F359" i="1"/>
  <c r="F360" i="1"/>
  <c r="F361" i="1"/>
  <c r="F362" i="1"/>
  <c r="F363" i="1"/>
  <c r="F364" i="1"/>
  <c r="F365" i="1"/>
  <c r="F366" i="1"/>
  <c r="F367" i="1"/>
  <c r="F368" i="1"/>
  <c r="F369" i="1"/>
  <c r="C370" i="1"/>
  <c r="D370" i="1"/>
  <c r="G370" i="1"/>
  <c r="E371" i="1" s="1"/>
  <c r="C383" i="1"/>
  <c r="F371" i="1"/>
  <c r="F375" i="7"/>
  <c r="D383" i="7"/>
  <c r="F329" i="7"/>
  <c r="F327" i="7"/>
  <c r="F325" i="7"/>
  <c r="F321" i="7"/>
  <c r="F372" i="1"/>
  <c r="F372" i="7"/>
  <c r="F373" i="7"/>
  <c r="F374" i="7"/>
  <c r="F376" i="7"/>
  <c r="F376" i="1"/>
  <c r="F374" i="1"/>
  <c r="F380" i="7"/>
  <c r="F379" i="7"/>
  <c r="F378" i="7"/>
  <c r="F377" i="7"/>
  <c r="F379" i="1"/>
  <c r="F378" i="1"/>
  <c r="F377" i="1"/>
  <c r="F375" i="1"/>
  <c r="F373" i="1"/>
  <c r="F382" i="1"/>
  <c r="F380" i="1"/>
  <c r="D383" i="1"/>
  <c r="D396" i="1"/>
  <c r="F398" i="7"/>
  <c r="F425" i="7"/>
  <c r="H52" i="11"/>
  <c r="H53" i="11" s="1"/>
  <c r="F429" i="7"/>
  <c r="F445" i="7"/>
  <c r="F430" i="1"/>
  <c r="F433" i="7" l="1"/>
  <c r="E344" i="1"/>
  <c r="E331" i="1"/>
  <c r="L32" i="10"/>
  <c r="E292" i="7"/>
  <c r="E318" i="7"/>
  <c r="E344" i="7"/>
  <c r="E423" i="7"/>
  <c r="F438" i="7"/>
  <c r="E357" i="7"/>
  <c r="E449" i="7"/>
  <c r="E305" i="1"/>
  <c r="E201" i="1"/>
  <c r="F441" i="7"/>
  <c r="E441" i="7"/>
  <c r="H24" i="10"/>
  <c r="I24" i="10" s="1"/>
  <c r="E383" i="7"/>
  <c r="F393" i="7"/>
  <c r="E393" i="7"/>
  <c r="F417" i="7"/>
  <c r="E417" i="7"/>
  <c r="F424" i="7"/>
  <c r="E424" i="7"/>
  <c r="F442" i="7"/>
  <c r="E442" i="7"/>
  <c r="F451" i="7"/>
  <c r="E451" i="7"/>
  <c r="F467" i="7"/>
  <c r="E467" i="7"/>
  <c r="F427" i="7"/>
  <c r="E427" i="7"/>
  <c r="F458" i="7"/>
  <c r="E458" i="7"/>
  <c r="F437" i="7"/>
  <c r="E437" i="7"/>
  <c r="F403" i="7"/>
  <c r="E403" i="7"/>
  <c r="F439" i="7"/>
  <c r="E439" i="7"/>
  <c r="F453" i="7"/>
  <c r="E453" i="7"/>
  <c r="F468" i="7"/>
  <c r="E468" i="7"/>
  <c r="E370" i="7"/>
  <c r="F404" i="7"/>
  <c r="E404" i="7"/>
  <c r="F413" i="7"/>
  <c r="E413" i="7"/>
  <c r="F420" i="7"/>
  <c r="E420" i="7"/>
  <c r="F440" i="7"/>
  <c r="E440" i="7"/>
  <c r="F454" i="7"/>
  <c r="E454" i="7"/>
  <c r="F23" i="10"/>
  <c r="G23" i="10" s="1"/>
  <c r="E371" i="7"/>
  <c r="F397" i="7"/>
  <c r="E397" i="7"/>
  <c r="F412" i="7"/>
  <c r="E412" i="7"/>
  <c r="F444" i="7"/>
  <c r="E444" i="7"/>
  <c r="E462" i="7"/>
  <c r="F408" i="7"/>
  <c r="E408" i="7"/>
  <c r="E436" i="7"/>
  <c r="F392" i="7"/>
  <c r="E392" i="7"/>
  <c r="F24" i="10"/>
  <c r="E384" i="7"/>
  <c r="F407" i="7"/>
  <c r="E407" i="7"/>
  <c r="E410" i="7"/>
  <c r="F414" i="7"/>
  <c r="E414" i="7"/>
  <c r="F426" i="7"/>
  <c r="E426" i="7"/>
  <c r="F446" i="7"/>
  <c r="E446" i="7"/>
  <c r="F456" i="7"/>
  <c r="E456" i="7"/>
  <c r="F463" i="7"/>
  <c r="E463" i="7"/>
  <c r="F471" i="7"/>
  <c r="E471" i="7"/>
  <c r="F434" i="7"/>
  <c r="E434" i="7"/>
  <c r="F416" i="7"/>
  <c r="F399" i="7"/>
  <c r="E399" i="7"/>
  <c r="F415" i="7"/>
  <c r="E415" i="7"/>
  <c r="F430" i="7"/>
  <c r="E430" i="7"/>
  <c r="F447" i="7"/>
  <c r="E447" i="7"/>
  <c r="F472" i="7"/>
  <c r="E472" i="7"/>
  <c r="E370" i="1"/>
  <c r="E292" i="1"/>
  <c r="E279" i="1"/>
  <c r="E240" i="1"/>
  <c r="E266" i="1"/>
  <c r="E253" i="1"/>
  <c r="E227" i="1"/>
  <c r="E214" i="1"/>
  <c r="F404" i="1"/>
  <c r="F402" i="1"/>
  <c r="E402" i="1"/>
  <c r="F443" i="1"/>
  <c r="E443" i="1"/>
  <c r="E449" i="1"/>
  <c r="F459" i="1"/>
  <c r="E459" i="1"/>
  <c r="F464" i="1"/>
  <c r="E464" i="1"/>
  <c r="E188" i="1"/>
  <c r="F403" i="1"/>
  <c r="E403" i="1"/>
  <c r="F418" i="1"/>
  <c r="E418" i="1"/>
  <c r="E423" i="1"/>
  <c r="F424" i="1"/>
  <c r="E424" i="1"/>
  <c r="E436" i="1"/>
  <c r="F458" i="1"/>
  <c r="E458" i="1"/>
  <c r="F465" i="1"/>
  <c r="E465" i="1"/>
  <c r="F473" i="1"/>
  <c r="E473" i="1"/>
  <c r="F417" i="1"/>
  <c r="E417" i="1"/>
  <c r="F451" i="1"/>
  <c r="E451" i="1"/>
  <c r="F466" i="1"/>
  <c r="E466" i="1"/>
  <c r="D24" i="10"/>
  <c r="E24" i="10" s="1"/>
  <c r="E383" i="1"/>
  <c r="F405" i="1"/>
  <c r="E405" i="1"/>
  <c r="F410" i="1"/>
  <c r="E410" i="1"/>
  <c r="F425" i="1"/>
  <c r="E425" i="1"/>
  <c r="F429" i="1"/>
  <c r="E429" i="1"/>
  <c r="F438" i="1"/>
  <c r="E438" i="1"/>
  <c r="F446" i="1"/>
  <c r="E446" i="1"/>
  <c r="F452" i="1"/>
  <c r="E452" i="1"/>
  <c r="D25" i="10"/>
  <c r="E396" i="1"/>
  <c r="F415" i="1"/>
  <c r="E415" i="1"/>
  <c r="F453" i="1"/>
  <c r="E453" i="1"/>
  <c r="F455" i="1"/>
  <c r="E455" i="1"/>
  <c r="F407" i="1"/>
  <c r="E407" i="1"/>
  <c r="F426" i="1"/>
  <c r="E426" i="1"/>
  <c r="F454" i="1"/>
  <c r="E454" i="1"/>
  <c r="F469" i="1"/>
  <c r="E469" i="1"/>
  <c r="E175" i="1"/>
  <c r="E162" i="1"/>
  <c r="E149" i="1"/>
  <c r="E136" i="1"/>
  <c r="E123" i="1"/>
  <c r="E110" i="1"/>
  <c r="E97" i="1"/>
  <c r="E84" i="1"/>
  <c r="E71" i="1"/>
  <c r="E58" i="1"/>
  <c r="E45" i="1"/>
  <c r="E397" i="1"/>
  <c r="F413" i="1"/>
  <c r="E413" i="1"/>
  <c r="E462" i="1"/>
  <c r="F470" i="1"/>
  <c r="E470" i="1"/>
  <c r="E487" i="1"/>
  <c r="B24" i="10"/>
  <c r="C24" i="10" s="1"/>
  <c r="E384" i="1"/>
  <c r="F408" i="1"/>
  <c r="E408" i="1"/>
  <c r="F420" i="1"/>
  <c r="E420" i="1"/>
  <c r="F427" i="1"/>
  <c r="E427" i="1"/>
  <c r="F460" i="1"/>
  <c r="E460" i="1"/>
  <c r="F452" i="7"/>
  <c r="F401" i="7"/>
  <c r="M12" i="10"/>
  <c r="F405" i="7"/>
  <c r="F318" i="7"/>
  <c r="F443" i="7"/>
  <c r="K20" i="10"/>
  <c r="M16" i="10"/>
  <c r="F433" i="1"/>
  <c r="F419" i="1"/>
  <c r="F400" i="1"/>
  <c r="F437" i="1"/>
  <c r="F440" i="1"/>
  <c r="F56" i="11"/>
  <c r="G56" i="11" s="1"/>
  <c r="E16" i="11" s="1"/>
  <c r="F442" i="1"/>
  <c r="F456" i="1"/>
  <c r="F410" i="7"/>
  <c r="M21" i="10"/>
  <c r="M17" i="10"/>
  <c r="F411" i="7"/>
  <c r="K21" i="10"/>
  <c r="F469" i="7"/>
  <c r="F459" i="7"/>
  <c r="F428" i="1"/>
  <c r="K11" i="10"/>
  <c r="M22" i="10"/>
  <c r="K18" i="10"/>
  <c r="F447" i="1"/>
  <c r="M19" i="10"/>
  <c r="F344" i="7"/>
  <c r="F406" i="1"/>
  <c r="F423" i="7"/>
  <c r="F434" i="1"/>
  <c r="F439" i="1"/>
  <c r="F431" i="1"/>
  <c r="K10" i="10"/>
  <c r="F418" i="7"/>
  <c r="F471" i="1"/>
  <c r="F399" i="1"/>
  <c r="F450" i="7"/>
  <c r="F431" i="7"/>
  <c r="F292" i="7"/>
  <c r="F436" i="7"/>
  <c r="H23" i="10"/>
  <c r="I23" i="10" s="1"/>
  <c r="F400" i="7"/>
  <c r="F357" i="7"/>
  <c r="F428" i="7"/>
  <c r="F318" i="1"/>
  <c r="B253" i="1"/>
  <c r="F162" i="1"/>
  <c r="F123" i="1"/>
  <c r="F414" i="1"/>
  <c r="M20" i="10"/>
  <c r="K16" i="10"/>
  <c r="K17" i="10"/>
  <c r="M15" i="10"/>
  <c r="M33" i="10"/>
  <c r="K33" i="10"/>
  <c r="F398" i="1"/>
  <c r="F357" i="1"/>
  <c r="F344" i="1"/>
  <c r="F279" i="1"/>
  <c r="C357" i="7"/>
  <c r="M18" i="10"/>
  <c r="K12" i="10"/>
  <c r="F419" i="7"/>
  <c r="F445" i="1"/>
  <c r="F383" i="7"/>
  <c r="M14" i="10"/>
  <c r="F423" i="1"/>
  <c r="K19" i="10"/>
  <c r="F465" i="7"/>
  <c r="D461" i="7"/>
  <c r="E461" i="7" s="1"/>
  <c r="F395" i="7"/>
  <c r="K14" i="10"/>
  <c r="F279" i="7"/>
  <c r="G26" i="10"/>
  <c r="F421" i="7"/>
  <c r="F432" i="7"/>
  <c r="F402" i="7"/>
  <c r="F331" i="7"/>
  <c r="F136" i="1"/>
  <c r="F97" i="1"/>
  <c r="F71" i="1"/>
  <c r="F58" i="1"/>
  <c r="F45" i="1"/>
  <c r="F32" i="1"/>
  <c r="F406" i="7"/>
  <c r="F444" i="1"/>
  <c r="I32" i="10"/>
  <c r="F421" i="1"/>
  <c r="F149" i="1"/>
  <c r="F397" i="1"/>
  <c r="B266" i="1"/>
  <c r="F253" i="1"/>
  <c r="B240" i="1"/>
  <c r="F266" i="1"/>
  <c r="F449" i="1"/>
  <c r="F201" i="1"/>
  <c r="F331" i="1"/>
  <c r="C4" i="11"/>
  <c r="F449" i="7"/>
  <c r="F30" i="10"/>
  <c r="G31" i="10" s="1"/>
  <c r="F475" i="1"/>
  <c r="F487" i="1" s="1"/>
  <c r="F441" i="1"/>
  <c r="F188" i="1"/>
  <c r="F467" i="1"/>
  <c r="B27" i="10"/>
  <c r="C27" i="10" s="1"/>
  <c r="F436" i="1"/>
  <c r="E23" i="10"/>
  <c r="B28" i="10"/>
  <c r="J28" i="10" s="1"/>
  <c r="J22" i="10"/>
  <c r="K22" i="10" s="1"/>
  <c r="B29" i="10"/>
  <c r="F84" i="1"/>
  <c r="B32" i="1"/>
  <c r="F370" i="1"/>
  <c r="F305" i="1"/>
  <c r="B188" i="1"/>
  <c r="F175" i="1"/>
  <c r="F383" i="1"/>
  <c r="F214" i="1"/>
  <c r="B214" i="1"/>
  <c r="B201" i="1"/>
  <c r="F396" i="1"/>
  <c r="C305" i="1"/>
  <c r="F292" i="1"/>
  <c r="F240" i="1"/>
  <c r="F227" i="1"/>
  <c r="B31" i="10"/>
  <c r="F54" i="11"/>
  <c r="G54" i="11" s="1"/>
  <c r="D14" i="11" s="1"/>
  <c r="F58" i="11"/>
  <c r="G58" i="11" s="1"/>
  <c r="G18" i="11" s="1"/>
  <c r="F53" i="11"/>
  <c r="G53" i="11" s="1"/>
  <c r="E13" i="11" s="1"/>
  <c r="F51" i="11"/>
  <c r="G51" i="11" s="1"/>
  <c r="G11" i="11" s="1"/>
  <c r="F62" i="11"/>
  <c r="G62" i="11" s="1"/>
  <c r="H22" i="11" s="1"/>
  <c r="F59" i="11"/>
  <c r="G59" i="11" s="1"/>
  <c r="D19" i="11" s="1"/>
  <c r="F57" i="11"/>
  <c r="G57" i="11" s="1"/>
  <c r="H17" i="11" s="1"/>
  <c r="F60" i="11"/>
  <c r="G60" i="11" s="1"/>
  <c r="F20" i="11" s="1"/>
  <c r="F55" i="11"/>
  <c r="G55" i="11" s="1"/>
  <c r="G15" i="11" s="1"/>
  <c r="F52" i="11"/>
  <c r="G52" i="11" s="1"/>
  <c r="F12" i="11" s="1"/>
  <c r="F61" i="11"/>
  <c r="G61" i="11" s="1"/>
  <c r="H21" i="11" s="1"/>
  <c r="D422" i="1"/>
  <c r="E422" i="1" s="1"/>
  <c r="F412" i="1"/>
  <c r="D409" i="7"/>
  <c r="E409" i="7" s="1"/>
  <c r="F394" i="7"/>
  <c r="K15" i="10"/>
  <c r="M13" i="10"/>
  <c r="F305" i="7"/>
  <c r="D435" i="7"/>
  <c r="E435" i="7" s="1"/>
  <c r="F450" i="1"/>
  <c r="F460" i="7"/>
  <c r="D448" i="1"/>
  <c r="E448" i="1" s="1"/>
  <c r="F401" i="1"/>
  <c r="D422" i="7"/>
  <c r="E422" i="7" s="1"/>
  <c r="J23" i="10"/>
  <c r="D396" i="7"/>
  <c r="E396" i="7" s="1"/>
  <c r="D448" i="7"/>
  <c r="E448" i="7" s="1"/>
  <c r="F432" i="1"/>
  <c r="B45" i="1"/>
  <c r="F110" i="1"/>
  <c r="K13" i="10"/>
  <c r="F370" i="7"/>
  <c r="F416" i="1"/>
  <c r="D409" i="1"/>
  <c r="E409" i="1" s="1"/>
  <c r="D435" i="1"/>
  <c r="E435" i="1" s="1"/>
  <c r="F455" i="7"/>
  <c r="F457" i="7"/>
  <c r="D461" i="1"/>
  <c r="E461" i="1" s="1"/>
  <c r="F457" i="1"/>
  <c r="C23" i="10"/>
  <c r="F462" i="1"/>
  <c r="G29" i="10"/>
  <c r="D474" i="7"/>
  <c r="E474" i="7" s="1"/>
  <c r="F464" i="7"/>
  <c r="F473" i="7"/>
  <c r="G28" i="10"/>
  <c r="G27" i="10"/>
  <c r="F462" i="7"/>
  <c r="F466" i="7"/>
  <c r="F470" i="7"/>
  <c r="J26" i="10"/>
  <c r="D474" i="1"/>
  <c r="E474" i="1" s="1"/>
  <c r="F463" i="1"/>
  <c r="F468" i="1"/>
  <c r="F472" i="1"/>
  <c r="C26" i="10"/>
  <c r="J25" i="10"/>
  <c r="B30" i="10"/>
  <c r="C22" i="11" l="1"/>
  <c r="G20" i="11"/>
  <c r="D22" i="11"/>
  <c r="G16" i="11"/>
  <c r="H16" i="11"/>
  <c r="H11" i="11"/>
  <c r="F19" i="11"/>
  <c r="F15" i="11"/>
  <c r="H18" i="11"/>
  <c r="G17" i="11"/>
  <c r="E22" i="11"/>
  <c r="C14" i="11"/>
  <c r="C11" i="11"/>
  <c r="C17" i="11"/>
  <c r="H12" i="11"/>
  <c r="C13" i="11"/>
  <c r="F22" i="11"/>
  <c r="E20" i="11"/>
  <c r="C19" i="11"/>
  <c r="E12" i="11"/>
  <c r="E15" i="11"/>
  <c r="D15" i="11"/>
  <c r="E18" i="11"/>
  <c r="E14" i="11"/>
  <c r="F14" i="11"/>
  <c r="F21" i="11"/>
  <c r="H13" i="11"/>
  <c r="E19" i="11"/>
  <c r="H19" i="11"/>
  <c r="H15" i="11"/>
  <c r="C16" i="11"/>
  <c r="D18" i="11"/>
  <c r="G22" i="11"/>
  <c r="E21" i="11"/>
  <c r="D17" i="11"/>
  <c r="E17" i="11"/>
  <c r="D13" i="11"/>
  <c r="C12" i="11"/>
  <c r="F13" i="11"/>
  <c r="C18" i="11"/>
  <c r="G19" i="11"/>
  <c r="E11" i="11"/>
  <c r="M29" i="11" s="1"/>
  <c r="G13" i="11"/>
  <c r="F18" i="11"/>
  <c r="G14" i="11"/>
  <c r="D12" i="11"/>
  <c r="C21" i="11"/>
  <c r="D21" i="11"/>
  <c r="G12" i="11"/>
  <c r="F16" i="11"/>
  <c r="C20" i="11"/>
  <c r="D20" i="11"/>
  <c r="D16" i="11"/>
  <c r="H14" i="11"/>
  <c r="C15" i="11"/>
  <c r="D11" i="11"/>
  <c r="G21" i="11"/>
  <c r="F17" i="11"/>
  <c r="H20" i="11"/>
  <c r="F11" i="11"/>
  <c r="L24" i="10"/>
  <c r="C25" i="10"/>
  <c r="E25" i="10"/>
  <c r="J24" i="10"/>
  <c r="K24" i="10" s="1"/>
  <c r="G25" i="10"/>
  <c r="G24" i="10"/>
  <c r="F448" i="7"/>
  <c r="L23" i="10"/>
  <c r="M23" i="10" s="1"/>
  <c r="F422" i="7"/>
  <c r="F435" i="7"/>
  <c r="F396" i="7"/>
  <c r="F409" i="1"/>
  <c r="C28" i="10"/>
  <c r="F435" i="1"/>
  <c r="H30" i="10"/>
  <c r="I30" i="10" s="1"/>
  <c r="G30" i="10"/>
  <c r="F448" i="1"/>
  <c r="F409" i="7"/>
  <c r="F474" i="1"/>
  <c r="J27" i="10"/>
  <c r="K28" i="10" s="1"/>
  <c r="J31" i="10"/>
  <c r="C32" i="10"/>
  <c r="E32" i="10"/>
  <c r="M24" i="10"/>
  <c r="F461" i="7"/>
  <c r="K23" i="10"/>
  <c r="C31" i="10"/>
  <c r="J29" i="10"/>
  <c r="K29" i="10" s="1"/>
  <c r="C29" i="10"/>
  <c r="F461" i="1"/>
  <c r="D30" i="10"/>
  <c r="D31" i="10"/>
  <c r="D28" i="10"/>
  <c r="H27" i="10"/>
  <c r="H31" i="10"/>
  <c r="I31" i="10" s="1"/>
  <c r="D26" i="10"/>
  <c r="H29" i="10"/>
  <c r="I29" i="10" s="1"/>
  <c r="H28" i="10"/>
  <c r="I28" i="10" s="1"/>
  <c r="F422" i="1"/>
  <c r="H25" i="10"/>
  <c r="D29" i="10"/>
  <c r="H26" i="10"/>
  <c r="I26" i="10" s="1"/>
  <c r="D27" i="10"/>
  <c r="E27" i="10" s="1"/>
  <c r="F474" i="7"/>
  <c r="K26" i="10"/>
  <c r="J30" i="10"/>
  <c r="C30" i="10"/>
  <c r="K25" i="10" l="1"/>
  <c r="K27" i="10"/>
  <c r="K32" i="10"/>
  <c r="M32" i="10"/>
  <c r="E23" i="11"/>
  <c r="C23" i="11"/>
  <c r="G23" i="11"/>
  <c r="M30" i="1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D23" i="11"/>
  <c r="E29" i="10"/>
  <c r="L29" i="10"/>
  <c r="M29" i="10" s="1"/>
  <c r="L25" i="10"/>
  <c r="M25" i="10" s="1"/>
  <c r="I25" i="10"/>
  <c r="E31" i="10"/>
  <c r="L31" i="10"/>
  <c r="M31" i="10" s="1"/>
  <c r="K30" i="10"/>
  <c r="K31" i="10"/>
  <c r="L28" i="10"/>
  <c r="M28" i="10" s="1"/>
  <c r="E28" i="10"/>
  <c r="L30" i="10"/>
  <c r="M30" i="10" s="1"/>
  <c r="E30" i="10"/>
  <c r="L26" i="10"/>
  <c r="M26" i="10" s="1"/>
  <c r="E26" i="10"/>
  <c r="L27" i="10"/>
  <c r="M27" i="10" s="1"/>
  <c r="I27" i="10"/>
  <c r="F38" i="10"/>
  <c r="I39" i="10" l="1"/>
  <c r="G39" i="10"/>
  <c r="J38" i="10"/>
  <c r="G38" i="10"/>
  <c r="K38" i="10" l="1"/>
  <c r="K39" i="10"/>
  <c r="M3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IM-01</author>
  </authors>
  <commentList>
    <comment ref="J74" authorId="0" shapeId="0" xr:uid="{00000000-0006-0000-0100-000001000000}">
      <text>
        <r>
          <rPr>
            <sz val="9"/>
            <color indexed="81"/>
            <rFont val="Tahoma"/>
            <family val="2"/>
          </rPr>
          <t>erdeu 3 zeros</t>
        </r>
      </text>
    </comment>
    <comment ref="J11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 Perdeu 3 zeros</t>
        </r>
      </text>
    </comment>
    <comment ref="J12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Mudança apenas no nome da moeda</t>
        </r>
      </text>
    </comment>
    <comment ref="J17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Perdeu 3 zeros</t>
        </r>
      </text>
    </comment>
    <comment ref="J182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Cr$ foi dividido por 2.750
</t>
        </r>
      </text>
    </comment>
  </commentList>
</comments>
</file>

<file path=xl/sharedStrings.xml><?xml version="1.0" encoding="utf-8"?>
<sst xmlns="http://schemas.openxmlformats.org/spreadsheetml/2006/main" count="1878" uniqueCount="135">
  <si>
    <t>ABECIP - INTELIGÊNCIA DE MERCADO</t>
  </si>
  <si>
    <t>POUPANÇA MENSAL - SBPE</t>
  </si>
  <si>
    <t>R$ Milhões</t>
  </si>
  <si>
    <t>SBPE</t>
  </si>
  <si>
    <t>Período</t>
  </si>
  <si>
    <t>Depósito</t>
  </si>
  <si>
    <t>Retirada</t>
  </si>
  <si>
    <t>Captação líquida</t>
  </si>
  <si>
    <t>Rendimento</t>
  </si>
  <si>
    <t>Saldo</t>
  </si>
  <si>
    <t>Valor</t>
  </si>
  <si>
    <t>%</t>
  </si>
  <si>
    <t>Fonte: Abecip e Banco Central.</t>
  </si>
  <si>
    <t>PRIMEIRO MÊS</t>
  </si>
  <si>
    <t>Total</t>
  </si>
  <si>
    <t>ÚLTIMO MÊS</t>
  </si>
  <si>
    <t>(*)</t>
  </si>
  <si>
    <t>Total.1970</t>
  </si>
  <si>
    <t>Total.1971</t>
  </si>
  <si>
    <t>Total.1972</t>
  </si>
  <si>
    <t>Total.1973</t>
  </si>
  <si>
    <t>Total.1974</t>
  </si>
  <si>
    <t>Total.1975</t>
  </si>
  <si>
    <t>Total.1976</t>
  </si>
  <si>
    <t>Total.1977</t>
  </si>
  <si>
    <t>Total.1978</t>
  </si>
  <si>
    <t>Total.1979</t>
  </si>
  <si>
    <t>Total.1980</t>
  </si>
  <si>
    <t>Total.1981</t>
  </si>
  <si>
    <t>Cr$</t>
  </si>
  <si>
    <t>Cruzeiro</t>
  </si>
  <si>
    <t>Milhões</t>
  </si>
  <si>
    <t>Total.1982</t>
  </si>
  <si>
    <t>Total.1983</t>
  </si>
  <si>
    <t>Total.1984</t>
  </si>
  <si>
    <t>Total.1985</t>
  </si>
  <si>
    <t>CZ$</t>
  </si>
  <si>
    <t>Cruzado</t>
  </si>
  <si>
    <t>Total.1986</t>
  </si>
  <si>
    <t>Total.1987</t>
  </si>
  <si>
    <t>Total.1988</t>
  </si>
  <si>
    <t>NCz$</t>
  </si>
  <si>
    <t>Cruzado Novo</t>
  </si>
  <si>
    <t>Total.1989</t>
  </si>
  <si>
    <t>Total.1990</t>
  </si>
  <si>
    <t>Total.1991</t>
  </si>
  <si>
    <t>Total.1992</t>
  </si>
  <si>
    <t>CR$</t>
  </si>
  <si>
    <t>Cruzeiro Real</t>
  </si>
  <si>
    <t>Total.1993</t>
  </si>
  <si>
    <t>R$</t>
  </si>
  <si>
    <t>Real</t>
  </si>
  <si>
    <t>Total.1994</t>
  </si>
  <si>
    <t>Total.1995</t>
  </si>
  <si>
    <t>Total.1996</t>
  </si>
  <si>
    <t>Total.1997</t>
  </si>
  <si>
    <t>Total.1998</t>
  </si>
  <si>
    <t>Total.1999</t>
  </si>
  <si>
    <t>Total.2000</t>
  </si>
  <si>
    <t>Total.2001</t>
  </si>
  <si>
    <t>Total.2002</t>
  </si>
  <si>
    <t>Total.2003</t>
  </si>
  <si>
    <t>Total.2004</t>
  </si>
  <si>
    <t>Total.2005</t>
  </si>
  <si>
    <t>Total.2006</t>
  </si>
  <si>
    <t>Total.2007</t>
  </si>
  <si>
    <t>Total.2008</t>
  </si>
  <si>
    <t>Total.2009</t>
  </si>
  <si>
    <t>Total.2010</t>
  </si>
  <si>
    <t>Total.2011</t>
  </si>
  <si>
    <t>Total.2012</t>
  </si>
  <si>
    <t>Total.2013</t>
  </si>
  <si>
    <t>Total.2014</t>
  </si>
  <si>
    <t>Total.2015</t>
  </si>
  <si>
    <t>Total.2016</t>
  </si>
  <si>
    <t>Total.2017</t>
  </si>
  <si>
    <t>Total.2018</t>
  </si>
  <si>
    <t>Total.2019</t>
  </si>
  <si>
    <t>Total.2020</t>
  </si>
  <si>
    <t>Total.2021</t>
  </si>
  <si>
    <t>Total.2022</t>
  </si>
  <si>
    <t>Total.2023</t>
  </si>
  <si>
    <t>POUPANÇA MENSAL - RURAL</t>
  </si>
  <si>
    <t xml:space="preserve">     Até fev/86, valores em milhões Cruzeiros (CR$)</t>
  </si>
  <si>
    <t>Até jul/93, valores em milhões Cruzeiros (CR$)</t>
  </si>
  <si>
    <t xml:space="preserve">     Até jan/89, valores em milhões Cruzados (CZ$)</t>
  </si>
  <si>
    <t>Até jun/94, valores em milhões Cruzeiros Reais (CR$)</t>
  </si>
  <si>
    <t xml:space="preserve">     Até mar/90, valores em milhões Cruzados Novos (NCZ$)</t>
  </si>
  <si>
    <t xml:space="preserve">A partir de jul/94, valores em milhões de Reais (R$) </t>
  </si>
  <si>
    <t>SISTEMA BRASILEIRO DE POUPANÇA E EMPRÉSTIMO</t>
  </si>
  <si>
    <t>POUPANÇA SBPE, RURAL E TOTAL - EVOLUÇÃO DO SALDO E CAPTAÇÃO LÍQUIDA</t>
  </si>
  <si>
    <t>RURAL</t>
  </si>
  <si>
    <t>SBPE+RURAL</t>
  </si>
  <si>
    <t>Anos</t>
  </si>
  <si>
    <t>Captação Líquida</t>
  </si>
  <si>
    <t>% Var.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</si>
  <si>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</si>
  <si>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</si>
  <si>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</si>
  <si>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</si>
  <si>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</si>
  <si>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</si>
  <si>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</si>
  <si>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</si>
  <si>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</si>
  <si>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</si>
  <si>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</si>
  <si>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</si>
  <si>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</si>
  <si>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</si>
  <si>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</si>
  <si>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</si>
  <si>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</si>
  <si>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</si>
  <si>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</si>
  <si>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</si>
  <si>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</si>
  <si>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</si>
  <si>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</si>
  <si>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</si>
  <si>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</si>
  <si>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</si>
  <si>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</si>
  <si>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</si>
  <si>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</si>
  <si>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</si>
  <si>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     Até fev/86, valores expressos em Cruzeiros (CR$)</t>
  </si>
  <si>
    <t xml:space="preserve">     Até jan/89, valores expressos em Cruzados (CZ$)</t>
  </si>
  <si>
    <t xml:space="preserve">     Até mar/90, valores expressos em Cruzados Novos (NCZ$)</t>
  </si>
  <si>
    <t xml:space="preserve">     Até jul/93, valores expressos em Cruzeiros (CR$)</t>
  </si>
  <si>
    <t xml:space="preserve">     Até jun/94, valores expressos em Cruzeiros Reais (CR$)</t>
  </si>
  <si>
    <t xml:space="preserve">     A partir de jul/94, valores expressos em milhões de Reais (R$) </t>
  </si>
  <si>
    <t>Total.2024</t>
  </si>
  <si>
    <t>Obs: 2024* valores até novembro.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</si>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</sst>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(0.0%\)"/>
    <numFmt numFmtId="168" formatCode="0%;[Red]\(0%\)"/>
    <numFmt numFmtId="169" formatCode="_(* #,##0_);[Red]_(* \(#,##0\);_(* &quot;-&quot;??_);_(@_)"/>
    <numFmt numFmtId="170" formatCode="d/m"/>
    <numFmt numFmtId="171" formatCode="_(* #,##0.00_);[Red]_(* \(#,##0.00\);_(* &quot;-&quot;??_);_(@_)"/>
    <numFmt numFmtId="172" formatCode="#,##0_ ;[Red]\-#,##0\ "/>
    <numFmt numFmtId="173" formatCode="#,##0.00_ ;[Red]\-#,##0.00\ "/>
    <numFmt numFmtId="174" formatCode="[$-416]mmm\-yy;@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5"/>
      <name val="Calibri"/>
      <family val="2"/>
      <scheme val="minor"/>
    </font>
    <font>
      <sz val="12"/>
      <name val="Courier"/>
    </font>
    <font>
      <sz val="8"/>
      <name val="Arial"/>
      <family val="2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9"/>
      <name val="Calibri"/>
      <family val="2"/>
      <scheme val="minor"/>
    </font>
    <font>
      <b/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3743705557422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3" fontId="7" fillId="0" borderId="0" xfId="0" applyNumberFormat="1" applyFont="1"/>
    <xf numFmtId="0" fontId="8" fillId="0" borderId="0" xfId="0" quotePrefix="1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3" xfId="0" quotePrefix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3" fontId="9" fillId="3" borderId="3" xfId="0" applyNumberFormat="1" applyFont="1" applyFill="1" applyBorder="1" applyAlignment="1">
      <alignment horizontal="right"/>
    </xf>
    <xf numFmtId="4" fontId="9" fillId="3" borderId="3" xfId="0" applyNumberFormat="1" applyFont="1" applyFill="1" applyBorder="1" applyAlignment="1">
      <alignment horizontal="right"/>
    </xf>
    <xf numFmtId="3" fontId="9" fillId="3" borderId="0" xfId="0" applyNumberFormat="1" applyFont="1" applyFill="1" applyAlignment="1">
      <alignment horizontal="right"/>
    </xf>
    <xf numFmtId="17" fontId="7" fillId="0" borderId="0" xfId="0" applyNumberFormat="1" applyFont="1"/>
    <xf numFmtId="17" fontId="9" fillId="3" borderId="0" xfId="0" applyNumberFormat="1" applyFont="1" applyFill="1"/>
    <xf numFmtId="3" fontId="7" fillId="0" borderId="0" xfId="0" applyNumberFormat="1" applyFont="1" applyAlignment="1">
      <alignment horizontal="center"/>
    </xf>
    <xf numFmtId="14" fontId="7" fillId="0" borderId="0" xfId="0" quotePrefix="1" applyNumberFormat="1" applyFont="1" applyAlignment="1">
      <alignment horizontal="left"/>
    </xf>
    <xf numFmtId="0" fontId="8" fillId="0" borderId="0" xfId="0" applyFont="1"/>
    <xf numFmtId="0" fontId="6" fillId="2" borderId="5" xfId="0" quotePrefix="1" applyFont="1" applyFill="1" applyBorder="1" applyAlignment="1">
      <alignment horizontal="center"/>
    </xf>
    <xf numFmtId="0" fontId="6" fillId="2" borderId="4" xfId="0" quotePrefix="1" applyFont="1" applyFill="1" applyBorder="1" applyAlignment="1">
      <alignment horizontal="center"/>
    </xf>
    <xf numFmtId="0" fontId="6" fillId="2" borderId="6" xfId="0" quotePrefix="1" applyFont="1" applyFill="1" applyBorder="1" applyAlignment="1">
      <alignment horizontal="center"/>
    </xf>
    <xf numFmtId="0" fontId="6" fillId="2" borderId="0" xfId="0" quotePrefix="1" applyFont="1" applyFill="1" applyAlignment="1">
      <alignment horizontal="center"/>
    </xf>
    <xf numFmtId="0" fontId="8" fillId="0" borderId="6" xfId="0" quotePrefix="1" applyFont="1" applyBorder="1" applyAlignment="1">
      <alignment horizontal="left" indent="1"/>
    </xf>
    <xf numFmtId="3" fontId="8" fillId="0" borderId="5" xfId="0" applyNumberFormat="1" applyFont="1" applyBorder="1"/>
    <xf numFmtId="10" fontId="8" fillId="0" borderId="3" xfId="0" applyNumberFormat="1" applyFont="1" applyBorder="1"/>
    <xf numFmtId="0" fontId="8" fillId="0" borderId="3" xfId="0" applyFont="1" applyBorder="1"/>
    <xf numFmtId="0" fontId="8" fillId="0" borderId="7" xfId="0" applyFont="1" applyBorder="1"/>
    <xf numFmtId="0" fontId="8" fillId="4" borderId="6" xfId="0" quotePrefix="1" applyFont="1" applyFill="1" applyBorder="1" applyAlignment="1">
      <alignment horizontal="left" indent="1"/>
    </xf>
    <xf numFmtId="3" fontId="8" fillId="4" borderId="5" xfId="0" applyNumberFormat="1" applyFont="1" applyFill="1" applyBorder="1"/>
    <xf numFmtId="10" fontId="8" fillId="4" borderId="3" xfId="3" applyNumberFormat="1" applyFont="1" applyFill="1" applyBorder="1"/>
    <xf numFmtId="165" fontId="8" fillId="4" borderId="3" xfId="4" applyNumberFormat="1" applyFont="1" applyFill="1" applyBorder="1"/>
    <xf numFmtId="167" fontId="8" fillId="4" borderId="7" xfId="3" applyNumberFormat="1" applyFont="1" applyFill="1" applyBorder="1"/>
    <xf numFmtId="167" fontId="8" fillId="4" borderId="0" xfId="3" applyNumberFormat="1" applyFont="1" applyFill="1" applyBorder="1"/>
    <xf numFmtId="10" fontId="8" fillId="0" borderId="3" xfId="3" applyNumberFormat="1" applyFont="1" applyBorder="1"/>
    <xf numFmtId="165" fontId="8" fillId="0" borderId="3" xfId="4" applyNumberFormat="1" applyFont="1" applyBorder="1"/>
    <xf numFmtId="167" fontId="8" fillId="0" borderId="7" xfId="3" applyNumberFormat="1" applyFont="1" applyBorder="1"/>
    <xf numFmtId="167" fontId="8" fillId="0" borderId="0" xfId="3" applyNumberFormat="1" applyFont="1" applyBorder="1"/>
    <xf numFmtId="38" fontId="11" fillId="0" borderId="3" xfId="4" applyNumberFormat="1" applyFont="1" applyBorder="1"/>
    <xf numFmtId="38" fontId="11" fillId="4" borderId="3" xfId="4" applyNumberFormat="1" applyFont="1" applyFill="1" applyBorder="1"/>
    <xf numFmtId="38" fontId="12" fillId="0" borderId="3" xfId="4" applyNumberFormat="1" applyFont="1" applyBorder="1"/>
    <xf numFmtId="10" fontId="8" fillId="0" borderId="0" xfId="3" applyNumberFormat="1" applyFont="1" applyBorder="1"/>
    <xf numFmtId="38" fontId="12" fillId="4" borderId="3" xfId="4" applyNumberFormat="1" applyFont="1" applyFill="1" applyBorder="1"/>
    <xf numFmtId="0" fontId="8" fillId="0" borderId="1" xfId="0" quotePrefix="1" applyFont="1" applyBorder="1" applyAlignment="1">
      <alignment horizontal="left"/>
    </xf>
    <xf numFmtId="0" fontId="8" fillId="0" borderId="1" xfId="0" applyFont="1" applyBorder="1"/>
    <xf numFmtId="0" fontId="13" fillId="0" borderId="0" xfId="0" quotePrefix="1" applyFont="1" applyAlignment="1">
      <alignment horizontal="left"/>
    </xf>
    <xf numFmtId="0" fontId="14" fillId="0" borderId="0" xfId="0" applyFont="1"/>
    <xf numFmtId="0" fontId="8" fillId="0" borderId="0" xfId="0" applyFont="1" applyAlignment="1">
      <alignment horizontal="center"/>
    </xf>
    <xf numFmtId="0" fontId="10" fillId="0" borderId="0" xfId="0" quotePrefix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/>
    <xf numFmtId="0" fontId="10" fillId="0" borderId="1" xfId="0" quotePrefix="1" applyFont="1" applyBorder="1" applyAlignment="1">
      <alignment horizontal="left"/>
    </xf>
    <xf numFmtId="0" fontId="15" fillId="0" borderId="0" xfId="0" applyFont="1"/>
    <xf numFmtId="3" fontId="15" fillId="0" borderId="1" xfId="0" applyNumberFormat="1" applyFont="1" applyBorder="1" applyAlignment="1">
      <alignment horizontal="right"/>
    </xf>
    <xf numFmtId="3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2" xfId="0" applyFont="1" applyBorder="1"/>
    <xf numFmtId="0" fontId="16" fillId="0" borderId="2" xfId="0" applyFont="1" applyBorder="1" applyAlignment="1">
      <alignment horizontal="left"/>
    </xf>
    <xf numFmtId="0" fontId="15" fillId="0" borderId="1" xfId="0" quotePrefix="1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15" fillId="0" borderId="2" xfId="0" quotePrefix="1" applyFont="1" applyBorder="1" applyAlignment="1">
      <alignment horizontal="left"/>
    </xf>
    <xf numFmtId="0" fontId="15" fillId="0" borderId="0" xfId="0" quotePrefix="1" applyFont="1" applyAlignment="1" applyProtection="1">
      <alignment horizontal="left"/>
      <protection hidden="1"/>
    </xf>
    <xf numFmtId="0" fontId="7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0" borderId="0" xfId="0" quotePrefix="1" applyFont="1" applyAlignment="1" applyProtection="1">
      <alignment horizontal="left"/>
      <protection locked="0"/>
    </xf>
    <xf numFmtId="0" fontId="7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8" fillId="3" borderId="4" xfId="0" applyFont="1" applyFill="1" applyBorder="1" applyAlignment="1" applyProtection="1">
      <alignment horizontal="center"/>
      <protection locked="0"/>
    </xf>
    <xf numFmtId="166" fontId="8" fillId="4" borderId="3" xfId="3" applyNumberFormat="1" applyFont="1" applyFill="1" applyBorder="1"/>
    <xf numFmtId="166" fontId="8" fillId="0" borderId="3" xfId="3" applyNumberFormat="1" applyFont="1" applyBorder="1"/>
    <xf numFmtId="168" fontId="8" fillId="4" borderId="7" xfId="3" applyNumberFormat="1" applyFont="1" applyFill="1" applyBorder="1"/>
    <xf numFmtId="168" fontId="8" fillId="0" borderId="7" xfId="3" applyNumberFormat="1" applyFont="1" applyBorder="1"/>
    <xf numFmtId="3" fontId="7" fillId="0" borderId="0" xfId="0" applyNumberFormat="1" applyFont="1" applyAlignment="1">
      <alignment horizontal="left"/>
    </xf>
    <xf numFmtId="165" fontId="7" fillId="0" borderId="0" xfId="4" applyNumberFormat="1" applyFont="1"/>
    <xf numFmtId="9" fontId="7" fillId="0" borderId="0" xfId="3" applyFont="1"/>
    <xf numFmtId="165" fontId="7" fillId="0" borderId="0" xfId="0" applyNumberFormat="1" applyFont="1"/>
    <xf numFmtId="0" fontId="17" fillId="0" borderId="0" xfId="0" applyFont="1"/>
    <xf numFmtId="3" fontId="7" fillId="5" borderId="0" xfId="0" applyNumberFormat="1" applyFont="1" applyFill="1"/>
    <xf numFmtId="0" fontId="7" fillId="5" borderId="0" xfId="0" applyFont="1" applyFill="1"/>
    <xf numFmtId="10" fontId="7" fillId="0" borderId="0" xfId="3" applyNumberFormat="1" applyFont="1"/>
    <xf numFmtId="17" fontId="9" fillId="0" borderId="0" xfId="0" applyNumberFormat="1" applyFont="1" applyAlignment="1">
      <alignment horizontal="left"/>
    </xf>
    <xf numFmtId="172" fontId="9" fillId="3" borderId="0" xfId="0" applyNumberFormat="1" applyFont="1" applyFill="1"/>
    <xf numFmtId="172" fontId="9" fillId="3" borderId="3" xfId="0" applyNumberFormat="1" applyFont="1" applyFill="1" applyBorder="1" applyAlignment="1">
      <alignment horizontal="right"/>
    </xf>
    <xf numFmtId="172" fontId="9" fillId="3" borderId="0" xfId="0" applyNumberFormat="1" applyFont="1" applyFill="1" applyAlignment="1">
      <alignment horizontal="right"/>
    </xf>
    <xf numFmtId="172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left"/>
    </xf>
    <xf numFmtId="173" fontId="7" fillId="0" borderId="0" xfId="0" applyNumberFormat="1" applyFont="1"/>
    <xf numFmtId="173" fontId="6" fillId="2" borderId="4" xfId="0" applyNumberFormat="1" applyFont="1" applyFill="1" applyBorder="1" applyAlignment="1">
      <alignment horizontal="center"/>
    </xf>
    <xf numFmtId="173" fontId="9" fillId="3" borderId="3" xfId="0" applyNumberFormat="1" applyFont="1" applyFill="1" applyBorder="1" applyAlignment="1">
      <alignment horizontal="right"/>
    </xf>
    <xf numFmtId="173" fontId="7" fillId="0" borderId="0" xfId="0" applyNumberFormat="1" applyFont="1" applyAlignment="1">
      <alignment horizontal="right"/>
    </xf>
    <xf numFmtId="174" fontId="7" fillId="0" borderId="0" xfId="0" applyNumberFormat="1" applyFont="1"/>
    <xf numFmtId="9" fontId="0" fillId="0" borderId="0" xfId="3" applyFont="1"/>
    <xf numFmtId="0" fontId="8" fillId="0" borderId="0" xfId="0" quotePrefix="1" applyFont="1" applyAlignment="1">
      <alignment horizontal="left" indent="1"/>
    </xf>
    <xf numFmtId="3" fontId="8" fillId="0" borderId="0" xfId="0" applyNumberFormat="1" applyFont="1"/>
    <xf numFmtId="166" fontId="8" fillId="0" borderId="0" xfId="3" applyNumberFormat="1" applyFont="1" applyFill="1" applyBorder="1"/>
    <xf numFmtId="38" fontId="12" fillId="0" borderId="0" xfId="4" applyNumberFormat="1" applyFont="1" applyFill="1" applyBorder="1"/>
    <xf numFmtId="167" fontId="8" fillId="0" borderId="0" xfId="3" applyNumberFormat="1" applyFont="1" applyFill="1" applyBorder="1"/>
    <xf numFmtId="168" fontId="8" fillId="0" borderId="0" xfId="3" applyNumberFormat="1" applyFont="1" applyFill="1" applyBorder="1"/>
    <xf numFmtId="10" fontId="8" fillId="0" borderId="0" xfId="3" applyNumberFormat="1" applyFont="1" applyFill="1" applyBorder="1"/>
    <xf numFmtId="10" fontId="0" fillId="0" borderId="0" xfId="3" applyNumberFormat="1" applyFont="1"/>
    <xf numFmtId="0" fontId="20" fillId="0" borderId="0" xfId="0" applyFont="1" applyProtection="1">
      <protection locked="0"/>
    </xf>
    <xf numFmtId="0" fontId="9" fillId="0" borderId="0" xfId="1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hidden="1"/>
    </xf>
    <xf numFmtId="0" fontId="8" fillId="0" borderId="0" xfId="0" applyFont="1" applyAlignment="1" applyProtection="1">
      <alignment vertical="center" wrapText="1"/>
      <protection locked="0"/>
    </xf>
    <xf numFmtId="0" fontId="20" fillId="0" borderId="0" xfId="0" applyFont="1" applyProtection="1">
      <protection hidden="1"/>
    </xf>
    <xf numFmtId="169" fontId="21" fillId="0" borderId="0" xfId="0" applyNumberFormat="1" applyFont="1" applyProtection="1">
      <protection hidden="1"/>
    </xf>
    <xf numFmtId="169" fontId="21" fillId="0" borderId="8" xfId="0" applyNumberFormat="1" applyFont="1" applyBorder="1" applyProtection="1">
      <protection hidden="1"/>
    </xf>
    <xf numFmtId="171" fontId="21" fillId="0" borderId="10" xfId="0" applyNumberFormat="1" applyFont="1" applyBorder="1" applyProtection="1">
      <protection hidden="1"/>
    </xf>
    <xf numFmtId="3" fontId="7" fillId="0" borderId="0" xfId="0" applyNumberFormat="1" applyFont="1" applyProtection="1">
      <protection hidden="1"/>
    </xf>
    <xf numFmtId="169" fontId="7" fillId="0" borderId="0" xfId="0" applyNumberFormat="1" applyFont="1" applyProtection="1">
      <protection hidden="1"/>
    </xf>
    <xf numFmtId="165" fontId="20" fillId="0" borderId="0" xfId="4" applyNumberFormat="1" applyFont="1" applyProtection="1">
      <protection hidden="1"/>
    </xf>
    <xf numFmtId="0" fontId="9" fillId="3" borderId="9" xfId="0" applyFont="1" applyFill="1" applyBorder="1" applyProtection="1">
      <protection hidden="1"/>
    </xf>
    <xf numFmtId="169" fontId="10" fillId="3" borderId="0" xfId="0" applyNumberFormat="1" applyFont="1" applyFill="1" applyProtection="1">
      <protection hidden="1"/>
    </xf>
    <xf numFmtId="169" fontId="10" fillId="3" borderId="9" xfId="0" applyNumberFormat="1" applyFont="1" applyFill="1" applyBorder="1" applyProtection="1">
      <protection hidden="1"/>
    </xf>
    <xf numFmtId="171" fontId="10" fillId="3" borderId="0" xfId="0" applyNumberFormat="1" applyFont="1" applyFill="1" applyProtection="1">
      <protection hidden="1"/>
    </xf>
    <xf numFmtId="165" fontId="7" fillId="0" borderId="0" xfId="4" applyNumberFormat="1" applyFont="1" applyProtection="1">
      <protection hidden="1"/>
    </xf>
    <xf numFmtId="0" fontId="10" fillId="0" borderId="0" xfId="0" applyFont="1" applyProtection="1">
      <protection hidden="1"/>
    </xf>
    <xf numFmtId="0" fontId="16" fillId="0" borderId="0" xfId="0" applyFont="1" applyProtection="1">
      <protection locked="0"/>
    </xf>
    <xf numFmtId="165" fontId="7" fillId="0" borderId="0" xfId="4" applyNumberFormat="1" applyFont="1" applyFill="1" applyProtection="1">
      <protection hidden="1"/>
    </xf>
    <xf numFmtId="0" fontId="16" fillId="0" borderId="0" xfId="0" quotePrefix="1" applyFont="1" applyAlignment="1" applyProtection="1">
      <alignment horizontal="left"/>
      <protection locked="0"/>
    </xf>
    <xf numFmtId="3" fontId="14" fillId="0" borderId="0" xfId="0" applyNumberFormat="1" applyFont="1" applyAlignment="1" applyProtection="1">
      <alignment horizontal="center"/>
      <protection locked="0"/>
    </xf>
    <xf numFmtId="3" fontId="7" fillId="0" borderId="0" xfId="0" applyNumberFormat="1" applyFont="1" applyAlignment="1" applyProtection="1">
      <alignment horizontal="center"/>
      <protection locked="0"/>
    </xf>
    <xf numFmtId="3" fontId="7" fillId="0" borderId="0" xfId="0" applyNumberFormat="1" applyFont="1" applyProtection="1">
      <protection locked="0"/>
    </xf>
    <xf numFmtId="2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70" fontId="7" fillId="0" borderId="0" xfId="2" applyNumberFormat="1" applyFont="1" applyAlignment="1" applyProtection="1">
      <alignment horizontal="center"/>
      <protection locked="0"/>
    </xf>
    <xf numFmtId="14" fontId="7" fillId="0" borderId="0" xfId="2" applyNumberFormat="1" applyFont="1" applyProtection="1">
      <protection locked="0"/>
    </xf>
    <xf numFmtId="0" fontId="7" fillId="0" borderId="0" xfId="2" applyFont="1" applyProtection="1">
      <protection locked="0"/>
    </xf>
    <xf numFmtId="170" fontId="7" fillId="0" borderId="0" xfId="2" applyNumberFormat="1" applyFont="1" applyAlignment="1" applyProtection="1">
      <alignment horizontal="left"/>
      <protection locked="0"/>
    </xf>
    <xf numFmtId="14" fontId="7" fillId="0" borderId="0" xfId="2" applyNumberFormat="1" applyFont="1" applyAlignment="1" applyProtection="1">
      <alignment horizontal="left"/>
      <protection locked="0"/>
    </xf>
    <xf numFmtId="0" fontId="22" fillId="0" borderId="0" xfId="1" applyFont="1" applyAlignment="1">
      <alignment horizontal="left"/>
    </xf>
    <xf numFmtId="0" fontId="22" fillId="0" borderId="0" xfId="1" applyFont="1" applyAlignment="1" applyProtection="1">
      <alignment horizontal="left"/>
      <protection hidden="1"/>
    </xf>
    <xf numFmtId="0" fontId="22" fillId="0" borderId="0" xfId="1" applyFont="1" applyProtection="1">
      <protection hidden="1"/>
    </xf>
    <xf numFmtId="0" fontId="15" fillId="0" borderId="0" xfId="0" applyFont="1" applyProtection="1">
      <protection locked="0"/>
    </xf>
    <xf numFmtId="170" fontId="15" fillId="0" borderId="0" xfId="2" applyNumberFormat="1" applyFont="1" applyAlignment="1" applyProtection="1">
      <alignment horizontal="center"/>
      <protection locked="0"/>
    </xf>
    <xf numFmtId="14" fontId="15" fillId="0" borderId="0" xfId="2" applyNumberFormat="1" applyFont="1" applyAlignment="1" applyProtection="1">
      <alignment horizontal="center"/>
      <protection locked="0"/>
    </xf>
    <xf numFmtId="0" fontId="15" fillId="0" borderId="0" xfId="2" applyFont="1" applyProtection="1">
      <protection locked="0"/>
    </xf>
    <xf numFmtId="14" fontId="7" fillId="0" borderId="0" xfId="0" applyNumberFormat="1" applyFont="1" applyProtection="1">
      <protection locked="0"/>
    </xf>
    <xf numFmtId="170" fontId="15" fillId="0" borderId="0" xfId="2" applyNumberFormat="1" applyFont="1" applyAlignment="1" applyProtection="1">
      <alignment horizontal="left"/>
      <protection locked="0"/>
    </xf>
    <xf numFmtId="14" fontId="15" fillId="0" borderId="0" xfId="2" applyNumberFormat="1" applyFont="1" applyAlignment="1" applyProtection="1">
      <alignment horizontal="left"/>
      <protection locked="0"/>
    </xf>
    <xf numFmtId="0" fontId="9" fillId="0" borderId="23" xfId="0" applyFont="1" applyBorder="1" applyProtection="1">
      <protection hidden="1"/>
    </xf>
    <xf numFmtId="0" fontId="10" fillId="0" borderId="0" xfId="0" quotePrefix="1" applyFont="1" applyAlignment="1" applyProtection="1">
      <alignment horizontal="left"/>
      <protection locked="0"/>
    </xf>
    <xf numFmtId="3" fontId="23" fillId="3" borderId="3" xfId="0" applyNumberFormat="1" applyFont="1" applyFill="1" applyBorder="1" applyAlignment="1">
      <alignment horizontal="right"/>
    </xf>
    <xf numFmtId="4" fontId="23" fillId="3" borderId="3" xfId="0" applyNumberFormat="1" applyFont="1" applyFill="1" applyBorder="1" applyAlignment="1">
      <alignment horizontal="right"/>
    </xf>
    <xf numFmtId="3" fontId="20" fillId="0" borderId="0" xfId="0" applyNumberFormat="1" applyFont="1" applyAlignment="1">
      <alignment horizontal="right"/>
    </xf>
    <xf numFmtId="166" fontId="24" fillId="4" borderId="3" xfId="3" applyNumberFormat="1" applyFont="1" applyFill="1" applyBorder="1"/>
    <xf numFmtId="166" fontId="24" fillId="0" borderId="0" xfId="3" applyNumberFormat="1" applyFont="1" applyFill="1" applyBorder="1"/>
    <xf numFmtId="0" fontId="25" fillId="0" borderId="1" xfId="0" quotePrefix="1" applyFont="1" applyBorder="1" applyAlignment="1">
      <alignment horizontal="left"/>
    </xf>
    <xf numFmtId="0" fontId="26" fillId="0" borderId="1" xfId="0" quotePrefix="1" applyFont="1" applyBorder="1" applyAlignment="1">
      <alignment horizontal="left"/>
    </xf>
    <xf numFmtId="0" fontId="9" fillId="3" borderId="0" xfId="0" applyFont="1" applyFill="1" applyAlignment="1" applyProtection="1">
      <alignment horizontal="center"/>
      <protection hidden="1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8" fillId="3" borderId="11" xfId="0" applyFont="1" applyFill="1" applyBorder="1" applyAlignment="1" applyProtection="1">
      <alignment horizontal="center" vertic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2" xfId="0" quotePrefix="1" applyFont="1" applyFill="1" applyBorder="1" applyAlignment="1">
      <alignment horizontal="center"/>
    </xf>
    <xf numFmtId="0" fontId="6" fillId="2" borderId="16" xfId="0" quotePrefix="1" applyFont="1" applyFill="1" applyBorder="1" applyAlignment="1">
      <alignment horizontal="center"/>
    </xf>
    <xf numFmtId="0" fontId="6" fillId="2" borderId="17" xfId="0" quotePrefix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3" xfId="5" xr:uid="{00000000-0005-0000-0000-000031000000}"/>
    <cellStyle name="Normal_cub_geral" xfId="2" xr:uid="{00000000-0005-0000-0000-000002000000}"/>
    <cellStyle name="Porcentagem" xfId="3" builtinId="5"/>
    <cellStyle name="Vírgula" xfId="4" builtinId="3"/>
    <cellStyle name="Vírgula 2" xfId="6" xr:uid="{00000000-0005-0000-0000-00003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6321366839409072E-2"/>
          <c:y val="0.29450579723521936"/>
          <c:w val="0.94572870727923064"/>
          <c:h val="0.49175553832972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SBPE!$P$5</c:f>
              <c:strCache>
                <c:ptCount val="1"/>
                <c:pt idx="0">
                  <c:v>SBPE - Saldo de Poupança em 2024 (R$ Milhões)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403-4438-A056-2A2C4FA709C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403-4438-A056-2A2C4FA709CF}"/>
              </c:ext>
            </c:extLst>
          </c:dPt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SBPE!$B$11:$B$22</c:f>
              <c:strCache>
                <c:ptCount val="12"/>
                <c:pt idx="0">
                  <c:v>Jan-24</c:v>
                </c:pt>
                <c:pt idx="1">
                  <c:v>Fev-24</c:v>
                </c:pt>
                <c:pt idx="2">
                  <c:v>Mar-24</c:v>
                </c:pt>
                <c:pt idx="3">
                  <c:v>Abr-24</c:v>
                </c:pt>
                <c:pt idx="4">
                  <c:v>Mai-24</c:v>
                </c:pt>
                <c:pt idx="5">
                  <c:v>Jun-24</c:v>
                </c:pt>
                <c:pt idx="6">
                  <c:v>Jul-24</c:v>
                </c:pt>
                <c:pt idx="7">
                  <c:v>Ago-24</c:v>
                </c:pt>
                <c:pt idx="8">
                  <c:v>Set-24</c:v>
                </c:pt>
                <c:pt idx="9">
                  <c:v>Out-24</c:v>
                </c:pt>
                <c:pt idx="10">
                  <c:v>Nov-24</c:v>
                </c:pt>
                <c:pt idx="11">
                  <c:v>Dez-24</c:v>
                </c:pt>
              </c:strCache>
            </c:strRef>
          </c:cat>
          <c:val>
            <c:numRef>
              <c:f>SBPE!$H$11:$H$22</c:f>
              <c:numCache>
                <c:formatCode>_(* #,##0_);[Red]_(* \(#,##0\);_(* "-"??_);_(@_)</c:formatCode>
                <c:ptCount val="12"/>
                <c:pt idx="0">
                  <c:v>734718.48800000001</c:v>
                </c:pt>
                <c:pt idx="1">
                  <c:v>735403.25399999996</c:v>
                </c:pt>
                <c:pt idx="2">
                  <c:v>739421.53799999994</c:v>
                </c:pt>
                <c:pt idx="3">
                  <c:v>740295.40099999995</c:v>
                </c:pt>
                <c:pt idx="4">
                  <c:v>749570.31200000003</c:v>
                </c:pt>
                <c:pt idx="5">
                  <c:v>762525.31700000004</c:v>
                </c:pt>
                <c:pt idx="6">
                  <c:v>763692.32400000002</c:v>
                </c:pt>
                <c:pt idx="7">
                  <c:v>766474.40300000005</c:v>
                </c:pt>
                <c:pt idx="8">
                  <c:v>764426.60600000003</c:v>
                </c:pt>
                <c:pt idx="9">
                  <c:v>763899.17</c:v>
                </c:pt>
                <c:pt idx="10">
                  <c:v>766731.41500000004</c:v>
                </c:pt>
                <c:pt idx="11">
                  <c:v>773481.21699999995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3-4438-A056-2A2C4FA7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96910480"/>
        <c:axId val="196911040"/>
      </c:barChart>
      <c:catAx>
        <c:axId val="1969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96911040"/>
        <c:crosses val="autoZero"/>
        <c:auto val="1"/>
        <c:lblAlgn val="ctr"/>
        <c:lblOffset val="600"/>
        <c:noMultiLvlLbl val="0"/>
      </c:catAx>
      <c:valAx>
        <c:axId val="196911040"/>
        <c:scaling>
          <c:orientation val="minMax"/>
          <c:min val="0"/>
        </c:scaling>
        <c:delete val="1"/>
        <c:axPos val="l"/>
        <c:numFmt formatCode="_(* #,##0_);[Red]_(* \(#,##0\);_(* &quot;-&quot;??_);_(@_)" sourceLinked="1"/>
        <c:majorTickMark val="out"/>
        <c:minorTickMark val="none"/>
        <c:tickLblPos val="nextTo"/>
        <c:crossAx val="196910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22963280580027E-2"/>
          <c:y val="0.28077646741407097"/>
          <c:w val="0.94405336399781714"/>
          <c:h val="0.46815770772335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SBPE!$P$6</c:f>
              <c:strCache>
                <c:ptCount val="1"/>
                <c:pt idx="0">
                  <c:v>SBPE - Captação Líquida Acumulada em 2024 (R$ Milhões)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574-44CD-ADB9-54AE8A5B3244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574-44CD-ADB9-54AE8A5B3244}"/>
              </c:ext>
            </c:extLst>
          </c:dPt>
          <c:dLbls>
            <c:numFmt formatCode="_(* #,##0_);[Red]_(* \(#,##0\);_(* &quot;-&quot;??_);_(@_)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SBPE!$B$11:$B$22</c:f>
              <c:strCache>
                <c:ptCount val="12"/>
                <c:pt idx="0">
                  <c:v>Jan-24</c:v>
                </c:pt>
                <c:pt idx="1">
                  <c:v>Fev-24</c:v>
                </c:pt>
                <c:pt idx="2">
                  <c:v>Mar-24</c:v>
                </c:pt>
                <c:pt idx="3">
                  <c:v>Abr-24</c:v>
                </c:pt>
                <c:pt idx="4">
                  <c:v>Mai-24</c:v>
                </c:pt>
                <c:pt idx="5">
                  <c:v>Jun-24</c:v>
                </c:pt>
                <c:pt idx="6">
                  <c:v>Jul-24</c:v>
                </c:pt>
                <c:pt idx="7">
                  <c:v>Ago-24</c:v>
                </c:pt>
                <c:pt idx="8">
                  <c:v>Set-24</c:v>
                </c:pt>
                <c:pt idx="9">
                  <c:v>Out-24</c:v>
                </c:pt>
                <c:pt idx="10">
                  <c:v>Nov-24</c:v>
                </c:pt>
                <c:pt idx="11">
                  <c:v>Dez-24</c:v>
                </c:pt>
              </c:strCache>
            </c:strRef>
          </c:cat>
          <c:val>
            <c:numRef>
              <c:f>SBPE!$M$29:$M$40</c:f>
              <c:numCache>
                <c:formatCode>#,##0</c:formatCode>
                <c:ptCount val="12"/>
                <c:pt idx="0">
                  <c:v>-16272.608999999997</c:v>
                </c:pt>
                <c:pt idx="1">
                  <c:v>-19624.762000000046</c:v>
                </c:pt>
                <c:pt idx="2">
                  <c:v>-19283.68200000003</c:v>
                </c:pt>
                <c:pt idx="3">
                  <c:v>-22312.384000000078</c:v>
                </c:pt>
                <c:pt idx="4">
                  <c:v>-16970.721000000078</c:v>
                </c:pt>
                <c:pt idx="5">
                  <c:v>-8088.5160000000615</c:v>
                </c:pt>
                <c:pt idx="6">
                  <c:v>-10947.36400000006</c:v>
                </c:pt>
                <c:pt idx="7">
                  <c:v>-12235.81600000005</c:v>
                </c:pt>
                <c:pt idx="8">
                  <c:v>-18372.910000000033</c:v>
                </c:pt>
                <c:pt idx="9">
                  <c:v>-23020.326000000059</c:v>
                </c:pt>
                <c:pt idx="10">
                  <c:v>-24390.207000000111</c:v>
                </c:pt>
                <c:pt idx="11">
                  <c:v>-21717.608000000066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4-44CD-ADB9-54AE8A5B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97899504"/>
        <c:axId val="197900064"/>
      </c:barChart>
      <c:catAx>
        <c:axId val="1978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97900064"/>
        <c:crosses val="autoZero"/>
        <c:auto val="1"/>
        <c:lblAlgn val="ctr"/>
        <c:lblOffset val="1000"/>
        <c:noMultiLvlLbl val="0"/>
      </c:catAx>
      <c:valAx>
        <c:axId val="197900064"/>
        <c:scaling>
          <c:orientation val="minMax"/>
          <c:min val="-95000"/>
        </c:scaling>
        <c:delete val="1"/>
        <c:axPos val="l"/>
        <c:numFmt formatCode="#,##0" sourceLinked="1"/>
        <c:majorTickMark val="out"/>
        <c:minorTickMark val="none"/>
        <c:tickLblPos val="nextTo"/>
        <c:crossAx val="197899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05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Calibri"/>
              </a:rPr>
              <a:t>SALDO DE POUPANÇA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Calibri"/>
              </a:rPr>
              <a:t>(R$ MILHÕES)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Total_Anual!$B$6</c:f>
              <c:strCache>
                <c:ptCount val="1"/>
                <c:pt idx="0">
                  <c:v>SBPE</c:v>
                </c:pt>
              </c:strCache>
            </c:strRef>
          </c:tx>
          <c:marker>
            <c:symbol val="none"/>
          </c:marker>
          <c:cat>
            <c:strRef>
              <c:f>Total_Anual!$A$14:$A$39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Total_Anual!$B$14:$B$39</c:f>
              <c:numCache>
                <c:formatCode>#,##0</c:formatCode>
                <c:ptCount val="4"/>
                <c:pt idx="0">
                  <c:v>790109.01300000004</c:v>
                </c:pt>
                <c:pt idx="1">
                  <c:v>763815.06599999999</c:v>
                </c:pt>
                <c:pt idx="2">
                  <c:v>747081.24699999997</c:v>
                </c:pt>
                <c:pt idx="3">
                  <c:v>773481.21699999995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7B-4D10-87E6-8AC16DA28FD5}"/>
            </c:ext>
          </c:extLst>
        </c:ser>
        <c:ser>
          <c:idx val="1"/>
          <c:order val="1"/>
          <c:tx>
            <c:strRef>
              <c:f>Total_Anual!$F$6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strRef>
              <c:f>Total_Anual!$A$14:$A$39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Total_Anual!$F$14:$F$39</c:f>
              <c:numCache>
                <c:formatCode>#,##0</c:formatCode>
                <c:ptCount val="4"/>
                <c:pt idx="0">
                  <c:v>240493.997</c:v>
                </c:pt>
                <c:pt idx="1">
                  <c:v>235128.245</c:v>
                </c:pt>
                <c:pt idx="2">
                  <c:v>235952.658</c:v>
                </c:pt>
                <c:pt idx="3">
                  <c:v>258372.13399999999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7B-4D10-87E6-8AC16DA28FD5}"/>
            </c:ext>
          </c:extLst>
        </c:ser>
        <c:ser>
          <c:idx val="2"/>
          <c:order val="2"/>
          <c:tx>
            <c:strRef>
              <c:f>Total_Anual!$J$6</c:f>
              <c:strCache>
                <c:ptCount val="1"/>
                <c:pt idx="0">
                  <c:v>SBPE+RURAL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Total_Anual!$A$14:$A$39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Total_Anual!$J$14:$J$39</c:f>
              <c:numCache>
                <c:formatCode>#,##0</c:formatCode>
                <c:ptCount val="4"/>
                <c:pt idx="0">
                  <c:v>1030603.01</c:v>
                </c:pt>
                <c:pt idx="1">
                  <c:v>998943.31099999999</c:v>
                </c:pt>
                <c:pt idx="2">
                  <c:v>983033.90500000003</c:v>
                </c:pt>
                <c:pt idx="3">
                  <c:v>1031853.3509999999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97B-4D10-87E6-8AC16DA2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6976"/>
        <c:axId val="108777536"/>
      </c:lineChart>
      <c:catAx>
        <c:axId val="10877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8777536"/>
        <c:crosses val="autoZero"/>
        <c:auto val="1"/>
        <c:lblAlgn val="ctr"/>
        <c:lblOffset val="100"/>
        <c:noMultiLvlLbl val="0"/>
      </c:catAx>
      <c:valAx>
        <c:axId val="108777536"/>
        <c:scaling>
          <c:orientation val="minMax"/>
          <c:min val="0"/>
        </c:scaling>
        <c:delete val="0"/>
        <c:axPos val="l"/>
        <c:majorGridlines>
          <c:spPr>
            <a:ln>
              <a:prstDash val="dashDot"/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877697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000" b="1" i="0" u="none" strike="noStrike" baseline="0">
                <a:solidFill>
                  <a:schemeClr val="accent1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000" b="1" i="0" u="none" strike="noStrike" baseline="0">
                <a:solidFill>
                  <a:schemeClr val="accent2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sz="1000" b="1" i="0" u="none" strike="noStrike" baseline="0">
                <a:solidFill>
                  <a:schemeClr val="accent3">
                    <a:lumMod val="7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ayout>
        <c:manualLayout>
          <c:xMode val="edge"/>
          <c:yMode val="edge"/>
          <c:x val="0.19682890626104413"/>
          <c:y val="0.91808723651811575"/>
          <c:w val="0.71638558645160388"/>
          <c:h val="6.2483426685066457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1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sz="1260" b="1" i="0" u="none" strike="noStrike" baseline="0">
                <a:solidFill>
                  <a:srgbClr val="000000"/>
                </a:solidFill>
                <a:latin typeface="Calibri"/>
              </a:rPr>
              <a:t>CAPTAÇÃO LÍQUIDA</a:t>
            </a:r>
          </a:p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sz="1260" b="1" i="0" u="none" strike="noStrike" baseline="0">
                <a:solidFill>
                  <a:srgbClr val="000000"/>
                </a:solidFill>
                <a:latin typeface="Calibri"/>
              </a:rPr>
              <a:t>(R$ MILHÕES)</a:t>
            </a:r>
          </a:p>
        </c:rich>
      </c:tx>
      <c:layout>
        <c:manualLayout>
          <c:xMode val="edge"/>
          <c:yMode val="edge"/>
          <c:x val="0.37942682579042258"/>
          <c:y val="1.29528911978786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7147912243454"/>
          <c:y val="0.13477000573580403"/>
          <c:w val="0.84256829440905878"/>
          <c:h val="0.69628378926860945"/>
        </c:manualLayout>
      </c:layout>
      <c:lineChart>
        <c:grouping val="standard"/>
        <c:varyColors val="0"/>
        <c:ser>
          <c:idx val="0"/>
          <c:order val="0"/>
          <c:tx>
            <c:strRef>
              <c:f>Total_Anual!$B$6</c:f>
              <c:strCache>
                <c:ptCount val="1"/>
                <c:pt idx="0">
                  <c:v>SBPE</c:v>
                </c:pt>
              </c:strCache>
            </c:strRef>
          </c:tx>
          <c:marker>
            <c:symbol val="none"/>
          </c:marker>
          <c:cat>
            <c:strRef>
              <c:f>Total_Anual!$A$14:$A$39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Total_Anual!$D$14:$D$39</c:f>
              <c:numCache>
                <c:formatCode>#,##0_);[Red]\(#,##0\)</c:formatCode>
                <c:ptCount val="4"/>
                <c:pt idx="0">
                  <c:v>-34755.496999999887</c:v>
                </c:pt>
                <c:pt idx="1">
                  <c:v>-80944.485000000015</c:v>
                </c:pt>
                <c:pt idx="2">
                  <c:v>-72393.907000000007</c:v>
                </c:pt>
                <c:pt idx="3">
                  <c:v>-21717.608000000066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0E-4F44-B90D-688DCB37BA3C}"/>
            </c:ext>
          </c:extLst>
        </c:ser>
        <c:ser>
          <c:idx val="1"/>
          <c:order val="1"/>
          <c:tx>
            <c:strRef>
              <c:f>Total_Anual!$F$6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strRef>
              <c:f>Total_Anual!$A$14:$A$39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Total_Anual!$H$14:$H$39</c:f>
              <c:numCache>
                <c:formatCode>#,##0_);[Red]\(#,##0\)</c:formatCode>
                <c:ptCount val="4"/>
                <c:pt idx="0">
                  <c:v>-741.41299999999319</c:v>
                </c:pt>
                <c:pt idx="1">
                  <c:v>-22292.690999999992</c:v>
                </c:pt>
                <c:pt idx="2">
                  <c:v>-15425.218000000001</c:v>
                </c:pt>
                <c:pt idx="3">
                  <c:v>6250.8390000000072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0E-4F44-B90D-688DCB37BA3C}"/>
            </c:ext>
          </c:extLst>
        </c:ser>
        <c:ser>
          <c:idx val="2"/>
          <c:order val="2"/>
          <c:tx>
            <c:strRef>
              <c:f>Total_Anual!$J$6</c:f>
              <c:strCache>
                <c:ptCount val="1"/>
                <c:pt idx="0">
                  <c:v>SBPE+RURAL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Total_Anual!$A$14:$A$39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Total_Anual!$L$14:$L$39</c:f>
              <c:numCache>
                <c:formatCode>#,##0_);[Red]\(#,##0\)</c:formatCode>
                <c:ptCount val="4"/>
                <c:pt idx="0">
                  <c:v>-35496.90999999988</c:v>
                </c:pt>
                <c:pt idx="1">
                  <c:v>-103237.17600000001</c:v>
                </c:pt>
                <c:pt idx="2">
                  <c:v>-87819.125</c:v>
                </c:pt>
                <c:pt idx="3">
                  <c:v>-15466.769000000058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D0E-4F44-B90D-688DCB37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77248"/>
        <c:axId val="198577808"/>
      </c:lineChart>
      <c:catAx>
        <c:axId val="1985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98577808"/>
        <c:crosses val="autoZero"/>
        <c:auto val="1"/>
        <c:lblAlgn val="ctr"/>
        <c:lblOffset val="100"/>
        <c:noMultiLvlLbl val="0"/>
      </c:catAx>
      <c:valAx>
        <c:axId val="198577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Dot"/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9857724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000" b="1" i="0" u="none" strike="noStrike" baseline="0">
                <a:solidFill>
                  <a:schemeClr val="accent1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000" b="1" i="0" u="none" strike="noStrike" baseline="0">
                <a:solidFill>
                  <a:schemeClr val="accent2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sz="1000" b="1" i="0" u="none" strike="noStrike" baseline="0">
                <a:solidFill>
                  <a:schemeClr val="accent3">
                    <a:lumMod val="7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ayout>
        <c:manualLayout>
          <c:xMode val="edge"/>
          <c:yMode val="edge"/>
          <c:x val="0.18684725182832812"/>
          <c:y val="0.91808723651811575"/>
          <c:w val="0.74052425767221086"/>
          <c:h val="6.2483426685066457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5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trlProps/ctrlProp1.xml><?xml version="1.0" encoding="utf-8"?>
<formControlPr xmlns="http://schemas.microsoft.com/office/spreadsheetml/2009/9/main" objectType="List" dx="22" fmlaLink="$P$3" fmlaRange="$E$51:$E$80" noThreeD="1" sel="30" val="2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24</xdr:row>
      <xdr:rowOff>152400</xdr:rowOff>
    </xdr:from>
    <xdr:to>
      <xdr:col>7</xdr:col>
      <xdr:colOff>651373</xdr:colOff>
      <xdr:row>47</xdr:row>
      <xdr:rowOff>19050</xdr:rowOff>
    </xdr:to>
    <xdr:graphicFrame macro="">
      <xdr:nvGraphicFramePr>
        <xdr:cNvPr id="3574694" name="Gráfico 1">
          <a:extLst>
            <a:ext uri="{FF2B5EF4-FFF2-40B4-BE49-F238E27FC236}">
              <a16:creationId xmlns:a16="http://schemas.microsoft.com/office/drawing/2014/main" id="{00000000-0008-0000-0000-0000A68B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660898</xdr:colOff>
      <xdr:row>24</xdr:row>
      <xdr:rowOff>152400</xdr:rowOff>
    </xdr:from>
    <xdr:to>
      <xdr:col>15</xdr:col>
      <xdr:colOff>505696</xdr:colOff>
      <xdr:row>47</xdr:row>
      <xdr:rowOff>19050</xdr:rowOff>
    </xdr:to>
    <xdr:graphicFrame macro="">
      <xdr:nvGraphicFramePr>
        <xdr:cNvPr id="3574695" name="Gráfico 2">
          <a:extLst>
            <a:ext uri="{FF2B5EF4-FFF2-40B4-BE49-F238E27FC236}">
              <a16:creationId xmlns:a16="http://schemas.microsoft.com/office/drawing/2014/main" id="{00000000-0008-0000-0000-0000A78B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534271</xdr:colOff>
      <xdr:row>5</xdr:row>
      <xdr:rowOff>38100</xdr:rowOff>
    </xdr:from>
    <xdr:to>
      <xdr:col>12</xdr:col>
      <xdr:colOff>567329</xdr:colOff>
      <xdr:row>8</xdr:row>
      <xdr:rowOff>133350</xdr:rowOff>
    </xdr:to>
    <xdr:sp macro="" textlink="">
      <xdr:nvSpPr>
        <xdr:cNvPr id="3574696" name="Seta para a direita 4">
          <a:extLst>
            <a:ext uri="{FF2B5EF4-FFF2-40B4-BE49-F238E27FC236}">
              <a16:creationId xmlns:a16="http://schemas.microsoft.com/office/drawing/2014/main" id="{00000000-0008-0000-0000-0000A88B3600}"/>
            </a:ext>
          </a:extLst>
        </xdr:cNvPr>
        <xdr:cNvSpPr>
          <a:spLocks noChangeArrowheads="1"/>
        </xdr:cNvSpPr>
      </xdr:nvSpPr>
      <xdr:spPr bwMode="auto">
        <a:xfrm>
          <a:off x="7258050" y="847725"/>
          <a:ext cx="638175" cy="609600"/>
        </a:xfrm>
        <a:prstGeom prst="rightArrow">
          <a:avLst>
            <a:gd name="adj1" fmla="val 50000"/>
            <a:gd name="adj2" fmla="val 50822"/>
          </a:avLst>
        </a:prstGeom>
        <a:solidFill>
          <a:srgbClr val="8EB4E3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 fPrintsWithSheet="0"/>
  </xdr:twoCellAnchor>
  <xdr:twoCellAnchor editAs="absolute">
    <xdr:from>
      <xdr:col>9</xdr:col>
      <xdr:colOff>617347</xdr:colOff>
      <xdr:row>4</xdr:row>
      <xdr:rowOff>142879</xdr:rowOff>
    </xdr:from>
    <xdr:to>
      <xdr:col>11</xdr:col>
      <xdr:colOff>500139</xdr:colOff>
      <xdr:row>8</xdr:row>
      <xdr:rowOff>178597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976950" y="809629"/>
          <a:ext cx="1262049" cy="726281"/>
        </a:xfrm>
        <a:prstGeom prst="rect">
          <a:avLst/>
        </a:prstGeom>
        <a:solidFill>
          <a:schemeClr val="lt1"/>
        </a:solidFill>
        <a:ln w="19050" cmpd="sng">
          <a:solidFill>
            <a:schemeClr val="tx2">
              <a:lumMod val="40000"/>
              <a:lumOff val="6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200" b="1"/>
            <a:t>Selecione o período desejado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714375</xdr:colOff>
          <xdr:row>5</xdr:row>
          <xdr:rowOff>28575</xdr:rowOff>
        </xdr:from>
        <xdr:to>
          <xdr:col>14</xdr:col>
          <xdr:colOff>381000</xdr:colOff>
          <xdr:row>8</xdr:row>
          <xdr:rowOff>161925</xdr:rowOff>
        </xdr:to>
        <xdr:sp macro="" textlink="">
          <xdr:nvSpPr>
            <xdr:cNvPr id="2640899" name="List Box 3" hidden="1">
              <a:extLst>
                <a:ext uri="{63B3BB69-23CF-44E3-9099-C40C66FF867C}">
                  <a14:compatExt spid="_x0000_s2640899"/>
                </a:ext>
                <a:ext uri="{FF2B5EF4-FFF2-40B4-BE49-F238E27FC236}">
                  <a16:creationId xmlns:a16="http://schemas.microsoft.com/office/drawing/2014/main" id="{00000000-0008-0000-0000-0000034C2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1</xdr:col>
      <xdr:colOff>27885</xdr:colOff>
      <xdr:row>0</xdr:row>
      <xdr:rowOff>59635</xdr:rowOff>
    </xdr:from>
    <xdr:to>
      <xdr:col>1</xdr:col>
      <xdr:colOff>675885</xdr:colOff>
      <xdr:row>4</xdr:row>
      <xdr:rowOff>38522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02" y="59635"/>
          <a:ext cx="648000" cy="6138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</xdr:colOff>
      <xdr:row>0</xdr:row>
      <xdr:rowOff>22860</xdr:rowOff>
    </xdr:from>
    <xdr:to>
      <xdr:col>0</xdr:col>
      <xdr:colOff>668955</xdr:colOff>
      <xdr:row>4</xdr:row>
      <xdr:rowOff>3155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" y="22860"/>
          <a:ext cx="648000" cy="6279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0</xdr:col>
      <xdr:colOff>670860</xdr:colOff>
      <xdr:row>4</xdr:row>
      <xdr:rowOff>3155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22860"/>
          <a:ext cx="648000" cy="66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42</xdr:row>
      <xdr:rowOff>38100</xdr:rowOff>
    </xdr:from>
    <xdr:to>
      <xdr:col>6</xdr:col>
      <xdr:colOff>504825</xdr:colOff>
      <xdr:row>61</xdr:row>
      <xdr:rowOff>114300</xdr:rowOff>
    </xdr:to>
    <xdr:graphicFrame macro="">
      <xdr:nvGraphicFramePr>
        <xdr:cNvPr id="3729852" name="Gráfico 1">
          <a:extLst>
            <a:ext uri="{FF2B5EF4-FFF2-40B4-BE49-F238E27FC236}">
              <a16:creationId xmlns:a16="http://schemas.microsoft.com/office/drawing/2014/main" id="{00000000-0008-0000-0300-0000BCE93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42</xdr:row>
      <xdr:rowOff>38100</xdr:rowOff>
    </xdr:from>
    <xdr:to>
      <xdr:col>12</xdr:col>
      <xdr:colOff>781050</xdr:colOff>
      <xdr:row>61</xdr:row>
      <xdr:rowOff>114300</xdr:rowOff>
    </xdr:to>
    <xdr:graphicFrame macro="">
      <xdr:nvGraphicFramePr>
        <xdr:cNvPr id="3729853" name="Gráfico 2">
          <a:extLst>
            <a:ext uri="{FF2B5EF4-FFF2-40B4-BE49-F238E27FC236}">
              <a16:creationId xmlns:a16="http://schemas.microsoft.com/office/drawing/2014/main" id="{00000000-0008-0000-0300-0000BDE93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66675</xdr:rowOff>
    </xdr:from>
    <xdr:to>
      <xdr:col>0</xdr:col>
      <xdr:colOff>686100</xdr:colOff>
      <xdr:row>3</xdr:row>
      <xdr:rowOff>163175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6675"/>
          <a:ext cx="648000" cy="6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>
    <pageSetUpPr fitToPage="1"/>
  </sheetPr>
  <dimension ref="B1:LP383"/>
  <sheetViews>
    <sheetView showGridLines="0" tabSelected="1" zoomScale="90" zoomScaleNormal="90" workbookViewId="0">
      <selection activeCell="L20" sqref="L20"/>
    </sheetView>
  </sheetViews>
  <sheetFormatPr defaultColWidth="9.140625" defaultRowHeight="12.75" x14ac:dyDescent="0.2"/>
  <cols>
    <col min="1" max="1" width="0.85546875" style="64" customWidth="1"/>
    <col min="2" max="2" width="10.85546875" style="64" customWidth="1"/>
    <col min="3" max="3" width="12.28515625" style="64" customWidth="1"/>
    <col min="4" max="4" width="11.7109375" style="64" customWidth="1"/>
    <col min="5" max="5" width="10.28515625" style="64" customWidth="1"/>
    <col min="6" max="6" width="7.42578125" style="64" customWidth="1"/>
    <col min="7" max="7" width="11.42578125" style="64" customWidth="1"/>
    <col min="8" max="8" width="11.28515625" style="64" customWidth="1"/>
    <col min="9" max="9" width="3.85546875" style="64" customWidth="1"/>
    <col min="10" max="10" width="11" style="64" customWidth="1"/>
    <col min="11" max="11" width="9.7109375" style="64" customWidth="1"/>
    <col min="12" max="12" width="9.140625" style="64"/>
    <col min="13" max="13" width="10.85546875" style="64" bestFit="1" customWidth="1"/>
    <col min="14" max="14" width="10.28515625" style="64" customWidth="1"/>
    <col min="15" max="15" width="13.28515625" style="64" customWidth="1"/>
    <col min="16" max="16" width="9.140625" style="64"/>
    <col min="17" max="17" width="3.28515625" style="64" customWidth="1"/>
    <col min="18" max="18" width="11.5703125" style="64" customWidth="1"/>
    <col min="19" max="19" width="11.42578125" style="64" bestFit="1" customWidth="1"/>
    <col min="20" max="20" width="11" style="64" bestFit="1" customWidth="1"/>
    <col min="21" max="21" width="17.28515625" style="64" bestFit="1" customWidth="1"/>
    <col min="22" max="22" width="9.28515625" style="64" customWidth="1"/>
    <col min="23" max="23" width="13.28515625" style="64" customWidth="1"/>
    <col min="24" max="24" width="11.42578125" style="64" customWidth="1"/>
    <col min="25" max="16384" width="9.140625" style="64"/>
  </cols>
  <sheetData>
    <row r="1" spans="2:328" x14ac:dyDescent="0.2">
      <c r="T1" s="103"/>
      <c r="U1" s="103"/>
      <c r="V1" s="103"/>
      <c r="W1" s="103"/>
      <c r="X1" s="103"/>
      <c r="Y1" s="103"/>
      <c r="Z1" s="103"/>
    </row>
    <row r="2" spans="2:328" x14ac:dyDescent="0.2">
      <c r="C2" s="134" t="s">
        <v>0</v>
      </c>
      <c r="D2" s="104"/>
      <c r="E2" s="104"/>
      <c r="F2" s="104"/>
      <c r="G2" s="104"/>
      <c r="H2" s="104"/>
      <c r="T2" s="103"/>
      <c r="U2" s="103"/>
      <c r="V2" s="103"/>
      <c r="W2" s="103"/>
      <c r="X2" s="103"/>
      <c r="Y2" s="103"/>
      <c r="Z2" s="103"/>
    </row>
    <row r="3" spans="2:328" x14ac:dyDescent="0.2">
      <c r="C3" s="135" t="s">
        <v>1</v>
      </c>
      <c r="D3" s="105"/>
      <c r="E3" s="105"/>
      <c r="F3" s="105"/>
      <c r="G3" s="105"/>
      <c r="H3" s="105"/>
      <c r="I3" s="65"/>
      <c r="P3" s="65">
        <v>30</v>
      </c>
      <c r="T3" s="103"/>
      <c r="U3" s="103"/>
      <c r="V3" s="103"/>
      <c r="W3" s="103"/>
      <c r="X3" s="103"/>
      <c r="Y3" s="103"/>
      <c r="Z3" s="103"/>
    </row>
    <row r="4" spans="2:328" x14ac:dyDescent="0.2">
      <c r="C4" s="136" t="str">
        <f>CONCATENATE("Em" &amp; " " &amp; P4)</f>
        <v>Em 2024</v>
      </c>
      <c r="G4" s="65"/>
      <c r="I4" s="65"/>
      <c r="P4" s="65">
        <f>P3+1994</f>
        <v>2024</v>
      </c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DW4" s="103"/>
      <c r="DX4" s="103"/>
      <c r="DY4" s="103"/>
      <c r="DZ4" s="103"/>
      <c r="EA4" s="103"/>
      <c r="EB4" s="103"/>
      <c r="EC4" s="103"/>
      <c r="ED4" s="103"/>
      <c r="EE4" s="103"/>
      <c r="EF4" s="103"/>
      <c r="EG4" s="103"/>
      <c r="EH4" s="103"/>
      <c r="EI4" s="103"/>
      <c r="EJ4" s="103"/>
      <c r="EK4" s="103"/>
      <c r="EL4" s="103"/>
      <c r="EM4" s="103"/>
      <c r="EN4" s="103"/>
      <c r="EO4" s="103"/>
      <c r="EP4" s="103"/>
      <c r="EQ4" s="103"/>
      <c r="ER4" s="103"/>
      <c r="ES4" s="103"/>
      <c r="ET4" s="103"/>
      <c r="EU4" s="103"/>
      <c r="EV4" s="103"/>
      <c r="EW4" s="103"/>
      <c r="EX4" s="103"/>
      <c r="EY4" s="103"/>
      <c r="EZ4" s="103"/>
      <c r="FA4" s="103"/>
      <c r="FB4" s="103"/>
      <c r="FC4" s="103"/>
      <c r="FD4" s="103"/>
      <c r="FE4" s="103"/>
      <c r="FF4" s="103"/>
      <c r="FG4" s="103"/>
      <c r="FH4" s="103"/>
      <c r="FI4" s="103"/>
      <c r="FJ4" s="103"/>
      <c r="FK4" s="103"/>
      <c r="FL4" s="103"/>
      <c r="FM4" s="103"/>
      <c r="FN4" s="103"/>
      <c r="FO4" s="103"/>
      <c r="FP4" s="103"/>
      <c r="FQ4" s="103"/>
      <c r="FR4" s="103"/>
      <c r="FS4" s="103"/>
      <c r="FT4" s="103"/>
      <c r="FU4" s="103"/>
      <c r="FV4" s="103"/>
      <c r="FW4" s="103"/>
      <c r="FX4" s="103"/>
      <c r="FY4" s="103"/>
      <c r="FZ4" s="103"/>
      <c r="GA4" s="103"/>
      <c r="GB4" s="103"/>
      <c r="GC4" s="103"/>
      <c r="GD4" s="103"/>
      <c r="GE4" s="103"/>
      <c r="GF4" s="103"/>
      <c r="GG4" s="103"/>
      <c r="GH4" s="103"/>
      <c r="GI4" s="103"/>
      <c r="GJ4" s="103"/>
      <c r="GK4" s="103"/>
      <c r="GL4" s="103"/>
      <c r="GM4" s="103"/>
      <c r="GN4" s="103"/>
      <c r="GO4" s="103"/>
      <c r="GP4" s="103"/>
      <c r="GQ4" s="103"/>
      <c r="GR4" s="103"/>
      <c r="GS4" s="103"/>
      <c r="GT4" s="103"/>
      <c r="GU4" s="103"/>
      <c r="GV4" s="103"/>
      <c r="GW4" s="103"/>
      <c r="GX4" s="103"/>
      <c r="GY4" s="103"/>
      <c r="GZ4" s="103"/>
      <c r="HA4" s="103"/>
      <c r="HB4" s="103"/>
      <c r="HC4" s="103"/>
      <c r="HD4" s="103"/>
      <c r="HE4" s="103"/>
      <c r="HF4" s="103"/>
      <c r="HG4" s="103"/>
      <c r="HH4" s="103"/>
      <c r="HI4" s="103"/>
      <c r="HJ4" s="103"/>
      <c r="HK4" s="103"/>
      <c r="HL4" s="103"/>
      <c r="HM4" s="103"/>
      <c r="HN4" s="103"/>
      <c r="HO4" s="103"/>
      <c r="HP4" s="103"/>
      <c r="HQ4" s="103"/>
      <c r="HR4" s="103"/>
      <c r="HS4" s="103"/>
      <c r="HT4" s="103"/>
      <c r="HU4" s="103"/>
      <c r="HV4" s="103"/>
      <c r="HW4" s="103"/>
      <c r="HX4" s="103"/>
      <c r="HY4" s="103"/>
      <c r="HZ4" s="103"/>
      <c r="IA4" s="103"/>
      <c r="IB4" s="103"/>
      <c r="IC4" s="103"/>
      <c r="ID4" s="103"/>
      <c r="IE4" s="103"/>
      <c r="IF4" s="103"/>
      <c r="IG4" s="103"/>
      <c r="IH4" s="103"/>
      <c r="II4" s="103"/>
      <c r="IJ4" s="103"/>
      <c r="IK4" s="103"/>
      <c r="IL4" s="103"/>
      <c r="IM4" s="103"/>
      <c r="IN4" s="103"/>
      <c r="IO4" s="103"/>
      <c r="IP4" s="103"/>
      <c r="IQ4" s="103"/>
      <c r="IR4" s="103"/>
      <c r="IS4" s="103"/>
      <c r="IT4" s="103"/>
      <c r="IU4" s="103"/>
      <c r="IV4" s="103"/>
      <c r="IW4" s="103"/>
      <c r="IX4" s="103"/>
      <c r="IY4" s="103"/>
      <c r="IZ4" s="103"/>
      <c r="JA4" s="103"/>
      <c r="JB4" s="103"/>
      <c r="JC4" s="103"/>
      <c r="JD4" s="103"/>
      <c r="JE4" s="103"/>
      <c r="JF4" s="103"/>
      <c r="JG4" s="103"/>
      <c r="JH4" s="103"/>
      <c r="JI4" s="103"/>
      <c r="JJ4" s="103"/>
      <c r="JK4" s="103"/>
      <c r="JL4" s="103"/>
      <c r="JM4" s="103"/>
      <c r="JN4" s="103"/>
      <c r="JO4" s="103"/>
      <c r="JP4" s="103"/>
      <c r="JQ4" s="103"/>
      <c r="JR4" s="103"/>
      <c r="JS4" s="103"/>
      <c r="JT4" s="103"/>
      <c r="JU4" s="103"/>
      <c r="JV4" s="103"/>
      <c r="JW4" s="103"/>
      <c r="JX4" s="103"/>
      <c r="JY4" s="103"/>
      <c r="JZ4" s="103"/>
      <c r="KA4" s="103"/>
      <c r="KB4" s="103"/>
      <c r="KC4" s="103"/>
      <c r="KD4" s="103"/>
      <c r="KE4" s="103"/>
      <c r="KF4" s="103"/>
      <c r="KG4" s="103"/>
      <c r="KH4" s="103"/>
      <c r="KI4" s="103"/>
      <c r="KJ4" s="103"/>
      <c r="KK4" s="103"/>
      <c r="KL4" s="103"/>
      <c r="KM4" s="103"/>
      <c r="KN4" s="103"/>
      <c r="KO4" s="103"/>
      <c r="KP4" s="103"/>
      <c r="KQ4" s="103"/>
      <c r="KR4" s="103"/>
      <c r="KS4" s="103"/>
      <c r="KT4" s="103"/>
      <c r="KU4" s="103"/>
      <c r="KV4" s="103"/>
      <c r="KW4" s="103"/>
      <c r="KX4" s="103"/>
      <c r="KY4" s="103"/>
      <c r="KZ4" s="103"/>
      <c r="LA4" s="103"/>
      <c r="LB4" s="103"/>
      <c r="LC4" s="103"/>
      <c r="LD4" s="103"/>
      <c r="LE4" s="103"/>
      <c r="LF4" s="103"/>
      <c r="LG4" s="103"/>
      <c r="LH4" s="103"/>
      <c r="LI4" s="103"/>
      <c r="LJ4" s="103"/>
      <c r="LK4" s="103"/>
      <c r="LL4" s="103"/>
      <c r="LM4" s="103"/>
      <c r="LN4" s="103"/>
      <c r="LO4" s="103"/>
      <c r="LP4" s="103"/>
    </row>
    <row r="5" spans="2:328" x14ac:dyDescent="0.2">
      <c r="B5" s="67"/>
      <c r="C5" s="67"/>
      <c r="D5" s="67"/>
      <c r="E5" s="67"/>
      <c r="F5" s="67"/>
      <c r="G5" s="68"/>
      <c r="H5" s="106" t="s">
        <v>2</v>
      </c>
      <c r="I5" s="65"/>
      <c r="P5" s="65" t="str">
        <f>CONCATENATE("SBPE - Saldo de Poupança em ",P4," (R$ Milhões)")</f>
        <v>SBPE - Saldo de Poupança em 2024 (R$ Milhões)</v>
      </c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103"/>
      <c r="DT5" s="103"/>
      <c r="DU5" s="103"/>
      <c r="DV5" s="103"/>
      <c r="DW5" s="103"/>
      <c r="DX5" s="103"/>
      <c r="DY5" s="103"/>
      <c r="DZ5" s="103"/>
      <c r="EA5" s="103"/>
      <c r="EB5" s="103"/>
      <c r="EC5" s="103"/>
      <c r="ED5" s="103"/>
      <c r="EE5" s="103"/>
      <c r="EF5" s="103"/>
      <c r="EG5" s="103"/>
      <c r="EH5" s="103"/>
      <c r="EI5" s="103"/>
      <c r="EJ5" s="103"/>
      <c r="EK5" s="103"/>
      <c r="EL5" s="103"/>
      <c r="EM5" s="103"/>
      <c r="EN5" s="103"/>
      <c r="EO5" s="103"/>
      <c r="EP5" s="103"/>
      <c r="EQ5" s="103"/>
      <c r="ER5" s="103"/>
      <c r="ES5" s="103"/>
      <c r="ET5" s="103"/>
      <c r="EU5" s="103"/>
      <c r="EV5" s="103"/>
      <c r="EW5" s="103"/>
      <c r="EX5" s="103"/>
      <c r="EY5" s="103"/>
      <c r="EZ5" s="103"/>
      <c r="FA5" s="103"/>
      <c r="FB5" s="103"/>
      <c r="FC5" s="103"/>
      <c r="FD5" s="103"/>
      <c r="FE5" s="103"/>
      <c r="FF5" s="103"/>
      <c r="FG5" s="103"/>
      <c r="FH5" s="103"/>
      <c r="FI5" s="103"/>
      <c r="FJ5" s="103"/>
      <c r="FK5" s="103"/>
      <c r="FL5" s="103"/>
      <c r="FM5" s="103"/>
      <c r="FN5" s="103"/>
      <c r="FO5" s="103"/>
      <c r="FP5" s="103"/>
      <c r="FQ5" s="103"/>
      <c r="FR5" s="103"/>
      <c r="FS5" s="103"/>
      <c r="FT5" s="103"/>
      <c r="FU5" s="103"/>
      <c r="FV5" s="103"/>
      <c r="FW5" s="103"/>
      <c r="FX5" s="103"/>
      <c r="FY5" s="103"/>
      <c r="FZ5" s="103"/>
      <c r="GA5" s="103"/>
      <c r="GB5" s="103"/>
      <c r="GC5" s="103"/>
      <c r="GD5" s="103"/>
      <c r="GE5" s="103"/>
      <c r="GF5" s="103"/>
      <c r="GG5" s="103"/>
      <c r="GH5" s="103"/>
      <c r="GI5" s="103"/>
      <c r="GJ5" s="103"/>
      <c r="GK5" s="103"/>
      <c r="GL5" s="103"/>
      <c r="GM5" s="103"/>
      <c r="GN5" s="103"/>
      <c r="GO5" s="103"/>
      <c r="GP5" s="103"/>
      <c r="GQ5" s="103"/>
      <c r="GR5" s="103"/>
      <c r="GS5" s="103"/>
      <c r="GT5" s="103"/>
      <c r="GU5" s="103"/>
      <c r="GV5" s="103"/>
      <c r="GW5" s="103"/>
      <c r="GX5" s="103"/>
      <c r="GY5" s="103"/>
      <c r="GZ5" s="103"/>
      <c r="HA5" s="103"/>
      <c r="HB5" s="103"/>
      <c r="HC5" s="103"/>
      <c r="HD5" s="103"/>
      <c r="HE5" s="103"/>
      <c r="HF5" s="103"/>
      <c r="HG5" s="103"/>
      <c r="HH5" s="103"/>
      <c r="HI5" s="103"/>
      <c r="HJ5" s="103"/>
      <c r="HK5" s="103"/>
      <c r="HL5" s="103"/>
      <c r="HM5" s="103"/>
      <c r="HN5" s="103"/>
      <c r="HO5" s="103"/>
      <c r="HP5" s="103"/>
      <c r="HQ5" s="103"/>
      <c r="HR5" s="103"/>
      <c r="HS5" s="103"/>
      <c r="HT5" s="103"/>
      <c r="HU5" s="103"/>
      <c r="HV5" s="103"/>
      <c r="HW5" s="103"/>
      <c r="HX5" s="103"/>
      <c r="HY5" s="103"/>
      <c r="HZ5" s="103"/>
      <c r="IA5" s="103"/>
      <c r="IB5" s="103"/>
      <c r="IC5" s="103"/>
      <c r="ID5" s="103"/>
      <c r="IE5" s="103"/>
      <c r="IF5" s="103"/>
      <c r="IG5" s="103"/>
      <c r="IH5" s="103"/>
      <c r="II5" s="103"/>
      <c r="IJ5" s="103"/>
      <c r="IK5" s="103"/>
      <c r="IL5" s="103"/>
      <c r="IM5" s="103"/>
      <c r="IN5" s="103"/>
      <c r="IO5" s="103"/>
      <c r="IP5" s="103"/>
      <c r="IQ5" s="103"/>
      <c r="IR5" s="103"/>
      <c r="IS5" s="103"/>
      <c r="IT5" s="103"/>
      <c r="IU5" s="103"/>
      <c r="IV5" s="103"/>
      <c r="IW5" s="103"/>
      <c r="IX5" s="103"/>
      <c r="IY5" s="103"/>
      <c r="IZ5" s="103"/>
      <c r="JA5" s="103"/>
      <c r="JB5" s="103"/>
      <c r="JC5" s="103"/>
      <c r="JD5" s="103"/>
      <c r="JE5" s="103"/>
      <c r="JF5" s="103"/>
      <c r="JG5" s="103"/>
      <c r="JH5" s="103"/>
      <c r="JI5" s="103"/>
      <c r="JJ5" s="103"/>
      <c r="JK5" s="103"/>
      <c r="JL5" s="103"/>
      <c r="JM5" s="103"/>
      <c r="JN5" s="103"/>
      <c r="JO5" s="103"/>
      <c r="JP5" s="103"/>
      <c r="JQ5" s="103"/>
      <c r="JR5" s="103"/>
      <c r="JS5" s="103"/>
      <c r="JT5" s="103"/>
      <c r="JU5" s="103"/>
      <c r="JV5" s="103"/>
      <c r="JW5" s="103"/>
      <c r="JX5" s="103"/>
      <c r="JY5" s="103"/>
      <c r="JZ5" s="103"/>
      <c r="KA5" s="103"/>
      <c r="KB5" s="103"/>
      <c r="KC5" s="103"/>
      <c r="KD5" s="103"/>
      <c r="KE5" s="103"/>
      <c r="KF5" s="103"/>
      <c r="KG5" s="103"/>
      <c r="KH5" s="103"/>
      <c r="KI5" s="103"/>
      <c r="KJ5" s="103"/>
      <c r="KK5" s="103"/>
      <c r="KL5" s="103"/>
      <c r="KM5" s="103"/>
      <c r="KN5" s="103"/>
      <c r="KO5" s="103"/>
      <c r="KP5" s="103"/>
      <c r="KQ5" s="103"/>
      <c r="KR5" s="103"/>
      <c r="KS5" s="103"/>
      <c r="KT5" s="103"/>
      <c r="KU5" s="103"/>
      <c r="KV5" s="103"/>
      <c r="KW5" s="103"/>
      <c r="KX5" s="103"/>
      <c r="KY5" s="103"/>
      <c r="KZ5" s="103"/>
      <c r="LA5" s="103"/>
      <c r="LB5" s="103"/>
      <c r="LC5" s="103"/>
      <c r="LD5" s="103"/>
      <c r="LE5" s="103"/>
      <c r="LF5" s="103"/>
      <c r="LG5" s="103"/>
      <c r="LH5" s="103"/>
      <c r="LI5" s="103"/>
      <c r="LJ5" s="103"/>
      <c r="LK5" s="103"/>
      <c r="LL5" s="103"/>
      <c r="LM5" s="103"/>
      <c r="LN5" s="103"/>
      <c r="LO5" s="103"/>
      <c r="LP5" s="103"/>
    </row>
    <row r="6" spans="2:328" ht="12.75" customHeight="1" x14ac:dyDescent="0.2">
      <c r="B6" s="153" t="s">
        <v>3</v>
      </c>
      <c r="C6" s="153"/>
      <c r="D6" s="153"/>
      <c r="E6" s="153"/>
      <c r="F6" s="153"/>
      <c r="G6" s="153"/>
      <c r="H6" s="153"/>
      <c r="I6" s="65"/>
      <c r="K6" s="107"/>
      <c r="L6" s="107"/>
      <c r="P6" s="65" t="str">
        <f>CONCATENATE("SBPE - Captação Líquida Acumulada em ",P4," (R$ Milhões) ")</f>
        <v xml:space="preserve">SBPE - Captação Líquida Acumulada em 2024 (R$ Milhões) </v>
      </c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  <c r="CQ6" s="103"/>
      <c r="CR6" s="103"/>
      <c r="CS6" s="103"/>
      <c r="CT6" s="103"/>
      <c r="CU6" s="103"/>
      <c r="CV6" s="103"/>
      <c r="CW6" s="103"/>
      <c r="CX6" s="103"/>
      <c r="CY6" s="103"/>
      <c r="CZ6" s="103"/>
      <c r="DA6" s="103"/>
      <c r="DB6" s="103"/>
      <c r="DC6" s="103"/>
      <c r="DD6" s="103"/>
      <c r="DE6" s="103"/>
      <c r="DF6" s="103"/>
      <c r="DG6" s="103"/>
      <c r="DH6" s="103"/>
      <c r="DI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  <c r="DV6" s="103"/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/>
      <c r="EP6" s="103"/>
      <c r="EQ6" s="103"/>
      <c r="ER6" s="103"/>
      <c r="ES6" s="103"/>
      <c r="ET6" s="103"/>
      <c r="EU6" s="103"/>
      <c r="EV6" s="103"/>
      <c r="EW6" s="103"/>
      <c r="EX6" s="103"/>
      <c r="EY6" s="103"/>
      <c r="EZ6" s="103"/>
      <c r="FA6" s="103"/>
      <c r="FB6" s="103"/>
      <c r="FC6" s="103"/>
      <c r="FD6" s="103"/>
      <c r="FE6" s="103"/>
      <c r="FF6" s="103"/>
      <c r="FG6" s="103"/>
      <c r="FH6" s="103"/>
      <c r="FI6" s="103"/>
      <c r="FJ6" s="103"/>
      <c r="FK6" s="103"/>
      <c r="FL6" s="103"/>
      <c r="FM6" s="103"/>
      <c r="FN6" s="103"/>
      <c r="FO6" s="103"/>
      <c r="FP6" s="103"/>
      <c r="FQ6" s="103"/>
      <c r="FR6" s="103"/>
      <c r="FS6" s="103"/>
      <c r="FT6" s="103"/>
      <c r="FU6" s="103"/>
      <c r="FV6" s="103"/>
      <c r="FW6" s="10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  <c r="GW6" s="103"/>
      <c r="GX6" s="103"/>
      <c r="GY6" s="103"/>
      <c r="GZ6" s="103"/>
      <c r="HA6" s="103"/>
      <c r="HB6" s="103"/>
      <c r="HC6" s="103"/>
      <c r="HD6" s="103"/>
      <c r="HE6" s="103"/>
      <c r="HF6" s="103"/>
      <c r="HG6" s="103"/>
      <c r="HH6" s="103"/>
      <c r="HI6" s="103"/>
      <c r="HJ6" s="103"/>
      <c r="HK6" s="103"/>
      <c r="HL6" s="103"/>
      <c r="HM6" s="103"/>
      <c r="HN6" s="103"/>
      <c r="HO6" s="103"/>
      <c r="HP6" s="103"/>
      <c r="HQ6" s="103"/>
      <c r="HR6" s="103"/>
      <c r="HS6" s="103"/>
      <c r="HT6" s="103"/>
      <c r="HU6" s="103"/>
      <c r="HV6" s="103"/>
      <c r="HW6" s="103"/>
      <c r="HX6" s="103"/>
      <c r="HY6" s="103"/>
      <c r="HZ6" s="103"/>
      <c r="IA6" s="103"/>
      <c r="IB6" s="103"/>
      <c r="IC6" s="103"/>
      <c r="ID6" s="103"/>
      <c r="IE6" s="103"/>
      <c r="IF6" s="103"/>
      <c r="IG6" s="103"/>
      <c r="IH6" s="103"/>
      <c r="II6" s="103"/>
      <c r="IJ6" s="103"/>
      <c r="IK6" s="103"/>
      <c r="IL6" s="103"/>
      <c r="IM6" s="103"/>
      <c r="IN6" s="103"/>
      <c r="IO6" s="103"/>
      <c r="IP6" s="103"/>
      <c r="IQ6" s="103"/>
      <c r="IR6" s="103"/>
      <c r="IS6" s="103"/>
      <c r="IT6" s="103"/>
      <c r="IU6" s="103"/>
      <c r="IV6" s="103"/>
      <c r="IW6" s="103"/>
      <c r="IX6" s="103"/>
      <c r="IY6" s="103"/>
      <c r="IZ6" s="103"/>
      <c r="JA6" s="103"/>
      <c r="JB6" s="103"/>
      <c r="JC6" s="103"/>
      <c r="JD6" s="103"/>
      <c r="JE6" s="103"/>
      <c r="JF6" s="103"/>
      <c r="JG6" s="103"/>
      <c r="JH6" s="103"/>
      <c r="JI6" s="103"/>
      <c r="JJ6" s="103"/>
      <c r="JK6" s="103"/>
      <c r="JL6" s="103"/>
      <c r="JM6" s="103"/>
      <c r="JN6" s="103"/>
      <c r="JO6" s="103"/>
      <c r="JP6" s="103"/>
      <c r="JQ6" s="103"/>
      <c r="JR6" s="103"/>
      <c r="JS6" s="103"/>
      <c r="JT6" s="103"/>
      <c r="JU6" s="103"/>
      <c r="JV6" s="103"/>
      <c r="JW6" s="103"/>
      <c r="JX6" s="103"/>
      <c r="JY6" s="103"/>
      <c r="JZ6" s="103"/>
      <c r="KA6" s="103"/>
      <c r="KB6" s="103"/>
      <c r="KC6" s="103"/>
      <c r="KD6" s="103"/>
      <c r="KE6" s="103"/>
      <c r="KF6" s="103"/>
      <c r="KG6" s="103"/>
      <c r="KH6" s="103"/>
      <c r="KI6" s="103"/>
      <c r="KJ6" s="103"/>
      <c r="KK6" s="103"/>
      <c r="KL6" s="103"/>
      <c r="KM6" s="103"/>
      <c r="KN6" s="103"/>
      <c r="KO6" s="103"/>
      <c r="KP6" s="103"/>
      <c r="KQ6" s="103"/>
      <c r="KR6" s="103"/>
      <c r="KS6" s="103"/>
      <c r="KT6" s="103"/>
      <c r="KU6" s="103"/>
      <c r="KV6" s="103"/>
      <c r="KW6" s="103"/>
      <c r="KX6" s="103"/>
      <c r="KY6" s="103"/>
      <c r="KZ6" s="103"/>
      <c r="LA6" s="103"/>
      <c r="LB6" s="103"/>
      <c r="LC6" s="103"/>
      <c r="LD6" s="103"/>
      <c r="LE6" s="103"/>
      <c r="LF6" s="103"/>
      <c r="LG6" s="103"/>
      <c r="LH6" s="103"/>
      <c r="LI6" s="103"/>
      <c r="LJ6" s="103"/>
      <c r="LK6" s="103"/>
      <c r="LL6" s="103"/>
      <c r="LM6" s="103"/>
      <c r="LN6" s="103"/>
      <c r="LO6" s="103"/>
      <c r="LP6" s="103"/>
    </row>
    <row r="7" spans="2:328" ht="12.75" customHeight="1" x14ac:dyDescent="0.2">
      <c r="G7" s="65"/>
      <c r="H7" s="65"/>
      <c r="I7" s="65"/>
      <c r="K7" s="107"/>
      <c r="L7" s="107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3"/>
      <c r="CU7" s="103"/>
      <c r="CV7" s="103"/>
      <c r="CW7" s="103"/>
      <c r="CX7" s="103"/>
      <c r="CY7" s="103"/>
      <c r="CZ7" s="103"/>
      <c r="DA7" s="103"/>
      <c r="DB7" s="103"/>
      <c r="DC7" s="103"/>
      <c r="DD7" s="103"/>
      <c r="DE7" s="103"/>
      <c r="DF7" s="103"/>
      <c r="DG7" s="103"/>
      <c r="DH7" s="103"/>
      <c r="DI7" s="103"/>
      <c r="DJ7" s="103"/>
      <c r="DK7" s="103"/>
      <c r="DL7" s="103"/>
      <c r="DM7" s="103"/>
      <c r="DN7" s="103"/>
      <c r="DO7" s="103"/>
      <c r="DP7" s="103"/>
      <c r="DQ7" s="103"/>
      <c r="DR7" s="103"/>
      <c r="DS7" s="103"/>
      <c r="DT7" s="103"/>
      <c r="DU7" s="103"/>
      <c r="DV7" s="103"/>
      <c r="DW7" s="103"/>
      <c r="DX7" s="103"/>
      <c r="DY7" s="103"/>
      <c r="DZ7" s="103"/>
      <c r="EA7" s="103"/>
      <c r="EB7" s="103"/>
      <c r="EC7" s="103"/>
      <c r="ED7" s="103"/>
      <c r="EE7" s="103"/>
      <c r="EF7" s="103"/>
      <c r="EG7" s="103"/>
      <c r="EH7" s="103"/>
      <c r="EI7" s="103"/>
      <c r="EJ7" s="103"/>
      <c r="EK7" s="103"/>
      <c r="EL7" s="103"/>
      <c r="EM7" s="103"/>
      <c r="EN7" s="103"/>
      <c r="EO7" s="103"/>
      <c r="EP7" s="103"/>
      <c r="EQ7" s="103"/>
      <c r="ER7" s="103"/>
      <c r="ES7" s="103"/>
      <c r="ET7" s="103"/>
      <c r="EU7" s="103"/>
      <c r="EV7" s="103"/>
      <c r="EW7" s="103"/>
      <c r="EX7" s="103"/>
      <c r="EY7" s="103"/>
      <c r="EZ7" s="103"/>
      <c r="FA7" s="103"/>
      <c r="FB7" s="103"/>
      <c r="FC7" s="103"/>
      <c r="FD7" s="103"/>
      <c r="FE7" s="103"/>
      <c r="FF7" s="103"/>
      <c r="FG7" s="103"/>
      <c r="FH7" s="103"/>
      <c r="FI7" s="103"/>
      <c r="FJ7" s="103"/>
      <c r="FK7" s="103"/>
      <c r="FL7" s="103"/>
      <c r="FM7" s="103"/>
      <c r="FN7" s="103"/>
      <c r="FO7" s="103"/>
      <c r="FP7" s="103"/>
      <c r="FQ7" s="103"/>
      <c r="FR7" s="103"/>
      <c r="FS7" s="103"/>
      <c r="FT7" s="103"/>
      <c r="FU7" s="103"/>
      <c r="FV7" s="103"/>
      <c r="FW7" s="103"/>
      <c r="FX7" s="103"/>
      <c r="FY7" s="103"/>
      <c r="FZ7" s="103"/>
      <c r="GA7" s="103"/>
      <c r="GB7" s="103"/>
      <c r="GC7" s="103"/>
      <c r="GD7" s="103"/>
      <c r="GE7" s="103"/>
      <c r="GF7" s="103"/>
      <c r="GG7" s="103"/>
      <c r="GH7" s="103"/>
      <c r="GI7" s="103"/>
      <c r="GJ7" s="103"/>
      <c r="GK7" s="103"/>
      <c r="GL7" s="103"/>
      <c r="GM7" s="103"/>
      <c r="GN7" s="103"/>
      <c r="GO7" s="103"/>
      <c r="GP7" s="103"/>
      <c r="GQ7" s="103"/>
      <c r="GR7" s="103"/>
      <c r="GS7" s="103"/>
      <c r="GT7" s="103"/>
      <c r="GU7" s="103"/>
      <c r="GV7" s="103"/>
      <c r="GW7" s="103"/>
      <c r="GX7" s="103"/>
      <c r="GY7" s="103"/>
      <c r="GZ7" s="103"/>
      <c r="HA7" s="103"/>
      <c r="HB7" s="103"/>
      <c r="HC7" s="103"/>
      <c r="HD7" s="103"/>
      <c r="HE7" s="103"/>
      <c r="HF7" s="103"/>
      <c r="HG7" s="103"/>
      <c r="HH7" s="103"/>
      <c r="HI7" s="103"/>
      <c r="HJ7" s="103"/>
      <c r="HK7" s="103"/>
      <c r="HL7" s="103"/>
      <c r="HM7" s="103"/>
      <c r="HN7" s="103"/>
      <c r="HO7" s="103"/>
      <c r="HP7" s="103"/>
      <c r="HQ7" s="103"/>
      <c r="HR7" s="103"/>
      <c r="HS7" s="103"/>
      <c r="HT7" s="103"/>
      <c r="HU7" s="103"/>
      <c r="HV7" s="103"/>
      <c r="HW7" s="103"/>
      <c r="HX7" s="103"/>
      <c r="HY7" s="103"/>
      <c r="HZ7" s="103"/>
      <c r="IA7" s="103"/>
      <c r="IB7" s="103"/>
      <c r="IC7" s="103"/>
      <c r="ID7" s="103"/>
      <c r="IE7" s="103"/>
      <c r="IF7" s="103"/>
      <c r="IG7" s="103"/>
      <c r="IH7" s="103"/>
      <c r="II7" s="103"/>
      <c r="IJ7" s="103"/>
      <c r="IK7" s="103"/>
      <c r="IL7" s="103"/>
      <c r="IM7" s="103"/>
      <c r="IN7" s="103"/>
      <c r="IO7" s="103"/>
      <c r="IP7" s="103"/>
      <c r="IQ7" s="103"/>
      <c r="IR7" s="103"/>
      <c r="IS7" s="103"/>
      <c r="IT7" s="103"/>
      <c r="IU7" s="103"/>
      <c r="IV7" s="103"/>
      <c r="IW7" s="103"/>
      <c r="IX7" s="103"/>
      <c r="IY7" s="103"/>
      <c r="IZ7" s="103"/>
      <c r="JA7" s="103"/>
      <c r="JB7" s="103"/>
      <c r="JC7" s="103"/>
      <c r="JD7" s="103"/>
      <c r="JE7" s="103"/>
      <c r="JF7" s="103"/>
      <c r="JG7" s="103"/>
      <c r="JH7" s="103"/>
      <c r="JI7" s="103"/>
      <c r="JJ7" s="103"/>
      <c r="JK7" s="103"/>
      <c r="JL7" s="103"/>
      <c r="JM7" s="103"/>
      <c r="JN7" s="103"/>
      <c r="JO7" s="103"/>
      <c r="JP7" s="103"/>
      <c r="JQ7" s="103"/>
      <c r="JR7" s="103"/>
      <c r="JS7" s="103"/>
      <c r="JT7" s="103"/>
      <c r="JU7" s="103"/>
      <c r="JV7" s="103"/>
      <c r="JW7" s="103"/>
      <c r="JX7" s="103"/>
      <c r="JY7" s="103"/>
      <c r="JZ7" s="103"/>
      <c r="KA7" s="103"/>
      <c r="KB7" s="103"/>
      <c r="KC7" s="103"/>
      <c r="KD7" s="103"/>
      <c r="KE7" s="103"/>
      <c r="KF7" s="103"/>
      <c r="KG7" s="103"/>
      <c r="KH7" s="103"/>
      <c r="KI7" s="103"/>
      <c r="KJ7" s="103"/>
      <c r="KK7" s="103"/>
      <c r="KL7" s="103"/>
      <c r="KM7" s="103"/>
      <c r="KN7" s="103"/>
      <c r="KO7" s="103"/>
      <c r="KP7" s="103"/>
      <c r="KQ7" s="103"/>
      <c r="KR7" s="103"/>
      <c r="KS7" s="103"/>
      <c r="KT7" s="103"/>
      <c r="KU7" s="103"/>
      <c r="KV7" s="103"/>
      <c r="KW7" s="103"/>
      <c r="KX7" s="103"/>
      <c r="KY7" s="103"/>
      <c r="KZ7" s="103"/>
      <c r="LA7" s="103"/>
      <c r="LB7" s="103"/>
      <c r="LC7" s="103"/>
      <c r="LD7" s="103"/>
      <c r="LE7" s="103"/>
      <c r="LF7" s="103"/>
      <c r="LG7" s="103"/>
      <c r="LH7" s="103"/>
      <c r="LI7" s="103"/>
      <c r="LJ7" s="103"/>
      <c r="LK7" s="103"/>
      <c r="LL7" s="103"/>
      <c r="LM7" s="103"/>
      <c r="LN7" s="103"/>
      <c r="LO7" s="103"/>
      <c r="LP7" s="103"/>
    </row>
    <row r="8" spans="2:328" ht="15" x14ac:dyDescent="0.25">
      <c r="B8" s="154" t="s">
        <v>4</v>
      </c>
      <c r="C8" s="155" t="s">
        <v>5</v>
      </c>
      <c r="D8" s="155" t="s">
        <v>6</v>
      </c>
      <c r="E8" s="156" t="s">
        <v>7</v>
      </c>
      <c r="F8" s="157"/>
      <c r="G8" s="155" t="s">
        <v>8</v>
      </c>
      <c r="H8" s="155" t="s">
        <v>9</v>
      </c>
      <c r="K8" s="107"/>
      <c r="L8" s="107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P8" s="103"/>
      <c r="DQ8" s="103"/>
      <c r="DR8" s="10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N8" s="103"/>
      <c r="EO8" s="103"/>
      <c r="EP8" s="10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L8" s="103"/>
      <c r="FM8" s="103"/>
      <c r="FN8" s="10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J8" s="103"/>
      <c r="GK8" s="103"/>
      <c r="GL8" s="10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H8" s="103"/>
      <c r="HI8" s="103"/>
      <c r="HJ8" s="10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  <c r="IF8" s="103"/>
      <c r="IG8" s="103"/>
      <c r="IH8" s="103"/>
      <c r="II8" s="103"/>
      <c r="IJ8" s="103"/>
      <c r="IK8" s="103"/>
      <c r="IL8" s="103"/>
      <c r="IM8" s="103"/>
      <c r="IN8" s="103"/>
      <c r="IO8" s="103"/>
      <c r="IP8" s="103"/>
      <c r="IQ8" s="103"/>
      <c r="IR8" s="103"/>
      <c r="IS8" s="103"/>
      <c r="IT8" s="103"/>
      <c r="IU8" s="103"/>
      <c r="IV8" s="103"/>
      <c r="IW8" s="103"/>
      <c r="IX8" s="103"/>
      <c r="IY8" s="103"/>
      <c r="IZ8" s="103"/>
      <c r="JA8" s="103"/>
      <c r="JB8" s="103"/>
      <c r="JC8" s="103"/>
      <c r="JD8" s="103"/>
      <c r="JE8" s="103"/>
      <c r="JF8" s="103"/>
      <c r="JG8" s="103"/>
      <c r="JH8" s="103"/>
      <c r="JI8" s="103"/>
      <c r="JJ8" s="103"/>
      <c r="JK8" s="103"/>
      <c r="JL8" s="103"/>
      <c r="JM8" s="103"/>
      <c r="JN8" s="103"/>
      <c r="JO8" s="103"/>
      <c r="JP8" s="103"/>
      <c r="JQ8" s="103"/>
      <c r="JR8" s="103"/>
      <c r="JS8" s="103"/>
      <c r="JT8" s="103"/>
      <c r="JU8" s="103"/>
      <c r="JV8" s="103"/>
      <c r="JW8" s="103"/>
      <c r="JX8" s="103"/>
      <c r="JY8" s="103"/>
      <c r="JZ8" s="103"/>
      <c r="KA8" s="103"/>
      <c r="KB8" s="103"/>
      <c r="KC8" s="103"/>
      <c r="KD8" s="103"/>
      <c r="KE8" s="103"/>
      <c r="KF8" s="103"/>
      <c r="KG8" s="103"/>
      <c r="KH8" s="103"/>
      <c r="KI8" s="103"/>
      <c r="KJ8" s="103"/>
      <c r="KK8" s="103"/>
      <c r="KL8" s="103"/>
      <c r="KM8" s="103"/>
      <c r="KN8" s="103"/>
      <c r="KO8" s="103"/>
      <c r="KP8" s="103"/>
      <c r="KQ8" s="103"/>
      <c r="KR8" s="103"/>
      <c r="KS8" s="103"/>
      <c r="KT8" s="103"/>
      <c r="KU8" s="103"/>
      <c r="KV8" s="103"/>
      <c r="KW8" s="103"/>
      <c r="KX8" s="103"/>
      <c r="KY8" s="103"/>
      <c r="KZ8" s="103"/>
      <c r="LA8" s="103"/>
      <c r="LB8" s="103"/>
      <c r="LC8" s="103"/>
      <c r="LD8" s="103"/>
      <c r="LE8" s="103"/>
      <c r="LF8" s="103"/>
      <c r="LG8" s="103"/>
      <c r="LH8" s="103"/>
      <c r="LI8" s="103"/>
      <c r="LJ8" s="103"/>
      <c r="LK8" s="103"/>
      <c r="LL8" s="103"/>
      <c r="LM8" s="103"/>
      <c r="LN8" s="103"/>
      <c r="LO8" s="103"/>
      <c r="LP8" s="103"/>
    </row>
    <row r="9" spans="2:328" ht="15" x14ac:dyDescent="0.25">
      <c r="B9" s="154"/>
      <c r="C9" s="155"/>
      <c r="D9" s="155"/>
      <c r="E9" s="69" t="s">
        <v>10</v>
      </c>
      <c r="F9" s="69" t="s">
        <v>11</v>
      </c>
      <c r="G9" s="155"/>
      <c r="H9" s="155"/>
      <c r="K9" s="107"/>
      <c r="L9" s="107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  <c r="CQ9" s="103"/>
      <c r="CR9" s="103"/>
      <c r="CS9" s="103"/>
      <c r="CT9" s="103"/>
      <c r="CU9" s="103"/>
      <c r="CV9" s="103"/>
      <c r="CW9" s="103"/>
      <c r="CX9" s="103"/>
      <c r="CY9" s="103"/>
      <c r="CZ9" s="103"/>
      <c r="DA9" s="103"/>
      <c r="DB9" s="103"/>
      <c r="DC9" s="103"/>
      <c r="DD9" s="103"/>
      <c r="DE9" s="103"/>
      <c r="DF9" s="103"/>
      <c r="DG9" s="103"/>
      <c r="DH9" s="103"/>
      <c r="DI9" s="103"/>
      <c r="DJ9" s="103"/>
      <c r="DK9" s="103"/>
      <c r="DL9" s="103"/>
      <c r="DM9" s="103"/>
      <c r="DN9" s="103"/>
      <c r="DO9" s="103"/>
      <c r="DP9" s="103"/>
      <c r="DQ9" s="103"/>
      <c r="DR9" s="103"/>
      <c r="DS9" s="103"/>
      <c r="DT9" s="103"/>
      <c r="DU9" s="103"/>
      <c r="DV9" s="103"/>
      <c r="DW9" s="103"/>
      <c r="DX9" s="103"/>
      <c r="DY9" s="103"/>
      <c r="DZ9" s="103"/>
      <c r="EA9" s="103"/>
      <c r="EB9" s="103"/>
      <c r="EC9" s="103"/>
      <c r="ED9" s="103"/>
      <c r="EE9" s="103"/>
      <c r="EF9" s="103"/>
      <c r="EG9" s="103"/>
      <c r="EH9" s="103"/>
      <c r="EI9" s="103"/>
      <c r="EJ9" s="103"/>
      <c r="EK9" s="103"/>
      <c r="EL9" s="103"/>
      <c r="EM9" s="103"/>
      <c r="EN9" s="103"/>
      <c r="EO9" s="103"/>
      <c r="EP9" s="103"/>
      <c r="EQ9" s="103"/>
      <c r="ER9" s="103"/>
      <c r="ES9" s="103"/>
      <c r="ET9" s="103"/>
      <c r="EU9" s="103"/>
      <c r="EV9" s="103"/>
      <c r="EW9" s="103"/>
      <c r="EX9" s="103"/>
      <c r="EY9" s="103"/>
      <c r="EZ9" s="103"/>
      <c r="FA9" s="103"/>
      <c r="FB9" s="103"/>
      <c r="FC9" s="103"/>
      <c r="FD9" s="103"/>
      <c r="FE9" s="103"/>
      <c r="FF9" s="103"/>
      <c r="FG9" s="103"/>
      <c r="FH9" s="103"/>
      <c r="FI9" s="103"/>
      <c r="FJ9" s="103"/>
      <c r="FK9" s="103"/>
      <c r="FL9" s="103"/>
      <c r="FM9" s="103"/>
      <c r="FN9" s="103"/>
      <c r="FO9" s="103"/>
      <c r="FP9" s="103"/>
      <c r="FQ9" s="103"/>
      <c r="FR9" s="103"/>
      <c r="FS9" s="103"/>
      <c r="FT9" s="103"/>
      <c r="FU9" s="103"/>
      <c r="FV9" s="103"/>
      <c r="FW9" s="103"/>
      <c r="FX9" s="103"/>
      <c r="FY9" s="103"/>
      <c r="FZ9" s="103"/>
      <c r="GA9" s="103"/>
      <c r="GB9" s="103"/>
      <c r="GC9" s="103"/>
      <c r="GD9" s="103"/>
      <c r="GE9" s="103"/>
      <c r="GF9" s="103"/>
      <c r="GG9" s="103"/>
      <c r="GH9" s="103"/>
      <c r="GI9" s="103"/>
      <c r="GJ9" s="103"/>
      <c r="GK9" s="103"/>
      <c r="GL9" s="103"/>
      <c r="GM9" s="103"/>
      <c r="GN9" s="103"/>
      <c r="GO9" s="103"/>
      <c r="GP9" s="103"/>
      <c r="GQ9" s="103"/>
      <c r="GR9" s="103"/>
      <c r="GS9" s="103"/>
      <c r="GT9" s="103"/>
      <c r="GU9" s="103"/>
      <c r="GV9" s="103"/>
      <c r="GW9" s="103"/>
      <c r="GX9" s="103"/>
      <c r="GY9" s="103"/>
      <c r="GZ9" s="103"/>
      <c r="HA9" s="103"/>
      <c r="HB9" s="103"/>
      <c r="HC9" s="103"/>
      <c r="HD9" s="103"/>
      <c r="HE9" s="103"/>
      <c r="HF9" s="103"/>
      <c r="HG9" s="103"/>
      <c r="HH9" s="103"/>
      <c r="HI9" s="103"/>
      <c r="HJ9" s="103"/>
      <c r="HK9" s="103"/>
      <c r="HL9" s="103"/>
      <c r="HM9" s="103"/>
      <c r="HN9" s="103"/>
      <c r="HO9" s="103"/>
      <c r="HP9" s="103"/>
      <c r="HQ9" s="103"/>
      <c r="HR9" s="103"/>
      <c r="HS9" s="103"/>
      <c r="HT9" s="103"/>
      <c r="HU9" s="103"/>
      <c r="HV9" s="103"/>
      <c r="HW9" s="103"/>
      <c r="HX9" s="103"/>
      <c r="HY9" s="103"/>
      <c r="HZ9" s="103"/>
      <c r="IA9" s="103"/>
      <c r="IB9" s="103"/>
      <c r="IC9" s="103"/>
      <c r="ID9" s="103"/>
      <c r="IE9" s="103"/>
      <c r="IF9" s="103"/>
      <c r="IG9" s="103"/>
      <c r="IH9" s="103"/>
      <c r="II9" s="103"/>
      <c r="IJ9" s="103"/>
      <c r="IK9" s="103"/>
      <c r="IL9" s="103"/>
      <c r="IM9" s="103"/>
      <c r="IN9" s="103"/>
      <c r="IO9" s="103"/>
      <c r="IP9" s="103"/>
      <c r="IQ9" s="103"/>
      <c r="IR9" s="103"/>
      <c r="IS9" s="103"/>
      <c r="IT9" s="103"/>
      <c r="IU9" s="103"/>
      <c r="IV9" s="103"/>
      <c r="IW9" s="103"/>
      <c r="IX9" s="103"/>
      <c r="IY9" s="103"/>
      <c r="IZ9" s="103"/>
      <c r="JA9" s="103"/>
      <c r="JB9" s="103"/>
      <c r="JC9" s="103"/>
      <c r="JD9" s="103"/>
      <c r="JE9" s="103"/>
      <c r="JF9" s="103"/>
      <c r="JG9" s="103"/>
      <c r="JH9" s="103"/>
      <c r="JI9" s="103"/>
      <c r="JJ9" s="103"/>
      <c r="JK9" s="103"/>
      <c r="JL9" s="103"/>
      <c r="JM9" s="103"/>
      <c r="JN9" s="103"/>
      <c r="JO9" s="103"/>
      <c r="JP9" s="103"/>
      <c r="JQ9" s="103"/>
      <c r="JR9" s="103"/>
      <c r="JS9" s="103"/>
      <c r="JT9" s="103"/>
      <c r="JU9" s="103"/>
      <c r="JV9" s="103"/>
      <c r="JW9" s="103"/>
      <c r="JX9" s="103"/>
      <c r="JY9" s="103"/>
      <c r="JZ9" s="103"/>
      <c r="KA9" s="103"/>
      <c r="KB9" s="103"/>
      <c r="KC9" s="103"/>
      <c r="KD9" s="103"/>
      <c r="KE9" s="103"/>
      <c r="KF9" s="103"/>
      <c r="KG9" s="103"/>
      <c r="KH9" s="103"/>
      <c r="KI9" s="103"/>
      <c r="KJ9" s="103"/>
      <c r="KK9" s="103"/>
      <c r="KL9" s="103"/>
      <c r="KM9" s="103"/>
      <c r="KN9" s="103"/>
      <c r="KO9" s="103"/>
      <c r="KP9" s="103"/>
      <c r="KQ9" s="103"/>
      <c r="KR9" s="103"/>
      <c r="KS9" s="103"/>
      <c r="KT9" s="103"/>
      <c r="KU9" s="103"/>
      <c r="KV9" s="103"/>
      <c r="KW9" s="103"/>
      <c r="KX9" s="103"/>
      <c r="KY9" s="103"/>
      <c r="KZ9" s="103"/>
      <c r="LA9" s="103"/>
      <c r="LB9" s="103"/>
      <c r="LC9" s="103"/>
      <c r="LD9" s="103"/>
      <c r="LE9" s="103"/>
      <c r="LF9" s="103"/>
      <c r="LG9" s="103"/>
      <c r="LH9" s="103"/>
      <c r="LI9" s="103"/>
      <c r="LJ9" s="103"/>
      <c r="LK9" s="103"/>
      <c r="LL9" s="103"/>
      <c r="LM9" s="103"/>
      <c r="LN9" s="103"/>
      <c r="LO9" s="103"/>
      <c r="LP9" s="103"/>
    </row>
    <row r="10" spans="2:328" s="67" customFormat="1" x14ac:dyDescent="0.2">
      <c r="C10" s="63"/>
      <c r="D10" s="63"/>
      <c r="E10" s="63"/>
      <c r="F10" s="63"/>
      <c r="G10" s="63"/>
      <c r="H10" s="63"/>
      <c r="T10" s="108"/>
      <c r="U10" s="103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08"/>
      <c r="CZ10" s="108"/>
      <c r="DA10" s="108"/>
      <c r="DB10" s="108"/>
      <c r="DC10" s="108"/>
      <c r="DD10" s="108"/>
      <c r="DE10" s="108"/>
      <c r="DF10" s="108"/>
      <c r="DG10" s="108"/>
      <c r="DH10" s="108"/>
      <c r="DI10" s="108"/>
      <c r="DJ10" s="108"/>
      <c r="DK10" s="108"/>
      <c r="DL10" s="108"/>
      <c r="DM10" s="108"/>
      <c r="DN10" s="108"/>
      <c r="DO10" s="108"/>
      <c r="DP10" s="108"/>
      <c r="DQ10" s="108"/>
      <c r="DR10" s="108"/>
      <c r="DS10" s="108"/>
      <c r="DT10" s="108"/>
      <c r="DU10" s="108"/>
      <c r="DV10" s="108"/>
      <c r="DW10" s="108"/>
      <c r="DX10" s="108"/>
      <c r="DY10" s="108"/>
      <c r="DZ10" s="108"/>
      <c r="EA10" s="108"/>
      <c r="EB10" s="108"/>
      <c r="EC10" s="108"/>
      <c r="ED10" s="108"/>
      <c r="EE10" s="108"/>
      <c r="EF10" s="108"/>
      <c r="EG10" s="108"/>
      <c r="EH10" s="108"/>
      <c r="EI10" s="108"/>
      <c r="EJ10" s="108"/>
      <c r="EK10" s="108"/>
      <c r="EL10" s="108"/>
      <c r="EM10" s="108"/>
      <c r="EN10" s="108"/>
      <c r="EO10" s="108"/>
      <c r="EP10" s="108"/>
      <c r="EQ10" s="108"/>
      <c r="ER10" s="108"/>
      <c r="ES10" s="108"/>
      <c r="ET10" s="108"/>
      <c r="EU10" s="108"/>
      <c r="EV10" s="108"/>
      <c r="EW10" s="108"/>
      <c r="EX10" s="108"/>
      <c r="EY10" s="108"/>
      <c r="EZ10" s="108"/>
      <c r="FA10" s="108"/>
      <c r="FB10" s="108"/>
      <c r="FC10" s="108"/>
      <c r="FD10" s="108"/>
      <c r="FE10" s="108"/>
      <c r="FF10" s="108"/>
      <c r="FG10" s="108"/>
      <c r="FH10" s="108"/>
      <c r="FI10" s="108"/>
      <c r="FJ10" s="108"/>
      <c r="FK10" s="108"/>
      <c r="FL10" s="108"/>
      <c r="FM10" s="108"/>
      <c r="FN10" s="108"/>
      <c r="FO10" s="108"/>
      <c r="FP10" s="108"/>
      <c r="FQ10" s="108"/>
      <c r="FR10" s="108"/>
      <c r="FS10" s="108"/>
      <c r="FT10" s="108"/>
      <c r="FU10" s="108"/>
      <c r="FV10" s="108"/>
      <c r="FW10" s="108"/>
      <c r="FX10" s="108"/>
      <c r="FY10" s="108"/>
      <c r="FZ10" s="108"/>
      <c r="GA10" s="108"/>
      <c r="GB10" s="108"/>
      <c r="GC10" s="108"/>
      <c r="GD10" s="108"/>
      <c r="GE10" s="108"/>
      <c r="GF10" s="108"/>
      <c r="GG10" s="108"/>
      <c r="GH10" s="108"/>
      <c r="GI10" s="108"/>
      <c r="GJ10" s="108"/>
      <c r="GK10" s="108"/>
      <c r="GL10" s="108"/>
      <c r="GM10" s="108"/>
      <c r="GN10" s="108"/>
      <c r="GO10" s="108"/>
      <c r="GP10" s="108"/>
      <c r="GQ10" s="108"/>
      <c r="GR10" s="108"/>
      <c r="GS10" s="108"/>
      <c r="GT10" s="108"/>
      <c r="GU10" s="108"/>
      <c r="GV10" s="108"/>
      <c r="GW10" s="108"/>
      <c r="GX10" s="108"/>
      <c r="GY10" s="108"/>
      <c r="GZ10" s="108"/>
      <c r="HA10" s="108"/>
      <c r="HB10" s="108"/>
      <c r="HC10" s="108"/>
      <c r="HD10" s="108"/>
      <c r="HE10" s="108"/>
      <c r="HF10" s="108"/>
      <c r="HG10" s="108"/>
      <c r="HH10" s="108"/>
      <c r="HI10" s="108"/>
      <c r="HJ10" s="108"/>
      <c r="HK10" s="108"/>
      <c r="HL10" s="108"/>
      <c r="HM10" s="108"/>
      <c r="HN10" s="108"/>
      <c r="HO10" s="108"/>
      <c r="HP10" s="108"/>
      <c r="HQ10" s="108"/>
      <c r="HR10" s="108"/>
      <c r="HS10" s="108"/>
      <c r="HT10" s="108"/>
      <c r="HU10" s="108"/>
      <c r="HV10" s="108"/>
      <c r="HW10" s="108"/>
      <c r="HX10" s="108"/>
      <c r="HY10" s="108"/>
      <c r="HZ10" s="108"/>
      <c r="IA10" s="108"/>
      <c r="IB10" s="108"/>
      <c r="IC10" s="108"/>
      <c r="ID10" s="108"/>
      <c r="IE10" s="108"/>
      <c r="IF10" s="108"/>
      <c r="IG10" s="108"/>
      <c r="IH10" s="108"/>
      <c r="II10" s="108"/>
      <c r="IJ10" s="108"/>
      <c r="IK10" s="108"/>
      <c r="IL10" s="108"/>
      <c r="IM10" s="108"/>
      <c r="IN10" s="108"/>
      <c r="IO10" s="108"/>
      <c r="IP10" s="108"/>
      <c r="IQ10" s="108"/>
      <c r="IR10" s="108"/>
      <c r="IS10" s="108"/>
      <c r="IT10" s="108"/>
      <c r="IU10" s="108"/>
      <c r="IV10" s="108"/>
      <c r="IW10" s="108"/>
      <c r="IX10" s="108"/>
      <c r="IY10" s="108"/>
      <c r="IZ10" s="108"/>
      <c r="JA10" s="108"/>
      <c r="JB10" s="108"/>
      <c r="JC10" s="108"/>
      <c r="JD10" s="108"/>
      <c r="JE10" s="108"/>
      <c r="JF10" s="108"/>
      <c r="JG10" s="108"/>
      <c r="JH10" s="108"/>
      <c r="JI10" s="108"/>
      <c r="JJ10" s="108"/>
      <c r="JK10" s="108"/>
      <c r="JL10" s="108"/>
      <c r="JM10" s="108"/>
      <c r="JN10" s="108"/>
      <c r="JO10" s="108"/>
      <c r="JP10" s="108"/>
      <c r="JQ10" s="108"/>
      <c r="JR10" s="108"/>
      <c r="JS10" s="108"/>
      <c r="JT10" s="108"/>
      <c r="JU10" s="108"/>
      <c r="JV10" s="108"/>
      <c r="JW10" s="108"/>
      <c r="JX10" s="108"/>
      <c r="JY10" s="108"/>
      <c r="JZ10" s="108"/>
      <c r="KA10" s="108"/>
      <c r="KB10" s="108"/>
      <c r="KC10" s="108"/>
      <c r="KD10" s="108"/>
      <c r="KE10" s="108"/>
      <c r="KF10" s="108"/>
      <c r="KG10" s="108"/>
      <c r="KH10" s="108"/>
      <c r="KI10" s="108"/>
      <c r="KJ10" s="108"/>
      <c r="KK10" s="108"/>
      <c r="KL10" s="108"/>
      <c r="KM10" s="108"/>
      <c r="KN10" s="108"/>
      <c r="KO10" s="108"/>
      <c r="KP10" s="108"/>
      <c r="KQ10" s="108"/>
      <c r="KR10" s="108"/>
      <c r="KS10" s="108"/>
      <c r="KT10" s="108"/>
      <c r="KU10" s="108"/>
      <c r="KV10" s="108"/>
      <c r="KW10" s="108"/>
      <c r="KX10" s="108"/>
      <c r="KY10" s="108"/>
      <c r="KZ10" s="108"/>
      <c r="LA10" s="108"/>
      <c r="LB10" s="108"/>
      <c r="LC10" s="108"/>
      <c r="LD10" s="108"/>
      <c r="LE10" s="108"/>
      <c r="LF10" s="108"/>
      <c r="LG10" s="108"/>
      <c r="LH10" s="108"/>
      <c r="LI10" s="108"/>
      <c r="LJ10" s="108"/>
      <c r="LK10" s="108"/>
      <c r="LL10" s="108"/>
      <c r="LM10" s="108"/>
      <c r="LN10" s="108"/>
      <c r="LO10" s="108"/>
      <c r="LP10" s="108"/>
    </row>
    <row r="11" spans="2:328" s="67" customFormat="1" x14ac:dyDescent="0.2">
      <c r="B11" s="144" t="str">
        <f>CONCATENATE("Jan","-",MID(TEXT($P$4,0),3,2))</f>
        <v>Jan-24</v>
      </c>
      <c r="C11" s="109">
        <f>IF($G51&lt;$J$52,"",IF($G51&gt;$J$54,"",VLOOKUP($G51,SBPE_Mensal!$A$20:$G$578,2)))</f>
        <v>286620.53999999998</v>
      </c>
      <c r="D11" s="110">
        <f>IF(G51&lt;$J$52,"",IF(G51&gt;$J$54,"",VLOOKUP(G51,SBPE_Mensal!$A$20:$G$578,3)))</f>
        <v>302893.14899999998</v>
      </c>
      <c r="E11" s="109">
        <f>IF(G51&lt;$J$52,"",IF(G51&gt;$J$54,"",VLOOKUP(G51,SBPE_Mensal!$A$20:$G$578,4)))</f>
        <v>-16272.608999999997</v>
      </c>
      <c r="F11" s="111">
        <f>IF(G51&lt;$J$52,"",IF(G51&gt;$J$54,"",VLOOKUP(G51,SBPE_Mensal!$A$20:$G$578,5)))</f>
        <v>-2.1781578731021201</v>
      </c>
      <c r="G11" s="110">
        <f>IF(G51&lt;$J$52,"",IF(G51&gt;$J$54,"",VLOOKUP(G51,SBPE_Mensal!$A$20:$G$578,6)))</f>
        <v>3909.848</v>
      </c>
      <c r="H11" s="109">
        <f>IF(G51&lt;$J$52,"",IF(G51&gt;$J$54,"",VLOOKUP(G51,SBPE_Mensal!$A$20:$G$578,7)))</f>
        <v>734718.48800000001</v>
      </c>
      <c r="K11" s="112"/>
      <c r="T11" s="108"/>
      <c r="U11" s="103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08"/>
      <c r="CZ11" s="108"/>
      <c r="DA11" s="108"/>
      <c r="DB11" s="108"/>
      <c r="DC11" s="108"/>
      <c r="DD11" s="108"/>
      <c r="DE11" s="108"/>
      <c r="DF11" s="108"/>
      <c r="DG11" s="108"/>
      <c r="DH11" s="108"/>
      <c r="DI11" s="108"/>
      <c r="DJ11" s="108"/>
      <c r="DK11" s="108"/>
      <c r="DL11" s="108"/>
      <c r="DM11" s="108"/>
      <c r="DN11" s="108"/>
      <c r="DO11" s="108"/>
      <c r="DP11" s="108"/>
      <c r="DQ11" s="108"/>
      <c r="DR11" s="108"/>
      <c r="DS11" s="108"/>
      <c r="DT11" s="108"/>
      <c r="DU11" s="108"/>
      <c r="DV11" s="108"/>
      <c r="DW11" s="108"/>
      <c r="DX11" s="108"/>
      <c r="DY11" s="108"/>
      <c r="DZ11" s="108"/>
      <c r="EA11" s="108"/>
      <c r="EB11" s="108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  <c r="EM11" s="108"/>
      <c r="EN11" s="108"/>
      <c r="EO11" s="108"/>
      <c r="EP11" s="108"/>
      <c r="EQ11" s="108"/>
      <c r="ER11" s="108"/>
      <c r="ES11" s="108"/>
      <c r="ET11" s="108"/>
      <c r="EU11" s="108"/>
      <c r="EV11" s="108"/>
      <c r="EW11" s="108"/>
      <c r="EX11" s="108"/>
      <c r="EY11" s="108"/>
      <c r="EZ11" s="108"/>
      <c r="FA11" s="108"/>
      <c r="FB11" s="108"/>
      <c r="FC11" s="108"/>
      <c r="FD11" s="108"/>
      <c r="FE11" s="108"/>
      <c r="FF11" s="108"/>
      <c r="FG11" s="108"/>
      <c r="FH11" s="108"/>
      <c r="FI11" s="108"/>
      <c r="FJ11" s="108"/>
      <c r="FK11" s="108"/>
      <c r="FL11" s="108"/>
      <c r="FM11" s="108"/>
      <c r="FN11" s="108"/>
      <c r="FO11" s="108"/>
      <c r="FP11" s="108"/>
      <c r="FQ11" s="108"/>
      <c r="FR11" s="108"/>
      <c r="FS11" s="108"/>
      <c r="FT11" s="108"/>
      <c r="FU11" s="108"/>
      <c r="FV11" s="108"/>
      <c r="FW11" s="108"/>
      <c r="FX11" s="108"/>
      <c r="FY11" s="108"/>
      <c r="FZ11" s="108"/>
      <c r="GA11" s="108"/>
      <c r="GB11" s="108"/>
      <c r="GC11" s="108"/>
      <c r="GD11" s="108"/>
      <c r="GE11" s="108"/>
      <c r="GF11" s="108"/>
      <c r="GG11" s="108"/>
      <c r="GH11" s="108"/>
      <c r="GI11" s="108"/>
      <c r="GJ11" s="108"/>
      <c r="GK11" s="108"/>
      <c r="GL11" s="108"/>
      <c r="GM11" s="108"/>
      <c r="GN11" s="108"/>
      <c r="GO11" s="108"/>
      <c r="GP11" s="108"/>
      <c r="GQ11" s="108"/>
      <c r="GR11" s="108"/>
      <c r="GS11" s="108"/>
      <c r="GT11" s="108"/>
      <c r="GU11" s="108"/>
      <c r="GV11" s="108"/>
      <c r="GW11" s="108"/>
      <c r="GX11" s="108"/>
      <c r="GY11" s="108"/>
      <c r="GZ11" s="108"/>
      <c r="HA11" s="108"/>
      <c r="HB11" s="108"/>
      <c r="HC11" s="108"/>
      <c r="HD11" s="108"/>
      <c r="HE11" s="108"/>
      <c r="HF11" s="108"/>
      <c r="HG11" s="108"/>
      <c r="HH11" s="108"/>
      <c r="HI11" s="108"/>
      <c r="HJ11" s="108"/>
      <c r="HK11" s="108"/>
      <c r="HL11" s="108"/>
      <c r="HM11" s="108"/>
      <c r="HN11" s="108"/>
      <c r="HO11" s="108"/>
      <c r="HP11" s="108"/>
      <c r="HQ11" s="108"/>
      <c r="HR11" s="108"/>
      <c r="HS11" s="108"/>
      <c r="HT11" s="108"/>
      <c r="HU11" s="108"/>
      <c r="HV11" s="108"/>
      <c r="HW11" s="108"/>
      <c r="HX11" s="108"/>
      <c r="HY11" s="108"/>
      <c r="HZ11" s="108"/>
      <c r="IA11" s="108"/>
      <c r="IB11" s="108"/>
      <c r="IC11" s="108"/>
      <c r="ID11" s="108"/>
      <c r="IE11" s="108"/>
      <c r="IF11" s="108"/>
      <c r="IG11" s="108"/>
      <c r="IH11" s="108"/>
      <c r="II11" s="108"/>
      <c r="IJ11" s="108"/>
      <c r="IK11" s="108"/>
      <c r="IL11" s="108"/>
      <c r="IM11" s="108"/>
      <c r="IN11" s="108"/>
      <c r="IO11" s="108"/>
      <c r="IP11" s="108"/>
      <c r="IQ11" s="108"/>
      <c r="IR11" s="108"/>
      <c r="IS11" s="108"/>
      <c r="IT11" s="108"/>
      <c r="IU11" s="108"/>
      <c r="IV11" s="108"/>
      <c r="IW11" s="108"/>
      <c r="IX11" s="108"/>
      <c r="IY11" s="108"/>
      <c r="IZ11" s="108"/>
      <c r="JA11" s="108"/>
      <c r="JB11" s="108"/>
      <c r="JC11" s="108"/>
      <c r="JD11" s="108"/>
      <c r="JE11" s="108"/>
      <c r="JF11" s="108"/>
      <c r="JG11" s="108"/>
      <c r="JH11" s="108"/>
      <c r="JI11" s="108"/>
      <c r="JJ11" s="108"/>
      <c r="JK11" s="108"/>
      <c r="JL11" s="108"/>
      <c r="JM11" s="108"/>
      <c r="JN11" s="108"/>
      <c r="JO11" s="108"/>
      <c r="JP11" s="108"/>
      <c r="JQ11" s="108"/>
      <c r="JR11" s="108"/>
      <c r="JS11" s="108"/>
      <c r="JT11" s="108"/>
      <c r="JU11" s="108"/>
      <c r="JV11" s="108"/>
      <c r="JW11" s="108"/>
      <c r="JX11" s="108"/>
      <c r="JY11" s="108"/>
      <c r="JZ11" s="108"/>
      <c r="KA11" s="108"/>
      <c r="KB11" s="108"/>
      <c r="KC11" s="108"/>
      <c r="KD11" s="108"/>
      <c r="KE11" s="108"/>
      <c r="KF11" s="108"/>
      <c r="KG11" s="108"/>
      <c r="KH11" s="108"/>
      <c r="KI11" s="108"/>
      <c r="KJ11" s="108"/>
      <c r="KK11" s="108"/>
      <c r="KL11" s="108"/>
      <c r="KM11" s="108"/>
      <c r="KN11" s="108"/>
      <c r="KO11" s="108"/>
      <c r="KP11" s="108"/>
      <c r="KQ11" s="108"/>
      <c r="KR11" s="108"/>
      <c r="KS11" s="108"/>
      <c r="KT11" s="108"/>
      <c r="KU11" s="108"/>
      <c r="KV11" s="108"/>
      <c r="KW11" s="108"/>
      <c r="KX11" s="108"/>
      <c r="KY11" s="108"/>
      <c r="KZ11" s="108"/>
      <c r="LA11" s="108"/>
      <c r="LB11" s="108"/>
      <c r="LC11" s="108"/>
      <c r="LD11" s="108"/>
      <c r="LE11" s="108"/>
      <c r="LF11" s="108"/>
      <c r="LG11" s="108"/>
      <c r="LH11" s="108"/>
      <c r="LI11" s="108"/>
      <c r="LJ11" s="108"/>
      <c r="LK11" s="108"/>
      <c r="LL11" s="108"/>
      <c r="LM11" s="108"/>
      <c r="LN11" s="108"/>
      <c r="LO11" s="108"/>
      <c r="LP11" s="108"/>
    </row>
    <row r="12" spans="2:328" s="67" customFormat="1" x14ac:dyDescent="0.2">
      <c r="B12" s="144" t="str">
        <f>CONCATENATE("Fev","-",MID(TEXT($P$4,0),3,2))</f>
        <v>Fev-24</v>
      </c>
      <c r="C12" s="109">
        <f>IF($G52&lt;$J$52,"",IF($G52&gt;$J$54,"",VLOOKUP($G52,SBPE_Mensal!$A$20:$G$578,2)))</f>
        <v>269711.14899999998</v>
      </c>
      <c r="D12" s="110">
        <f>IF(G52&lt;$J$52,"",IF(G52&gt;$J$54,"",VLOOKUP(G52,SBPE_Mensal!$A$20:$G$578,3)))</f>
        <v>273063.30200000003</v>
      </c>
      <c r="E12" s="109">
        <f>IF(G52&lt;$J$52,"",IF(G52&gt;$J$54,"",VLOOKUP(G52,SBPE_Mensal!$A$20:$G$578,4)))</f>
        <v>-3352.1530000000494</v>
      </c>
      <c r="F12" s="111">
        <f>IF(G52&lt;$J$52,"",IF(G52&gt;$J$54,"",VLOOKUP(G52,SBPE_Mensal!$A$20:$G$578,5)))</f>
        <v>-0.45624998618519175</v>
      </c>
      <c r="G12" s="110">
        <f>IF(G52&lt;$J$52,"",IF(G52&gt;$J$54,"",VLOOKUP(G52,SBPE_Mensal!$A$20:$G$578,6)))</f>
        <v>4035.0189999999998</v>
      </c>
      <c r="H12" s="109">
        <f>IF(G52&lt;$J$52,"",IF(G52&gt;$J$54,"",VLOOKUP(G52,SBPE_Mensal!$A$20:$G$578,7)))</f>
        <v>735403.25399999996</v>
      </c>
      <c r="T12" s="108"/>
      <c r="U12" s="103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08"/>
      <c r="CZ12" s="108"/>
      <c r="DA12" s="108"/>
      <c r="DB12" s="108"/>
      <c r="DC12" s="108"/>
      <c r="DD12" s="108"/>
      <c r="DE12" s="108"/>
      <c r="DF12" s="108"/>
      <c r="DG12" s="108"/>
      <c r="DH12" s="108"/>
      <c r="DI12" s="108"/>
      <c r="DJ12" s="108"/>
      <c r="DK12" s="108"/>
      <c r="DL12" s="108"/>
      <c r="DM12" s="108"/>
      <c r="DN12" s="108"/>
      <c r="DO12" s="108"/>
      <c r="DP12" s="108"/>
      <c r="DQ12" s="108"/>
      <c r="DR12" s="108"/>
      <c r="DS12" s="108"/>
      <c r="DT12" s="108"/>
      <c r="DU12" s="108"/>
      <c r="DV12" s="108"/>
      <c r="DW12" s="108"/>
      <c r="DX12" s="108"/>
      <c r="DY12" s="108"/>
      <c r="DZ12" s="108"/>
      <c r="EA12" s="108"/>
      <c r="EB12" s="108"/>
      <c r="EC12" s="108"/>
      <c r="ED12" s="108"/>
      <c r="EE12" s="108"/>
      <c r="EF12" s="108"/>
      <c r="EG12" s="108"/>
      <c r="EH12" s="108"/>
      <c r="EI12" s="108"/>
      <c r="EJ12" s="108"/>
      <c r="EK12" s="108"/>
      <c r="EL12" s="108"/>
      <c r="EM12" s="108"/>
      <c r="EN12" s="108"/>
      <c r="EO12" s="108"/>
      <c r="EP12" s="108"/>
      <c r="EQ12" s="108"/>
      <c r="ER12" s="108"/>
      <c r="ES12" s="108"/>
      <c r="ET12" s="108"/>
      <c r="EU12" s="108"/>
      <c r="EV12" s="108"/>
      <c r="EW12" s="108"/>
      <c r="EX12" s="108"/>
      <c r="EY12" s="108"/>
      <c r="EZ12" s="108"/>
      <c r="FA12" s="108"/>
      <c r="FB12" s="108"/>
      <c r="FC12" s="108"/>
      <c r="FD12" s="108"/>
      <c r="FE12" s="108"/>
      <c r="FF12" s="108"/>
      <c r="FG12" s="108"/>
      <c r="FH12" s="108"/>
      <c r="FI12" s="108"/>
      <c r="FJ12" s="108"/>
      <c r="FK12" s="108"/>
      <c r="FL12" s="108"/>
      <c r="FM12" s="108"/>
      <c r="FN12" s="108"/>
      <c r="FO12" s="108"/>
      <c r="FP12" s="108"/>
      <c r="FQ12" s="108"/>
      <c r="FR12" s="108"/>
      <c r="FS12" s="108"/>
      <c r="FT12" s="108"/>
      <c r="FU12" s="108"/>
      <c r="FV12" s="108"/>
      <c r="FW12" s="108"/>
      <c r="FX12" s="108"/>
      <c r="FY12" s="108"/>
      <c r="FZ12" s="108"/>
      <c r="GA12" s="108"/>
      <c r="GB12" s="108"/>
      <c r="GC12" s="108"/>
      <c r="GD12" s="108"/>
      <c r="GE12" s="108"/>
      <c r="GF12" s="108"/>
      <c r="GG12" s="108"/>
      <c r="GH12" s="108"/>
      <c r="GI12" s="108"/>
      <c r="GJ12" s="108"/>
      <c r="GK12" s="108"/>
      <c r="GL12" s="108"/>
      <c r="GM12" s="108"/>
      <c r="GN12" s="108"/>
      <c r="GO12" s="108"/>
      <c r="GP12" s="108"/>
      <c r="GQ12" s="108"/>
      <c r="GR12" s="108"/>
      <c r="GS12" s="108"/>
      <c r="GT12" s="108"/>
      <c r="GU12" s="108"/>
      <c r="GV12" s="108"/>
      <c r="GW12" s="108"/>
      <c r="GX12" s="108"/>
      <c r="GY12" s="108"/>
      <c r="GZ12" s="108"/>
      <c r="HA12" s="108"/>
      <c r="HB12" s="108"/>
      <c r="HC12" s="108"/>
      <c r="HD12" s="108"/>
      <c r="HE12" s="108"/>
      <c r="HF12" s="108"/>
      <c r="HG12" s="108"/>
      <c r="HH12" s="108"/>
      <c r="HI12" s="108"/>
      <c r="HJ12" s="108"/>
      <c r="HK12" s="108"/>
      <c r="HL12" s="108"/>
      <c r="HM12" s="108"/>
      <c r="HN12" s="108"/>
      <c r="HO12" s="108"/>
      <c r="HP12" s="108"/>
      <c r="HQ12" s="108"/>
      <c r="HR12" s="108"/>
      <c r="HS12" s="108"/>
      <c r="HT12" s="108"/>
      <c r="HU12" s="108"/>
      <c r="HV12" s="108"/>
      <c r="HW12" s="108"/>
      <c r="HX12" s="108"/>
      <c r="HY12" s="108"/>
      <c r="HZ12" s="108"/>
      <c r="IA12" s="108"/>
      <c r="IB12" s="108"/>
      <c r="IC12" s="108"/>
      <c r="ID12" s="108"/>
      <c r="IE12" s="108"/>
      <c r="IF12" s="108"/>
      <c r="IG12" s="108"/>
      <c r="IH12" s="108"/>
      <c r="II12" s="108"/>
      <c r="IJ12" s="108"/>
      <c r="IK12" s="108"/>
      <c r="IL12" s="108"/>
      <c r="IM12" s="108"/>
      <c r="IN12" s="108"/>
      <c r="IO12" s="108"/>
      <c r="IP12" s="108"/>
      <c r="IQ12" s="108"/>
      <c r="IR12" s="108"/>
      <c r="IS12" s="108"/>
      <c r="IT12" s="108"/>
      <c r="IU12" s="108"/>
      <c r="IV12" s="108"/>
      <c r="IW12" s="108"/>
      <c r="IX12" s="108"/>
      <c r="IY12" s="108"/>
      <c r="IZ12" s="108"/>
      <c r="JA12" s="108"/>
      <c r="JB12" s="108"/>
      <c r="JC12" s="108"/>
      <c r="JD12" s="108"/>
      <c r="JE12" s="108"/>
      <c r="JF12" s="108"/>
      <c r="JG12" s="108"/>
      <c r="JH12" s="108"/>
      <c r="JI12" s="108"/>
      <c r="JJ12" s="108"/>
      <c r="JK12" s="108"/>
      <c r="JL12" s="108"/>
      <c r="JM12" s="108"/>
      <c r="JN12" s="108"/>
      <c r="JO12" s="108"/>
      <c r="JP12" s="108"/>
      <c r="JQ12" s="108"/>
      <c r="JR12" s="108"/>
      <c r="JS12" s="108"/>
      <c r="JT12" s="108"/>
      <c r="JU12" s="108"/>
      <c r="JV12" s="108"/>
      <c r="JW12" s="108"/>
      <c r="JX12" s="108"/>
      <c r="JY12" s="108"/>
      <c r="JZ12" s="108"/>
      <c r="KA12" s="108"/>
      <c r="KB12" s="108"/>
      <c r="KC12" s="108"/>
      <c r="KD12" s="108"/>
      <c r="KE12" s="108"/>
      <c r="KF12" s="108"/>
      <c r="KG12" s="108"/>
      <c r="KH12" s="108"/>
      <c r="KI12" s="108"/>
      <c r="KJ12" s="108"/>
      <c r="KK12" s="108"/>
      <c r="KL12" s="108"/>
      <c r="KM12" s="108"/>
      <c r="KN12" s="108"/>
      <c r="KO12" s="108"/>
      <c r="KP12" s="108"/>
      <c r="KQ12" s="108"/>
      <c r="KR12" s="108"/>
      <c r="KS12" s="108"/>
      <c r="KT12" s="108"/>
      <c r="KU12" s="108"/>
      <c r="KV12" s="108"/>
      <c r="KW12" s="108"/>
      <c r="KX12" s="108"/>
      <c r="KY12" s="108"/>
      <c r="KZ12" s="108"/>
      <c r="LA12" s="108"/>
      <c r="LB12" s="108"/>
      <c r="LC12" s="108"/>
      <c r="LD12" s="108"/>
      <c r="LE12" s="108"/>
      <c r="LF12" s="108"/>
      <c r="LG12" s="108"/>
      <c r="LH12" s="108"/>
      <c r="LI12" s="108"/>
      <c r="LJ12" s="108"/>
      <c r="LK12" s="108"/>
      <c r="LL12" s="108"/>
      <c r="LM12" s="108"/>
      <c r="LN12" s="108"/>
      <c r="LO12" s="108"/>
      <c r="LP12" s="108"/>
    </row>
    <row r="13" spans="2:328" s="67" customFormat="1" x14ac:dyDescent="0.2">
      <c r="B13" s="144" t="str">
        <f>CONCATENATE("Mar","-",MID(TEXT($P$4,0),3,2))</f>
        <v>Mar-24</v>
      </c>
      <c r="C13" s="109">
        <f>IF($G53&lt;$J$52,"",IF($G53&gt;$J$54,"",VLOOKUP($G53,SBPE_Mensal!$A$20:$G$578,2)))</f>
        <v>280385.45</v>
      </c>
      <c r="D13" s="110">
        <f>IF(G53&lt;$J$52,"",IF(G53&gt;$J$54,"",VLOOKUP(G53,SBPE_Mensal!$A$20:$G$578,3)))</f>
        <v>280044.37</v>
      </c>
      <c r="E13" s="109">
        <f>IF(G53&lt;$J$52,"",IF(G53&gt;$J$54,"",VLOOKUP(G53,SBPE_Mensal!$A$20:$G$578,4)))</f>
        <v>341.0800000000163</v>
      </c>
      <c r="F13" s="111">
        <f>IF(G53&lt;$J$52,"",IF(G53&gt;$J$54,"",VLOOKUP(G53,SBPE_Mensal!$A$20:$G$578,5)))</f>
        <v>4.6379996028684464E-2</v>
      </c>
      <c r="G13" s="110">
        <f>IF(G53&lt;$J$52,"",IF(G53&gt;$J$54,"",VLOOKUP(G53,SBPE_Mensal!$A$20:$G$578,6)))</f>
        <v>3677.2080000000001</v>
      </c>
      <c r="H13" s="109">
        <f>IF(G53&lt;$J$52,"",IF(G53&gt;$J$54,"",VLOOKUP(G53,SBPE_Mensal!$A$20:$G$578,7)))</f>
        <v>739421.53799999994</v>
      </c>
      <c r="T13" s="108"/>
      <c r="U13" s="103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8"/>
      <c r="CV13" s="108"/>
      <c r="CW13" s="108"/>
      <c r="CX13" s="108"/>
      <c r="CY13" s="108"/>
      <c r="CZ13" s="108"/>
      <c r="DA13" s="108"/>
      <c r="DB13" s="108"/>
      <c r="DC13" s="108"/>
      <c r="DD13" s="108"/>
      <c r="DE13" s="108"/>
      <c r="DF13" s="108"/>
      <c r="DG13" s="108"/>
      <c r="DH13" s="108"/>
      <c r="DI13" s="108"/>
      <c r="DJ13" s="108"/>
      <c r="DK13" s="108"/>
      <c r="DL13" s="108"/>
      <c r="DM13" s="108"/>
      <c r="DN13" s="108"/>
      <c r="DO13" s="108"/>
      <c r="DP13" s="108"/>
      <c r="DQ13" s="108"/>
      <c r="DR13" s="108"/>
      <c r="DS13" s="108"/>
      <c r="DT13" s="108"/>
      <c r="DU13" s="108"/>
      <c r="DV13" s="108"/>
      <c r="DW13" s="108"/>
      <c r="DX13" s="108"/>
      <c r="DY13" s="108"/>
      <c r="DZ13" s="108"/>
      <c r="EA13" s="108"/>
      <c r="EB13" s="108"/>
      <c r="EC13" s="108"/>
      <c r="ED13" s="108"/>
      <c r="EE13" s="108"/>
      <c r="EF13" s="108"/>
      <c r="EG13" s="108"/>
      <c r="EH13" s="108"/>
      <c r="EI13" s="108"/>
      <c r="EJ13" s="108"/>
      <c r="EK13" s="108"/>
      <c r="EL13" s="108"/>
      <c r="EM13" s="108"/>
      <c r="EN13" s="108"/>
      <c r="EO13" s="108"/>
      <c r="EP13" s="108"/>
      <c r="EQ13" s="108"/>
      <c r="ER13" s="108"/>
      <c r="ES13" s="108"/>
      <c r="ET13" s="108"/>
      <c r="EU13" s="108"/>
      <c r="EV13" s="108"/>
      <c r="EW13" s="108"/>
      <c r="EX13" s="108"/>
      <c r="EY13" s="108"/>
      <c r="EZ13" s="108"/>
      <c r="FA13" s="108"/>
      <c r="FB13" s="108"/>
      <c r="FC13" s="108"/>
      <c r="FD13" s="108"/>
      <c r="FE13" s="108"/>
      <c r="FF13" s="108"/>
      <c r="FG13" s="108"/>
      <c r="FH13" s="108"/>
      <c r="FI13" s="108"/>
      <c r="FJ13" s="108"/>
      <c r="FK13" s="108"/>
      <c r="FL13" s="108"/>
      <c r="FM13" s="108"/>
      <c r="FN13" s="108"/>
      <c r="FO13" s="108"/>
      <c r="FP13" s="108"/>
      <c r="FQ13" s="108"/>
      <c r="FR13" s="108"/>
      <c r="FS13" s="108"/>
      <c r="FT13" s="108"/>
      <c r="FU13" s="108"/>
      <c r="FV13" s="108"/>
      <c r="FW13" s="108"/>
      <c r="FX13" s="108"/>
      <c r="FY13" s="108"/>
      <c r="FZ13" s="108"/>
      <c r="GA13" s="108"/>
      <c r="GB13" s="108"/>
      <c r="GC13" s="108"/>
      <c r="GD13" s="108"/>
      <c r="GE13" s="108"/>
      <c r="GF13" s="108"/>
      <c r="GG13" s="108"/>
      <c r="GH13" s="108"/>
      <c r="GI13" s="108"/>
      <c r="GJ13" s="108"/>
      <c r="GK13" s="108"/>
      <c r="GL13" s="108"/>
      <c r="GM13" s="108"/>
      <c r="GN13" s="108"/>
      <c r="GO13" s="108"/>
      <c r="GP13" s="108"/>
      <c r="GQ13" s="108"/>
      <c r="GR13" s="108"/>
      <c r="GS13" s="108"/>
      <c r="GT13" s="108"/>
      <c r="GU13" s="108"/>
      <c r="GV13" s="108"/>
      <c r="GW13" s="108"/>
      <c r="GX13" s="108"/>
      <c r="GY13" s="108"/>
      <c r="GZ13" s="108"/>
      <c r="HA13" s="108"/>
      <c r="HB13" s="108"/>
      <c r="HC13" s="108"/>
      <c r="HD13" s="108"/>
      <c r="HE13" s="108"/>
      <c r="HF13" s="108"/>
      <c r="HG13" s="108"/>
      <c r="HH13" s="108"/>
      <c r="HI13" s="108"/>
      <c r="HJ13" s="108"/>
      <c r="HK13" s="108"/>
      <c r="HL13" s="108"/>
      <c r="HM13" s="108"/>
      <c r="HN13" s="108"/>
      <c r="HO13" s="108"/>
      <c r="HP13" s="108"/>
      <c r="HQ13" s="108"/>
      <c r="HR13" s="108"/>
      <c r="HS13" s="108"/>
      <c r="HT13" s="108"/>
      <c r="HU13" s="108"/>
      <c r="HV13" s="108"/>
      <c r="HW13" s="108"/>
      <c r="HX13" s="108"/>
      <c r="HY13" s="108"/>
      <c r="HZ13" s="108"/>
      <c r="IA13" s="108"/>
      <c r="IB13" s="108"/>
      <c r="IC13" s="108"/>
      <c r="ID13" s="108"/>
      <c r="IE13" s="108"/>
      <c r="IF13" s="108"/>
      <c r="IG13" s="108"/>
      <c r="IH13" s="108"/>
      <c r="II13" s="108"/>
      <c r="IJ13" s="108"/>
      <c r="IK13" s="108"/>
      <c r="IL13" s="108"/>
      <c r="IM13" s="108"/>
      <c r="IN13" s="108"/>
      <c r="IO13" s="108"/>
      <c r="IP13" s="108"/>
      <c r="IQ13" s="108"/>
      <c r="IR13" s="108"/>
      <c r="IS13" s="108"/>
      <c r="IT13" s="108"/>
      <c r="IU13" s="108"/>
      <c r="IV13" s="108"/>
      <c r="IW13" s="108"/>
      <c r="IX13" s="108"/>
      <c r="IY13" s="108"/>
      <c r="IZ13" s="108"/>
      <c r="JA13" s="108"/>
      <c r="JB13" s="108"/>
      <c r="JC13" s="108"/>
      <c r="JD13" s="108"/>
      <c r="JE13" s="108"/>
      <c r="JF13" s="108"/>
      <c r="JG13" s="108"/>
      <c r="JH13" s="108"/>
      <c r="JI13" s="108"/>
      <c r="JJ13" s="108"/>
      <c r="JK13" s="108"/>
      <c r="JL13" s="108"/>
      <c r="JM13" s="108"/>
      <c r="JN13" s="108"/>
      <c r="JO13" s="108"/>
      <c r="JP13" s="108"/>
      <c r="JQ13" s="108"/>
      <c r="JR13" s="108"/>
      <c r="JS13" s="108"/>
      <c r="JT13" s="108"/>
      <c r="JU13" s="108"/>
      <c r="JV13" s="108"/>
      <c r="JW13" s="108"/>
      <c r="JX13" s="108"/>
      <c r="JY13" s="108"/>
      <c r="JZ13" s="108"/>
      <c r="KA13" s="108"/>
      <c r="KB13" s="108"/>
      <c r="KC13" s="108"/>
      <c r="KD13" s="108"/>
      <c r="KE13" s="108"/>
      <c r="KF13" s="108"/>
      <c r="KG13" s="108"/>
      <c r="KH13" s="108"/>
      <c r="KI13" s="108"/>
      <c r="KJ13" s="108"/>
      <c r="KK13" s="108"/>
      <c r="KL13" s="108"/>
      <c r="KM13" s="108"/>
      <c r="KN13" s="108"/>
      <c r="KO13" s="108"/>
      <c r="KP13" s="108"/>
      <c r="KQ13" s="108"/>
      <c r="KR13" s="108"/>
      <c r="KS13" s="108"/>
      <c r="KT13" s="108"/>
      <c r="KU13" s="108"/>
      <c r="KV13" s="108"/>
      <c r="KW13" s="108"/>
      <c r="KX13" s="108"/>
      <c r="KY13" s="108"/>
      <c r="KZ13" s="108"/>
      <c r="LA13" s="108"/>
      <c r="LB13" s="108"/>
      <c r="LC13" s="108"/>
      <c r="LD13" s="108"/>
      <c r="LE13" s="108"/>
      <c r="LF13" s="108"/>
      <c r="LG13" s="108"/>
      <c r="LH13" s="108"/>
      <c r="LI13" s="108"/>
      <c r="LJ13" s="108"/>
      <c r="LK13" s="108"/>
      <c r="LL13" s="108"/>
      <c r="LM13" s="108"/>
      <c r="LN13" s="108"/>
      <c r="LO13" s="108"/>
      <c r="LP13" s="108"/>
    </row>
    <row r="14" spans="2:328" s="67" customFormat="1" x14ac:dyDescent="0.2">
      <c r="B14" s="144" t="str">
        <f>CONCATENATE("Abr","-",MID(TEXT($P$4,0),3,2))</f>
        <v>Abr-24</v>
      </c>
      <c r="C14" s="109">
        <f>IF($G54&lt;$J$52,"",IF($G54&gt;$J$54,"",VLOOKUP($G54,SBPE_Mensal!$A$20:$G$578,2)))</f>
        <v>303929.28499999997</v>
      </c>
      <c r="D14" s="110">
        <f>IF(G54&lt;$J$52,"",IF(G54&gt;$J$54,"",VLOOKUP(G54,SBPE_Mensal!$A$20:$G$578,3)))</f>
        <v>306957.98700000002</v>
      </c>
      <c r="E14" s="109">
        <f>IF(G54&lt;$J$52,"",IF(G54&gt;$J$54,"",VLOOKUP(G54,SBPE_Mensal!$A$20:$G$578,4)))</f>
        <v>-3028.7020000000484</v>
      </c>
      <c r="F14" s="111">
        <f>IF(G54&lt;$J$52,"",IF(G54&gt;$J$54,"",VLOOKUP(G54,SBPE_Mensal!$A$20:$G$578,5)))</f>
        <v>-0.40960424390559863</v>
      </c>
      <c r="G14" s="110">
        <f>IF(G54&lt;$J$52,"",IF(G54&gt;$J$54,"",VLOOKUP(G54,SBPE_Mensal!$A$20:$G$578,6)))</f>
        <v>3902.5610000000001</v>
      </c>
      <c r="H14" s="109">
        <f>IF(G54&lt;$J$52,"",IF(G54&gt;$J$54,"",VLOOKUP(G54,SBPE_Mensal!$A$20:$G$578,7)))</f>
        <v>740295.40099999995</v>
      </c>
      <c r="T14" s="108"/>
      <c r="U14" s="103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08"/>
      <c r="CZ14" s="108"/>
      <c r="DA14" s="108"/>
      <c r="DB14" s="108"/>
      <c r="DC14" s="108"/>
      <c r="DD14" s="108"/>
      <c r="DE14" s="108"/>
      <c r="DF14" s="108"/>
      <c r="DG14" s="108"/>
      <c r="DH14" s="108"/>
      <c r="DI14" s="108"/>
      <c r="DJ14" s="108"/>
      <c r="DK14" s="108"/>
      <c r="DL14" s="108"/>
      <c r="DM14" s="108"/>
      <c r="DN14" s="108"/>
      <c r="DO14" s="108"/>
      <c r="DP14" s="108"/>
      <c r="DQ14" s="108"/>
      <c r="DR14" s="108"/>
      <c r="DS14" s="108"/>
      <c r="DT14" s="108"/>
      <c r="DU14" s="108"/>
      <c r="DV14" s="108"/>
      <c r="DW14" s="108"/>
      <c r="DX14" s="108"/>
      <c r="DY14" s="108"/>
      <c r="DZ14" s="108"/>
      <c r="EA14" s="108"/>
      <c r="EB14" s="108"/>
      <c r="EC14" s="108"/>
      <c r="ED14" s="108"/>
      <c r="EE14" s="108"/>
      <c r="EF14" s="108"/>
      <c r="EG14" s="108"/>
      <c r="EH14" s="108"/>
      <c r="EI14" s="108"/>
      <c r="EJ14" s="108"/>
      <c r="EK14" s="108"/>
      <c r="EL14" s="108"/>
      <c r="EM14" s="108"/>
      <c r="EN14" s="108"/>
      <c r="EO14" s="108"/>
      <c r="EP14" s="108"/>
      <c r="EQ14" s="108"/>
      <c r="ER14" s="108"/>
      <c r="ES14" s="108"/>
      <c r="ET14" s="108"/>
      <c r="EU14" s="108"/>
      <c r="EV14" s="108"/>
      <c r="EW14" s="108"/>
      <c r="EX14" s="108"/>
      <c r="EY14" s="108"/>
      <c r="EZ14" s="108"/>
      <c r="FA14" s="108"/>
      <c r="FB14" s="108"/>
      <c r="FC14" s="108"/>
      <c r="FD14" s="108"/>
      <c r="FE14" s="108"/>
      <c r="FF14" s="108"/>
      <c r="FG14" s="108"/>
      <c r="FH14" s="108"/>
      <c r="FI14" s="108"/>
      <c r="FJ14" s="108"/>
      <c r="FK14" s="108"/>
      <c r="FL14" s="108"/>
      <c r="FM14" s="108"/>
      <c r="FN14" s="108"/>
      <c r="FO14" s="108"/>
      <c r="FP14" s="108"/>
      <c r="FQ14" s="108"/>
      <c r="FR14" s="108"/>
      <c r="FS14" s="108"/>
      <c r="FT14" s="108"/>
      <c r="FU14" s="108"/>
      <c r="FV14" s="108"/>
      <c r="FW14" s="108"/>
      <c r="FX14" s="108"/>
      <c r="FY14" s="108"/>
      <c r="FZ14" s="108"/>
      <c r="GA14" s="108"/>
      <c r="GB14" s="108"/>
      <c r="GC14" s="108"/>
      <c r="GD14" s="108"/>
      <c r="GE14" s="108"/>
      <c r="GF14" s="108"/>
      <c r="GG14" s="108"/>
      <c r="GH14" s="108"/>
      <c r="GI14" s="108"/>
      <c r="GJ14" s="108"/>
      <c r="GK14" s="108"/>
      <c r="GL14" s="108"/>
      <c r="GM14" s="108"/>
      <c r="GN14" s="108"/>
      <c r="GO14" s="108"/>
      <c r="GP14" s="108"/>
      <c r="GQ14" s="108"/>
      <c r="GR14" s="108"/>
      <c r="GS14" s="108"/>
      <c r="GT14" s="108"/>
      <c r="GU14" s="108"/>
      <c r="GV14" s="108"/>
      <c r="GW14" s="108"/>
      <c r="GX14" s="108"/>
      <c r="GY14" s="108"/>
      <c r="GZ14" s="108"/>
      <c r="HA14" s="108"/>
      <c r="HB14" s="108"/>
      <c r="HC14" s="108"/>
      <c r="HD14" s="108"/>
      <c r="HE14" s="108"/>
      <c r="HF14" s="108"/>
      <c r="HG14" s="108"/>
      <c r="HH14" s="108"/>
      <c r="HI14" s="108"/>
      <c r="HJ14" s="108"/>
      <c r="HK14" s="108"/>
      <c r="HL14" s="108"/>
      <c r="HM14" s="108"/>
      <c r="HN14" s="108"/>
      <c r="HO14" s="108"/>
      <c r="HP14" s="108"/>
      <c r="HQ14" s="108"/>
      <c r="HR14" s="108"/>
      <c r="HS14" s="108"/>
      <c r="HT14" s="108"/>
      <c r="HU14" s="108"/>
      <c r="HV14" s="108"/>
      <c r="HW14" s="108"/>
      <c r="HX14" s="108"/>
      <c r="HY14" s="108"/>
      <c r="HZ14" s="108"/>
      <c r="IA14" s="108"/>
      <c r="IB14" s="108"/>
      <c r="IC14" s="108"/>
      <c r="ID14" s="108"/>
      <c r="IE14" s="108"/>
      <c r="IF14" s="108"/>
      <c r="IG14" s="108"/>
      <c r="IH14" s="108"/>
      <c r="II14" s="108"/>
      <c r="IJ14" s="108"/>
      <c r="IK14" s="108"/>
      <c r="IL14" s="108"/>
      <c r="IM14" s="108"/>
      <c r="IN14" s="108"/>
      <c r="IO14" s="108"/>
      <c r="IP14" s="108"/>
      <c r="IQ14" s="108"/>
      <c r="IR14" s="108"/>
      <c r="IS14" s="108"/>
      <c r="IT14" s="108"/>
      <c r="IU14" s="108"/>
      <c r="IV14" s="108"/>
      <c r="IW14" s="108"/>
      <c r="IX14" s="108"/>
      <c r="IY14" s="108"/>
      <c r="IZ14" s="108"/>
      <c r="JA14" s="108"/>
      <c r="JB14" s="108"/>
      <c r="JC14" s="108"/>
      <c r="JD14" s="108"/>
      <c r="JE14" s="108"/>
      <c r="JF14" s="108"/>
      <c r="JG14" s="108"/>
      <c r="JH14" s="108"/>
      <c r="JI14" s="108"/>
      <c r="JJ14" s="108"/>
      <c r="JK14" s="108"/>
      <c r="JL14" s="108"/>
      <c r="JM14" s="108"/>
      <c r="JN14" s="108"/>
      <c r="JO14" s="108"/>
      <c r="JP14" s="108"/>
      <c r="JQ14" s="108"/>
      <c r="JR14" s="108"/>
      <c r="JS14" s="108"/>
      <c r="JT14" s="108"/>
      <c r="JU14" s="108"/>
      <c r="JV14" s="108"/>
      <c r="JW14" s="108"/>
      <c r="JX14" s="108"/>
      <c r="JY14" s="108"/>
      <c r="JZ14" s="108"/>
      <c r="KA14" s="108"/>
      <c r="KB14" s="108"/>
      <c r="KC14" s="108"/>
      <c r="KD14" s="108"/>
      <c r="KE14" s="108"/>
      <c r="KF14" s="108"/>
      <c r="KG14" s="108"/>
      <c r="KH14" s="108"/>
      <c r="KI14" s="108"/>
      <c r="KJ14" s="108"/>
      <c r="KK14" s="108"/>
      <c r="KL14" s="108"/>
      <c r="KM14" s="108"/>
      <c r="KN14" s="108"/>
      <c r="KO14" s="108"/>
      <c r="KP14" s="108"/>
      <c r="KQ14" s="108"/>
      <c r="KR14" s="108"/>
      <c r="KS14" s="108"/>
      <c r="KT14" s="108"/>
      <c r="KU14" s="108"/>
      <c r="KV14" s="108"/>
      <c r="KW14" s="108"/>
      <c r="KX14" s="108"/>
      <c r="KY14" s="108"/>
      <c r="KZ14" s="108"/>
      <c r="LA14" s="108"/>
      <c r="LB14" s="108"/>
      <c r="LC14" s="108"/>
      <c r="LD14" s="108"/>
      <c r="LE14" s="108"/>
      <c r="LF14" s="108"/>
      <c r="LG14" s="108"/>
      <c r="LH14" s="108"/>
      <c r="LI14" s="108"/>
      <c r="LJ14" s="108"/>
      <c r="LK14" s="108"/>
      <c r="LL14" s="108"/>
      <c r="LM14" s="108"/>
      <c r="LN14" s="108"/>
      <c r="LO14" s="108"/>
      <c r="LP14" s="108"/>
    </row>
    <row r="15" spans="2:328" s="67" customFormat="1" x14ac:dyDescent="0.2">
      <c r="B15" s="144" t="str">
        <f>CONCATENATE("Mai","-",MID(TEXT($P$4,0),3,2))</f>
        <v>Mai-24</v>
      </c>
      <c r="C15" s="109">
        <f>IF($G55&lt;$J$52,"",IF($G55&gt;$J$54,"",VLOOKUP($G55,SBPE_Mensal!$A$20:$G$578,2)))</f>
        <v>311306.43099999998</v>
      </c>
      <c r="D15" s="110">
        <f>IF(G55&lt;$J$52,"",IF(G55&gt;$J$54,"",VLOOKUP(G55,SBPE_Mensal!$A$20:$G$578,3)))</f>
        <v>305964.76799999998</v>
      </c>
      <c r="E15" s="109">
        <f>IF(G55&lt;$J$52,"",IF(G55&gt;$J$54,"",VLOOKUP(G55,SBPE_Mensal!$A$20:$G$578,4)))</f>
        <v>5341.6630000000005</v>
      </c>
      <c r="F15" s="111">
        <f>IF(G55&lt;$J$52,"",IF(G55&gt;$J$54,"",VLOOKUP(G55,SBPE_Mensal!$A$20:$G$578,5)))</f>
        <v>0.72155831209871324</v>
      </c>
      <c r="G15" s="110">
        <f>IF(G55&lt;$J$52,"",IF(G55&gt;$J$54,"",VLOOKUP(G55,SBPE_Mensal!$A$20:$G$578,6)))</f>
        <v>3933.2460000000001</v>
      </c>
      <c r="H15" s="109">
        <f>IF(G55&lt;$J$52,"",IF(G55&gt;$J$54,"",VLOOKUP(G55,SBPE_Mensal!$A$20:$G$578,7)))</f>
        <v>749570.31200000003</v>
      </c>
      <c r="T15" s="108"/>
      <c r="U15" s="103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  <c r="DS15" s="108"/>
      <c r="DT15" s="108"/>
      <c r="DU15" s="108"/>
      <c r="DV15" s="108"/>
      <c r="DW15" s="108"/>
      <c r="DX15" s="108"/>
      <c r="DY15" s="108"/>
      <c r="DZ15" s="108"/>
      <c r="EA15" s="108"/>
      <c r="EB15" s="108"/>
      <c r="EC15" s="108"/>
      <c r="ED15" s="108"/>
      <c r="EE15" s="108"/>
      <c r="EF15" s="108"/>
      <c r="EG15" s="108"/>
      <c r="EH15" s="108"/>
      <c r="EI15" s="108"/>
      <c r="EJ15" s="108"/>
      <c r="EK15" s="108"/>
      <c r="EL15" s="108"/>
      <c r="EM15" s="108"/>
      <c r="EN15" s="108"/>
      <c r="EO15" s="108"/>
      <c r="EP15" s="108"/>
      <c r="EQ15" s="108"/>
      <c r="ER15" s="108"/>
      <c r="ES15" s="108"/>
      <c r="ET15" s="108"/>
      <c r="EU15" s="108"/>
      <c r="EV15" s="108"/>
      <c r="EW15" s="108"/>
      <c r="EX15" s="108"/>
      <c r="EY15" s="108"/>
      <c r="EZ15" s="108"/>
      <c r="FA15" s="108"/>
      <c r="FB15" s="108"/>
      <c r="FC15" s="108"/>
      <c r="FD15" s="108"/>
      <c r="FE15" s="108"/>
      <c r="FF15" s="108"/>
      <c r="FG15" s="108"/>
      <c r="FH15" s="108"/>
      <c r="FI15" s="108"/>
      <c r="FJ15" s="108"/>
      <c r="FK15" s="108"/>
      <c r="FL15" s="108"/>
      <c r="FM15" s="108"/>
      <c r="FN15" s="108"/>
      <c r="FO15" s="108"/>
      <c r="FP15" s="108"/>
      <c r="FQ15" s="108"/>
      <c r="FR15" s="108"/>
      <c r="FS15" s="108"/>
      <c r="FT15" s="108"/>
      <c r="FU15" s="108"/>
      <c r="FV15" s="108"/>
      <c r="FW15" s="108"/>
      <c r="FX15" s="108"/>
      <c r="FY15" s="108"/>
      <c r="FZ15" s="108"/>
      <c r="GA15" s="108"/>
      <c r="GB15" s="108"/>
      <c r="GC15" s="108"/>
      <c r="GD15" s="108"/>
      <c r="GE15" s="108"/>
      <c r="GF15" s="108"/>
      <c r="GG15" s="108"/>
      <c r="GH15" s="108"/>
      <c r="GI15" s="108"/>
      <c r="GJ15" s="108"/>
      <c r="GK15" s="108"/>
      <c r="GL15" s="108"/>
      <c r="GM15" s="108"/>
      <c r="GN15" s="108"/>
      <c r="GO15" s="108"/>
      <c r="GP15" s="108"/>
      <c r="GQ15" s="108"/>
      <c r="GR15" s="108"/>
      <c r="GS15" s="108"/>
      <c r="GT15" s="108"/>
      <c r="GU15" s="108"/>
      <c r="GV15" s="108"/>
      <c r="GW15" s="108"/>
      <c r="GX15" s="108"/>
      <c r="GY15" s="108"/>
      <c r="GZ15" s="108"/>
      <c r="HA15" s="108"/>
      <c r="HB15" s="108"/>
      <c r="HC15" s="108"/>
      <c r="HD15" s="108"/>
      <c r="HE15" s="108"/>
      <c r="HF15" s="108"/>
      <c r="HG15" s="108"/>
      <c r="HH15" s="108"/>
      <c r="HI15" s="108"/>
      <c r="HJ15" s="108"/>
      <c r="HK15" s="108"/>
      <c r="HL15" s="108"/>
      <c r="HM15" s="108"/>
      <c r="HN15" s="108"/>
      <c r="HO15" s="108"/>
      <c r="HP15" s="108"/>
      <c r="HQ15" s="108"/>
      <c r="HR15" s="108"/>
      <c r="HS15" s="108"/>
      <c r="HT15" s="108"/>
      <c r="HU15" s="108"/>
      <c r="HV15" s="108"/>
      <c r="HW15" s="108"/>
      <c r="HX15" s="108"/>
      <c r="HY15" s="108"/>
      <c r="HZ15" s="108"/>
      <c r="IA15" s="108"/>
      <c r="IB15" s="108"/>
      <c r="IC15" s="108"/>
      <c r="ID15" s="108"/>
      <c r="IE15" s="108"/>
      <c r="IF15" s="108"/>
      <c r="IG15" s="108"/>
      <c r="IH15" s="108"/>
      <c r="II15" s="108"/>
      <c r="IJ15" s="108"/>
      <c r="IK15" s="108"/>
      <c r="IL15" s="108"/>
      <c r="IM15" s="108"/>
      <c r="IN15" s="108"/>
      <c r="IO15" s="108"/>
      <c r="IP15" s="108"/>
      <c r="IQ15" s="108"/>
      <c r="IR15" s="108"/>
      <c r="IS15" s="108"/>
      <c r="IT15" s="108"/>
      <c r="IU15" s="108"/>
      <c r="IV15" s="108"/>
      <c r="IW15" s="108"/>
      <c r="IX15" s="108"/>
      <c r="IY15" s="108"/>
      <c r="IZ15" s="108"/>
      <c r="JA15" s="108"/>
      <c r="JB15" s="108"/>
      <c r="JC15" s="108"/>
      <c r="JD15" s="108"/>
      <c r="JE15" s="108"/>
      <c r="JF15" s="108"/>
      <c r="JG15" s="108"/>
      <c r="JH15" s="108"/>
      <c r="JI15" s="108"/>
      <c r="JJ15" s="108"/>
      <c r="JK15" s="108"/>
      <c r="JL15" s="108"/>
      <c r="JM15" s="108"/>
      <c r="JN15" s="108"/>
      <c r="JO15" s="108"/>
      <c r="JP15" s="108"/>
      <c r="JQ15" s="108"/>
      <c r="JR15" s="108"/>
      <c r="JS15" s="108"/>
      <c r="JT15" s="108"/>
      <c r="JU15" s="108"/>
      <c r="JV15" s="108"/>
      <c r="JW15" s="108"/>
      <c r="JX15" s="108"/>
      <c r="JY15" s="108"/>
      <c r="JZ15" s="108"/>
      <c r="KA15" s="108"/>
      <c r="KB15" s="108"/>
      <c r="KC15" s="108"/>
      <c r="KD15" s="108"/>
      <c r="KE15" s="108"/>
      <c r="KF15" s="108"/>
      <c r="KG15" s="108"/>
      <c r="KH15" s="108"/>
      <c r="KI15" s="108"/>
      <c r="KJ15" s="108"/>
      <c r="KK15" s="108"/>
      <c r="KL15" s="108"/>
      <c r="KM15" s="108"/>
      <c r="KN15" s="108"/>
      <c r="KO15" s="108"/>
      <c r="KP15" s="108"/>
      <c r="KQ15" s="108"/>
      <c r="KR15" s="108"/>
      <c r="KS15" s="108"/>
      <c r="KT15" s="108"/>
      <c r="KU15" s="108"/>
      <c r="KV15" s="108"/>
      <c r="KW15" s="108"/>
      <c r="KX15" s="108"/>
      <c r="KY15" s="108"/>
      <c r="KZ15" s="108"/>
      <c r="LA15" s="108"/>
      <c r="LB15" s="108"/>
      <c r="LC15" s="108"/>
      <c r="LD15" s="108"/>
      <c r="LE15" s="108"/>
      <c r="LF15" s="108"/>
      <c r="LG15" s="108"/>
      <c r="LH15" s="108"/>
      <c r="LI15" s="108"/>
      <c r="LJ15" s="108"/>
      <c r="LK15" s="108"/>
      <c r="LL15" s="108"/>
      <c r="LM15" s="108"/>
      <c r="LN15" s="108"/>
      <c r="LO15" s="108"/>
      <c r="LP15" s="108"/>
    </row>
    <row r="16" spans="2:328" s="67" customFormat="1" x14ac:dyDescent="0.2">
      <c r="B16" s="144" t="str">
        <f>CONCATENATE("Jun","-",MID(TEXT($P$4,0),3,2))</f>
        <v>Jun-24</v>
      </c>
      <c r="C16" s="109">
        <f>IF($G56&lt;$J$52,"",IF($G56&gt;$J$54,"",VLOOKUP($G56,SBPE_Mensal!$A$20:$G$578,2)))</f>
        <v>298942.55800000002</v>
      </c>
      <c r="D16" s="110">
        <f>IF(G56&lt;$J$52,"",IF(G56&gt;$J$54,"",VLOOKUP(G56,SBPE_Mensal!$A$20:$G$578,3)))</f>
        <v>290060.353</v>
      </c>
      <c r="E16" s="109">
        <f>IF(G56&lt;$J$52,"",IF(G56&gt;$J$54,"",VLOOKUP(G56,SBPE_Mensal!$A$20:$G$578,4)))</f>
        <v>8882.2050000000163</v>
      </c>
      <c r="F16" s="111">
        <f>IF(G56&lt;$J$52,"",IF(G56&gt;$J$54,"",VLOOKUP(G56,SBPE_Mensal!$A$20:$G$578,5)))</f>
        <v>1.1849728915090778</v>
      </c>
      <c r="G16" s="110">
        <f>IF(G56&lt;$J$52,"",IF(G56&gt;$J$54,"",VLOOKUP(G56,SBPE_Mensal!$A$20:$G$578,6)))</f>
        <v>4072.8049999999998</v>
      </c>
      <c r="H16" s="109">
        <f>IF(G56&lt;$J$52,"",IF(G56&gt;$J$54,"",VLOOKUP(G56,SBPE_Mensal!$A$20:$G$578,7)))</f>
        <v>762525.31700000004</v>
      </c>
      <c r="T16" s="108"/>
      <c r="U16" s="103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08"/>
      <c r="CZ16" s="108"/>
      <c r="DA16" s="108"/>
      <c r="DB16" s="108"/>
      <c r="DC16" s="108"/>
      <c r="DD16" s="108"/>
      <c r="DE16" s="108"/>
      <c r="DF16" s="108"/>
      <c r="DG16" s="108"/>
      <c r="DH16" s="108"/>
      <c r="DI16" s="108"/>
      <c r="DJ16" s="108"/>
      <c r="DK16" s="108"/>
      <c r="DL16" s="108"/>
      <c r="DM16" s="108"/>
      <c r="DN16" s="108"/>
      <c r="DO16" s="108"/>
      <c r="DP16" s="108"/>
      <c r="DQ16" s="108"/>
      <c r="DR16" s="108"/>
      <c r="DS16" s="108"/>
      <c r="DT16" s="108"/>
      <c r="DU16" s="108"/>
      <c r="DV16" s="108"/>
      <c r="DW16" s="108"/>
      <c r="DX16" s="108"/>
      <c r="DY16" s="108"/>
      <c r="DZ16" s="108"/>
      <c r="EA16" s="108"/>
      <c r="EB16" s="108"/>
      <c r="EC16" s="108"/>
      <c r="ED16" s="108"/>
      <c r="EE16" s="108"/>
      <c r="EF16" s="108"/>
      <c r="EG16" s="108"/>
      <c r="EH16" s="108"/>
      <c r="EI16" s="108"/>
      <c r="EJ16" s="108"/>
      <c r="EK16" s="108"/>
      <c r="EL16" s="108"/>
      <c r="EM16" s="108"/>
      <c r="EN16" s="108"/>
      <c r="EO16" s="108"/>
      <c r="EP16" s="108"/>
      <c r="EQ16" s="108"/>
      <c r="ER16" s="108"/>
      <c r="ES16" s="108"/>
      <c r="ET16" s="108"/>
      <c r="EU16" s="108"/>
      <c r="EV16" s="108"/>
      <c r="EW16" s="108"/>
      <c r="EX16" s="108"/>
      <c r="EY16" s="108"/>
      <c r="EZ16" s="108"/>
      <c r="FA16" s="108"/>
      <c r="FB16" s="108"/>
      <c r="FC16" s="108"/>
      <c r="FD16" s="108"/>
      <c r="FE16" s="108"/>
      <c r="FF16" s="108"/>
      <c r="FG16" s="108"/>
      <c r="FH16" s="108"/>
      <c r="FI16" s="108"/>
      <c r="FJ16" s="108"/>
      <c r="FK16" s="108"/>
      <c r="FL16" s="108"/>
      <c r="FM16" s="108"/>
      <c r="FN16" s="108"/>
      <c r="FO16" s="108"/>
      <c r="FP16" s="108"/>
      <c r="FQ16" s="108"/>
      <c r="FR16" s="108"/>
      <c r="FS16" s="108"/>
      <c r="FT16" s="108"/>
      <c r="FU16" s="108"/>
      <c r="FV16" s="108"/>
      <c r="FW16" s="108"/>
      <c r="FX16" s="108"/>
      <c r="FY16" s="108"/>
      <c r="FZ16" s="108"/>
      <c r="GA16" s="108"/>
      <c r="GB16" s="108"/>
      <c r="GC16" s="108"/>
      <c r="GD16" s="108"/>
      <c r="GE16" s="108"/>
      <c r="GF16" s="108"/>
      <c r="GG16" s="108"/>
      <c r="GH16" s="108"/>
      <c r="GI16" s="108"/>
      <c r="GJ16" s="108"/>
      <c r="GK16" s="108"/>
      <c r="GL16" s="108"/>
      <c r="GM16" s="108"/>
      <c r="GN16" s="108"/>
      <c r="GO16" s="108"/>
      <c r="GP16" s="108"/>
      <c r="GQ16" s="108"/>
      <c r="GR16" s="108"/>
      <c r="GS16" s="108"/>
      <c r="GT16" s="108"/>
      <c r="GU16" s="108"/>
      <c r="GV16" s="108"/>
      <c r="GW16" s="108"/>
      <c r="GX16" s="108"/>
      <c r="GY16" s="108"/>
      <c r="GZ16" s="108"/>
      <c r="HA16" s="108"/>
      <c r="HB16" s="108"/>
      <c r="HC16" s="108"/>
      <c r="HD16" s="108"/>
      <c r="HE16" s="108"/>
      <c r="HF16" s="108"/>
      <c r="HG16" s="108"/>
      <c r="HH16" s="108"/>
      <c r="HI16" s="108"/>
      <c r="HJ16" s="108"/>
      <c r="HK16" s="108"/>
      <c r="HL16" s="108"/>
      <c r="HM16" s="108"/>
      <c r="HN16" s="108"/>
      <c r="HO16" s="108"/>
      <c r="HP16" s="108"/>
      <c r="HQ16" s="108"/>
      <c r="HR16" s="108"/>
      <c r="HS16" s="108"/>
      <c r="HT16" s="108"/>
      <c r="HU16" s="108"/>
      <c r="HV16" s="108"/>
      <c r="HW16" s="108"/>
      <c r="HX16" s="108"/>
      <c r="HY16" s="108"/>
      <c r="HZ16" s="108"/>
      <c r="IA16" s="108"/>
      <c r="IB16" s="108"/>
      <c r="IC16" s="108"/>
      <c r="ID16" s="108"/>
      <c r="IE16" s="108"/>
      <c r="IF16" s="108"/>
      <c r="IG16" s="108"/>
      <c r="IH16" s="108"/>
      <c r="II16" s="108"/>
      <c r="IJ16" s="108"/>
      <c r="IK16" s="108"/>
      <c r="IL16" s="108"/>
      <c r="IM16" s="108"/>
      <c r="IN16" s="108"/>
      <c r="IO16" s="108"/>
      <c r="IP16" s="108"/>
      <c r="IQ16" s="108"/>
      <c r="IR16" s="108"/>
      <c r="IS16" s="108"/>
      <c r="IT16" s="108"/>
      <c r="IU16" s="108"/>
      <c r="IV16" s="108"/>
      <c r="IW16" s="108"/>
      <c r="IX16" s="108"/>
      <c r="IY16" s="108"/>
      <c r="IZ16" s="108"/>
      <c r="JA16" s="108"/>
      <c r="JB16" s="108"/>
      <c r="JC16" s="108"/>
      <c r="JD16" s="108"/>
      <c r="JE16" s="108"/>
      <c r="JF16" s="108"/>
      <c r="JG16" s="108"/>
      <c r="JH16" s="108"/>
      <c r="JI16" s="108"/>
      <c r="JJ16" s="108"/>
      <c r="JK16" s="108"/>
      <c r="JL16" s="108"/>
      <c r="JM16" s="108"/>
      <c r="JN16" s="108"/>
      <c r="JO16" s="108"/>
      <c r="JP16" s="108"/>
      <c r="JQ16" s="108"/>
      <c r="JR16" s="108"/>
      <c r="JS16" s="108"/>
      <c r="JT16" s="108"/>
      <c r="JU16" s="108"/>
      <c r="JV16" s="108"/>
      <c r="JW16" s="108"/>
      <c r="JX16" s="108"/>
      <c r="JY16" s="108"/>
      <c r="JZ16" s="108"/>
      <c r="KA16" s="108"/>
      <c r="KB16" s="108"/>
      <c r="KC16" s="108"/>
      <c r="KD16" s="108"/>
      <c r="KE16" s="108"/>
      <c r="KF16" s="108"/>
      <c r="KG16" s="108"/>
      <c r="KH16" s="108"/>
      <c r="KI16" s="108"/>
      <c r="KJ16" s="108"/>
      <c r="KK16" s="108"/>
      <c r="KL16" s="108"/>
      <c r="KM16" s="108"/>
      <c r="KN16" s="108"/>
      <c r="KO16" s="108"/>
      <c r="KP16" s="108"/>
      <c r="KQ16" s="108"/>
      <c r="KR16" s="108"/>
      <c r="KS16" s="108"/>
      <c r="KT16" s="108"/>
      <c r="KU16" s="108"/>
      <c r="KV16" s="108"/>
      <c r="KW16" s="108"/>
      <c r="KX16" s="108"/>
      <c r="KY16" s="108"/>
      <c r="KZ16" s="108"/>
      <c r="LA16" s="108"/>
      <c r="LB16" s="108"/>
      <c r="LC16" s="108"/>
      <c r="LD16" s="108"/>
      <c r="LE16" s="108"/>
      <c r="LF16" s="108"/>
      <c r="LG16" s="108"/>
      <c r="LH16" s="108"/>
      <c r="LI16" s="108"/>
      <c r="LJ16" s="108"/>
      <c r="LK16" s="108"/>
      <c r="LL16" s="108"/>
      <c r="LM16" s="108"/>
      <c r="LN16" s="108"/>
      <c r="LO16" s="108"/>
      <c r="LP16" s="108"/>
    </row>
    <row r="17" spans="2:328" s="67" customFormat="1" x14ac:dyDescent="0.2">
      <c r="B17" s="144" t="str">
        <f>CONCATENATE("Jul","-",MID(TEXT($P$4,0),3,2))</f>
        <v>Jul-24</v>
      </c>
      <c r="C17" s="109">
        <f>IF($G57&lt;$J$52,"",IF($G57&gt;$J$54,"",VLOOKUP($G57,SBPE_Mensal!$A$20:$G$578,2)))</f>
        <v>316466.42800000001</v>
      </c>
      <c r="D17" s="110">
        <f>IF(G57&lt;$J$52,"",IF(G57&gt;$J$54,"",VLOOKUP(G57,SBPE_Mensal!$A$20:$G$578,3)))</f>
        <v>319325.27600000001</v>
      </c>
      <c r="E17" s="109">
        <f>IF(G57&lt;$J$52,"",IF(G57&gt;$J$54,"",VLOOKUP(G57,SBPE_Mensal!$A$20:$G$578,4)))</f>
        <v>-2858.8479999999981</v>
      </c>
      <c r="F17" s="111">
        <f>IF(G57&lt;$J$52,"",IF(G57&gt;$J$54,"",VLOOKUP(G57,SBPE_Mensal!$A$20:$G$578,5)))</f>
        <v>-0.37491843697040134</v>
      </c>
      <c r="G17" s="110">
        <f>IF(G57&lt;$J$52,"",IF(G57&gt;$J$54,"",VLOOKUP(G57,SBPE_Mensal!$A$20:$G$578,6)))</f>
        <v>4025.8589999999999</v>
      </c>
      <c r="H17" s="109">
        <f>IF(G57&lt;$J$52,"",IF(G57&gt;$J$54,"",VLOOKUP(G57,SBPE_Mensal!$A$20:$G$578,7)))</f>
        <v>763692.32400000002</v>
      </c>
      <c r="K17" s="113"/>
      <c r="T17" s="108"/>
      <c r="U17" s="103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8"/>
      <c r="CX17" s="108"/>
      <c r="CY17" s="108"/>
      <c r="CZ17" s="108"/>
      <c r="DA17" s="108"/>
      <c r="DB17" s="108"/>
      <c r="DC17" s="108"/>
      <c r="DD17" s="108"/>
      <c r="DE17" s="108"/>
      <c r="DF17" s="108"/>
      <c r="DG17" s="108"/>
      <c r="DH17" s="108"/>
      <c r="DI17" s="108"/>
      <c r="DJ17" s="108"/>
      <c r="DK17" s="108"/>
      <c r="DL17" s="108"/>
      <c r="DM17" s="108"/>
      <c r="DN17" s="108"/>
      <c r="DO17" s="108"/>
      <c r="DP17" s="108"/>
      <c r="DQ17" s="108"/>
      <c r="DR17" s="108"/>
      <c r="DS17" s="108"/>
      <c r="DT17" s="108"/>
      <c r="DU17" s="108"/>
      <c r="DV17" s="108"/>
      <c r="DW17" s="108"/>
      <c r="DX17" s="108"/>
      <c r="DY17" s="108"/>
      <c r="DZ17" s="108"/>
      <c r="EA17" s="108"/>
      <c r="EB17" s="108"/>
      <c r="EC17" s="108"/>
      <c r="ED17" s="108"/>
      <c r="EE17" s="108"/>
      <c r="EF17" s="108"/>
      <c r="EG17" s="108"/>
      <c r="EH17" s="108"/>
      <c r="EI17" s="108"/>
      <c r="EJ17" s="108"/>
      <c r="EK17" s="108"/>
      <c r="EL17" s="108"/>
      <c r="EM17" s="108"/>
      <c r="EN17" s="108"/>
      <c r="EO17" s="108"/>
      <c r="EP17" s="108"/>
      <c r="EQ17" s="108"/>
      <c r="ER17" s="108"/>
      <c r="ES17" s="108"/>
      <c r="ET17" s="108"/>
      <c r="EU17" s="108"/>
      <c r="EV17" s="108"/>
      <c r="EW17" s="108"/>
      <c r="EX17" s="108"/>
      <c r="EY17" s="108"/>
      <c r="EZ17" s="108"/>
      <c r="FA17" s="108"/>
      <c r="FB17" s="108"/>
      <c r="FC17" s="108"/>
      <c r="FD17" s="108"/>
      <c r="FE17" s="108"/>
      <c r="FF17" s="108"/>
      <c r="FG17" s="108"/>
      <c r="FH17" s="108"/>
      <c r="FI17" s="108"/>
      <c r="FJ17" s="108"/>
      <c r="FK17" s="108"/>
      <c r="FL17" s="108"/>
      <c r="FM17" s="108"/>
      <c r="FN17" s="108"/>
      <c r="FO17" s="108"/>
      <c r="FP17" s="108"/>
      <c r="FQ17" s="108"/>
      <c r="FR17" s="108"/>
      <c r="FS17" s="108"/>
      <c r="FT17" s="108"/>
      <c r="FU17" s="108"/>
      <c r="FV17" s="108"/>
      <c r="FW17" s="108"/>
      <c r="FX17" s="108"/>
      <c r="FY17" s="108"/>
      <c r="FZ17" s="108"/>
      <c r="GA17" s="108"/>
      <c r="GB17" s="108"/>
      <c r="GC17" s="108"/>
      <c r="GD17" s="108"/>
      <c r="GE17" s="108"/>
      <c r="GF17" s="108"/>
      <c r="GG17" s="108"/>
      <c r="GH17" s="108"/>
      <c r="GI17" s="108"/>
      <c r="GJ17" s="108"/>
      <c r="GK17" s="108"/>
      <c r="GL17" s="108"/>
      <c r="GM17" s="108"/>
      <c r="GN17" s="108"/>
      <c r="GO17" s="108"/>
      <c r="GP17" s="108"/>
      <c r="GQ17" s="108"/>
      <c r="GR17" s="108"/>
      <c r="GS17" s="108"/>
      <c r="GT17" s="108"/>
      <c r="GU17" s="108"/>
      <c r="GV17" s="108"/>
      <c r="GW17" s="108"/>
      <c r="GX17" s="108"/>
      <c r="GY17" s="108"/>
      <c r="GZ17" s="108"/>
      <c r="HA17" s="108"/>
      <c r="HB17" s="108"/>
      <c r="HC17" s="108"/>
      <c r="HD17" s="108"/>
      <c r="HE17" s="108"/>
      <c r="HF17" s="108"/>
      <c r="HG17" s="108"/>
      <c r="HH17" s="108"/>
      <c r="HI17" s="108"/>
      <c r="HJ17" s="108"/>
      <c r="HK17" s="108"/>
      <c r="HL17" s="108"/>
      <c r="HM17" s="108"/>
      <c r="HN17" s="108"/>
      <c r="HO17" s="108"/>
      <c r="HP17" s="108"/>
      <c r="HQ17" s="108"/>
      <c r="HR17" s="108"/>
      <c r="HS17" s="108"/>
      <c r="HT17" s="108"/>
      <c r="HU17" s="108"/>
      <c r="HV17" s="108"/>
      <c r="HW17" s="108"/>
      <c r="HX17" s="108"/>
      <c r="HY17" s="108"/>
      <c r="HZ17" s="108"/>
      <c r="IA17" s="108"/>
      <c r="IB17" s="108"/>
      <c r="IC17" s="108"/>
      <c r="ID17" s="108"/>
      <c r="IE17" s="108"/>
      <c r="IF17" s="108"/>
      <c r="IG17" s="108"/>
      <c r="IH17" s="108"/>
      <c r="II17" s="108"/>
      <c r="IJ17" s="108"/>
      <c r="IK17" s="108"/>
      <c r="IL17" s="108"/>
      <c r="IM17" s="108"/>
      <c r="IN17" s="108"/>
      <c r="IO17" s="108"/>
      <c r="IP17" s="108"/>
      <c r="IQ17" s="108"/>
      <c r="IR17" s="108"/>
      <c r="IS17" s="108"/>
      <c r="IT17" s="108"/>
      <c r="IU17" s="108"/>
      <c r="IV17" s="108"/>
      <c r="IW17" s="108"/>
      <c r="IX17" s="108"/>
      <c r="IY17" s="108"/>
      <c r="IZ17" s="108"/>
      <c r="JA17" s="108"/>
      <c r="JB17" s="108"/>
      <c r="JC17" s="108"/>
      <c r="JD17" s="108"/>
      <c r="JE17" s="108"/>
      <c r="JF17" s="108"/>
      <c r="JG17" s="108"/>
      <c r="JH17" s="108"/>
      <c r="JI17" s="108"/>
      <c r="JJ17" s="108"/>
      <c r="JK17" s="108"/>
      <c r="JL17" s="108"/>
      <c r="JM17" s="108"/>
      <c r="JN17" s="108"/>
      <c r="JO17" s="108"/>
      <c r="JP17" s="108"/>
      <c r="JQ17" s="108"/>
      <c r="JR17" s="108"/>
      <c r="JS17" s="108"/>
      <c r="JT17" s="108"/>
      <c r="JU17" s="108"/>
      <c r="JV17" s="108"/>
      <c r="JW17" s="108"/>
      <c r="JX17" s="108"/>
      <c r="JY17" s="108"/>
      <c r="JZ17" s="108"/>
      <c r="KA17" s="108"/>
      <c r="KB17" s="108"/>
      <c r="KC17" s="108"/>
      <c r="KD17" s="108"/>
      <c r="KE17" s="108"/>
      <c r="KF17" s="108"/>
      <c r="KG17" s="108"/>
      <c r="KH17" s="108"/>
      <c r="KI17" s="108"/>
      <c r="KJ17" s="108"/>
      <c r="KK17" s="108"/>
      <c r="KL17" s="108"/>
      <c r="KM17" s="108"/>
      <c r="KN17" s="108"/>
      <c r="KO17" s="108"/>
      <c r="KP17" s="108"/>
      <c r="KQ17" s="108"/>
      <c r="KR17" s="108"/>
      <c r="KS17" s="108"/>
      <c r="KT17" s="108"/>
      <c r="KU17" s="108"/>
      <c r="KV17" s="108"/>
      <c r="KW17" s="108"/>
      <c r="KX17" s="108"/>
      <c r="KY17" s="108"/>
      <c r="KZ17" s="108"/>
      <c r="LA17" s="108"/>
      <c r="LB17" s="108"/>
      <c r="LC17" s="108"/>
      <c r="LD17" s="108"/>
      <c r="LE17" s="108"/>
      <c r="LF17" s="108"/>
      <c r="LG17" s="108"/>
      <c r="LH17" s="108"/>
      <c r="LI17" s="108"/>
      <c r="LJ17" s="108"/>
      <c r="LK17" s="108"/>
      <c r="LL17" s="108"/>
      <c r="LM17" s="108"/>
      <c r="LN17" s="108"/>
      <c r="LO17" s="108"/>
      <c r="LP17" s="108"/>
    </row>
    <row r="18" spans="2:328" s="67" customFormat="1" x14ac:dyDescent="0.2">
      <c r="B18" s="144" t="str">
        <f>CONCATENATE("Ago","-",MID(TEXT($P$4,0),3,2))</f>
        <v>Ago-24</v>
      </c>
      <c r="C18" s="109">
        <f>IF($G58&lt;$J$52,"",IF($G58&gt;$J$54,"",VLOOKUP($G58,SBPE_Mensal!$A$20:$G$578,2)))</f>
        <v>302365.11900000001</v>
      </c>
      <c r="D18" s="110">
        <f>IF(G58&lt;$J$52,"",IF(G58&gt;$J$54,"",VLOOKUP(G58,SBPE_Mensal!$A$20:$G$578,3)))</f>
        <v>303653.571</v>
      </c>
      <c r="E18" s="109">
        <f>IF(G58&lt;$J$52,"",IF(G58&gt;$J$54,"",VLOOKUP(G58,SBPE_Mensal!$A$20:$G$578,4)))</f>
        <v>-1288.4519999999902</v>
      </c>
      <c r="F18" s="111">
        <f>IF(G58&lt;$J$52,"",IF(G58&gt;$J$54,"",VLOOKUP(G58,SBPE_Mensal!$A$20:$G$578,5)))</f>
        <v>-0.16871349357702725</v>
      </c>
      <c r="G18" s="110">
        <f>IF(G58&lt;$J$52,"",IF(G58&gt;$J$54,"",VLOOKUP(G58,SBPE_Mensal!$A$20:$G$578,6)))</f>
        <v>4070.5309999999999</v>
      </c>
      <c r="H18" s="109">
        <f>IF(G58&lt;$J$52,"",IF(G58&gt;$J$54,"",VLOOKUP(G58,SBPE_Mensal!$A$20:$G$578,7)))</f>
        <v>766474.40300000005</v>
      </c>
      <c r="T18" s="108"/>
      <c r="U18" s="103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8"/>
      <c r="CX18" s="108"/>
      <c r="CY18" s="108"/>
      <c r="CZ18" s="108"/>
      <c r="DA18" s="108"/>
      <c r="DB18" s="108"/>
      <c r="DC18" s="108"/>
      <c r="DD18" s="108"/>
      <c r="DE18" s="108"/>
      <c r="DF18" s="108"/>
      <c r="DG18" s="108"/>
      <c r="DH18" s="108"/>
      <c r="DI18" s="108"/>
      <c r="DJ18" s="108"/>
      <c r="DK18" s="108"/>
      <c r="DL18" s="108"/>
      <c r="DM18" s="108"/>
      <c r="DN18" s="108"/>
      <c r="DO18" s="108"/>
      <c r="DP18" s="108"/>
      <c r="DQ18" s="108"/>
      <c r="DR18" s="108"/>
      <c r="DS18" s="108"/>
      <c r="DT18" s="108"/>
      <c r="DU18" s="108"/>
      <c r="DV18" s="108"/>
      <c r="DW18" s="108"/>
      <c r="DX18" s="108"/>
      <c r="DY18" s="108"/>
      <c r="DZ18" s="108"/>
      <c r="EA18" s="108"/>
      <c r="EB18" s="108"/>
      <c r="EC18" s="108"/>
      <c r="ED18" s="108"/>
      <c r="EE18" s="108"/>
      <c r="EF18" s="108"/>
      <c r="EG18" s="108"/>
      <c r="EH18" s="108"/>
      <c r="EI18" s="108"/>
      <c r="EJ18" s="108"/>
      <c r="EK18" s="108"/>
      <c r="EL18" s="108"/>
      <c r="EM18" s="108"/>
      <c r="EN18" s="108"/>
      <c r="EO18" s="108"/>
      <c r="EP18" s="108"/>
      <c r="EQ18" s="108"/>
      <c r="ER18" s="108"/>
      <c r="ES18" s="108"/>
      <c r="ET18" s="108"/>
      <c r="EU18" s="108"/>
      <c r="EV18" s="108"/>
      <c r="EW18" s="108"/>
      <c r="EX18" s="108"/>
      <c r="EY18" s="108"/>
      <c r="EZ18" s="108"/>
      <c r="FA18" s="108"/>
      <c r="FB18" s="108"/>
      <c r="FC18" s="108"/>
      <c r="FD18" s="108"/>
      <c r="FE18" s="108"/>
      <c r="FF18" s="108"/>
      <c r="FG18" s="108"/>
      <c r="FH18" s="108"/>
      <c r="FI18" s="108"/>
      <c r="FJ18" s="108"/>
      <c r="FK18" s="108"/>
      <c r="FL18" s="108"/>
      <c r="FM18" s="108"/>
      <c r="FN18" s="108"/>
      <c r="FO18" s="108"/>
      <c r="FP18" s="108"/>
      <c r="FQ18" s="108"/>
      <c r="FR18" s="108"/>
      <c r="FS18" s="108"/>
      <c r="FT18" s="108"/>
      <c r="FU18" s="108"/>
      <c r="FV18" s="108"/>
      <c r="FW18" s="108"/>
      <c r="FX18" s="108"/>
      <c r="FY18" s="108"/>
      <c r="FZ18" s="108"/>
      <c r="GA18" s="108"/>
      <c r="GB18" s="108"/>
      <c r="GC18" s="108"/>
      <c r="GD18" s="108"/>
      <c r="GE18" s="108"/>
      <c r="GF18" s="108"/>
      <c r="GG18" s="108"/>
      <c r="GH18" s="108"/>
      <c r="GI18" s="108"/>
      <c r="GJ18" s="108"/>
      <c r="GK18" s="108"/>
      <c r="GL18" s="108"/>
      <c r="GM18" s="108"/>
      <c r="GN18" s="108"/>
      <c r="GO18" s="108"/>
      <c r="GP18" s="108"/>
      <c r="GQ18" s="108"/>
      <c r="GR18" s="108"/>
      <c r="GS18" s="108"/>
      <c r="GT18" s="108"/>
      <c r="GU18" s="108"/>
      <c r="GV18" s="108"/>
      <c r="GW18" s="108"/>
      <c r="GX18" s="108"/>
      <c r="GY18" s="108"/>
      <c r="GZ18" s="108"/>
      <c r="HA18" s="108"/>
      <c r="HB18" s="108"/>
      <c r="HC18" s="108"/>
      <c r="HD18" s="108"/>
      <c r="HE18" s="108"/>
      <c r="HF18" s="108"/>
      <c r="HG18" s="108"/>
      <c r="HH18" s="108"/>
      <c r="HI18" s="108"/>
      <c r="HJ18" s="108"/>
      <c r="HK18" s="108"/>
      <c r="HL18" s="108"/>
      <c r="HM18" s="108"/>
      <c r="HN18" s="108"/>
      <c r="HO18" s="108"/>
      <c r="HP18" s="108"/>
      <c r="HQ18" s="108"/>
      <c r="HR18" s="108"/>
      <c r="HS18" s="108"/>
      <c r="HT18" s="108"/>
      <c r="HU18" s="108"/>
      <c r="HV18" s="108"/>
      <c r="HW18" s="108"/>
      <c r="HX18" s="108"/>
      <c r="HY18" s="108"/>
      <c r="HZ18" s="108"/>
      <c r="IA18" s="108"/>
      <c r="IB18" s="108"/>
      <c r="IC18" s="108"/>
      <c r="ID18" s="108"/>
      <c r="IE18" s="108"/>
      <c r="IF18" s="108"/>
      <c r="IG18" s="108"/>
      <c r="IH18" s="108"/>
      <c r="II18" s="108"/>
      <c r="IJ18" s="108"/>
      <c r="IK18" s="108"/>
      <c r="IL18" s="108"/>
      <c r="IM18" s="108"/>
      <c r="IN18" s="108"/>
      <c r="IO18" s="108"/>
      <c r="IP18" s="108"/>
      <c r="IQ18" s="108"/>
      <c r="IR18" s="108"/>
      <c r="IS18" s="108"/>
      <c r="IT18" s="108"/>
      <c r="IU18" s="108"/>
      <c r="IV18" s="108"/>
      <c r="IW18" s="108"/>
      <c r="IX18" s="108"/>
      <c r="IY18" s="108"/>
      <c r="IZ18" s="108"/>
      <c r="JA18" s="108"/>
      <c r="JB18" s="108"/>
      <c r="JC18" s="108"/>
      <c r="JD18" s="108"/>
      <c r="JE18" s="108"/>
      <c r="JF18" s="108"/>
      <c r="JG18" s="108"/>
      <c r="JH18" s="108"/>
      <c r="JI18" s="108"/>
      <c r="JJ18" s="108"/>
      <c r="JK18" s="108"/>
      <c r="JL18" s="108"/>
      <c r="JM18" s="108"/>
      <c r="JN18" s="108"/>
      <c r="JO18" s="108"/>
      <c r="JP18" s="108"/>
      <c r="JQ18" s="108"/>
      <c r="JR18" s="108"/>
      <c r="JS18" s="108"/>
      <c r="JT18" s="108"/>
      <c r="JU18" s="108"/>
      <c r="JV18" s="108"/>
      <c r="JW18" s="108"/>
      <c r="JX18" s="108"/>
      <c r="JY18" s="108"/>
      <c r="JZ18" s="108"/>
      <c r="KA18" s="108"/>
      <c r="KB18" s="108"/>
      <c r="KC18" s="108"/>
      <c r="KD18" s="108"/>
      <c r="KE18" s="108"/>
      <c r="KF18" s="108"/>
      <c r="KG18" s="108"/>
      <c r="KH18" s="108"/>
      <c r="KI18" s="108"/>
      <c r="KJ18" s="108"/>
      <c r="KK18" s="108"/>
      <c r="KL18" s="108"/>
      <c r="KM18" s="108"/>
      <c r="KN18" s="108"/>
      <c r="KO18" s="108"/>
      <c r="KP18" s="108"/>
      <c r="KQ18" s="108"/>
      <c r="KR18" s="108"/>
      <c r="KS18" s="108"/>
      <c r="KT18" s="108"/>
      <c r="KU18" s="108"/>
      <c r="KV18" s="108"/>
      <c r="KW18" s="108"/>
      <c r="KX18" s="108"/>
      <c r="KY18" s="108"/>
      <c r="KZ18" s="108"/>
      <c r="LA18" s="108"/>
      <c r="LB18" s="108"/>
      <c r="LC18" s="108"/>
      <c r="LD18" s="108"/>
      <c r="LE18" s="108"/>
      <c r="LF18" s="108"/>
      <c r="LG18" s="108"/>
      <c r="LH18" s="108"/>
      <c r="LI18" s="108"/>
      <c r="LJ18" s="108"/>
      <c r="LK18" s="108"/>
      <c r="LL18" s="108"/>
      <c r="LM18" s="108"/>
      <c r="LN18" s="108"/>
      <c r="LO18" s="108"/>
      <c r="LP18" s="108"/>
    </row>
    <row r="19" spans="2:328" s="67" customFormat="1" x14ac:dyDescent="0.2">
      <c r="B19" s="144" t="str">
        <f>CONCATENATE("Set","-",MID(TEXT($P$4,0),3,2))</f>
        <v>Set-24</v>
      </c>
      <c r="C19" s="109">
        <f>IF($G59&lt;$J$52,"",IF($G59&gt;$J$54,"",VLOOKUP($G59,SBPE_Mensal!$A$20:$G$578,2)))</f>
        <v>296532.663</v>
      </c>
      <c r="D19" s="110">
        <f>IF(G59&lt;$J$52,"",IF(G59&gt;$J$54,"",VLOOKUP(G59,SBPE_Mensal!$A$20:$G$578,3)))</f>
        <v>302669.75699999998</v>
      </c>
      <c r="E19" s="109">
        <f>IF(G59&lt;$J$52,"",IF(G59&gt;$J$54,"",VLOOKUP(G59,SBPE_Mensal!$A$20:$G$578,4)))</f>
        <v>-6137.0939999999828</v>
      </c>
      <c r="F19" s="111">
        <f>IF(G59&lt;$J$52,"",IF(G59&gt;$J$54,"",VLOOKUP(G59,SBPE_Mensal!$A$20:$G$578,5)))</f>
        <v>-0.80069131806349214</v>
      </c>
      <c r="G19" s="110">
        <f>IF(G59&lt;$J$52,"",IF(G59&gt;$J$54,"",VLOOKUP(G59,SBPE_Mensal!$A$20:$G$578,6)))</f>
        <v>4089.2979999999998</v>
      </c>
      <c r="H19" s="109">
        <f>IF(G59&lt;$J$52,"",IF(G59&gt;$J$54,"",VLOOKUP(G59,SBPE_Mensal!$A$20:$G$578,7)))</f>
        <v>764426.60600000003</v>
      </c>
      <c r="S19" s="108"/>
      <c r="T19" s="108"/>
      <c r="U19" s="103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  <c r="DS19" s="108"/>
      <c r="DT19" s="108"/>
      <c r="DU19" s="108"/>
      <c r="DV19" s="108"/>
      <c r="DW19" s="108"/>
      <c r="DX19" s="108"/>
      <c r="DY19" s="108"/>
      <c r="DZ19" s="108"/>
      <c r="EA19" s="108"/>
      <c r="EB19" s="108"/>
      <c r="EC19" s="108"/>
      <c r="ED19" s="108"/>
      <c r="EE19" s="108"/>
      <c r="EF19" s="108"/>
      <c r="EG19" s="108"/>
      <c r="EH19" s="108"/>
      <c r="EI19" s="108"/>
      <c r="EJ19" s="108"/>
      <c r="EK19" s="108"/>
      <c r="EL19" s="108"/>
      <c r="EM19" s="108"/>
      <c r="EN19" s="108"/>
      <c r="EO19" s="108"/>
      <c r="EP19" s="108"/>
      <c r="EQ19" s="108"/>
      <c r="ER19" s="108"/>
      <c r="ES19" s="108"/>
      <c r="ET19" s="108"/>
      <c r="EU19" s="108"/>
      <c r="EV19" s="108"/>
      <c r="EW19" s="108"/>
      <c r="EX19" s="108"/>
      <c r="EY19" s="108"/>
      <c r="EZ19" s="108"/>
      <c r="FA19" s="108"/>
      <c r="FB19" s="108"/>
      <c r="FC19" s="108"/>
      <c r="FD19" s="108"/>
      <c r="FE19" s="108"/>
      <c r="FF19" s="108"/>
      <c r="FG19" s="108"/>
      <c r="FH19" s="108"/>
      <c r="FI19" s="108"/>
      <c r="FJ19" s="108"/>
      <c r="FK19" s="108"/>
      <c r="FL19" s="108"/>
      <c r="FM19" s="108"/>
      <c r="FN19" s="108"/>
      <c r="FO19" s="108"/>
      <c r="FP19" s="108"/>
      <c r="FQ19" s="108"/>
      <c r="FR19" s="108"/>
      <c r="FS19" s="108"/>
      <c r="FT19" s="108"/>
      <c r="FU19" s="108"/>
      <c r="FV19" s="108"/>
      <c r="FW19" s="108"/>
      <c r="FX19" s="108"/>
      <c r="FY19" s="108"/>
      <c r="FZ19" s="108"/>
      <c r="GA19" s="108"/>
      <c r="GB19" s="108"/>
      <c r="GC19" s="108"/>
      <c r="GD19" s="108"/>
      <c r="GE19" s="108"/>
      <c r="GF19" s="108"/>
      <c r="GG19" s="108"/>
      <c r="GH19" s="108"/>
      <c r="GI19" s="108"/>
      <c r="GJ19" s="108"/>
      <c r="GK19" s="108"/>
      <c r="GL19" s="108"/>
      <c r="GM19" s="108"/>
      <c r="GN19" s="108"/>
      <c r="GO19" s="108"/>
      <c r="GP19" s="108"/>
      <c r="GQ19" s="108"/>
      <c r="GR19" s="108"/>
      <c r="GS19" s="108"/>
      <c r="GT19" s="108"/>
      <c r="GU19" s="108"/>
      <c r="GV19" s="108"/>
      <c r="GW19" s="108"/>
      <c r="GX19" s="108"/>
      <c r="GY19" s="108"/>
      <c r="GZ19" s="108"/>
      <c r="HA19" s="108"/>
      <c r="HB19" s="108"/>
      <c r="HC19" s="108"/>
      <c r="HD19" s="108"/>
      <c r="HE19" s="108"/>
      <c r="HF19" s="108"/>
      <c r="HG19" s="108"/>
      <c r="HH19" s="108"/>
      <c r="HI19" s="108"/>
      <c r="HJ19" s="108"/>
      <c r="HK19" s="108"/>
      <c r="HL19" s="108"/>
      <c r="HM19" s="108"/>
      <c r="HN19" s="108"/>
      <c r="HO19" s="108"/>
      <c r="HP19" s="108"/>
      <c r="HQ19" s="108"/>
      <c r="HR19" s="108"/>
      <c r="HS19" s="108"/>
      <c r="HT19" s="108"/>
      <c r="HU19" s="108"/>
      <c r="HV19" s="108"/>
      <c r="HW19" s="108"/>
      <c r="HX19" s="108"/>
      <c r="HY19" s="108"/>
      <c r="HZ19" s="108"/>
      <c r="IA19" s="108"/>
      <c r="IB19" s="108"/>
      <c r="IC19" s="108"/>
      <c r="ID19" s="108"/>
      <c r="IE19" s="108"/>
      <c r="IF19" s="108"/>
      <c r="IG19" s="108"/>
      <c r="IH19" s="108"/>
      <c r="II19" s="108"/>
      <c r="IJ19" s="108"/>
      <c r="IK19" s="108"/>
      <c r="IL19" s="108"/>
      <c r="IM19" s="108"/>
      <c r="IN19" s="108"/>
      <c r="IO19" s="108"/>
      <c r="IP19" s="108"/>
      <c r="IQ19" s="108"/>
      <c r="IR19" s="108"/>
      <c r="IS19" s="108"/>
      <c r="IT19" s="108"/>
      <c r="IU19" s="108"/>
      <c r="IV19" s="108"/>
      <c r="IW19" s="108"/>
      <c r="IX19" s="108"/>
      <c r="IY19" s="108"/>
      <c r="IZ19" s="108"/>
      <c r="JA19" s="108"/>
      <c r="JB19" s="108"/>
      <c r="JC19" s="108"/>
      <c r="JD19" s="108"/>
      <c r="JE19" s="108"/>
      <c r="JF19" s="108"/>
      <c r="JG19" s="108"/>
      <c r="JH19" s="108"/>
      <c r="JI19" s="108"/>
      <c r="JJ19" s="108"/>
      <c r="JK19" s="108"/>
      <c r="JL19" s="108"/>
      <c r="JM19" s="108"/>
      <c r="JN19" s="108"/>
      <c r="JO19" s="108"/>
      <c r="JP19" s="108"/>
      <c r="JQ19" s="108"/>
      <c r="JR19" s="108"/>
      <c r="JS19" s="108"/>
      <c r="JT19" s="108"/>
      <c r="JU19" s="108"/>
      <c r="JV19" s="108"/>
      <c r="JW19" s="108"/>
      <c r="JX19" s="108"/>
      <c r="JY19" s="108"/>
      <c r="JZ19" s="108"/>
      <c r="KA19" s="108"/>
      <c r="KB19" s="108"/>
      <c r="KC19" s="108"/>
      <c r="KD19" s="108"/>
      <c r="KE19" s="108"/>
      <c r="KF19" s="108"/>
      <c r="KG19" s="108"/>
      <c r="KH19" s="108"/>
      <c r="KI19" s="108"/>
      <c r="KJ19" s="108"/>
      <c r="KK19" s="108"/>
      <c r="KL19" s="108"/>
      <c r="KM19" s="108"/>
      <c r="KN19" s="108"/>
      <c r="KO19" s="108"/>
      <c r="KP19" s="108"/>
      <c r="KQ19" s="108"/>
      <c r="KR19" s="108"/>
      <c r="KS19" s="108"/>
      <c r="KT19" s="108"/>
      <c r="KU19" s="108"/>
      <c r="KV19" s="108"/>
      <c r="KW19" s="108"/>
      <c r="KX19" s="108"/>
      <c r="KY19" s="108"/>
      <c r="KZ19" s="108"/>
      <c r="LA19" s="108"/>
      <c r="LB19" s="108"/>
      <c r="LC19" s="108"/>
      <c r="LD19" s="108"/>
      <c r="LE19" s="108"/>
      <c r="LF19" s="108"/>
      <c r="LG19" s="108"/>
      <c r="LH19" s="108"/>
      <c r="LI19" s="108"/>
      <c r="LJ19" s="108"/>
      <c r="LK19" s="108"/>
      <c r="LL19" s="108"/>
      <c r="LM19" s="108"/>
      <c r="LN19" s="108"/>
      <c r="LO19" s="108"/>
      <c r="LP19" s="108"/>
    </row>
    <row r="20" spans="2:328" s="67" customFormat="1" x14ac:dyDescent="0.2">
      <c r="B20" s="144" t="str">
        <f>CONCATENATE("Out","-",MID(TEXT($P$4,0),3,2))</f>
        <v>Out-24</v>
      </c>
      <c r="C20" s="109">
        <f>IF($G60&lt;$J$52,"",IF($G60&gt;$J$54,"",VLOOKUP($G60,SBPE_Mensal!$A$20:$G$578,2)))</f>
        <v>306822.01299999998</v>
      </c>
      <c r="D20" s="110">
        <f>IF(G60&lt;$J$52,"",IF(G60&gt;$J$54,"",VLOOKUP(G60,SBPE_Mensal!$A$20:$G$578,3)))</f>
        <v>311469.429</v>
      </c>
      <c r="E20" s="109">
        <f>IF(G60&lt;$J$52,"",IF(G60&gt;$J$54,"",VLOOKUP(G60,SBPE_Mensal!$A$20:$G$578,4)))</f>
        <v>-4647.4160000000265</v>
      </c>
      <c r="F20" s="111">
        <f>IF(G60&lt;$J$52,"",IF(G60&gt;$J$54,"",VLOOKUP(G60,SBPE_Mensal!$A$20:$G$578,5)))</f>
        <v>-0.60796104734219913</v>
      </c>
      <c r="G20" s="110">
        <f>IF(G60&lt;$J$52,"",IF(G60&gt;$J$54,"",VLOOKUP(G60,SBPE_Mensal!$A$20:$G$578,6)))</f>
        <v>4119.9799999999996</v>
      </c>
      <c r="H20" s="109">
        <f>IF(G60&lt;$J$52,"",IF(G60&gt;$J$54,"",VLOOKUP(G60,SBPE_Mensal!$A$20:$G$578,7)))</f>
        <v>763899.17</v>
      </c>
      <c r="S20" s="108"/>
      <c r="T20" s="108"/>
      <c r="U20" s="103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108"/>
      <c r="DK20" s="108"/>
      <c r="DL20" s="108"/>
      <c r="DM20" s="108"/>
      <c r="DN20" s="108"/>
      <c r="DO20" s="108"/>
      <c r="DP20" s="108"/>
      <c r="DQ20" s="108"/>
      <c r="DR20" s="108"/>
      <c r="DS20" s="108"/>
      <c r="DT20" s="108"/>
      <c r="DU20" s="108"/>
      <c r="DV20" s="108"/>
      <c r="DW20" s="108"/>
      <c r="DX20" s="108"/>
      <c r="DY20" s="108"/>
      <c r="DZ20" s="108"/>
      <c r="EA20" s="108"/>
      <c r="EB20" s="108"/>
      <c r="EC20" s="108"/>
      <c r="ED20" s="108"/>
      <c r="EE20" s="108"/>
      <c r="EF20" s="108"/>
      <c r="EG20" s="108"/>
      <c r="EH20" s="108"/>
      <c r="EI20" s="108"/>
      <c r="EJ20" s="108"/>
      <c r="EK20" s="108"/>
      <c r="EL20" s="108"/>
      <c r="EM20" s="108"/>
      <c r="EN20" s="108"/>
      <c r="EO20" s="108"/>
      <c r="EP20" s="108"/>
      <c r="EQ20" s="108"/>
      <c r="ER20" s="108"/>
      <c r="ES20" s="108"/>
      <c r="ET20" s="108"/>
      <c r="EU20" s="108"/>
      <c r="EV20" s="108"/>
      <c r="EW20" s="108"/>
      <c r="EX20" s="108"/>
      <c r="EY20" s="108"/>
      <c r="EZ20" s="108"/>
      <c r="FA20" s="108"/>
      <c r="FB20" s="108"/>
      <c r="FC20" s="108"/>
      <c r="FD20" s="108"/>
      <c r="FE20" s="108"/>
      <c r="FF20" s="108"/>
      <c r="FG20" s="108"/>
      <c r="FH20" s="108"/>
      <c r="FI20" s="108"/>
      <c r="FJ20" s="108"/>
      <c r="FK20" s="108"/>
      <c r="FL20" s="108"/>
      <c r="FM20" s="108"/>
      <c r="FN20" s="108"/>
      <c r="FO20" s="108"/>
      <c r="FP20" s="108"/>
      <c r="FQ20" s="108"/>
      <c r="FR20" s="108"/>
      <c r="FS20" s="108"/>
      <c r="FT20" s="108"/>
      <c r="FU20" s="108"/>
      <c r="FV20" s="108"/>
      <c r="FW20" s="108"/>
      <c r="FX20" s="108"/>
      <c r="FY20" s="108"/>
      <c r="FZ20" s="108"/>
      <c r="GA20" s="108"/>
      <c r="GB20" s="108"/>
      <c r="GC20" s="108"/>
      <c r="GD20" s="108"/>
      <c r="GE20" s="108"/>
      <c r="GF20" s="108"/>
      <c r="GG20" s="108"/>
      <c r="GH20" s="108"/>
      <c r="GI20" s="108"/>
      <c r="GJ20" s="108"/>
      <c r="GK20" s="108"/>
      <c r="GL20" s="108"/>
      <c r="GM20" s="108"/>
      <c r="GN20" s="108"/>
      <c r="GO20" s="108"/>
      <c r="GP20" s="108"/>
      <c r="GQ20" s="108"/>
      <c r="GR20" s="108"/>
      <c r="GS20" s="108"/>
      <c r="GT20" s="108"/>
      <c r="GU20" s="108"/>
      <c r="GV20" s="108"/>
      <c r="GW20" s="108"/>
      <c r="GX20" s="108"/>
      <c r="GY20" s="108"/>
      <c r="GZ20" s="108"/>
      <c r="HA20" s="108"/>
      <c r="HB20" s="108"/>
      <c r="HC20" s="108"/>
      <c r="HD20" s="108"/>
      <c r="HE20" s="108"/>
      <c r="HF20" s="108"/>
      <c r="HG20" s="108"/>
      <c r="HH20" s="108"/>
      <c r="HI20" s="108"/>
      <c r="HJ20" s="108"/>
      <c r="HK20" s="108"/>
      <c r="HL20" s="108"/>
      <c r="HM20" s="108"/>
      <c r="HN20" s="108"/>
      <c r="HO20" s="108"/>
      <c r="HP20" s="108"/>
      <c r="HQ20" s="108"/>
      <c r="HR20" s="108"/>
      <c r="HS20" s="108"/>
      <c r="HT20" s="108"/>
      <c r="HU20" s="108"/>
      <c r="HV20" s="108"/>
      <c r="HW20" s="108"/>
      <c r="HX20" s="108"/>
      <c r="HY20" s="108"/>
      <c r="HZ20" s="108"/>
      <c r="IA20" s="108"/>
      <c r="IB20" s="108"/>
      <c r="IC20" s="108"/>
      <c r="ID20" s="108"/>
      <c r="IE20" s="108"/>
      <c r="IF20" s="108"/>
      <c r="IG20" s="108"/>
      <c r="IH20" s="108"/>
      <c r="II20" s="108"/>
      <c r="IJ20" s="108"/>
      <c r="IK20" s="108"/>
      <c r="IL20" s="108"/>
      <c r="IM20" s="108"/>
      <c r="IN20" s="108"/>
      <c r="IO20" s="108"/>
      <c r="IP20" s="108"/>
      <c r="IQ20" s="108"/>
      <c r="IR20" s="108"/>
      <c r="IS20" s="108"/>
      <c r="IT20" s="108"/>
      <c r="IU20" s="108"/>
      <c r="IV20" s="108"/>
      <c r="IW20" s="108"/>
      <c r="IX20" s="108"/>
      <c r="IY20" s="108"/>
      <c r="IZ20" s="108"/>
      <c r="JA20" s="108"/>
      <c r="JB20" s="108"/>
      <c r="JC20" s="108"/>
      <c r="JD20" s="108"/>
      <c r="JE20" s="108"/>
      <c r="JF20" s="108"/>
      <c r="JG20" s="108"/>
      <c r="JH20" s="108"/>
      <c r="JI20" s="108"/>
      <c r="JJ20" s="108"/>
      <c r="JK20" s="108"/>
      <c r="JL20" s="108"/>
      <c r="JM20" s="108"/>
      <c r="JN20" s="108"/>
      <c r="JO20" s="108"/>
      <c r="JP20" s="108"/>
      <c r="JQ20" s="108"/>
      <c r="JR20" s="108"/>
      <c r="JS20" s="108"/>
      <c r="JT20" s="108"/>
      <c r="JU20" s="108"/>
      <c r="JV20" s="108"/>
      <c r="JW20" s="108"/>
      <c r="JX20" s="108"/>
      <c r="JY20" s="108"/>
      <c r="JZ20" s="108"/>
      <c r="KA20" s="108"/>
      <c r="KB20" s="108"/>
      <c r="KC20" s="108"/>
      <c r="KD20" s="108"/>
      <c r="KE20" s="108"/>
      <c r="KF20" s="108"/>
      <c r="KG20" s="108"/>
      <c r="KH20" s="108"/>
      <c r="KI20" s="108"/>
      <c r="KJ20" s="108"/>
      <c r="KK20" s="108"/>
      <c r="KL20" s="108"/>
      <c r="KM20" s="108"/>
      <c r="KN20" s="108"/>
      <c r="KO20" s="108"/>
      <c r="KP20" s="108"/>
      <c r="KQ20" s="108"/>
      <c r="KR20" s="108"/>
      <c r="KS20" s="108"/>
      <c r="KT20" s="108"/>
      <c r="KU20" s="108"/>
      <c r="KV20" s="108"/>
      <c r="KW20" s="108"/>
      <c r="KX20" s="108"/>
      <c r="KY20" s="108"/>
      <c r="KZ20" s="108"/>
      <c r="LA20" s="108"/>
      <c r="LB20" s="108"/>
      <c r="LC20" s="108"/>
      <c r="LD20" s="108"/>
      <c r="LE20" s="108"/>
      <c r="LF20" s="108"/>
      <c r="LG20" s="108"/>
      <c r="LH20" s="108"/>
      <c r="LI20" s="108"/>
      <c r="LJ20" s="108"/>
      <c r="LK20" s="108"/>
      <c r="LL20" s="108"/>
      <c r="LM20" s="108"/>
      <c r="LN20" s="108"/>
      <c r="LO20" s="108"/>
      <c r="LP20" s="108"/>
    </row>
    <row r="21" spans="2:328" s="67" customFormat="1" x14ac:dyDescent="0.2">
      <c r="B21" s="144" t="str">
        <f>CONCATENATE("Nov","-",MID(TEXT($P$4,0),3,2))</f>
        <v>Nov-24</v>
      </c>
      <c r="C21" s="109">
        <f>IF($G61&lt;$J$52,"",IF($G61&gt;$J$54,"",VLOOKUP($G61,SBPE_Mensal!$A$20:$G$578,2)))</f>
        <v>294182.04599999997</v>
      </c>
      <c r="D21" s="110">
        <f>IF(G61&lt;$J$52,"",IF(G61&gt;$J$54,"",VLOOKUP(G61,SBPE_Mensal!$A$20:$G$578,3)))</f>
        <v>295551.92700000003</v>
      </c>
      <c r="E21" s="109">
        <f>IF(G61&lt;$J$52,"",IF(G61&gt;$J$54,"",VLOOKUP(G61,SBPE_Mensal!$A$20:$G$578,4)))</f>
        <v>-1369.8810000000522</v>
      </c>
      <c r="F21" s="111">
        <f>IF(G61&lt;$J$52,"",IF(G61&gt;$J$54,"",VLOOKUP(G61,SBPE_Mensal!$A$20:$G$578,5)))</f>
        <v>-0.17932746281162371</v>
      </c>
      <c r="G21" s="110">
        <f>IF(G61&lt;$J$52,"",IF(G61&gt;$J$54,"",VLOOKUP(G61,SBPE_Mensal!$A$20:$G$578,6)))</f>
        <v>4202.1260000000002</v>
      </c>
      <c r="H21" s="109">
        <f>IF(G61&lt;$J$52,"",IF(G61&gt;$J$54,"",VLOOKUP(G61,SBPE_Mensal!$A$20:$G$578,7)))</f>
        <v>766731.41500000004</v>
      </c>
      <c r="S21" s="108"/>
      <c r="T21" s="108"/>
      <c r="U21" s="114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108"/>
      <c r="DK21" s="108"/>
      <c r="DL21" s="108"/>
      <c r="DM21" s="108"/>
      <c r="DN21" s="108"/>
      <c r="DO21" s="108"/>
      <c r="DP21" s="108"/>
      <c r="DQ21" s="108"/>
      <c r="DR21" s="108"/>
      <c r="DS21" s="108"/>
      <c r="DT21" s="108"/>
      <c r="DU21" s="108"/>
      <c r="DV21" s="108"/>
      <c r="DW21" s="108"/>
      <c r="DX21" s="108"/>
      <c r="DY21" s="108"/>
      <c r="DZ21" s="108"/>
      <c r="EA21" s="108"/>
      <c r="EB21" s="108"/>
      <c r="EC21" s="108"/>
      <c r="ED21" s="108"/>
      <c r="EE21" s="108"/>
      <c r="EF21" s="108"/>
      <c r="EG21" s="108"/>
      <c r="EH21" s="108"/>
      <c r="EI21" s="108"/>
      <c r="EJ21" s="108"/>
      <c r="EK21" s="108"/>
      <c r="EL21" s="108"/>
      <c r="EM21" s="108"/>
      <c r="EN21" s="108"/>
      <c r="EO21" s="108"/>
      <c r="EP21" s="108"/>
      <c r="EQ21" s="108"/>
      <c r="ER21" s="108"/>
      <c r="ES21" s="108"/>
      <c r="ET21" s="108"/>
      <c r="EU21" s="108"/>
      <c r="EV21" s="108"/>
      <c r="EW21" s="108"/>
      <c r="EX21" s="108"/>
      <c r="EY21" s="108"/>
      <c r="EZ21" s="108"/>
      <c r="FA21" s="108"/>
      <c r="FB21" s="108"/>
      <c r="FC21" s="108"/>
      <c r="FD21" s="108"/>
      <c r="FE21" s="108"/>
      <c r="FF21" s="108"/>
      <c r="FG21" s="108"/>
      <c r="FH21" s="108"/>
      <c r="FI21" s="108"/>
      <c r="FJ21" s="108"/>
      <c r="FK21" s="108"/>
      <c r="FL21" s="108"/>
      <c r="FM21" s="108"/>
      <c r="FN21" s="108"/>
      <c r="FO21" s="108"/>
      <c r="FP21" s="108"/>
      <c r="FQ21" s="108"/>
      <c r="FR21" s="108"/>
      <c r="FS21" s="108"/>
      <c r="FT21" s="108"/>
      <c r="FU21" s="108"/>
      <c r="FV21" s="108"/>
      <c r="FW21" s="108"/>
      <c r="FX21" s="108"/>
      <c r="FY21" s="108"/>
      <c r="FZ21" s="108"/>
      <c r="GA21" s="108"/>
      <c r="GB21" s="108"/>
      <c r="GC21" s="108"/>
      <c r="GD21" s="108"/>
      <c r="GE21" s="108"/>
      <c r="GF21" s="108"/>
      <c r="GG21" s="108"/>
      <c r="GH21" s="108"/>
      <c r="GI21" s="108"/>
      <c r="GJ21" s="108"/>
      <c r="GK21" s="108"/>
      <c r="GL21" s="108"/>
      <c r="GM21" s="108"/>
      <c r="GN21" s="108"/>
      <c r="GO21" s="108"/>
      <c r="GP21" s="108"/>
      <c r="GQ21" s="108"/>
      <c r="GR21" s="108"/>
      <c r="GS21" s="108"/>
      <c r="GT21" s="108"/>
      <c r="GU21" s="108"/>
      <c r="GV21" s="108"/>
      <c r="GW21" s="108"/>
      <c r="GX21" s="108"/>
      <c r="GY21" s="108"/>
      <c r="GZ21" s="108"/>
      <c r="HA21" s="108"/>
      <c r="HB21" s="108"/>
      <c r="HC21" s="108"/>
      <c r="HD21" s="108"/>
      <c r="HE21" s="108"/>
      <c r="HF21" s="108"/>
      <c r="HG21" s="108"/>
      <c r="HH21" s="108"/>
      <c r="HI21" s="108"/>
      <c r="HJ21" s="108"/>
      <c r="HK21" s="108"/>
      <c r="HL21" s="108"/>
      <c r="HM21" s="108"/>
      <c r="HN21" s="108"/>
      <c r="HO21" s="108"/>
      <c r="HP21" s="108"/>
      <c r="HQ21" s="108"/>
      <c r="HR21" s="108"/>
      <c r="HS21" s="108"/>
      <c r="HT21" s="108"/>
      <c r="HU21" s="108"/>
      <c r="HV21" s="108"/>
      <c r="HW21" s="108"/>
      <c r="HX21" s="108"/>
      <c r="HY21" s="108"/>
      <c r="HZ21" s="108"/>
      <c r="IA21" s="108"/>
      <c r="IB21" s="108"/>
      <c r="IC21" s="108"/>
      <c r="ID21" s="108"/>
      <c r="IE21" s="108"/>
      <c r="IF21" s="108"/>
      <c r="IG21" s="108"/>
      <c r="IH21" s="108"/>
      <c r="II21" s="108"/>
      <c r="IJ21" s="108"/>
      <c r="IK21" s="108"/>
      <c r="IL21" s="108"/>
      <c r="IM21" s="108"/>
      <c r="IN21" s="108"/>
      <c r="IO21" s="108"/>
      <c r="IP21" s="108"/>
      <c r="IQ21" s="108"/>
      <c r="IR21" s="108"/>
      <c r="IS21" s="108"/>
      <c r="IT21" s="108"/>
      <c r="IU21" s="108"/>
      <c r="IV21" s="108"/>
      <c r="IW21" s="108"/>
      <c r="IX21" s="108"/>
      <c r="IY21" s="108"/>
      <c r="IZ21" s="108"/>
      <c r="JA21" s="108"/>
      <c r="JB21" s="108"/>
      <c r="JC21" s="108"/>
      <c r="JD21" s="108"/>
      <c r="JE21" s="108"/>
      <c r="JF21" s="108"/>
      <c r="JG21" s="108"/>
      <c r="JH21" s="108"/>
      <c r="JI21" s="108"/>
      <c r="JJ21" s="108"/>
      <c r="JK21" s="108"/>
      <c r="JL21" s="108"/>
      <c r="JM21" s="108"/>
      <c r="JN21" s="108"/>
      <c r="JO21" s="108"/>
      <c r="JP21" s="108"/>
      <c r="JQ21" s="108"/>
      <c r="JR21" s="108"/>
      <c r="JS21" s="108"/>
      <c r="JT21" s="108"/>
      <c r="JU21" s="108"/>
      <c r="JV21" s="108"/>
      <c r="JW21" s="108"/>
      <c r="JX21" s="108"/>
      <c r="JY21" s="108"/>
      <c r="JZ21" s="108"/>
      <c r="KA21" s="108"/>
      <c r="KB21" s="108"/>
      <c r="KC21" s="108"/>
      <c r="KD21" s="108"/>
      <c r="KE21" s="108"/>
      <c r="KF21" s="108"/>
      <c r="KG21" s="108"/>
      <c r="KH21" s="108"/>
      <c r="KI21" s="108"/>
      <c r="KJ21" s="108"/>
      <c r="KK21" s="108"/>
      <c r="KL21" s="108"/>
      <c r="KM21" s="108"/>
      <c r="KN21" s="108"/>
      <c r="KO21" s="108"/>
      <c r="KP21" s="108"/>
      <c r="KQ21" s="108"/>
      <c r="KR21" s="108"/>
      <c r="KS21" s="108"/>
      <c r="KT21" s="108"/>
      <c r="KU21" s="108"/>
      <c r="KV21" s="108"/>
      <c r="KW21" s="108"/>
      <c r="KX21" s="108"/>
      <c r="KY21" s="108"/>
      <c r="KZ21" s="108"/>
      <c r="LA21" s="108"/>
      <c r="LB21" s="108"/>
      <c r="LC21" s="108"/>
      <c r="LD21" s="108"/>
      <c r="LE21" s="108"/>
      <c r="LF21" s="108"/>
      <c r="LG21" s="108"/>
      <c r="LH21" s="108"/>
      <c r="LI21" s="108"/>
      <c r="LJ21" s="108"/>
      <c r="LK21" s="108"/>
      <c r="LL21" s="108"/>
      <c r="LM21" s="108"/>
      <c r="LN21" s="108"/>
      <c r="LO21" s="108"/>
      <c r="LP21" s="108"/>
    </row>
    <row r="22" spans="2:328" s="67" customFormat="1" x14ac:dyDescent="0.2">
      <c r="B22" s="144" t="str">
        <f>CONCATENATE("Dez","-",MID(TEXT($P$4,0),3,2))</f>
        <v>Dez-24</v>
      </c>
      <c r="C22" s="109">
        <f>IF($G62&lt;$J$52,"",IF($G62&gt;$J$54,"",VLOOKUP($G62,SBPE_Mensal!$A$20:$G$578,2)))</f>
        <v>343248.48100000003</v>
      </c>
      <c r="D22" s="110">
        <f>IF(G62&lt;$J$52,"",IF(G62&gt;$J$54,"",VLOOKUP(G62,SBPE_Mensal!$A$20:$G$578,3)))</f>
        <v>340575.88199999998</v>
      </c>
      <c r="E22" s="109">
        <f>IF(G62&lt;$J$52,"",IF(G62&gt;$J$54,"",VLOOKUP(G62,SBPE_Mensal!$A$20:$G$578,4)))</f>
        <v>2672.5990000000456</v>
      </c>
      <c r="F22" s="111">
        <f>IF(G62&lt;$J$52,"",IF(G62&gt;$J$54,"",VLOOKUP(G62,SBPE_Mensal!$A$20:$G$578,5)))</f>
        <v>0.34857043127677839</v>
      </c>
      <c r="G22" s="110">
        <f>IF(G62&lt;$J$52,"",IF(G62&gt;$J$54,"",VLOOKUP(G62,SBPE_Mensal!$A$20:$G$578,6)))</f>
        <v>4077.201</v>
      </c>
      <c r="H22" s="109">
        <f>IF(G62&lt;$J$52,"",IF(G62&gt;$J$54,"",VLOOKUP(G62,SBPE_Mensal!$A$20:$G$578,7)))</f>
        <v>773481.21699999995</v>
      </c>
      <c r="S22" s="108"/>
      <c r="T22" s="108"/>
      <c r="U22" s="114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108"/>
      <c r="DO22" s="108"/>
      <c r="DP22" s="108"/>
      <c r="DQ22" s="108"/>
      <c r="DR22" s="108"/>
      <c r="DS22" s="108"/>
      <c r="DT22" s="108"/>
      <c r="DU22" s="108"/>
      <c r="DV22" s="108"/>
      <c r="DW22" s="108"/>
      <c r="DX22" s="108"/>
      <c r="DY22" s="108"/>
      <c r="DZ22" s="108"/>
      <c r="EA22" s="108"/>
      <c r="EB22" s="108"/>
      <c r="EC22" s="108"/>
      <c r="ED22" s="108"/>
      <c r="EE22" s="108"/>
      <c r="EF22" s="108"/>
      <c r="EG22" s="108"/>
      <c r="EH22" s="108"/>
      <c r="EI22" s="108"/>
      <c r="EJ22" s="108"/>
      <c r="EK22" s="108"/>
      <c r="EL22" s="108"/>
      <c r="EM22" s="108"/>
      <c r="EN22" s="108"/>
      <c r="EO22" s="108"/>
      <c r="EP22" s="108"/>
      <c r="EQ22" s="108"/>
      <c r="ER22" s="108"/>
      <c r="ES22" s="108"/>
      <c r="ET22" s="108"/>
      <c r="EU22" s="108"/>
      <c r="EV22" s="108"/>
      <c r="EW22" s="108"/>
      <c r="EX22" s="108"/>
      <c r="EY22" s="108"/>
      <c r="EZ22" s="108"/>
      <c r="FA22" s="108"/>
      <c r="FB22" s="108"/>
      <c r="FC22" s="108"/>
      <c r="FD22" s="108"/>
      <c r="FE22" s="108"/>
      <c r="FF22" s="108"/>
      <c r="FG22" s="108"/>
      <c r="FH22" s="108"/>
      <c r="FI22" s="108"/>
      <c r="FJ22" s="108"/>
      <c r="FK22" s="108"/>
      <c r="FL22" s="108"/>
      <c r="FM22" s="108"/>
      <c r="FN22" s="108"/>
      <c r="FO22" s="108"/>
      <c r="FP22" s="108"/>
      <c r="FQ22" s="108"/>
      <c r="FR22" s="108"/>
      <c r="FS22" s="108"/>
      <c r="FT22" s="108"/>
      <c r="FU22" s="108"/>
      <c r="FV22" s="108"/>
      <c r="FW22" s="108"/>
      <c r="FX22" s="108"/>
      <c r="FY22" s="108"/>
      <c r="FZ22" s="108"/>
      <c r="GA22" s="108"/>
      <c r="GB22" s="108"/>
      <c r="GC22" s="108"/>
      <c r="GD22" s="108"/>
      <c r="GE22" s="108"/>
      <c r="GF22" s="108"/>
      <c r="GG22" s="108"/>
      <c r="GH22" s="108"/>
      <c r="GI22" s="108"/>
      <c r="GJ22" s="108"/>
      <c r="GK22" s="108"/>
      <c r="GL22" s="108"/>
      <c r="GM22" s="108"/>
      <c r="GN22" s="108"/>
      <c r="GO22" s="108"/>
      <c r="GP22" s="108"/>
      <c r="GQ22" s="108"/>
      <c r="GR22" s="108"/>
      <c r="GS22" s="108"/>
      <c r="GT22" s="108"/>
      <c r="GU22" s="108"/>
      <c r="GV22" s="108"/>
      <c r="GW22" s="108"/>
      <c r="GX22" s="108"/>
      <c r="GY22" s="108"/>
      <c r="GZ22" s="108"/>
      <c r="HA22" s="108"/>
      <c r="HB22" s="108"/>
      <c r="HC22" s="108"/>
      <c r="HD22" s="108"/>
      <c r="HE22" s="108"/>
      <c r="HF22" s="108"/>
      <c r="HG22" s="108"/>
      <c r="HH22" s="108"/>
      <c r="HI22" s="108"/>
      <c r="HJ22" s="108"/>
      <c r="HK22" s="108"/>
      <c r="HL22" s="108"/>
      <c r="HM22" s="108"/>
      <c r="HN22" s="108"/>
      <c r="HO22" s="108"/>
      <c r="HP22" s="108"/>
      <c r="HQ22" s="108"/>
      <c r="HR22" s="108"/>
      <c r="HS22" s="108"/>
      <c r="HT22" s="108"/>
      <c r="HU22" s="108"/>
      <c r="HV22" s="108"/>
      <c r="HW22" s="108"/>
      <c r="HX22" s="108"/>
      <c r="HY22" s="108"/>
      <c r="HZ22" s="108"/>
      <c r="IA22" s="108"/>
      <c r="IB22" s="108"/>
      <c r="IC22" s="108"/>
      <c r="ID22" s="108"/>
      <c r="IE22" s="108"/>
      <c r="IF22" s="108"/>
      <c r="IG22" s="108"/>
      <c r="IH22" s="108"/>
      <c r="II22" s="108"/>
      <c r="IJ22" s="108"/>
      <c r="IK22" s="108"/>
      <c r="IL22" s="108"/>
      <c r="IM22" s="108"/>
      <c r="IN22" s="108"/>
      <c r="IO22" s="108"/>
      <c r="IP22" s="108"/>
      <c r="IQ22" s="108"/>
      <c r="IR22" s="108"/>
      <c r="IS22" s="108"/>
      <c r="IT22" s="108"/>
      <c r="IU22" s="108"/>
      <c r="IV22" s="108"/>
      <c r="IW22" s="108"/>
      <c r="IX22" s="108"/>
      <c r="IY22" s="108"/>
      <c r="IZ22" s="108"/>
      <c r="JA22" s="108"/>
      <c r="JB22" s="108"/>
      <c r="JC22" s="108"/>
      <c r="JD22" s="108"/>
      <c r="JE22" s="108"/>
      <c r="JF22" s="108"/>
      <c r="JG22" s="108"/>
      <c r="JH22" s="108"/>
      <c r="JI22" s="108"/>
      <c r="JJ22" s="108"/>
      <c r="JK22" s="108"/>
      <c r="JL22" s="108"/>
      <c r="JM22" s="108"/>
      <c r="JN22" s="108"/>
      <c r="JO22" s="108"/>
      <c r="JP22" s="108"/>
      <c r="JQ22" s="108"/>
      <c r="JR22" s="108"/>
      <c r="JS22" s="108"/>
      <c r="JT22" s="108"/>
      <c r="JU22" s="108"/>
      <c r="JV22" s="108"/>
      <c r="JW22" s="108"/>
      <c r="JX22" s="108"/>
      <c r="JY22" s="108"/>
      <c r="JZ22" s="108"/>
      <c r="KA22" s="108"/>
      <c r="KB22" s="108"/>
      <c r="KC22" s="108"/>
      <c r="KD22" s="108"/>
      <c r="KE22" s="108"/>
      <c r="KF22" s="108"/>
      <c r="KG22" s="108"/>
      <c r="KH22" s="108"/>
      <c r="KI22" s="108"/>
      <c r="KJ22" s="108"/>
      <c r="KK22" s="108"/>
      <c r="KL22" s="108"/>
      <c r="KM22" s="108"/>
      <c r="KN22" s="108"/>
      <c r="KO22" s="108"/>
      <c r="KP22" s="108"/>
      <c r="KQ22" s="108"/>
      <c r="KR22" s="108"/>
      <c r="KS22" s="108"/>
      <c r="KT22" s="108"/>
      <c r="KU22" s="108"/>
      <c r="KV22" s="108"/>
      <c r="KW22" s="108"/>
      <c r="KX22" s="108"/>
      <c r="KY22" s="108"/>
      <c r="KZ22" s="108"/>
      <c r="LA22" s="108"/>
      <c r="LB22" s="108"/>
      <c r="LC22" s="108"/>
      <c r="LD22" s="108"/>
      <c r="LE22" s="108"/>
      <c r="LF22" s="108"/>
      <c r="LG22" s="108"/>
      <c r="LH22" s="108"/>
      <c r="LI22" s="108"/>
      <c r="LJ22" s="108"/>
      <c r="LK22" s="108"/>
      <c r="LL22" s="108"/>
      <c r="LM22" s="108"/>
      <c r="LN22" s="108"/>
      <c r="LO22" s="108"/>
      <c r="LP22" s="108"/>
    </row>
    <row r="23" spans="2:328" s="67" customFormat="1" x14ac:dyDescent="0.2">
      <c r="B23" s="115" t="str">
        <f>CONCATENATE(N51,".",$P$4)</f>
        <v>Total.2024</v>
      </c>
      <c r="C23" s="116">
        <f>SUM(C11:C22)</f>
        <v>3610512.1630000002</v>
      </c>
      <c r="D23" s="116">
        <f>SUM(D11:D22)</f>
        <v>3632229.7709999997</v>
      </c>
      <c r="E23" s="117">
        <f>SUM(E11:E22)</f>
        <v>-21717.608000000066</v>
      </c>
      <c r="F23" s="118">
        <f>_xlfn.XLOOKUP(B23,SBPE_Mensal!$A$8:$A$578,SBPE_Mensal!$E$8:$E$578)</f>
        <v>-2.906994130452329</v>
      </c>
      <c r="G23" s="116">
        <f>SUM(G11:G22)</f>
        <v>48115.682000000001</v>
      </c>
      <c r="H23" s="116">
        <f>VLOOKUP(B23,SBPE_Mensal!A20:G578,7)</f>
        <v>773481.21699999995</v>
      </c>
      <c r="U23" s="119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8"/>
      <c r="DG23" s="108"/>
      <c r="DH23" s="108"/>
      <c r="DI23" s="108"/>
      <c r="DJ23" s="108"/>
      <c r="DK23" s="108"/>
      <c r="DL23" s="108"/>
      <c r="DM23" s="108"/>
      <c r="DN23" s="108"/>
      <c r="DO23" s="108"/>
      <c r="DP23" s="108"/>
      <c r="DQ23" s="108"/>
      <c r="DR23" s="108"/>
      <c r="DS23" s="108"/>
      <c r="DT23" s="108"/>
      <c r="DU23" s="108"/>
      <c r="DV23" s="108"/>
      <c r="DW23" s="108"/>
      <c r="DX23" s="108"/>
      <c r="DY23" s="108"/>
      <c r="DZ23" s="108"/>
      <c r="EA23" s="108"/>
      <c r="EB23" s="108"/>
      <c r="EC23" s="108"/>
      <c r="ED23" s="108"/>
      <c r="EE23" s="108"/>
      <c r="EF23" s="108"/>
      <c r="EG23" s="108"/>
      <c r="EH23" s="108"/>
      <c r="EI23" s="108"/>
      <c r="EJ23" s="108"/>
      <c r="EK23" s="108"/>
      <c r="EL23" s="108"/>
      <c r="EM23" s="108"/>
      <c r="EN23" s="108"/>
      <c r="EO23" s="108"/>
      <c r="EP23" s="108"/>
      <c r="EQ23" s="108"/>
      <c r="ER23" s="108"/>
      <c r="ES23" s="108"/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08"/>
      <c r="FG23" s="108"/>
      <c r="FH23" s="108"/>
      <c r="FI23" s="108"/>
      <c r="FJ23" s="108"/>
      <c r="FK23" s="108"/>
      <c r="FL23" s="108"/>
      <c r="FM23" s="108"/>
      <c r="FN23" s="108"/>
      <c r="FO23" s="108"/>
      <c r="FP23" s="108"/>
      <c r="FQ23" s="108"/>
      <c r="FR23" s="108"/>
      <c r="FS23" s="108"/>
      <c r="FT23" s="108"/>
      <c r="FU23" s="108"/>
      <c r="FV23" s="108"/>
      <c r="FW23" s="108"/>
      <c r="FX23" s="108"/>
      <c r="FY23" s="108"/>
      <c r="FZ23" s="108"/>
      <c r="GA23" s="108"/>
      <c r="GB23" s="108"/>
      <c r="GC23" s="108"/>
      <c r="GD23" s="108"/>
      <c r="GE23" s="108"/>
      <c r="GF23" s="108"/>
      <c r="GG23" s="108"/>
      <c r="GH23" s="108"/>
      <c r="GI23" s="108"/>
      <c r="GJ23" s="108"/>
      <c r="GK23" s="108"/>
      <c r="GL23" s="108"/>
      <c r="GM23" s="108"/>
      <c r="GN23" s="108"/>
      <c r="GO23" s="108"/>
      <c r="GP23" s="108"/>
      <c r="GQ23" s="108"/>
      <c r="GR23" s="108"/>
      <c r="GS23" s="108"/>
      <c r="GT23" s="108"/>
      <c r="GU23" s="108"/>
      <c r="GV23" s="108"/>
      <c r="GW23" s="108"/>
      <c r="GX23" s="108"/>
      <c r="GY23" s="108"/>
      <c r="GZ23" s="108"/>
      <c r="HA23" s="108"/>
      <c r="HB23" s="108"/>
      <c r="HC23" s="108"/>
      <c r="HD23" s="108"/>
      <c r="HE23" s="108"/>
      <c r="HF23" s="108"/>
      <c r="HG23" s="108"/>
      <c r="HH23" s="108"/>
      <c r="HI23" s="108"/>
      <c r="HJ23" s="108"/>
      <c r="HK23" s="108"/>
      <c r="HL23" s="108"/>
      <c r="HM23" s="108"/>
      <c r="HN23" s="108"/>
      <c r="HO23" s="108"/>
      <c r="HP23" s="108"/>
      <c r="HQ23" s="108"/>
      <c r="HR23" s="108"/>
      <c r="HS23" s="108"/>
      <c r="HT23" s="108"/>
      <c r="HU23" s="108"/>
      <c r="HV23" s="108"/>
      <c r="HW23" s="108"/>
      <c r="HX23" s="108"/>
      <c r="HY23" s="108"/>
      <c r="HZ23" s="108"/>
      <c r="IA23" s="108"/>
      <c r="IB23" s="108"/>
      <c r="IC23" s="108"/>
      <c r="ID23" s="108"/>
      <c r="IE23" s="108"/>
      <c r="IF23" s="108"/>
      <c r="IG23" s="108"/>
      <c r="IH23" s="108"/>
      <c r="II23" s="108"/>
      <c r="IJ23" s="108"/>
      <c r="IK23" s="108"/>
      <c r="IL23" s="108"/>
      <c r="IM23" s="108"/>
      <c r="IN23" s="108"/>
      <c r="IO23" s="108"/>
      <c r="IP23" s="108"/>
      <c r="IQ23" s="108"/>
      <c r="IR23" s="108"/>
      <c r="IS23" s="108"/>
      <c r="IT23" s="108"/>
      <c r="IU23" s="108"/>
      <c r="IV23" s="108"/>
      <c r="IW23" s="108"/>
      <c r="IX23" s="108"/>
      <c r="IY23" s="108"/>
      <c r="IZ23" s="108"/>
      <c r="JA23" s="108"/>
      <c r="JB23" s="108"/>
      <c r="JC23" s="108"/>
      <c r="JD23" s="108"/>
      <c r="JE23" s="108"/>
      <c r="JF23" s="108"/>
      <c r="JG23" s="108"/>
      <c r="JH23" s="108"/>
      <c r="JI23" s="108"/>
      <c r="JJ23" s="108"/>
      <c r="JK23" s="108"/>
      <c r="JL23" s="108"/>
      <c r="JM23" s="108"/>
      <c r="JN23" s="108"/>
      <c r="JO23" s="108"/>
      <c r="JP23" s="108"/>
      <c r="JQ23" s="108"/>
      <c r="JR23" s="108"/>
      <c r="JS23" s="108"/>
      <c r="JT23" s="108"/>
      <c r="JU23" s="108"/>
      <c r="JV23" s="108"/>
      <c r="JW23" s="108"/>
      <c r="JX23" s="108"/>
      <c r="JY23" s="108"/>
      <c r="JZ23" s="108"/>
      <c r="KA23" s="108"/>
      <c r="KB23" s="108"/>
      <c r="KC23" s="108"/>
      <c r="KD23" s="108"/>
      <c r="KE23" s="108"/>
      <c r="KF23" s="108"/>
      <c r="KG23" s="108"/>
      <c r="KH23" s="108"/>
      <c r="KI23" s="108"/>
      <c r="KJ23" s="108"/>
      <c r="KK23" s="108"/>
      <c r="KL23" s="108"/>
      <c r="KM23" s="108"/>
      <c r="KN23" s="108"/>
      <c r="KO23" s="108"/>
      <c r="KP23" s="108"/>
      <c r="KQ23" s="108"/>
      <c r="KR23" s="108"/>
      <c r="KS23" s="108"/>
      <c r="KT23" s="108"/>
      <c r="KU23" s="108"/>
      <c r="KV23" s="108"/>
      <c r="KW23" s="108"/>
      <c r="KX23" s="108"/>
      <c r="KY23" s="108"/>
      <c r="KZ23" s="108"/>
      <c r="LA23" s="108"/>
      <c r="LB23" s="108"/>
      <c r="LC23" s="108"/>
      <c r="LD23" s="108"/>
      <c r="LE23" s="108"/>
      <c r="LF23" s="108"/>
      <c r="LG23" s="108"/>
      <c r="LH23" s="108"/>
      <c r="LI23" s="108"/>
      <c r="LJ23" s="108"/>
      <c r="LK23" s="108"/>
      <c r="LL23" s="108"/>
      <c r="LM23" s="108"/>
      <c r="LN23" s="108"/>
      <c r="LO23" s="108"/>
      <c r="LP23" s="108"/>
    </row>
    <row r="24" spans="2:328" x14ac:dyDescent="0.2">
      <c r="B24" s="120" t="s">
        <v>12</v>
      </c>
      <c r="C24" s="66"/>
      <c r="D24" s="66"/>
      <c r="E24" s="66"/>
      <c r="F24" s="66"/>
      <c r="G24" s="66"/>
      <c r="H24" s="66"/>
      <c r="U24" s="119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  <c r="EN24" s="103"/>
      <c r="EO24" s="103"/>
      <c r="EP24" s="103"/>
      <c r="EQ24" s="103"/>
      <c r="ER24" s="103"/>
      <c r="ES24" s="103"/>
      <c r="ET24" s="103"/>
      <c r="EU24" s="103"/>
      <c r="EV24" s="103"/>
      <c r="EW24" s="103"/>
      <c r="EX24" s="103"/>
      <c r="EY24" s="103"/>
      <c r="EZ24" s="103"/>
      <c r="FA24" s="103"/>
      <c r="FB24" s="103"/>
      <c r="FC24" s="103"/>
      <c r="FD24" s="103"/>
      <c r="FE24" s="103"/>
      <c r="FF24" s="103"/>
      <c r="FG24" s="103"/>
      <c r="FH24" s="103"/>
      <c r="FI24" s="103"/>
      <c r="FJ24" s="103"/>
      <c r="FK24" s="103"/>
      <c r="FL24" s="103"/>
      <c r="FM24" s="103"/>
      <c r="FN24" s="103"/>
      <c r="FO24" s="103"/>
      <c r="FP24" s="103"/>
      <c r="FQ24" s="103"/>
      <c r="FR24" s="103"/>
      <c r="FS24" s="103"/>
      <c r="FT24" s="103"/>
      <c r="FU24" s="103"/>
      <c r="FV24" s="103"/>
      <c r="FW24" s="103"/>
      <c r="FX24" s="103"/>
      <c r="FY24" s="103"/>
      <c r="FZ24" s="103"/>
      <c r="GA24" s="103"/>
      <c r="GB24" s="103"/>
      <c r="GC24" s="103"/>
      <c r="GD24" s="103"/>
      <c r="GE24" s="103"/>
      <c r="GF24" s="103"/>
      <c r="GG24" s="103"/>
      <c r="GH24" s="103"/>
      <c r="GI24" s="103"/>
      <c r="GJ24" s="103"/>
      <c r="GK24" s="103"/>
      <c r="GL24" s="103"/>
      <c r="GM24" s="103"/>
      <c r="GN24" s="103"/>
      <c r="GO24" s="103"/>
      <c r="GP24" s="103"/>
      <c r="GQ24" s="103"/>
      <c r="GR24" s="103"/>
      <c r="GS24" s="103"/>
      <c r="GT24" s="103"/>
      <c r="GU24" s="103"/>
      <c r="GV24" s="103"/>
      <c r="GW24" s="103"/>
      <c r="GX24" s="103"/>
      <c r="GY24" s="103"/>
      <c r="GZ24" s="103"/>
      <c r="HA24" s="103"/>
      <c r="HB24" s="103"/>
      <c r="HC24" s="103"/>
      <c r="HD24" s="103"/>
      <c r="HE24" s="103"/>
      <c r="HF24" s="103"/>
      <c r="HG24" s="103"/>
      <c r="HH24" s="103"/>
      <c r="HI24" s="103"/>
      <c r="HJ24" s="103"/>
      <c r="HK24" s="103"/>
      <c r="HL24" s="103"/>
      <c r="HM24" s="103"/>
      <c r="HN24" s="103"/>
      <c r="HO24" s="103"/>
      <c r="HP24" s="103"/>
      <c r="HQ24" s="103"/>
      <c r="HR24" s="103"/>
      <c r="HS24" s="103"/>
      <c r="HT24" s="103"/>
      <c r="HU24" s="103"/>
      <c r="HV24" s="103"/>
      <c r="HW24" s="103"/>
      <c r="HX24" s="103"/>
      <c r="HY24" s="103"/>
      <c r="HZ24" s="103"/>
      <c r="IA24" s="103"/>
      <c r="IB24" s="103"/>
      <c r="IC24" s="103"/>
      <c r="ID24" s="103"/>
      <c r="IE24" s="103"/>
      <c r="IF24" s="103"/>
      <c r="IG24" s="103"/>
      <c r="IH24" s="103"/>
      <c r="II24" s="103"/>
      <c r="IJ24" s="103"/>
      <c r="IK24" s="103"/>
      <c r="IL24" s="103"/>
      <c r="IM24" s="103"/>
      <c r="IN24" s="103"/>
      <c r="IO24" s="103"/>
      <c r="IP24" s="103"/>
      <c r="IQ24" s="103"/>
      <c r="IR24" s="103"/>
      <c r="IS24" s="103"/>
      <c r="IT24" s="103"/>
      <c r="IU24" s="103"/>
      <c r="IV24" s="103"/>
      <c r="IW24" s="103"/>
      <c r="IX24" s="103"/>
      <c r="IY24" s="103"/>
      <c r="IZ24" s="103"/>
      <c r="JA24" s="103"/>
      <c r="JB24" s="103"/>
      <c r="JC24" s="103"/>
      <c r="JD24" s="103"/>
      <c r="JE24" s="103"/>
      <c r="JF24" s="103"/>
      <c r="JG24" s="103"/>
      <c r="JH24" s="103"/>
      <c r="JI24" s="103"/>
      <c r="JJ24" s="103"/>
      <c r="JK24" s="103"/>
      <c r="JL24" s="103"/>
      <c r="JM24" s="103"/>
      <c r="JN24" s="103"/>
      <c r="JO24" s="103"/>
      <c r="JP24" s="103"/>
      <c r="JQ24" s="103"/>
      <c r="JR24" s="103"/>
      <c r="JS24" s="103"/>
      <c r="JT24" s="103"/>
      <c r="JU24" s="103"/>
      <c r="JV24" s="103"/>
      <c r="JW24" s="103"/>
      <c r="JX24" s="103"/>
      <c r="JY24" s="103"/>
      <c r="JZ24" s="103"/>
      <c r="KA24" s="103"/>
      <c r="KB24" s="103"/>
      <c r="KC24" s="103"/>
      <c r="KD24" s="103"/>
      <c r="KE24" s="103"/>
      <c r="KF24" s="103"/>
      <c r="KG24" s="103"/>
      <c r="KH24" s="103"/>
      <c r="KI24" s="103"/>
      <c r="KJ24" s="103"/>
      <c r="KK24" s="103"/>
      <c r="KL24" s="103"/>
      <c r="KM24" s="103"/>
      <c r="KN24" s="103"/>
      <c r="KO24" s="103"/>
      <c r="KP24" s="103"/>
      <c r="KQ24" s="103"/>
      <c r="KR24" s="103"/>
      <c r="KS24" s="103"/>
      <c r="KT24" s="103"/>
      <c r="KU24" s="103"/>
      <c r="KV24" s="103"/>
      <c r="KW24" s="103"/>
      <c r="KX24" s="103"/>
      <c r="KY24" s="103"/>
      <c r="KZ24" s="103"/>
      <c r="LA24" s="103"/>
      <c r="LB24" s="103"/>
      <c r="LC24" s="103"/>
      <c r="LD24" s="103"/>
      <c r="LE24" s="103"/>
      <c r="LF24" s="103"/>
      <c r="LG24" s="103"/>
      <c r="LH24" s="103"/>
      <c r="LI24" s="103"/>
      <c r="LJ24" s="103"/>
      <c r="LK24" s="103"/>
      <c r="LL24" s="103"/>
      <c r="LM24" s="103"/>
      <c r="LN24" s="103"/>
      <c r="LO24" s="103"/>
      <c r="LP24" s="103"/>
    </row>
    <row r="25" spans="2:328" x14ac:dyDescent="0.2">
      <c r="B25" s="121"/>
      <c r="C25" s="66"/>
      <c r="D25" s="66"/>
      <c r="E25" s="66"/>
      <c r="F25" s="66"/>
      <c r="G25" s="66"/>
      <c r="H25" s="66"/>
      <c r="U25" s="122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  <c r="CW25" s="103"/>
      <c r="CX25" s="103"/>
      <c r="CY25" s="103"/>
      <c r="CZ25" s="103"/>
      <c r="DA25" s="103"/>
      <c r="DB25" s="103"/>
      <c r="DC25" s="103"/>
      <c r="DD25" s="103"/>
      <c r="DE25" s="103"/>
      <c r="DF25" s="103"/>
      <c r="DG25" s="103"/>
      <c r="DH25" s="103"/>
      <c r="DI25" s="103"/>
      <c r="DJ25" s="103"/>
      <c r="DK25" s="103"/>
      <c r="DL25" s="103"/>
      <c r="DM25" s="103"/>
      <c r="DN25" s="103"/>
      <c r="DO25" s="103"/>
      <c r="DP25" s="103"/>
      <c r="DQ25" s="103"/>
      <c r="DR25" s="103"/>
      <c r="DS25" s="103"/>
      <c r="DT25" s="103"/>
      <c r="DU25" s="103"/>
      <c r="DV25" s="103"/>
      <c r="DW25" s="103"/>
      <c r="DX25" s="103"/>
      <c r="DY25" s="103"/>
      <c r="DZ25" s="103"/>
      <c r="EA25" s="103"/>
      <c r="EB25" s="103"/>
      <c r="EC25" s="103"/>
      <c r="ED25" s="103"/>
      <c r="EE25" s="103"/>
      <c r="EF25" s="103"/>
      <c r="EG25" s="103"/>
      <c r="EH25" s="103"/>
      <c r="EI25" s="103"/>
      <c r="EJ25" s="103"/>
      <c r="EK25" s="103"/>
      <c r="EL25" s="103"/>
      <c r="EM25" s="103"/>
      <c r="EN25" s="103"/>
      <c r="EO25" s="103"/>
      <c r="EP25" s="103"/>
      <c r="EQ25" s="103"/>
      <c r="ER25" s="103"/>
      <c r="ES25" s="103"/>
      <c r="ET25" s="103"/>
      <c r="EU25" s="103"/>
      <c r="EV25" s="103"/>
      <c r="EW25" s="103"/>
      <c r="EX25" s="103"/>
      <c r="EY25" s="103"/>
      <c r="EZ25" s="103"/>
      <c r="FA25" s="103"/>
      <c r="FB25" s="103"/>
      <c r="FC25" s="103"/>
      <c r="FD25" s="103"/>
      <c r="FE25" s="103"/>
      <c r="FF25" s="103"/>
      <c r="FG25" s="103"/>
      <c r="FH25" s="103"/>
      <c r="FI25" s="103"/>
      <c r="FJ25" s="103"/>
      <c r="FK25" s="103"/>
      <c r="FL25" s="103"/>
      <c r="FM25" s="103"/>
      <c r="FN25" s="103"/>
      <c r="FO25" s="103"/>
      <c r="FP25" s="103"/>
      <c r="FQ25" s="103"/>
      <c r="FR25" s="103"/>
      <c r="FS25" s="103"/>
      <c r="FT25" s="103"/>
      <c r="FU25" s="103"/>
      <c r="FV25" s="103"/>
      <c r="FW25" s="103"/>
      <c r="FX25" s="103"/>
      <c r="FY25" s="103"/>
      <c r="FZ25" s="103"/>
      <c r="GA25" s="103"/>
      <c r="GB25" s="103"/>
      <c r="GC25" s="103"/>
      <c r="GD25" s="103"/>
      <c r="GE25" s="103"/>
      <c r="GF25" s="103"/>
      <c r="GG25" s="103"/>
      <c r="GH25" s="103"/>
      <c r="GI25" s="103"/>
      <c r="GJ25" s="103"/>
      <c r="GK25" s="103"/>
      <c r="GL25" s="103"/>
      <c r="GM25" s="103"/>
      <c r="GN25" s="103"/>
      <c r="GO25" s="103"/>
      <c r="GP25" s="103"/>
      <c r="GQ25" s="103"/>
      <c r="GR25" s="103"/>
      <c r="GS25" s="103"/>
      <c r="GT25" s="103"/>
      <c r="GU25" s="103"/>
      <c r="GV25" s="103"/>
      <c r="GW25" s="103"/>
      <c r="GX25" s="103"/>
      <c r="GY25" s="103"/>
      <c r="GZ25" s="103"/>
      <c r="HA25" s="103"/>
      <c r="HB25" s="103"/>
      <c r="HC25" s="103"/>
      <c r="HD25" s="103"/>
      <c r="HE25" s="103"/>
      <c r="HF25" s="103"/>
      <c r="HG25" s="103"/>
      <c r="HH25" s="103"/>
      <c r="HI25" s="103"/>
      <c r="HJ25" s="103"/>
      <c r="HK25" s="103"/>
      <c r="HL25" s="103"/>
      <c r="HM25" s="103"/>
      <c r="HN25" s="103"/>
      <c r="HO25" s="103"/>
      <c r="HP25" s="103"/>
      <c r="HQ25" s="103"/>
      <c r="HR25" s="103"/>
      <c r="HS25" s="103"/>
      <c r="HT25" s="103"/>
      <c r="HU25" s="103"/>
      <c r="HV25" s="103"/>
      <c r="HW25" s="103"/>
      <c r="HX25" s="103"/>
      <c r="HY25" s="103"/>
      <c r="HZ25" s="103"/>
      <c r="IA25" s="103"/>
      <c r="IB25" s="103"/>
      <c r="IC25" s="103"/>
      <c r="ID25" s="103"/>
      <c r="IE25" s="103"/>
      <c r="IF25" s="103"/>
      <c r="IG25" s="103"/>
      <c r="IH25" s="103"/>
      <c r="II25" s="103"/>
      <c r="IJ25" s="103"/>
      <c r="IK25" s="103"/>
      <c r="IL25" s="103"/>
      <c r="IM25" s="103"/>
      <c r="IN25" s="103"/>
      <c r="IO25" s="103"/>
      <c r="IP25" s="103"/>
      <c r="IQ25" s="103"/>
      <c r="IR25" s="103"/>
      <c r="IS25" s="103"/>
      <c r="IT25" s="103"/>
      <c r="IU25" s="103"/>
      <c r="IV25" s="103"/>
      <c r="IW25" s="103"/>
      <c r="IX25" s="103"/>
      <c r="IY25" s="103"/>
      <c r="IZ25" s="103"/>
      <c r="JA25" s="103"/>
      <c r="JB25" s="103"/>
      <c r="JC25" s="103"/>
      <c r="JD25" s="103"/>
      <c r="JE25" s="103"/>
      <c r="JF25" s="103"/>
      <c r="JG25" s="103"/>
      <c r="JH25" s="103"/>
      <c r="JI25" s="103"/>
      <c r="JJ25" s="103"/>
      <c r="JK25" s="103"/>
      <c r="JL25" s="103"/>
      <c r="JM25" s="103"/>
      <c r="JN25" s="103"/>
      <c r="JO25" s="103"/>
      <c r="JP25" s="103"/>
      <c r="JQ25" s="103"/>
      <c r="JR25" s="103"/>
      <c r="JS25" s="103"/>
      <c r="JT25" s="103"/>
      <c r="JU25" s="103"/>
      <c r="JV25" s="103"/>
      <c r="JW25" s="103"/>
      <c r="JX25" s="103"/>
      <c r="JY25" s="103"/>
      <c r="JZ25" s="103"/>
      <c r="KA25" s="103"/>
      <c r="KB25" s="103"/>
      <c r="KC25" s="103"/>
      <c r="KD25" s="103"/>
      <c r="KE25" s="103"/>
      <c r="KF25" s="103"/>
      <c r="KG25" s="103"/>
      <c r="KH25" s="103"/>
      <c r="KI25" s="103"/>
      <c r="KJ25" s="103"/>
      <c r="KK25" s="103"/>
      <c r="KL25" s="103"/>
      <c r="KM25" s="103"/>
      <c r="KN25" s="103"/>
      <c r="KO25" s="103"/>
      <c r="KP25" s="103"/>
      <c r="KQ25" s="103"/>
      <c r="KR25" s="103"/>
      <c r="KS25" s="103"/>
      <c r="KT25" s="103"/>
      <c r="KU25" s="103"/>
      <c r="KV25" s="103"/>
      <c r="KW25" s="103"/>
      <c r="KX25" s="103"/>
      <c r="KY25" s="103"/>
      <c r="KZ25" s="103"/>
      <c r="LA25" s="103"/>
      <c r="LB25" s="103"/>
      <c r="LC25" s="103"/>
      <c r="LD25" s="103"/>
      <c r="LE25" s="103"/>
      <c r="LF25" s="103"/>
      <c r="LG25" s="103"/>
      <c r="LH25" s="103"/>
      <c r="LI25" s="103"/>
      <c r="LJ25" s="103"/>
      <c r="LK25" s="103"/>
      <c r="LL25" s="103"/>
      <c r="LM25" s="103"/>
      <c r="LN25" s="103"/>
      <c r="LO25" s="103"/>
      <c r="LP25" s="103"/>
    </row>
    <row r="26" spans="2:328" x14ac:dyDescent="0.2">
      <c r="B26" s="123"/>
      <c r="C26" s="66"/>
      <c r="D26" s="66"/>
      <c r="E26" s="66"/>
      <c r="F26" s="66"/>
      <c r="G26" s="66"/>
      <c r="H26" s="66"/>
      <c r="M26" s="65"/>
      <c r="U26" s="122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  <c r="CW26" s="103"/>
      <c r="CX26" s="103"/>
      <c r="CY26" s="103"/>
      <c r="CZ26" s="103"/>
      <c r="DA26" s="103"/>
      <c r="DB26" s="103"/>
      <c r="DC26" s="103"/>
      <c r="DD26" s="103"/>
      <c r="DE26" s="103"/>
      <c r="DF26" s="103"/>
      <c r="DG26" s="103"/>
      <c r="DH26" s="103"/>
      <c r="DI26" s="103"/>
      <c r="DJ26" s="103"/>
      <c r="DK26" s="103"/>
      <c r="DL26" s="103"/>
      <c r="DM26" s="103"/>
      <c r="DN26" s="103"/>
      <c r="DO26" s="103"/>
      <c r="DP26" s="103"/>
      <c r="DQ26" s="103"/>
      <c r="DR26" s="103"/>
      <c r="DS26" s="103"/>
      <c r="DT26" s="103"/>
      <c r="DU26" s="103"/>
      <c r="DV26" s="103"/>
      <c r="DW26" s="103"/>
      <c r="DX26" s="103"/>
      <c r="DY26" s="103"/>
      <c r="DZ26" s="103"/>
      <c r="EA26" s="103"/>
      <c r="EB26" s="103"/>
      <c r="EC26" s="103"/>
      <c r="ED26" s="103"/>
      <c r="EE26" s="103"/>
      <c r="EF26" s="103"/>
      <c r="EG26" s="103"/>
      <c r="EH26" s="103"/>
      <c r="EI26" s="103"/>
      <c r="EJ26" s="103"/>
      <c r="EK26" s="103"/>
      <c r="EL26" s="103"/>
      <c r="EM26" s="103"/>
      <c r="EN26" s="103"/>
      <c r="EO26" s="103"/>
      <c r="EP26" s="103"/>
      <c r="EQ26" s="103"/>
      <c r="ER26" s="103"/>
      <c r="ES26" s="103"/>
      <c r="ET26" s="103"/>
      <c r="EU26" s="103"/>
      <c r="EV26" s="103"/>
      <c r="EW26" s="103"/>
      <c r="EX26" s="103"/>
      <c r="EY26" s="103"/>
      <c r="EZ26" s="103"/>
      <c r="FA26" s="103"/>
      <c r="FB26" s="103"/>
      <c r="FC26" s="103"/>
      <c r="FD26" s="103"/>
      <c r="FE26" s="103"/>
      <c r="FF26" s="103"/>
      <c r="FG26" s="103"/>
      <c r="FH26" s="103"/>
      <c r="FI26" s="103"/>
      <c r="FJ26" s="103"/>
      <c r="FK26" s="103"/>
      <c r="FL26" s="103"/>
      <c r="FM26" s="103"/>
      <c r="FN26" s="103"/>
      <c r="FO26" s="103"/>
      <c r="FP26" s="103"/>
      <c r="FQ26" s="103"/>
      <c r="FR26" s="103"/>
      <c r="FS26" s="103"/>
      <c r="FT26" s="103"/>
      <c r="FU26" s="103"/>
      <c r="FV26" s="103"/>
      <c r="FW26" s="103"/>
      <c r="FX26" s="103"/>
      <c r="FY26" s="103"/>
      <c r="FZ26" s="103"/>
      <c r="GA26" s="103"/>
      <c r="GB26" s="103"/>
      <c r="GC26" s="103"/>
      <c r="GD26" s="103"/>
      <c r="GE26" s="103"/>
      <c r="GF26" s="103"/>
      <c r="GG26" s="103"/>
      <c r="GH26" s="103"/>
      <c r="GI26" s="103"/>
      <c r="GJ26" s="103"/>
      <c r="GK26" s="103"/>
      <c r="GL26" s="103"/>
      <c r="GM26" s="103"/>
      <c r="GN26" s="103"/>
      <c r="GO26" s="103"/>
      <c r="GP26" s="103"/>
      <c r="GQ26" s="103"/>
      <c r="GR26" s="103"/>
      <c r="GS26" s="103"/>
      <c r="GT26" s="103"/>
      <c r="GU26" s="103"/>
      <c r="GV26" s="103"/>
      <c r="GW26" s="103"/>
      <c r="GX26" s="103"/>
      <c r="GY26" s="103"/>
      <c r="GZ26" s="103"/>
      <c r="HA26" s="103"/>
      <c r="HB26" s="103"/>
      <c r="HC26" s="103"/>
      <c r="HD26" s="103"/>
      <c r="HE26" s="103"/>
      <c r="HF26" s="103"/>
      <c r="HG26" s="103"/>
      <c r="HH26" s="103"/>
      <c r="HI26" s="103"/>
      <c r="HJ26" s="103"/>
      <c r="HK26" s="103"/>
      <c r="HL26" s="103"/>
      <c r="HM26" s="103"/>
      <c r="HN26" s="103"/>
      <c r="HO26" s="103"/>
      <c r="HP26" s="103"/>
      <c r="HQ26" s="103"/>
      <c r="HR26" s="103"/>
      <c r="HS26" s="103"/>
      <c r="HT26" s="103"/>
      <c r="HU26" s="103"/>
      <c r="HV26" s="103"/>
      <c r="HW26" s="103"/>
      <c r="HX26" s="103"/>
      <c r="HY26" s="103"/>
      <c r="HZ26" s="103"/>
      <c r="IA26" s="103"/>
      <c r="IB26" s="103"/>
      <c r="IC26" s="103"/>
      <c r="ID26" s="103"/>
      <c r="IE26" s="103"/>
      <c r="IF26" s="103"/>
      <c r="IG26" s="103"/>
      <c r="IH26" s="103"/>
      <c r="II26" s="103"/>
      <c r="IJ26" s="103"/>
      <c r="IK26" s="103"/>
      <c r="IL26" s="103"/>
      <c r="IM26" s="103"/>
      <c r="IN26" s="103"/>
      <c r="IO26" s="103"/>
      <c r="IP26" s="103"/>
      <c r="IQ26" s="103"/>
      <c r="IR26" s="103"/>
      <c r="IS26" s="103"/>
      <c r="IT26" s="103"/>
      <c r="IU26" s="103"/>
      <c r="IV26" s="103"/>
      <c r="IW26" s="103"/>
      <c r="IX26" s="103"/>
      <c r="IY26" s="103"/>
      <c r="IZ26" s="103"/>
      <c r="JA26" s="103"/>
      <c r="JB26" s="103"/>
      <c r="JC26" s="103"/>
      <c r="JD26" s="103"/>
      <c r="JE26" s="103"/>
      <c r="JF26" s="103"/>
      <c r="JG26" s="103"/>
      <c r="JH26" s="103"/>
      <c r="JI26" s="103"/>
      <c r="JJ26" s="103"/>
      <c r="JK26" s="103"/>
      <c r="JL26" s="103"/>
      <c r="JM26" s="103"/>
      <c r="JN26" s="103"/>
      <c r="JO26" s="103"/>
      <c r="JP26" s="103"/>
      <c r="JQ26" s="103"/>
      <c r="JR26" s="103"/>
      <c r="JS26" s="103"/>
      <c r="JT26" s="103"/>
      <c r="JU26" s="103"/>
      <c r="JV26" s="103"/>
      <c r="JW26" s="103"/>
      <c r="JX26" s="103"/>
      <c r="JY26" s="103"/>
      <c r="JZ26" s="103"/>
      <c r="KA26" s="103"/>
      <c r="KB26" s="103"/>
      <c r="KC26" s="103"/>
      <c r="KD26" s="103"/>
      <c r="KE26" s="103"/>
      <c r="KF26" s="103"/>
      <c r="KG26" s="103"/>
      <c r="KH26" s="103"/>
      <c r="KI26" s="103"/>
      <c r="KJ26" s="103"/>
      <c r="KK26" s="103"/>
      <c r="KL26" s="103"/>
      <c r="KM26" s="103"/>
      <c r="KN26" s="103"/>
      <c r="KO26" s="103"/>
      <c r="KP26" s="103"/>
      <c r="KQ26" s="103"/>
      <c r="KR26" s="103"/>
      <c r="KS26" s="103"/>
      <c r="KT26" s="103"/>
      <c r="KU26" s="103"/>
      <c r="KV26" s="103"/>
      <c r="KW26" s="103"/>
      <c r="KX26" s="103"/>
      <c r="KY26" s="103"/>
      <c r="KZ26" s="103"/>
      <c r="LA26" s="103"/>
      <c r="LB26" s="103"/>
      <c r="LC26" s="103"/>
      <c r="LD26" s="103"/>
      <c r="LE26" s="103"/>
      <c r="LF26" s="103"/>
      <c r="LG26" s="103"/>
      <c r="LH26" s="103"/>
      <c r="LI26" s="103"/>
      <c r="LJ26" s="103"/>
      <c r="LK26" s="103"/>
      <c r="LL26" s="103"/>
      <c r="LM26" s="103"/>
      <c r="LN26" s="103"/>
      <c r="LO26" s="103"/>
      <c r="LP26" s="103"/>
    </row>
    <row r="27" spans="2:328" x14ac:dyDescent="0.2">
      <c r="B27" s="145"/>
      <c r="C27" s="66"/>
      <c r="D27" s="66"/>
      <c r="E27" s="66"/>
      <c r="F27" s="66"/>
      <c r="G27" s="66"/>
      <c r="H27" s="66"/>
      <c r="M27" s="65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03"/>
      <c r="FJ27" s="103"/>
      <c r="FK27" s="103"/>
      <c r="FL27" s="103"/>
      <c r="FM27" s="103"/>
      <c r="FN27" s="103"/>
      <c r="FO27" s="103"/>
      <c r="FP27" s="103"/>
      <c r="FQ27" s="103"/>
      <c r="FR27" s="103"/>
      <c r="FS27" s="103"/>
      <c r="FT27" s="103"/>
      <c r="FU27" s="103"/>
      <c r="FV27" s="103"/>
      <c r="FW27" s="103"/>
      <c r="FX27" s="103"/>
      <c r="FY27" s="103"/>
      <c r="FZ27" s="103"/>
      <c r="GA27" s="103"/>
      <c r="GB27" s="103"/>
      <c r="GC27" s="103"/>
      <c r="GD27" s="103"/>
      <c r="GE27" s="103"/>
      <c r="GF27" s="103"/>
      <c r="GG27" s="103"/>
      <c r="GH27" s="103"/>
      <c r="GI27" s="103"/>
      <c r="GJ27" s="103"/>
      <c r="GK27" s="103"/>
      <c r="GL27" s="103"/>
      <c r="GM27" s="103"/>
      <c r="GN27" s="103"/>
      <c r="GO27" s="103"/>
      <c r="GP27" s="103"/>
      <c r="GQ27" s="103"/>
      <c r="GR27" s="103"/>
      <c r="GS27" s="103"/>
      <c r="GT27" s="103"/>
      <c r="GU27" s="103"/>
      <c r="GV27" s="103"/>
      <c r="GW27" s="103"/>
      <c r="GX27" s="103"/>
      <c r="GY27" s="103"/>
      <c r="GZ27" s="103"/>
      <c r="HA27" s="103"/>
      <c r="HB27" s="103"/>
      <c r="HC27" s="103"/>
      <c r="HD27" s="103"/>
      <c r="HE27" s="103"/>
      <c r="HF27" s="103"/>
      <c r="HG27" s="103"/>
      <c r="HH27" s="103"/>
      <c r="HI27" s="103"/>
      <c r="HJ27" s="103"/>
      <c r="HK27" s="103"/>
      <c r="HL27" s="103"/>
      <c r="HM27" s="103"/>
      <c r="HN27" s="103"/>
      <c r="HO27" s="103"/>
      <c r="HP27" s="103"/>
      <c r="HQ27" s="103"/>
      <c r="HR27" s="103"/>
      <c r="HS27" s="103"/>
      <c r="HT27" s="103"/>
      <c r="HU27" s="103"/>
      <c r="HV27" s="103"/>
      <c r="HW27" s="103"/>
      <c r="HX27" s="103"/>
      <c r="HY27" s="103"/>
      <c r="HZ27" s="103"/>
      <c r="IA27" s="103"/>
      <c r="IB27" s="103"/>
      <c r="IC27" s="103"/>
      <c r="ID27" s="103"/>
      <c r="IE27" s="103"/>
      <c r="IF27" s="103"/>
      <c r="IG27" s="103"/>
      <c r="IH27" s="103"/>
      <c r="II27" s="103"/>
      <c r="IJ27" s="103"/>
      <c r="IK27" s="103"/>
      <c r="IL27" s="103"/>
      <c r="IM27" s="103"/>
      <c r="IN27" s="103"/>
      <c r="IO27" s="103"/>
      <c r="IP27" s="103"/>
      <c r="IQ27" s="103"/>
      <c r="IR27" s="103"/>
      <c r="IS27" s="103"/>
      <c r="IT27" s="103"/>
      <c r="IU27" s="103"/>
      <c r="IV27" s="103"/>
      <c r="IW27" s="103"/>
      <c r="IX27" s="103"/>
      <c r="IY27" s="103"/>
      <c r="IZ27" s="103"/>
      <c r="JA27" s="103"/>
      <c r="JB27" s="103"/>
      <c r="JC27" s="103"/>
      <c r="JD27" s="103"/>
      <c r="JE27" s="103"/>
      <c r="JF27" s="103"/>
      <c r="JG27" s="103"/>
      <c r="JH27" s="103"/>
      <c r="JI27" s="103"/>
      <c r="JJ27" s="103"/>
      <c r="JK27" s="103"/>
      <c r="JL27" s="103"/>
      <c r="JM27" s="103"/>
      <c r="JN27" s="103"/>
      <c r="JO27" s="103"/>
      <c r="JP27" s="103"/>
      <c r="JQ27" s="103"/>
      <c r="JR27" s="103"/>
      <c r="JS27" s="103"/>
      <c r="JT27" s="103"/>
      <c r="JU27" s="103"/>
      <c r="JV27" s="103"/>
      <c r="JW27" s="103"/>
      <c r="JX27" s="103"/>
      <c r="JY27" s="103"/>
      <c r="JZ27" s="103"/>
      <c r="KA27" s="103"/>
      <c r="KB27" s="103"/>
      <c r="KC27" s="103"/>
      <c r="KD27" s="103"/>
      <c r="KE27" s="103"/>
      <c r="KF27" s="103"/>
      <c r="KG27" s="103"/>
      <c r="KH27" s="103"/>
      <c r="KI27" s="103"/>
      <c r="KJ27" s="103"/>
      <c r="KK27" s="103"/>
      <c r="KL27" s="103"/>
      <c r="KM27" s="103"/>
      <c r="KN27" s="103"/>
      <c r="KO27" s="103"/>
      <c r="KP27" s="103"/>
      <c r="KQ27" s="103"/>
      <c r="KR27" s="103"/>
      <c r="KS27" s="103"/>
      <c r="KT27" s="103"/>
      <c r="KU27" s="103"/>
      <c r="KV27" s="103"/>
      <c r="KW27" s="103"/>
      <c r="KX27" s="103"/>
      <c r="KY27" s="103"/>
      <c r="KZ27" s="103"/>
      <c r="LA27" s="103"/>
      <c r="LB27" s="103"/>
      <c r="LC27" s="103"/>
      <c r="LD27" s="103"/>
      <c r="LE27" s="103"/>
      <c r="LF27" s="103"/>
      <c r="LG27" s="103"/>
      <c r="LH27" s="103"/>
      <c r="LI27" s="103"/>
      <c r="LJ27" s="103"/>
      <c r="LK27" s="103"/>
      <c r="LL27" s="103"/>
      <c r="LM27" s="103"/>
      <c r="LN27" s="103"/>
      <c r="LO27" s="103"/>
      <c r="LP27" s="103"/>
    </row>
    <row r="28" spans="2:328" x14ac:dyDescent="0.2">
      <c r="B28" s="145"/>
      <c r="C28" s="66"/>
      <c r="D28" s="66"/>
      <c r="E28" s="66"/>
      <c r="F28" s="66"/>
      <c r="G28" s="66"/>
      <c r="H28" s="66"/>
      <c r="M28" s="65" t="s">
        <v>3</v>
      </c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  <c r="CW28" s="103"/>
      <c r="CX28" s="103"/>
      <c r="CY28" s="103"/>
      <c r="CZ28" s="103"/>
      <c r="DA28" s="103"/>
      <c r="DB28" s="103"/>
      <c r="DC28" s="103"/>
      <c r="DD28" s="103"/>
      <c r="DE28" s="103"/>
      <c r="DF28" s="103"/>
      <c r="DG28" s="103"/>
      <c r="DH28" s="103"/>
      <c r="DI28" s="103"/>
      <c r="DJ28" s="103"/>
      <c r="DK28" s="103"/>
      <c r="DL28" s="103"/>
      <c r="DM28" s="103"/>
      <c r="DN28" s="103"/>
      <c r="DO28" s="103"/>
      <c r="DP28" s="103"/>
      <c r="DQ28" s="103"/>
      <c r="DR28" s="103"/>
      <c r="DS28" s="103"/>
      <c r="DT28" s="103"/>
      <c r="DU28" s="103"/>
      <c r="DV28" s="103"/>
      <c r="DW28" s="103"/>
      <c r="DX28" s="103"/>
      <c r="DY28" s="103"/>
      <c r="DZ28" s="103"/>
      <c r="EA28" s="103"/>
      <c r="EB28" s="103"/>
      <c r="EC28" s="103"/>
      <c r="ED28" s="103"/>
      <c r="EE28" s="103"/>
      <c r="EF28" s="103"/>
      <c r="EG28" s="103"/>
      <c r="EH28" s="103"/>
      <c r="EI28" s="103"/>
      <c r="EJ28" s="103"/>
      <c r="EK28" s="103"/>
      <c r="EL28" s="103"/>
      <c r="EM28" s="103"/>
      <c r="EN28" s="103"/>
      <c r="EO28" s="103"/>
      <c r="EP28" s="103"/>
      <c r="EQ28" s="103"/>
      <c r="ER28" s="103"/>
      <c r="ES28" s="103"/>
      <c r="ET28" s="103"/>
      <c r="EU28" s="103"/>
      <c r="EV28" s="103"/>
      <c r="EW28" s="103"/>
      <c r="EX28" s="103"/>
      <c r="EY28" s="103"/>
      <c r="EZ28" s="103"/>
      <c r="FA28" s="103"/>
      <c r="FB28" s="103"/>
      <c r="FC28" s="103"/>
      <c r="FD28" s="103"/>
      <c r="FE28" s="103"/>
      <c r="FF28" s="103"/>
      <c r="FG28" s="103"/>
      <c r="FH28" s="103"/>
      <c r="FI28" s="103"/>
      <c r="FJ28" s="103"/>
      <c r="FK28" s="103"/>
      <c r="FL28" s="103"/>
      <c r="FM28" s="103"/>
      <c r="FN28" s="103"/>
      <c r="FO28" s="103"/>
      <c r="FP28" s="103"/>
      <c r="FQ28" s="103"/>
      <c r="FR28" s="103"/>
      <c r="FS28" s="103"/>
      <c r="FT28" s="103"/>
      <c r="FU28" s="103"/>
      <c r="FV28" s="103"/>
      <c r="FW28" s="103"/>
      <c r="FX28" s="103"/>
      <c r="FY28" s="103"/>
      <c r="FZ28" s="103"/>
      <c r="GA28" s="103"/>
      <c r="GB28" s="103"/>
      <c r="GC28" s="103"/>
      <c r="GD28" s="103"/>
      <c r="GE28" s="103"/>
      <c r="GF28" s="103"/>
      <c r="GG28" s="103"/>
      <c r="GH28" s="103"/>
      <c r="GI28" s="103"/>
      <c r="GJ28" s="103"/>
      <c r="GK28" s="103"/>
      <c r="GL28" s="103"/>
      <c r="GM28" s="103"/>
      <c r="GN28" s="103"/>
      <c r="GO28" s="103"/>
      <c r="GP28" s="103"/>
      <c r="GQ28" s="103"/>
      <c r="GR28" s="103"/>
      <c r="GS28" s="103"/>
      <c r="GT28" s="103"/>
      <c r="GU28" s="103"/>
      <c r="GV28" s="103"/>
      <c r="GW28" s="103"/>
      <c r="GX28" s="103"/>
      <c r="GY28" s="103"/>
      <c r="GZ28" s="103"/>
      <c r="HA28" s="103"/>
      <c r="HB28" s="103"/>
      <c r="HC28" s="103"/>
      <c r="HD28" s="103"/>
      <c r="HE28" s="103"/>
      <c r="HF28" s="103"/>
      <c r="HG28" s="103"/>
      <c r="HH28" s="103"/>
      <c r="HI28" s="103"/>
      <c r="HJ28" s="103"/>
      <c r="HK28" s="103"/>
      <c r="HL28" s="103"/>
      <c r="HM28" s="103"/>
      <c r="HN28" s="103"/>
      <c r="HO28" s="103"/>
      <c r="HP28" s="103"/>
      <c r="HQ28" s="103"/>
      <c r="HR28" s="103"/>
      <c r="HS28" s="103"/>
      <c r="HT28" s="103"/>
      <c r="HU28" s="103"/>
      <c r="HV28" s="103"/>
      <c r="HW28" s="103"/>
      <c r="HX28" s="103"/>
      <c r="HY28" s="103"/>
      <c r="HZ28" s="103"/>
      <c r="IA28" s="103"/>
      <c r="IB28" s="103"/>
      <c r="IC28" s="103"/>
      <c r="ID28" s="103"/>
      <c r="IE28" s="103"/>
      <c r="IF28" s="103"/>
      <c r="IG28" s="103"/>
      <c r="IH28" s="103"/>
      <c r="II28" s="103"/>
      <c r="IJ28" s="103"/>
      <c r="IK28" s="103"/>
      <c r="IL28" s="103"/>
      <c r="IM28" s="103"/>
      <c r="IN28" s="103"/>
      <c r="IO28" s="103"/>
      <c r="IP28" s="103"/>
      <c r="IQ28" s="103"/>
      <c r="IR28" s="103"/>
      <c r="IS28" s="103"/>
      <c r="IT28" s="103"/>
      <c r="IU28" s="103"/>
      <c r="IV28" s="103"/>
      <c r="IW28" s="103"/>
      <c r="IX28" s="103"/>
      <c r="IY28" s="103"/>
      <c r="IZ28" s="103"/>
      <c r="JA28" s="103"/>
      <c r="JB28" s="103"/>
      <c r="JC28" s="103"/>
      <c r="JD28" s="103"/>
      <c r="JE28" s="103"/>
      <c r="JF28" s="103"/>
      <c r="JG28" s="103"/>
      <c r="JH28" s="103"/>
      <c r="JI28" s="103"/>
      <c r="JJ28" s="103"/>
      <c r="JK28" s="103"/>
      <c r="JL28" s="103"/>
      <c r="JM28" s="103"/>
      <c r="JN28" s="103"/>
      <c r="JO28" s="103"/>
      <c r="JP28" s="103"/>
      <c r="JQ28" s="103"/>
      <c r="JR28" s="103"/>
      <c r="JS28" s="103"/>
      <c r="JT28" s="103"/>
      <c r="JU28" s="103"/>
      <c r="JV28" s="103"/>
      <c r="JW28" s="103"/>
      <c r="JX28" s="103"/>
      <c r="JY28" s="103"/>
      <c r="JZ28" s="103"/>
      <c r="KA28" s="103"/>
      <c r="KB28" s="103"/>
      <c r="KC28" s="103"/>
      <c r="KD28" s="103"/>
      <c r="KE28" s="103"/>
      <c r="KF28" s="103"/>
      <c r="KG28" s="103"/>
      <c r="KH28" s="103"/>
      <c r="KI28" s="103"/>
      <c r="KJ28" s="103"/>
      <c r="KK28" s="103"/>
      <c r="KL28" s="103"/>
      <c r="KM28" s="103"/>
      <c r="KN28" s="103"/>
      <c r="KO28" s="103"/>
      <c r="KP28" s="103"/>
      <c r="KQ28" s="103"/>
      <c r="KR28" s="103"/>
      <c r="KS28" s="103"/>
      <c r="KT28" s="103"/>
      <c r="KU28" s="103"/>
      <c r="KV28" s="103"/>
      <c r="KW28" s="103"/>
      <c r="KX28" s="103"/>
      <c r="KY28" s="103"/>
      <c r="KZ28" s="103"/>
      <c r="LA28" s="103"/>
      <c r="LB28" s="103"/>
      <c r="LC28" s="103"/>
      <c r="LD28" s="103"/>
      <c r="LE28" s="103"/>
      <c r="LF28" s="103"/>
      <c r="LG28" s="103"/>
      <c r="LH28" s="103"/>
      <c r="LI28" s="103"/>
      <c r="LJ28" s="103"/>
      <c r="LK28" s="103"/>
      <c r="LL28" s="103"/>
      <c r="LM28" s="103"/>
      <c r="LN28" s="103"/>
      <c r="LO28" s="103"/>
      <c r="LP28" s="103"/>
    </row>
    <row r="29" spans="2:328" x14ac:dyDescent="0.2">
      <c r="B29" s="145"/>
      <c r="C29" s="66"/>
      <c r="D29" s="66"/>
      <c r="E29" s="66"/>
      <c r="F29" s="66"/>
      <c r="G29" s="66"/>
      <c r="H29" s="66"/>
      <c r="M29" s="124">
        <f>IF(E11&lt;&gt;0,E11)</f>
        <v>-16272.608999999997</v>
      </c>
      <c r="N29" s="125"/>
      <c r="O29" s="125"/>
      <c r="P29" s="126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  <c r="CW29" s="103"/>
      <c r="CX29" s="103"/>
      <c r="CY29" s="103"/>
      <c r="CZ29" s="103"/>
      <c r="DA29" s="103"/>
      <c r="DB29" s="103"/>
      <c r="DC29" s="103"/>
      <c r="DD29" s="103"/>
      <c r="DE29" s="103"/>
      <c r="DF29" s="103"/>
      <c r="DG29" s="103"/>
      <c r="DH29" s="103"/>
      <c r="DI29" s="103"/>
      <c r="DJ29" s="103"/>
      <c r="DK29" s="103"/>
      <c r="DL29" s="103"/>
      <c r="DM29" s="103"/>
      <c r="DN29" s="103"/>
      <c r="DO29" s="103"/>
      <c r="DP29" s="103"/>
      <c r="DQ29" s="103"/>
      <c r="DR29" s="103"/>
      <c r="DS29" s="103"/>
      <c r="DT29" s="103"/>
      <c r="DU29" s="103"/>
      <c r="DV29" s="103"/>
      <c r="DW29" s="103"/>
      <c r="DX29" s="103"/>
      <c r="DY29" s="103"/>
      <c r="DZ29" s="103"/>
      <c r="EA29" s="103"/>
      <c r="EB29" s="103"/>
      <c r="EC29" s="103"/>
      <c r="ED29" s="103"/>
      <c r="EE29" s="103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3"/>
      <c r="ET29" s="103"/>
      <c r="EU29" s="103"/>
      <c r="EV29" s="103"/>
      <c r="EW29" s="103"/>
      <c r="EX29" s="103"/>
      <c r="EY29" s="103"/>
      <c r="EZ29" s="103"/>
      <c r="FA29" s="103"/>
      <c r="FB29" s="103"/>
      <c r="FC29" s="103"/>
      <c r="FD29" s="103"/>
      <c r="FE29" s="103"/>
      <c r="FF29" s="103"/>
      <c r="FG29" s="103"/>
      <c r="FH29" s="103"/>
      <c r="FI29" s="103"/>
      <c r="FJ29" s="103"/>
      <c r="FK29" s="103"/>
      <c r="FL29" s="103"/>
      <c r="FM29" s="103"/>
      <c r="FN29" s="103"/>
      <c r="FO29" s="103"/>
      <c r="FP29" s="103"/>
      <c r="FQ29" s="103"/>
      <c r="FR29" s="103"/>
      <c r="FS29" s="103"/>
      <c r="FT29" s="103"/>
      <c r="FU29" s="103"/>
      <c r="FV29" s="103"/>
      <c r="FW29" s="103"/>
      <c r="FX29" s="103"/>
      <c r="FY29" s="103"/>
      <c r="FZ29" s="103"/>
      <c r="GA29" s="103"/>
      <c r="GB29" s="103"/>
      <c r="GC29" s="103"/>
      <c r="GD29" s="103"/>
      <c r="GE29" s="103"/>
      <c r="GF29" s="103"/>
      <c r="GG29" s="103"/>
      <c r="GH29" s="103"/>
      <c r="GI29" s="103"/>
      <c r="GJ29" s="103"/>
      <c r="GK29" s="103"/>
      <c r="GL29" s="103"/>
      <c r="GM29" s="103"/>
      <c r="GN29" s="103"/>
      <c r="GO29" s="103"/>
      <c r="GP29" s="103"/>
      <c r="GQ29" s="103"/>
      <c r="GR29" s="103"/>
      <c r="GS29" s="103"/>
      <c r="GT29" s="103"/>
      <c r="GU29" s="103"/>
      <c r="GV29" s="103"/>
      <c r="GW29" s="103"/>
      <c r="GX29" s="103"/>
      <c r="GY29" s="103"/>
      <c r="GZ29" s="103"/>
      <c r="HA29" s="103"/>
      <c r="HB29" s="103"/>
      <c r="HC29" s="103"/>
      <c r="HD29" s="103"/>
      <c r="HE29" s="103"/>
      <c r="HF29" s="103"/>
      <c r="HG29" s="103"/>
      <c r="HH29" s="103"/>
      <c r="HI29" s="103"/>
      <c r="HJ29" s="103"/>
      <c r="HK29" s="103"/>
      <c r="HL29" s="103"/>
      <c r="HM29" s="103"/>
      <c r="HN29" s="103"/>
      <c r="HO29" s="103"/>
      <c r="HP29" s="103"/>
      <c r="HQ29" s="103"/>
      <c r="HR29" s="103"/>
      <c r="HS29" s="103"/>
      <c r="HT29" s="103"/>
      <c r="HU29" s="103"/>
      <c r="HV29" s="103"/>
      <c r="HW29" s="103"/>
      <c r="HX29" s="103"/>
      <c r="HY29" s="103"/>
      <c r="HZ29" s="103"/>
      <c r="IA29" s="103"/>
      <c r="IB29" s="103"/>
      <c r="IC29" s="103"/>
      <c r="ID29" s="103"/>
      <c r="IE29" s="103"/>
      <c r="IF29" s="103"/>
      <c r="IG29" s="103"/>
      <c r="IH29" s="103"/>
      <c r="II29" s="103"/>
      <c r="IJ29" s="103"/>
      <c r="IK29" s="103"/>
      <c r="IL29" s="103"/>
      <c r="IM29" s="103"/>
      <c r="IN29" s="103"/>
      <c r="IO29" s="103"/>
      <c r="IP29" s="103"/>
      <c r="IQ29" s="103"/>
      <c r="IR29" s="103"/>
      <c r="IS29" s="103"/>
      <c r="IT29" s="103"/>
      <c r="IU29" s="103"/>
      <c r="IV29" s="103"/>
      <c r="IW29" s="103"/>
      <c r="IX29" s="103"/>
      <c r="IY29" s="103"/>
      <c r="IZ29" s="103"/>
      <c r="JA29" s="103"/>
      <c r="JB29" s="103"/>
      <c r="JC29" s="103"/>
      <c r="JD29" s="103"/>
      <c r="JE29" s="103"/>
      <c r="JF29" s="103"/>
      <c r="JG29" s="103"/>
      <c r="JH29" s="103"/>
      <c r="JI29" s="103"/>
      <c r="JJ29" s="103"/>
      <c r="JK29" s="103"/>
      <c r="JL29" s="103"/>
      <c r="JM29" s="103"/>
      <c r="JN29" s="103"/>
      <c r="JO29" s="103"/>
      <c r="JP29" s="103"/>
      <c r="JQ29" s="103"/>
      <c r="JR29" s="103"/>
      <c r="JS29" s="103"/>
      <c r="JT29" s="103"/>
      <c r="JU29" s="103"/>
      <c r="JV29" s="103"/>
      <c r="JW29" s="103"/>
      <c r="JX29" s="103"/>
      <c r="JY29" s="103"/>
      <c r="JZ29" s="103"/>
      <c r="KA29" s="103"/>
      <c r="KB29" s="103"/>
      <c r="KC29" s="103"/>
      <c r="KD29" s="103"/>
      <c r="KE29" s="103"/>
      <c r="KF29" s="103"/>
      <c r="KG29" s="103"/>
      <c r="KH29" s="103"/>
      <c r="KI29" s="103"/>
      <c r="KJ29" s="103"/>
      <c r="KK29" s="103"/>
      <c r="KL29" s="103"/>
      <c r="KM29" s="103"/>
      <c r="KN29" s="103"/>
      <c r="KO29" s="103"/>
      <c r="KP29" s="103"/>
      <c r="KQ29" s="103"/>
      <c r="KR29" s="103"/>
      <c r="KS29" s="103"/>
      <c r="KT29" s="103"/>
      <c r="KU29" s="103"/>
      <c r="KV29" s="103"/>
      <c r="KW29" s="103"/>
      <c r="KX29" s="103"/>
      <c r="KY29" s="103"/>
      <c r="KZ29" s="103"/>
      <c r="LA29" s="103"/>
      <c r="LB29" s="103"/>
      <c r="LC29" s="103"/>
      <c r="LD29" s="103"/>
      <c r="LE29" s="103"/>
      <c r="LF29" s="103"/>
      <c r="LG29" s="103"/>
      <c r="LH29" s="103"/>
      <c r="LI29" s="103"/>
      <c r="LJ29" s="103"/>
      <c r="LK29" s="103"/>
      <c r="LL29" s="103"/>
      <c r="LM29" s="103"/>
      <c r="LN29" s="103"/>
      <c r="LO29" s="103"/>
      <c r="LP29" s="103"/>
    </row>
    <row r="30" spans="2:328" x14ac:dyDescent="0.2">
      <c r="B30" s="145"/>
      <c r="C30" s="66"/>
      <c r="D30" s="66"/>
      <c r="E30" s="66"/>
      <c r="F30" s="66"/>
      <c r="G30" s="66"/>
      <c r="H30" s="66"/>
      <c r="M30" s="124">
        <f>IF(E12&lt;&gt;0,M29+E12,"")</f>
        <v>-19624.762000000046</v>
      </c>
      <c r="N30" s="125"/>
      <c r="O30" s="125"/>
      <c r="P30" s="126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103"/>
      <c r="DE30" s="103"/>
      <c r="DF30" s="103"/>
      <c r="DG30" s="103"/>
      <c r="DH30" s="103"/>
      <c r="DI30" s="103"/>
      <c r="DJ30" s="103"/>
      <c r="DK30" s="103"/>
      <c r="DL30" s="103"/>
      <c r="DM30" s="103"/>
      <c r="DN30" s="103"/>
      <c r="DO30" s="103"/>
      <c r="DP30" s="103"/>
      <c r="DQ30" s="103"/>
      <c r="DR30" s="103"/>
      <c r="DS30" s="103"/>
      <c r="DT30" s="103"/>
      <c r="DU30" s="103"/>
      <c r="DV30" s="103"/>
      <c r="DW30" s="103"/>
      <c r="DX30" s="103"/>
      <c r="DY30" s="103"/>
      <c r="DZ30" s="103"/>
      <c r="EA30" s="103"/>
      <c r="EB30" s="103"/>
      <c r="EC30" s="103"/>
      <c r="ED30" s="103"/>
      <c r="EE30" s="103"/>
      <c r="EF30" s="103"/>
      <c r="EG30" s="103"/>
      <c r="EH30" s="103"/>
      <c r="EI30" s="103"/>
      <c r="EJ30" s="103"/>
      <c r="EK30" s="103"/>
      <c r="EL30" s="103"/>
      <c r="EM30" s="103"/>
      <c r="EN30" s="103"/>
      <c r="EO30" s="103"/>
      <c r="EP30" s="103"/>
      <c r="EQ30" s="103"/>
      <c r="ER30" s="103"/>
      <c r="ES30" s="103"/>
      <c r="ET30" s="103"/>
      <c r="EU30" s="103"/>
      <c r="EV30" s="103"/>
      <c r="EW30" s="103"/>
      <c r="EX30" s="103"/>
      <c r="EY30" s="103"/>
      <c r="EZ30" s="103"/>
      <c r="FA30" s="103"/>
      <c r="FB30" s="103"/>
      <c r="FC30" s="103"/>
      <c r="FD30" s="103"/>
      <c r="FE30" s="103"/>
      <c r="FF30" s="103"/>
      <c r="FG30" s="103"/>
      <c r="FH30" s="103"/>
      <c r="FI30" s="103"/>
      <c r="FJ30" s="103"/>
      <c r="FK30" s="103"/>
      <c r="FL30" s="103"/>
      <c r="FM30" s="103"/>
      <c r="FN30" s="103"/>
      <c r="FO30" s="103"/>
      <c r="FP30" s="103"/>
      <c r="FQ30" s="103"/>
      <c r="FR30" s="103"/>
      <c r="FS30" s="103"/>
      <c r="FT30" s="103"/>
      <c r="FU30" s="103"/>
      <c r="FV30" s="103"/>
      <c r="FW30" s="103"/>
      <c r="FX30" s="103"/>
      <c r="FY30" s="103"/>
      <c r="FZ30" s="103"/>
      <c r="GA30" s="103"/>
      <c r="GB30" s="103"/>
      <c r="GC30" s="103"/>
      <c r="GD30" s="103"/>
      <c r="GE30" s="103"/>
      <c r="GF30" s="103"/>
      <c r="GG30" s="103"/>
      <c r="GH30" s="103"/>
      <c r="GI30" s="103"/>
      <c r="GJ30" s="103"/>
      <c r="GK30" s="103"/>
      <c r="GL30" s="103"/>
      <c r="GM30" s="103"/>
      <c r="GN30" s="103"/>
      <c r="GO30" s="103"/>
      <c r="GP30" s="103"/>
      <c r="GQ30" s="103"/>
      <c r="GR30" s="103"/>
      <c r="GS30" s="103"/>
      <c r="GT30" s="103"/>
      <c r="GU30" s="103"/>
      <c r="GV30" s="103"/>
      <c r="GW30" s="103"/>
      <c r="GX30" s="103"/>
      <c r="GY30" s="103"/>
      <c r="GZ30" s="103"/>
      <c r="HA30" s="103"/>
      <c r="HB30" s="103"/>
      <c r="HC30" s="103"/>
      <c r="HD30" s="103"/>
      <c r="HE30" s="103"/>
      <c r="HF30" s="103"/>
      <c r="HG30" s="103"/>
      <c r="HH30" s="103"/>
      <c r="HI30" s="103"/>
      <c r="HJ30" s="103"/>
      <c r="HK30" s="103"/>
      <c r="HL30" s="103"/>
      <c r="HM30" s="103"/>
      <c r="HN30" s="103"/>
      <c r="HO30" s="103"/>
      <c r="HP30" s="103"/>
      <c r="HQ30" s="103"/>
      <c r="HR30" s="103"/>
      <c r="HS30" s="103"/>
      <c r="HT30" s="103"/>
      <c r="HU30" s="103"/>
      <c r="HV30" s="103"/>
      <c r="HW30" s="103"/>
      <c r="HX30" s="103"/>
      <c r="HY30" s="103"/>
      <c r="HZ30" s="103"/>
      <c r="IA30" s="103"/>
      <c r="IB30" s="103"/>
      <c r="IC30" s="103"/>
      <c r="ID30" s="103"/>
      <c r="IE30" s="103"/>
      <c r="IF30" s="103"/>
      <c r="IG30" s="103"/>
      <c r="IH30" s="103"/>
      <c r="II30" s="103"/>
      <c r="IJ30" s="103"/>
      <c r="IK30" s="103"/>
      <c r="IL30" s="103"/>
      <c r="IM30" s="103"/>
      <c r="IN30" s="103"/>
      <c r="IO30" s="103"/>
      <c r="IP30" s="103"/>
      <c r="IQ30" s="103"/>
      <c r="IR30" s="103"/>
      <c r="IS30" s="103"/>
      <c r="IT30" s="103"/>
      <c r="IU30" s="103"/>
      <c r="IV30" s="103"/>
      <c r="IW30" s="103"/>
      <c r="IX30" s="103"/>
      <c r="IY30" s="103"/>
      <c r="IZ30" s="103"/>
      <c r="JA30" s="103"/>
      <c r="JB30" s="103"/>
      <c r="JC30" s="103"/>
      <c r="JD30" s="103"/>
      <c r="JE30" s="103"/>
      <c r="JF30" s="103"/>
      <c r="JG30" s="103"/>
      <c r="JH30" s="103"/>
      <c r="JI30" s="103"/>
      <c r="JJ30" s="103"/>
      <c r="JK30" s="103"/>
      <c r="JL30" s="103"/>
      <c r="JM30" s="103"/>
      <c r="JN30" s="103"/>
      <c r="JO30" s="103"/>
      <c r="JP30" s="103"/>
      <c r="JQ30" s="103"/>
      <c r="JR30" s="103"/>
      <c r="JS30" s="103"/>
      <c r="JT30" s="103"/>
      <c r="JU30" s="103"/>
      <c r="JV30" s="103"/>
      <c r="JW30" s="103"/>
      <c r="JX30" s="103"/>
      <c r="JY30" s="103"/>
      <c r="JZ30" s="103"/>
      <c r="KA30" s="103"/>
      <c r="KB30" s="103"/>
      <c r="KC30" s="103"/>
      <c r="KD30" s="103"/>
      <c r="KE30" s="103"/>
      <c r="KF30" s="103"/>
      <c r="KG30" s="103"/>
      <c r="KH30" s="103"/>
      <c r="KI30" s="103"/>
      <c r="KJ30" s="103"/>
      <c r="KK30" s="103"/>
      <c r="KL30" s="103"/>
      <c r="KM30" s="103"/>
      <c r="KN30" s="103"/>
      <c r="KO30" s="103"/>
      <c r="KP30" s="103"/>
      <c r="KQ30" s="103"/>
      <c r="KR30" s="103"/>
      <c r="KS30" s="103"/>
      <c r="KT30" s="103"/>
      <c r="KU30" s="103"/>
      <c r="KV30" s="103"/>
      <c r="KW30" s="103"/>
      <c r="KX30" s="103"/>
      <c r="KY30" s="103"/>
      <c r="KZ30" s="103"/>
      <c r="LA30" s="103"/>
      <c r="LB30" s="103"/>
      <c r="LC30" s="103"/>
      <c r="LD30" s="103"/>
      <c r="LE30" s="103"/>
      <c r="LF30" s="103"/>
      <c r="LG30" s="103"/>
      <c r="LH30" s="103"/>
      <c r="LI30" s="103"/>
      <c r="LJ30" s="103"/>
      <c r="LK30" s="103"/>
      <c r="LL30" s="103"/>
      <c r="LM30" s="103"/>
      <c r="LN30" s="103"/>
      <c r="LO30" s="103"/>
      <c r="LP30" s="103"/>
    </row>
    <row r="31" spans="2:328" x14ac:dyDescent="0.2">
      <c r="B31" s="145"/>
      <c r="C31" s="66"/>
      <c r="D31" s="66"/>
      <c r="E31" s="66"/>
      <c r="F31" s="66"/>
      <c r="G31" s="66"/>
      <c r="H31" s="66"/>
      <c r="M31" s="124">
        <f>IF(E13&lt;&gt;0,M30+E13,"")</f>
        <v>-19283.68200000003</v>
      </c>
      <c r="N31" s="127"/>
      <c r="O31" s="125"/>
      <c r="P31" s="126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  <c r="DV31" s="103"/>
      <c r="DW31" s="103"/>
      <c r="DX31" s="103"/>
      <c r="DY31" s="103"/>
      <c r="DZ31" s="103"/>
      <c r="EA31" s="103"/>
      <c r="EB31" s="103"/>
      <c r="EC31" s="103"/>
      <c r="ED31" s="103"/>
      <c r="EE31" s="103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3"/>
      <c r="ET31" s="103"/>
      <c r="EU31" s="103"/>
      <c r="EV31" s="103"/>
      <c r="EW31" s="103"/>
      <c r="EX31" s="103"/>
      <c r="EY31" s="103"/>
      <c r="EZ31" s="103"/>
      <c r="FA31" s="103"/>
      <c r="FB31" s="103"/>
      <c r="FC31" s="103"/>
      <c r="FD31" s="103"/>
      <c r="FE31" s="103"/>
      <c r="FF31" s="103"/>
      <c r="FG31" s="103"/>
      <c r="FH31" s="103"/>
      <c r="FI31" s="103"/>
      <c r="FJ31" s="103"/>
      <c r="FK31" s="103"/>
      <c r="FL31" s="103"/>
      <c r="FM31" s="103"/>
      <c r="FN31" s="103"/>
      <c r="FO31" s="103"/>
      <c r="FP31" s="103"/>
      <c r="FQ31" s="103"/>
      <c r="FR31" s="103"/>
      <c r="FS31" s="103"/>
      <c r="FT31" s="103"/>
      <c r="FU31" s="103"/>
      <c r="FV31" s="103"/>
      <c r="FW31" s="103"/>
      <c r="FX31" s="103"/>
      <c r="FY31" s="103"/>
      <c r="FZ31" s="103"/>
      <c r="GA31" s="103"/>
      <c r="GB31" s="103"/>
      <c r="GC31" s="103"/>
      <c r="GD31" s="103"/>
      <c r="GE31" s="103"/>
      <c r="GF31" s="103"/>
      <c r="GG31" s="103"/>
      <c r="GH31" s="103"/>
      <c r="GI31" s="103"/>
      <c r="GJ31" s="103"/>
      <c r="GK31" s="103"/>
      <c r="GL31" s="103"/>
      <c r="GM31" s="103"/>
      <c r="GN31" s="103"/>
      <c r="GO31" s="103"/>
      <c r="GP31" s="103"/>
      <c r="GQ31" s="103"/>
      <c r="GR31" s="103"/>
      <c r="GS31" s="103"/>
      <c r="GT31" s="103"/>
      <c r="GU31" s="103"/>
      <c r="GV31" s="103"/>
      <c r="GW31" s="103"/>
      <c r="GX31" s="103"/>
      <c r="GY31" s="103"/>
      <c r="GZ31" s="103"/>
      <c r="HA31" s="103"/>
      <c r="HB31" s="103"/>
      <c r="HC31" s="103"/>
      <c r="HD31" s="103"/>
      <c r="HE31" s="103"/>
      <c r="HF31" s="103"/>
      <c r="HG31" s="103"/>
      <c r="HH31" s="103"/>
      <c r="HI31" s="103"/>
      <c r="HJ31" s="103"/>
      <c r="HK31" s="103"/>
      <c r="HL31" s="103"/>
      <c r="HM31" s="103"/>
      <c r="HN31" s="103"/>
      <c r="HO31" s="103"/>
      <c r="HP31" s="103"/>
      <c r="HQ31" s="103"/>
      <c r="HR31" s="103"/>
      <c r="HS31" s="103"/>
      <c r="HT31" s="103"/>
      <c r="HU31" s="103"/>
      <c r="HV31" s="103"/>
      <c r="HW31" s="103"/>
      <c r="HX31" s="103"/>
      <c r="HY31" s="103"/>
      <c r="HZ31" s="103"/>
      <c r="IA31" s="103"/>
      <c r="IB31" s="103"/>
      <c r="IC31" s="103"/>
      <c r="ID31" s="103"/>
      <c r="IE31" s="103"/>
      <c r="IF31" s="103"/>
      <c r="IG31" s="103"/>
      <c r="IH31" s="103"/>
      <c r="II31" s="103"/>
      <c r="IJ31" s="103"/>
      <c r="IK31" s="103"/>
      <c r="IL31" s="103"/>
      <c r="IM31" s="103"/>
      <c r="IN31" s="103"/>
      <c r="IO31" s="103"/>
      <c r="IP31" s="103"/>
      <c r="IQ31" s="103"/>
      <c r="IR31" s="103"/>
      <c r="IS31" s="103"/>
      <c r="IT31" s="103"/>
      <c r="IU31" s="103"/>
      <c r="IV31" s="103"/>
      <c r="IW31" s="103"/>
      <c r="IX31" s="103"/>
      <c r="IY31" s="103"/>
      <c r="IZ31" s="103"/>
      <c r="JA31" s="103"/>
      <c r="JB31" s="103"/>
      <c r="JC31" s="103"/>
      <c r="JD31" s="103"/>
      <c r="JE31" s="103"/>
      <c r="JF31" s="103"/>
      <c r="JG31" s="103"/>
      <c r="JH31" s="103"/>
      <c r="JI31" s="103"/>
      <c r="JJ31" s="103"/>
      <c r="JK31" s="103"/>
      <c r="JL31" s="103"/>
      <c r="JM31" s="103"/>
      <c r="JN31" s="103"/>
      <c r="JO31" s="103"/>
      <c r="JP31" s="103"/>
      <c r="JQ31" s="103"/>
      <c r="JR31" s="103"/>
      <c r="JS31" s="103"/>
      <c r="JT31" s="103"/>
      <c r="JU31" s="103"/>
      <c r="JV31" s="103"/>
      <c r="JW31" s="103"/>
      <c r="JX31" s="103"/>
      <c r="JY31" s="103"/>
      <c r="JZ31" s="103"/>
      <c r="KA31" s="103"/>
      <c r="KB31" s="103"/>
      <c r="KC31" s="103"/>
      <c r="KD31" s="103"/>
      <c r="KE31" s="103"/>
      <c r="KF31" s="103"/>
      <c r="KG31" s="103"/>
      <c r="KH31" s="103"/>
      <c r="KI31" s="103"/>
      <c r="KJ31" s="103"/>
      <c r="KK31" s="103"/>
      <c r="KL31" s="103"/>
      <c r="KM31" s="103"/>
      <c r="KN31" s="103"/>
      <c r="KO31" s="103"/>
      <c r="KP31" s="103"/>
      <c r="KQ31" s="103"/>
      <c r="KR31" s="103"/>
      <c r="KS31" s="103"/>
      <c r="KT31" s="103"/>
      <c r="KU31" s="103"/>
      <c r="KV31" s="103"/>
      <c r="KW31" s="103"/>
      <c r="KX31" s="103"/>
      <c r="KY31" s="103"/>
      <c r="KZ31" s="103"/>
      <c r="LA31" s="103"/>
      <c r="LB31" s="103"/>
      <c r="LC31" s="103"/>
      <c r="LD31" s="103"/>
      <c r="LE31" s="103"/>
      <c r="LF31" s="103"/>
      <c r="LG31" s="103"/>
      <c r="LH31" s="103"/>
      <c r="LI31" s="103"/>
      <c r="LJ31" s="103"/>
      <c r="LK31" s="103"/>
      <c r="LL31" s="103"/>
      <c r="LM31" s="103"/>
      <c r="LN31" s="103"/>
      <c r="LO31" s="103"/>
      <c r="LP31" s="103"/>
    </row>
    <row r="32" spans="2:328" x14ac:dyDescent="0.2">
      <c r="B32" s="145"/>
      <c r="C32" s="66"/>
      <c r="D32" s="66"/>
      <c r="E32" s="66"/>
      <c r="F32" s="66"/>
      <c r="G32" s="66"/>
      <c r="H32" s="66"/>
      <c r="M32" s="124">
        <f>IF(E14&lt;&gt;0,M31+E14,"")</f>
        <v>-22312.384000000078</v>
      </c>
      <c r="N32" s="125"/>
      <c r="O32" s="125"/>
      <c r="P32" s="126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03"/>
      <c r="DC32" s="103"/>
      <c r="DD32" s="103"/>
      <c r="DE32" s="103"/>
      <c r="DF32" s="103"/>
      <c r="DG32" s="103"/>
      <c r="DH32" s="103"/>
      <c r="DI32" s="103"/>
      <c r="DJ32" s="103"/>
      <c r="DK32" s="103"/>
      <c r="DL32" s="103"/>
      <c r="DM32" s="103"/>
      <c r="DN32" s="103"/>
      <c r="DO32" s="103"/>
      <c r="DP32" s="103"/>
      <c r="DQ32" s="103"/>
      <c r="DR32" s="103"/>
      <c r="DS32" s="103"/>
      <c r="DT32" s="103"/>
      <c r="DU32" s="103"/>
      <c r="DV32" s="103"/>
      <c r="DW32" s="103"/>
      <c r="DX32" s="103"/>
      <c r="DY32" s="103"/>
      <c r="DZ32" s="103"/>
      <c r="EA32" s="103"/>
      <c r="EB32" s="103"/>
      <c r="EC32" s="103"/>
      <c r="ED32" s="103"/>
      <c r="EE32" s="103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3"/>
      <c r="ET32" s="103"/>
      <c r="EU32" s="103"/>
      <c r="EV32" s="103"/>
      <c r="EW32" s="103"/>
      <c r="EX32" s="103"/>
      <c r="EY32" s="103"/>
      <c r="EZ32" s="103"/>
      <c r="FA32" s="103"/>
      <c r="FB32" s="103"/>
      <c r="FC32" s="103"/>
      <c r="FD32" s="103"/>
      <c r="FE32" s="103"/>
      <c r="FF32" s="103"/>
      <c r="FG32" s="103"/>
      <c r="FH32" s="103"/>
      <c r="FI32" s="103"/>
      <c r="FJ32" s="103"/>
      <c r="FK32" s="103"/>
      <c r="FL32" s="103"/>
      <c r="FM32" s="103"/>
      <c r="FN32" s="103"/>
      <c r="FO32" s="103"/>
      <c r="FP32" s="103"/>
      <c r="FQ32" s="103"/>
      <c r="FR32" s="103"/>
      <c r="FS32" s="103"/>
      <c r="FT32" s="103"/>
      <c r="FU32" s="103"/>
      <c r="FV32" s="103"/>
      <c r="FW32" s="103"/>
      <c r="FX32" s="103"/>
      <c r="FY32" s="103"/>
      <c r="FZ32" s="103"/>
      <c r="GA32" s="103"/>
      <c r="GB32" s="103"/>
      <c r="GC32" s="103"/>
      <c r="GD32" s="103"/>
      <c r="GE32" s="103"/>
      <c r="GF32" s="103"/>
      <c r="GG32" s="103"/>
      <c r="GH32" s="103"/>
      <c r="GI32" s="103"/>
      <c r="GJ32" s="103"/>
      <c r="GK32" s="103"/>
      <c r="GL32" s="103"/>
      <c r="GM32" s="103"/>
      <c r="GN32" s="103"/>
      <c r="GO32" s="103"/>
      <c r="GP32" s="103"/>
      <c r="GQ32" s="103"/>
      <c r="GR32" s="103"/>
      <c r="GS32" s="103"/>
      <c r="GT32" s="103"/>
      <c r="GU32" s="103"/>
      <c r="GV32" s="103"/>
      <c r="GW32" s="103"/>
      <c r="GX32" s="103"/>
      <c r="GY32" s="103"/>
      <c r="GZ32" s="103"/>
      <c r="HA32" s="103"/>
      <c r="HB32" s="103"/>
      <c r="HC32" s="103"/>
      <c r="HD32" s="103"/>
      <c r="HE32" s="103"/>
      <c r="HF32" s="103"/>
      <c r="HG32" s="103"/>
      <c r="HH32" s="103"/>
      <c r="HI32" s="103"/>
      <c r="HJ32" s="103"/>
      <c r="HK32" s="103"/>
      <c r="HL32" s="103"/>
      <c r="HM32" s="103"/>
      <c r="HN32" s="103"/>
      <c r="HO32" s="103"/>
      <c r="HP32" s="103"/>
      <c r="HQ32" s="103"/>
      <c r="HR32" s="103"/>
      <c r="HS32" s="103"/>
      <c r="HT32" s="103"/>
      <c r="HU32" s="103"/>
      <c r="HV32" s="103"/>
      <c r="HW32" s="103"/>
      <c r="HX32" s="103"/>
      <c r="HY32" s="103"/>
      <c r="HZ32" s="103"/>
      <c r="IA32" s="103"/>
      <c r="IB32" s="103"/>
      <c r="IC32" s="103"/>
      <c r="ID32" s="103"/>
      <c r="IE32" s="103"/>
      <c r="IF32" s="103"/>
      <c r="IG32" s="103"/>
      <c r="IH32" s="103"/>
      <c r="II32" s="103"/>
      <c r="IJ32" s="103"/>
      <c r="IK32" s="103"/>
      <c r="IL32" s="103"/>
      <c r="IM32" s="103"/>
      <c r="IN32" s="103"/>
      <c r="IO32" s="103"/>
      <c r="IP32" s="103"/>
      <c r="IQ32" s="103"/>
      <c r="IR32" s="103"/>
      <c r="IS32" s="103"/>
      <c r="IT32" s="103"/>
      <c r="IU32" s="103"/>
      <c r="IV32" s="103"/>
      <c r="IW32" s="103"/>
      <c r="IX32" s="103"/>
      <c r="IY32" s="103"/>
      <c r="IZ32" s="103"/>
      <c r="JA32" s="103"/>
      <c r="JB32" s="103"/>
      <c r="JC32" s="103"/>
      <c r="JD32" s="103"/>
      <c r="JE32" s="103"/>
      <c r="JF32" s="103"/>
      <c r="JG32" s="103"/>
      <c r="JH32" s="103"/>
      <c r="JI32" s="103"/>
      <c r="JJ32" s="103"/>
      <c r="JK32" s="103"/>
      <c r="JL32" s="103"/>
      <c r="JM32" s="103"/>
      <c r="JN32" s="103"/>
      <c r="JO32" s="103"/>
      <c r="JP32" s="103"/>
      <c r="JQ32" s="103"/>
      <c r="JR32" s="103"/>
      <c r="JS32" s="103"/>
      <c r="JT32" s="103"/>
      <c r="JU32" s="103"/>
      <c r="JV32" s="103"/>
      <c r="JW32" s="103"/>
      <c r="JX32" s="103"/>
      <c r="JY32" s="103"/>
      <c r="JZ32" s="103"/>
      <c r="KA32" s="103"/>
      <c r="KB32" s="103"/>
      <c r="KC32" s="103"/>
      <c r="KD32" s="103"/>
      <c r="KE32" s="103"/>
      <c r="KF32" s="103"/>
      <c r="KG32" s="103"/>
      <c r="KH32" s="103"/>
      <c r="KI32" s="103"/>
      <c r="KJ32" s="103"/>
      <c r="KK32" s="103"/>
      <c r="KL32" s="103"/>
      <c r="KM32" s="103"/>
      <c r="KN32" s="103"/>
      <c r="KO32" s="103"/>
      <c r="KP32" s="103"/>
      <c r="KQ32" s="103"/>
      <c r="KR32" s="103"/>
      <c r="KS32" s="103"/>
      <c r="KT32" s="103"/>
      <c r="KU32" s="103"/>
      <c r="KV32" s="103"/>
      <c r="KW32" s="103"/>
      <c r="KX32" s="103"/>
      <c r="KY32" s="103"/>
      <c r="KZ32" s="103"/>
      <c r="LA32" s="103"/>
      <c r="LB32" s="103"/>
      <c r="LC32" s="103"/>
      <c r="LD32" s="103"/>
      <c r="LE32" s="103"/>
      <c r="LF32" s="103"/>
      <c r="LG32" s="103"/>
      <c r="LH32" s="103"/>
      <c r="LI32" s="103"/>
      <c r="LJ32" s="103"/>
      <c r="LK32" s="103"/>
      <c r="LL32" s="103"/>
      <c r="LM32" s="103"/>
      <c r="LN32" s="103"/>
      <c r="LO32" s="103"/>
      <c r="LP32" s="103"/>
    </row>
    <row r="33" spans="2:328" x14ac:dyDescent="0.2">
      <c r="B33" s="145"/>
      <c r="C33" s="66"/>
      <c r="D33" s="66"/>
      <c r="E33" s="66"/>
      <c r="F33" s="66"/>
      <c r="G33" s="66"/>
      <c r="H33" s="66"/>
      <c r="M33" s="124">
        <f t="shared" ref="M33:M40" si="0">IF(E15&lt;&gt;0,M32+E15,"")</f>
        <v>-16970.721000000078</v>
      </c>
      <c r="N33" s="125"/>
      <c r="O33" s="125"/>
      <c r="P33" s="126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  <c r="CW33" s="103"/>
      <c r="CX33" s="103"/>
      <c r="CY33" s="103"/>
      <c r="CZ33" s="103"/>
      <c r="DA33" s="103"/>
      <c r="DB33" s="103"/>
      <c r="DC33" s="103"/>
      <c r="DD33" s="103"/>
      <c r="DE33" s="103"/>
      <c r="DF33" s="103"/>
      <c r="DG33" s="103"/>
      <c r="DH33" s="103"/>
      <c r="DI33" s="103"/>
      <c r="DJ33" s="103"/>
      <c r="DK33" s="103"/>
      <c r="DL33" s="103"/>
      <c r="DM33" s="103"/>
      <c r="DN33" s="103"/>
      <c r="DO33" s="103"/>
      <c r="DP33" s="103"/>
      <c r="DQ33" s="103"/>
      <c r="DR33" s="103"/>
      <c r="DS33" s="103"/>
      <c r="DT33" s="103"/>
      <c r="DU33" s="103"/>
      <c r="DV33" s="103"/>
      <c r="DW33" s="103"/>
      <c r="DX33" s="103"/>
      <c r="DY33" s="103"/>
      <c r="DZ33" s="103"/>
      <c r="EA33" s="103"/>
      <c r="EB33" s="103"/>
      <c r="EC33" s="103"/>
      <c r="ED33" s="103"/>
      <c r="EE33" s="103"/>
      <c r="EF33" s="103"/>
      <c r="EG33" s="103"/>
      <c r="EH33" s="103"/>
      <c r="EI33" s="103"/>
      <c r="EJ33" s="103"/>
      <c r="EK33" s="103"/>
      <c r="EL33" s="103"/>
      <c r="EM33" s="103"/>
      <c r="EN33" s="103"/>
      <c r="EO33" s="103"/>
      <c r="EP33" s="103"/>
      <c r="EQ33" s="103"/>
      <c r="ER33" s="103"/>
      <c r="ES33" s="103"/>
      <c r="ET33" s="103"/>
      <c r="EU33" s="103"/>
      <c r="EV33" s="103"/>
      <c r="EW33" s="103"/>
      <c r="EX33" s="103"/>
      <c r="EY33" s="103"/>
      <c r="EZ33" s="103"/>
      <c r="FA33" s="103"/>
      <c r="FB33" s="103"/>
      <c r="FC33" s="103"/>
      <c r="FD33" s="103"/>
      <c r="FE33" s="103"/>
      <c r="FF33" s="103"/>
      <c r="FG33" s="103"/>
      <c r="FH33" s="103"/>
      <c r="FI33" s="103"/>
      <c r="FJ33" s="103"/>
      <c r="FK33" s="103"/>
      <c r="FL33" s="103"/>
      <c r="FM33" s="103"/>
      <c r="FN33" s="103"/>
      <c r="FO33" s="103"/>
      <c r="FP33" s="103"/>
      <c r="FQ33" s="103"/>
      <c r="FR33" s="103"/>
      <c r="FS33" s="103"/>
      <c r="FT33" s="103"/>
      <c r="FU33" s="103"/>
      <c r="FV33" s="103"/>
      <c r="FW33" s="103"/>
      <c r="FX33" s="103"/>
      <c r="FY33" s="103"/>
      <c r="FZ33" s="103"/>
      <c r="GA33" s="103"/>
      <c r="GB33" s="103"/>
      <c r="GC33" s="103"/>
      <c r="GD33" s="103"/>
      <c r="GE33" s="103"/>
      <c r="GF33" s="103"/>
      <c r="GG33" s="103"/>
      <c r="GH33" s="103"/>
      <c r="GI33" s="103"/>
      <c r="GJ33" s="103"/>
      <c r="GK33" s="103"/>
      <c r="GL33" s="103"/>
      <c r="GM33" s="103"/>
      <c r="GN33" s="103"/>
      <c r="GO33" s="103"/>
      <c r="GP33" s="103"/>
      <c r="GQ33" s="103"/>
      <c r="GR33" s="103"/>
      <c r="GS33" s="103"/>
      <c r="GT33" s="103"/>
      <c r="GU33" s="103"/>
      <c r="GV33" s="103"/>
      <c r="GW33" s="103"/>
      <c r="GX33" s="103"/>
      <c r="GY33" s="103"/>
      <c r="GZ33" s="103"/>
      <c r="HA33" s="103"/>
      <c r="HB33" s="103"/>
      <c r="HC33" s="103"/>
      <c r="HD33" s="103"/>
      <c r="HE33" s="103"/>
      <c r="HF33" s="103"/>
      <c r="HG33" s="103"/>
      <c r="HH33" s="103"/>
      <c r="HI33" s="103"/>
      <c r="HJ33" s="103"/>
      <c r="HK33" s="103"/>
      <c r="HL33" s="103"/>
      <c r="HM33" s="103"/>
      <c r="HN33" s="103"/>
      <c r="HO33" s="103"/>
      <c r="HP33" s="103"/>
      <c r="HQ33" s="103"/>
      <c r="HR33" s="103"/>
      <c r="HS33" s="103"/>
      <c r="HT33" s="103"/>
      <c r="HU33" s="103"/>
      <c r="HV33" s="103"/>
      <c r="HW33" s="103"/>
      <c r="HX33" s="103"/>
      <c r="HY33" s="103"/>
      <c r="HZ33" s="103"/>
      <c r="IA33" s="103"/>
      <c r="IB33" s="103"/>
      <c r="IC33" s="103"/>
      <c r="ID33" s="103"/>
      <c r="IE33" s="103"/>
      <c r="IF33" s="103"/>
      <c r="IG33" s="103"/>
      <c r="IH33" s="103"/>
      <c r="II33" s="103"/>
      <c r="IJ33" s="103"/>
      <c r="IK33" s="103"/>
      <c r="IL33" s="103"/>
      <c r="IM33" s="103"/>
      <c r="IN33" s="103"/>
      <c r="IO33" s="103"/>
      <c r="IP33" s="103"/>
      <c r="IQ33" s="103"/>
      <c r="IR33" s="103"/>
      <c r="IS33" s="103"/>
      <c r="IT33" s="103"/>
      <c r="IU33" s="103"/>
      <c r="IV33" s="103"/>
      <c r="IW33" s="103"/>
      <c r="IX33" s="103"/>
      <c r="IY33" s="103"/>
      <c r="IZ33" s="103"/>
      <c r="JA33" s="103"/>
      <c r="JB33" s="103"/>
      <c r="JC33" s="103"/>
      <c r="JD33" s="103"/>
      <c r="JE33" s="103"/>
      <c r="JF33" s="103"/>
      <c r="JG33" s="103"/>
      <c r="JH33" s="103"/>
      <c r="JI33" s="103"/>
      <c r="JJ33" s="103"/>
      <c r="JK33" s="103"/>
      <c r="JL33" s="103"/>
      <c r="JM33" s="103"/>
      <c r="JN33" s="103"/>
      <c r="JO33" s="103"/>
      <c r="JP33" s="103"/>
      <c r="JQ33" s="103"/>
      <c r="JR33" s="103"/>
      <c r="JS33" s="103"/>
      <c r="JT33" s="103"/>
      <c r="JU33" s="103"/>
      <c r="JV33" s="103"/>
      <c r="JW33" s="103"/>
      <c r="JX33" s="103"/>
      <c r="JY33" s="103"/>
      <c r="JZ33" s="103"/>
      <c r="KA33" s="103"/>
      <c r="KB33" s="103"/>
      <c r="KC33" s="103"/>
      <c r="KD33" s="103"/>
      <c r="KE33" s="103"/>
      <c r="KF33" s="103"/>
      <c r="KG33" s="103"/>
      <c r="KH33" s="103"/>
      <c r="KI33" s="103"/>
      <c r="KJ33" s="103"/>
      <c r="KK33" s="103"/>
      <c r="KL33" s="103"/>
      <c r="KM33" s="103"/>
      <c r="KN33" s="103"/>
      <c r="KO33" s="103"/>
      <c r="KP33" s="103"/>
      <c r="KQ33" s="103"/>
      <c r="KR33" s="103"/>
      <c r="KS33" s="103"/>
      <c r="KT33" s="103"/>
      <c r="KU33" s="103"/>
      <c r="KV33" s="103"/>
      <c r="KW33" s="103"/>
      <c r="KX33" s="103"/>
      <c r="KY33" s="103"/>
      <c r="KZ33" s="103"/>
      <c r="LA33" s="103"/>
      <c r="LB33" s="103"/>
      <c r="LC33" s="103"/>
      <c r="LD33" s="103"/>
      <c r="LE33" s="103"/>
      <c r="LF33" s="103"/>
      <c r="LG33" s="103"/>
      <c r="LH33" s="103"/>
      <c r="LI33" s="103"/>
      <c r="LJ33" s="103"/>
      <c r="LK33" s="103"/>
      <c r="LL33" s="103"/>
      <c r="LM33" s="103"/>
      <c r="LN33" s="103"/>
      <c r="LO33" s="103"/>
      <c r="LP33" s="103"/>
    </row>
    <row r="34" spans="2:328" x14ac:dyDescent="0.2">
      <c r="B34" s="145"/>
      <c r="C34" s="66"/>
      <c r="D34" s="66"/>
      <c r="E34" s="66"/>
      <c r="F34" s="66"/>
      <c r="G34" s="66"/>
      <c r="H34" s="66"/>
      <c r="M34" s="124">
        <f t="shared" si="0"/>
        <v>-8088.5160000000615</v>
      </c>
      <c r="N34" s="125"/>
      <c r="O34" s="125"/>
      <c r="P34" s="126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  <c r="CW34" s="103"/>
      <c r="CX34" s="103"/>
      <c r="CY34" s="103"/>
      <c r="CZ34" s="103"/>
      <c r="DA34" s="103"/>
      <c r="DB34" s="103"/>
      <c r="DC34" s="103"/>
      <c r="DD34" s="103"/>
      <c r="DE34" s="103"/>
      <c r="DF34" s="103"/>
      <c r="DG34" s="103"/>
      <c r="DH34" s="103"/>
      <c r="DI34" s="103"/>
      <c r="DJ34" s="103"/>
      <c r="DK34" s="103"/>
      <c r="DL34" s="103"/>
      <c r="DM34" s="103"/>
      <c r="DN34" s="103"/>
      <c r="DO34" s="103"/>
      <c r="DP34" s="103"/>
      <c r="DQ34" s="103"/>
      <c r="DR34" s="103"/>
      <c r="DS34" s="103"/>
      <c r="DT34" s="103"/>
      <c r="DU34" s="103"/>
      <c r="DV34" s="103"/>
      <c r="DW34" s="103"/>
      <c r="DX34" s="103"/>
      <c r="DY34" s="103"/>
      <c r="DZ34" s="103"/>
      <c r="EA34" s="103"/>
      <c r="EB34" s="103"/>
      <c r="EC34" s="103"/>
      <c r="ED34" s="103"/>
      <c r="EE34" s="103"/>
      <c r="EF34" s="103"/>
      <c r="EG34" s="103"/>
      <c r="EH34" s="103"/>
      <c r="EI34" s="103"/>
      <c r="EJ34" s="103"/>
      <c r="EK34" s="103"/>
      <c r="EL34" s="103"/>
      <c r="EM34" s="103"/>
      <c r="EN34" s="103"/>
      <c r="EO34" s="103"/>
      <c r="EP34" s="103"/>
      <c r="EQ34" s="103"/>
      <c r="ER34" s="103"/>
      <c r="ES34" s="103"/>
      <c r="ET34" s="103"/>
      <c r="EU34" s="103"/>
      <c r="EV34" s="103"/>
      <c r="EW34" s="103"/>
      <c r="EX34" s="103"/>
      <c r="EY34" s="103"/>
      <c r="EZ34" s="103"/>
      <c r="FA34" s="103"/>
      <c r="FB34" s="103"/>
      <c r="FC34" s="103"/>
      <c r="FD34" s="103"/>
      <c r="FE34" s="103"/>
      <c r="FF34" s="103"/>
      <c r="FG34" s="103"/>
      <c r="FH34" s="103"/>
      <c r="FI34" s="103"/>
      <c r="FJ34" s="103"/>
      <c r="FK34" s="103"/>
      <c r="FL34" s="103"/>
      <c r="FM34" s="103"/>
      <c r="FN34" s="103"/>
      <c r="FO34" s="103"/>
      <c r="FP34" s="103"/>
      <c r="FQ34" s="103"/>
      <c r="FR34" s="103"/>
      <c r="FS34" s="103"/>
      <c r="FT34" s="103"/>
      <c r="FU34" s="103"/>
      <c r="FV34" s="103"/>
      <c r="FW34" s="103"/>
      <c r="FX34" s="103"/>
      <c r="FY34" s="103"/>
      <c r="FZ34" s="103"/>
      <c r="GA34" s="103"/>
      <c r="GB34" s="103"/>
      <c r="GC34" s="103"/>
      <c r="GD34" s="103"/>
      <c r="GE34" s="103"/>
      <c r="GF34" s="103"/>
      <c r="GG34" s="103"/>
      <c r="GH34" s="103"/>
      <c r="GI34" s="103"/>
      <c r="GJ34" s="103"/>
      <c r="GK34" s="103"/>
      <c r="GL34" s="103"/>
      <c r="GM34" s="103"/>
      <c r="GN34" s="103"/>
      <c r="GO34" s="103"/>
      <c r="GP34" s="103"/>
      <c r="GQ34" s="103"/>
      <c r="GR34" s="103"/>
      <c r="GS34" s="103"/>
      <c r="GT34" s="103"/>
      <c r="GU34" s="103"/>
      <c r="GV34" s="103"/>
      <c r="GW34" s="103"/>
      <c r="GX34" s="103"/>
      <c r="GY34" s="103"/>
      <c r="GZ34" s="103"/>
      <c r="HA34" s="103"/>
      <c r="HB34" s="103"/>
      <c r="HC34" s="103"/>
      <c r="HD34" s="103"/>
      <c r="HE34" s="103"/>
      <c r="HF34" s="103"/>
      <c r="HG34" s="103"/>
      <c r="HH34" s="103"/>
      <c r="HI34" s="103"/>
      <c r="HJ34" s="103"/>
      <c r="HK34" s="103"/>
      <c r="HL34" s="103"/>
      <c r="HM34" s="103"/>
      <c r="HN34" s="103"/>
      <c r="HO34" s="103"/>
      <c r="HP34" s="103"/>
      <c r="HQ34" s="103"/>
      <c r="HR34" s="103"/>
      <c r="HS34" s="103"/>
      <c r="HT34" s="103"/>
      <c r="HU34" s="103"/>
      <c r="HV34" s="103"/>
      <c r="HW34" s="103"/>
      <c r="HX34" s="103"/>
      <c r="HY34" s="103"/>
      <c r="HZ34" s="103"/>
      <c r="IA34" s="103"/>
      <c r="IB34" s="103"/>
      <c r="IC34" s="103"/>
      <c r="ID34" s="103"/>
      <c r="IE34" s="103"/>
      <c r="IF34" s="103"/>
      <c r="IG34" s="103"/>
      <c r="IH34" s="103"/>
      <c r="II34" s="103"/>
      <c r="IJ34" s="103"/>
      <c r="IK34" s="103"/>
      <c r="IL34" s="103"/>
      <c r="IM34" s="103"/>
      <c r="IN34" s="103"/>
      <c r="IO34" s="103"/>
      <c r="IP34" s="103"/>
      <c r="IQ34" s="103"/>
      <c r="IR34" s="103"/>
      <c r="IS34" s="103"/>
      <c r="IT34" s="103"/>
      <c r="IU34" s="103"/>
      <c r="IV34" s="103"/>
      <c r="IW34" s="103"/>
      <c r="IX34" s="103"/>
      <c r="IY34" s="103"/>
      <c r="IZ34" s="103"/>
      <c r="JA34" s="103"/>
      <c r="JB34" s="103"/>
      <c r="JC34" s="103"/>
      <c r="JD34" s="103"/>
      <c r="JE34" s="103"/>
      <c r="JF34" s="103"/>
      <c r="JG34" s="103"/>
      <c r="JH34" s="103"/>
      <c r="JI34" s="103"/>
      <c r="JJ34" s="103"/>
      <c r="JK34" s="103"/>
      <c r="JL34" s="103"/>
      <c r="JM34" s="103"/>
      <c r="JN34" s="103"/>
      <c r="JO34" s="103"/>
      <c r="JP34" s="103"/>
      <c r="JQ34" s="103"/>
      <c r="JR34" s="103"/>
      <c r="JS34" s="103"/>
      <c r="JT34" s="103"/>
      <c r="JU34" s="103"/>
      <c r="JV34" s="103"/>
      <c r="JW34" s="103"/>
      <c r="JX34" s="103"/>
      <c r="JY34" s="103"/>
      <c r="JZ34" s="103"/>
      <c r="KA34" s="103"/>
      <c r="KB34" s="103"/>
      <c r="KC34" s="103"/>
      <c r="KD34" s="103"/>
      <c r="KE34" s="103"/>
      <c r="KF34" s="103"/>
      <c r="KG34" s="103"/>
      <c r="KH34" s="103"/>
      <c r="KI34" s="103"/>
      <c r="KJ34" s="103"/>
      <c r="KK34" s="103"/>
      <c r="KL34" s="103"/>
      <c r="KM34" s="103"/>
      <c r="KN34" s="103"/>
      <c r="KO34" s="103"/>
      <c r="KP34" s="103"/>
      <c r="KQ34" s="103"/>
      <c r="KR34" s="103"/>
      <c r="KS34" s="103"/>
      <c r="KT34" s="103"/>
      <c r="KU34" s="103"/>
      <c r="KV34" s="103"/>
      <c r="KW34" s="103"/>
      <c r="KX34" s="103"/>
      <c r="KY34" s="103"/>
      <c r="KZ34" s="103"/>
      <c r="LA34" s="103"/>
      <c r="LB34" s="103"/>
      <c r="LC34" s="103"/>
      <c r="LD34" s="103"/>
      <c r="LE34" s="103"/>
      <c r="LF34" s="103"/>
      <c r="LG34" s="103"/>
      <c r="LH34" s="103"/>
      <c r="LI34" s="103"/>
      <c r="LJ34" s="103"/>
      <c r="LK34" s="103"/>
      <c r="LL34" s="103"/>
      <c r="LM34" s="103"/>
      <c r="LN34" s="103"/>
      <c r="LO34" s="103"/>
      <c r="LP34" s="103"/>
    </row>
    <row r="35" spans="2:328" x14ac:dyDescent="0.2">
      <c r="B35" s="145"/>
      <c r="C35" s="66"/>
      <c r="D35" s="66"/>
      <c r="E35" s="66"/>
      <c r="F35" s="66"/>
      <c r="G35" s="66"/>
      <c r="H35" s="66"/>
      <c r="M35" s="124">
        <f t="shared" si="0"/>
        <v>-10947.36400000006</v>
      </c>
      <c r="N35" s="125"/>
      <c r="O35" s="125"/>
      <c r="P35" s="126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3"/>
      <c r="DL35" s="103"/>
      <c r="DM35" s="103"/>
      <c r="DN35" s="103"/>
      <c r="DO35" s="103"/>
      <c r="DP35" s="103"/>
      <c r="DQ35" s="103"/>
      <c r="DR35" s="103"/>
      <c r="DS35" s="103"/>
      <c r="DT35" s="103"/>
      <c r="DU35" s="103"/>
      <c r="DV35" s="103"/>
      <c r="DW35" s="103"/>
      <c r="DX35" s="103"/>
      <c r="DY35" s="103"/>
      <c r="DZ35" s="103"/>
      <c r="EA35" s="103"/>
      <c r="EB35" s="103"/>
      <c r="EC35" s="103"/>
      <c r="ED35" s="103"/>
      <c r="EE35" s="103"/>
      <c r="EF35" s="103"/>
      <c r="EG35" s="103"/>
      <c r="EH35" s="103"/>
      <c r="EI35" s="103"/>
      <c r="EJ35" s="103"/>
      <c r="EK35" s="103"/>
      <c r="EL35" s="103"/>
      <c r="EM35" s="103"/>
      <c r="EN35" s="103"/>
      <c r="EO35" s="103"/>
      <c r="EP35" s="103"/>
      <c r="EQ35" s="103"/>
      <c r="ER35" s="103"/>
      <c r="ES35" s="103"/>
      <c r="ET35" s="103"/>
      <c r="EU35" s="103"/>
      <c r="EV35" s="103"/>
      <c r="EW35" s="103"/>
      <c r="EX35" s="103"/>
      <c r="EY35" s="103"/>
      <c r="EZ35" s="103"/>
      <c r="FA35" s="103"/>
      <c r="FB35" s="103"/>
      <c r="FC35" s="103"/>
      <c r="FD35" s="103"/>
      <c r="FE35" s="103"/>
      <c r="FF35" s="103"/>
      <c r="FG35" s="103"/>
      <c r="FH35" s="103"/>
      <c r="FI35" s="103"/>
      <c r="FJ35" s="103"/>
      <c r="FK35" s="103"/>
      <c r="FL35" s="103"/>
      <c r="FM35" s="103"/>
      <c r="FN35" s="103"/>
      <c r="FO35" s="103"/>
      <c r="FP35" s="103"/>
      <c r="FQ35" s="103"/>
      <c r="FR35" s="103"/>
      <c r="FS35" s="103"/>
      <c r="FT35" s="103"/>
      <c r="FU35" s="103"/>
      <c r="FV35" s="103"/>
      <c r="FW35" s="103"/>
      <c r="FX35" s="103"/>
      <c r="FY35" s="103"/>
      <c r="FZ35" s="103"/>
      <c r="GA35" s="103"/>
      <c r="GB35" s="103"/>
      <c r="GC35" s="103"/>
      <c r="GD35" s="103"/>
      <c r="GE35" s="103"/>
      <c r="GF35" s="103"/>
      <c r="GG35" s="103"/>
      <c r="GH35" s="103"/>
      <c r="GI35" s="103"/>
      <c r="GJ35" s="103"/>
      <c r="GK35" s="103"/>
      <c r="GL35" s="103"/>
      <c r="GM35" s="103"/>
      <c r="GN35" s="103"/>
      <c r="GO35" s="103"/>
      <c r="GP35" s="103"/>
      <c r="GQ35" s="103"/>
      <c r="GR35" s="103"/>
      <c r="GS35" s="103"/>
      <c r="GT35" s="103"/>
      <c r="GU35" s="103"/>
      <c r="GV35" s="103"/>
      <c r="GW35" s="103"/>
      <c r="GX35" s="103"/>
      <c r="GY35" s="103"/>
      <c r="GZ35" s="103"/>
      <c r="HA35" s="103"/>
      <c r="HB35" s="103"/>
      <c r="HC35" s="103"/>
      <c r="HD35" s="103"/>
      <c r="HE35" s="103"/>
      <c r="HF35" s="103"/>
      <c r="HG35" s="103"/>
      <c r="HH35" s="103"/>
      <c r="HI35" s="103"/>
      <c r="HJ35" s="103"/>
      <c r="HK35" s="103"/>
      <c r="HL35" s="103"/>
      <c r="HM35" s="103"/>
      <c r="HN35" s="103"/>
      <c r="HO35" s="103"/>
      <c r="HP35" s="103"/>
      <c r="HQ35" s="103"/>
      <c r="HR35" s="103"/>
      <c r="HS35" s="103"/>
      <c r="HT35" s="103"/>
      <c r="HU35" s="103"/>
      <c r="HV35" s="103"/>
      <c r="HW35" s="103"/>
      <c r="HX35" s="103"/>
      <c r="HY35" s="103"/>
      <c r="HZ35" s="103"/>
      <c r="IA35" s="103"/>
      <c r="IB35" s="103"/>
      <c r="IC35" s="103"/>
      <c r="ID35" s="103"/>
      <c r="IE35" s="103"/>
      <c r="IF35" s="103"/>
      <c r="IG35" s="103"/>
      <c r="IH35" s="103"/>
      <c r="II35" s="103"/>
      <c r="IJ35" s="103"/>
      <c r="IK35" s="103"/>
      <c r="IL35" s="103"/>
      <c r="IM35" s="103"/>
      <c r="IN35" s="103"/>
      <c r="IO35" s="103"/>
      <c r="IP35" s="103"/>
      <c r="IQ35" s="103"/>
      <c r="IR35" s="103"/>
      <c r="IS35" s="103"/>
      <c r="IT35" s="103"/>
      <c r="IU35" s="103"/>
      <c r="IV35" s="103"/>
      <c r="IW35" s="103"/>
      <c r="IX35" s="103"/>
      <c r="IY35" s="103"/>
      <c r="IZ35" s="103"/>
      <c r="JA35" s="103"/>
      <c r="JB35" s="103"/>
      <c r="JC35" s="103"/>
      <c r="JD35" s="103"/>
      <c r="JE35" s="103"/>
      <c r="JF35" s="103"/>
      <c r="JG35" s="103"/>
      <c r="JH35" s="103"/>
      <c r="JI35" s="103"/>
      <c r="JJ35" s="103"/>
      <c r="JK35" s="103"/>
      <c r="JL35" s="103"/>
      <c r="JM35" s="103"/>
      <c r="JN35" s="103"/>
      <c r="JO35" s="103"/>
      <c r="JP35" s="103"/>
      <c r="JQ35" s="103"/>
      <c r="JR35" s="103"/>
      <c r="JS35" s="103"/>
      <c r="JT35" s="103"/>
      <c r="JU35" s="103"/>
      <c r="JV35" s="103"/>
      <c r="JW35" s="103"/>
      <c r="JX35" s="103"/>
      <c r="JY35" s="103"/>
      <c r="JZ35" s="103"/>
      <c r="KA35" s="103"/>
      <c r="KB35" s="103"/>
      <c r="KC35" s="103"/>
      <c r="KD35" s="103"/>
      <c r="KE35" s="103"/>
      <c r="KF35" s="103"/>
      <c r="KG35" s="103"/>
      <c r="KH35" s="103"/>
      <c r="KI35" s="103"/>
      <c r="KJ35" s="103"/>
      <c r="KK35" s="103"/>
      <c r="KL35" s="103"/>
      <c r="KM35" s="103"/>
      <c r="KN35" s="103"/>
      <c r="KO35" s="103"/>
      <c r="KP35" s="103"/>
      <c r="KQ35" s="103"/>
      <c r="KR35" s="103"/>
      <c r="KS35" s="103"/>
      <c r="KT35" s="103"/>
      <c r="KU35" s="103"/>
      <c r="KV35" s="103"/>
      <c r="KW35" s="103"/>
      <c r="KX35" s="103"/>
      <c r="KY35" s="103"/>
      <c r="KZ35" s="103"/>
      <c r="LA35" s="103"/>
      <c r="LB35" s="103"/>
      <c r="LC35" s="103"/>
      <c r="LD35" s="103"/>
      <c r="LE35" s="103"/>
      <c r="LF35" s="103"/>
      <c r="LG35" s="103"/>
      <c r="LH35" s="103"/>
      <c r="LI35" s="103"/>
      <c r="LJ35" s="103"/>
      <c r="LK35" s="103"/>
      <c r="LL35" s="103"/>
      <c r="LM35" s="103"/>
      <c r="LN35" s="103"/>
      <c r="LO35" s="103"/>
      <c r="LP35" s="103"/>
    </row>
    <row r="36" spans="2:328" x14ac:dyDescent="0.2">
      <c r="B36" s="145"/>
      <c r="C36" s="66"/>
      <c r="D36" s="66"/>
      <c r="E36" s="66"/>
      <c r="F36" s="66"/>
      <c r="G36" s="66"/>
      <c r="H36" s="66"/>
      <c r="M36" s="124">
        <f t="shared" si="0"/>
        <v>-12235.81600000005</v>
      </c>
      <c r="N36" s="125"/>
      <c r="O36" s="125"/>
      <c r="P36" s="126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  <c r="CH36" s="103"/>
      <c r="CI36" s="103"/>
      <c r="CJ36" s="103"/>
      <c r="CK36" s="103"/>
      <c r="CL36" s="103"/>
      <c r="CM36" s="103"/>
      <c r="CN36" s="103"/>
      <c r="CO36" s="103"/>
      <c r="CP36" s="103"/>
      <c r="CQ36" s="103"/>
      <c r="CR36" s="103"/>
      <c r="CS36" s="103"/>
      <c r="CT36" s="103"/>
      <c r="CU36" s="103"/>
      <c r="CV36" s="103"/>
      <c r="CW36" s="103"/>
      <c r="CX36" s="103"/>
      <c r="CY36" s="103"/>
      <c r="CZ36" s="103"/>
      <c r="DA36" s="103"/>
      <c r="DB36" s="103"/>
      <c r="DC36" s="103"/>
      <c r="DD36" s="103"/>
      <c r="DE36" s="103"/>
      <c r="DF36" s="103"/>
      <c r="DG36" s="103"/>
      <c r="DH36" s="103"/>
      <c r="DI36" s="103"/>
      <c r="DJ36" s="103"/>
      <c r="DK36" s="103"/>
      <c r="DL36" s="103"/>
      <c r="DM36" s="103"/>
      <c r="DN36" s="103"/>
      <c r="DO36" s="103"/>
      <c r="DP36" s="103"/>
      <c r="DQ36" s="103"/>
      <c r="DR36" s="103"/>
      <c r="DS36" s="103"/>
      <c r="DT36" s="103"/>
      <c r="DU36" s="103"/>
      <c r="DV36" s="103"/>
      <c r="DW36" s="103"/>
      <c r="DX36" s="103"/>
      <c r="DY36" s="103"/>
      <c r="DZ36" s="103"/>
      <c r="EA36" s="103"/>
      <c r="EB36" s="103"/>
      <c r="EC36" s="103"/>
      <c r="ED36" s="103"/>
      <c r="EE36" s="103"/>
      <c r="EF36" s="103"/>
      <c r="EG36" s="103"/>
      <c r="EH36" s="103"/>
      <c r="EI36" s="103"/>
      <c r="EJ36" s="103"/>
      <c r="EK36" s="103"/>
      <c r="EL36" s="103"/>
      <c r="EM36" s="103"/>
      <c r="EN36" s="103"/>
      <c r="EO36" s="103"/>
      <c r="EP36" s="103"/>
      <c r="EQ36" s="103"/>
      <c r="ER36" s="103"/>
      <c r="ES36" s="103"/>
      <c r="ET36" s="103"/>
      <c r="EU36" s="103"/>
      <c r="EV36" s="103"/>
      <c r="EW36" s="103"/>
      <c r="EX36" s="103"/>
      <c r="EY36" s="103"/>
      <c r="EZ36" s="103"/>
      <c r="FA36" s="103"/>
      <c r="FB36" s="103"/>
      <c r="FC36" s="103"/>
      <c r="FD36" s="103"/>
      <c r="FE36" s="103"/>
      <c r="FF36" s="103"/>
      <c r="FG36" s="103"/>
      <c r="FH36" s="103"/>
      <c r="FI36" s="103"/>
      <c r="FJ36" s="103"/>
      <c r="FK36" s="103"/>
      <c r="FL36" s="103"/>
      <c r="FM36" s="103"/>
      <c r="FN36" s="103"/>
      <c r="FO36" s="103"/>
      <c r="FP36" s="103"/>
      <c r="FQ36" s="103"/>
      <c r="FR36" s="103"/>
      <c r="FS36" s="103"/>
      <c r="FT36" s="103"/>
      <c r="FU36" s="103"/>
      <c r="FV36" s="103"/>
      <c r="FW36" s="103"/>
      <c r="FX36" s="103"/>
      <c r="FY36" s="103"/>
      <c r="FZ36" s="103"/>
      <c r="GA36" s="103"/>
      <c r="GB36" s="103"/>
      <c r="GC36" s="103"/>
      <c r="GD36" s="103"/>
      <c r="GE36" s="103"/>
      <c r="GF36" s="103"/>
      <c r="GG36" s="103"/>
      <c r="GH36" s="103"/>
      <c r="GI36" s="103"/>
      <c r="GJ36" s="103"/>
      <c r="GK36" s="103"/>
      <c r="GL36" s="103"/>
      <c r="GM36" s="103"/>
      <c r="GN36" s="103"/>
      <c r="GO36" s="103"/>
      <c r="GP36" s="103"/>
      <c r="GQ36" s="103"/>
      <c r="GR36" s="103"/>
      <c r="GS36" s="103"/>
      <c r="GT36" s="103"/>
      <c r="GU36" s="103"/>
      <c r="GV36" s="103"/>
      <c r="GW36" s="103"/>
      <c r="GX36" s="103"/>
      <c r="GY36" s="103"/>
      <c r="GZ36" s="103"/>
      <c r="HA36" s="103"/>
      <c r="HB36" s="103"/>
      <c r="HC36" s="103"/>
      <c r="HD36" s="103"/>
      <c r="HE36" s="103"/>
      <c r="HF36" s="103"/>
      <c r="HG36" s="103"/>
      <c r="HH36" s="103"/>
      <c r="HI36" s="103"/>
      <c r="HJ36" s="103"/>
      <c r="HK36" s="103"/>
      <c r="HL36" s="103"/>
      <c r="HM36" s="103"/>
      <c r="HN36" s="103"/>
      <c r="HO36" s="103"/>
      <c r="HP36" s="103"/>
      <c r="HQ36" s="103"/>
      <c r="HR36" s="103"/>
      <c r="HS36" s="103"/>
      <c r="HT36" s="103"/>
      <c r="HU36" s="103"/>
      <c r="HV36" s="103"/>
      <c r="HW36" s="103"/>
      <c r="HX36" s="103"/>
      <c r="HY36" s="103"/>
      <c r="HZ36" s="103"/>
      <c r="IA36" s="103"/>
      <c r="IB36" s="103"/>
      <c r="IC36" s="103"/>
      <c r="ID36" s="103"/>
      <c r="IE36" s="103"/>
      <c r="IF36" s="103"/>
      <c r="IG36" s="103"/>
      <c r="IH36" s="103"/>
      <c r="II36" s="103"/>
      <c r="IJ36" s="103"/>
      <c r="IK36" s="103"/>
      <c r="IL36" s="103"/>
      <c r="IM36" s="103"/>
      <c r="IN36" s="103"/>
      <c r="IO36" s="103"/>
      <c r="IP36" s="103"/>
      <c r="IQ36" s="103"/>
      <c r="IR36" s="103"/>
      <c r="IS36" s="103"/>
      <c r="IT36" s="103"/>
      <c r="IU36" s="103"/>
      <c r="IV36" s="103"/>
      <c r="IW36" s="103"/>
      <c r="IX36" s="103"/>
      <c r="IY36" s="103"/>
      <c r="IZ36" s="103"/>
      <c r="JA36" s="103"/>
      <c r="JB36" s="103"/>
      <c r="JC36" s="103"/>
      <c r="JD36" s="103"/>
      <c r="JE36" s="103"/>
      <c r="JF36" s="103"/>
      <c r="JG36" s="103"/>
      <c r="JH36" s="103"/>
      <c r="JI36" s="103"/>
      <c r="JJ36" s="103"/>
      <c r="JK36" s="103"/>
      <c r="JL36" s="103"/>
      <c r="JM36" s="103"/>
      <c r="JN36" s="103"/>
      <c r="JO36" s="103"/>
      <c r="JP36" s="103"/>
      <c r="JQ36" s="103"/>
      <c r="JR36" s="103"/>
      <c r="JS36" s="103"/>
      <c r="JT36" s="103"/>
      <c r="JU36" s="103"/>
      <c r="JV36" s="103"/>
      <c r="JW36" s="103"/>
      <c r="JX36" s="103"/>
      <c r="JY36" s="103"/>
      <c r="JZ36" s="103"/>
      <c r="KA36" s="103"/>
      <c r="KB36" s="103"/>
      <c r="KC36" s="103"/>
      <c r="KD36" s="103"/>
      <c r="KE36" s="103"/>
      <c r="KF36" s="103"/>
      <c r="KG36" s="103"/>
      <c r="KH36" s="103"/>
      <c r="KI36" s="103"/>
      <c r="KJ36" s="103"/>
      <c r="KK36" s="103"/>
      <c r="KL36" s="103"/>
      <c r="KM36" s="103"/>
      <c r="KN36" s="103"/>
      <c r="KO36" s="103"/>
      <c r="KP36" s="103"/>
      <c r="KQ36" s="103"/>
      <c r="KR36" s="103"/>
      <c r="KS36" s="103"/>
      <c r="KT36" s="103"/>
      <c r="KU36" s="103"/>
      <c r="KV36" s="103"/>
      <c r="KW36" s="103"/>
      <c r="KX36" s="103"/>
      <c r="KY36" s="103"/>
      <c r="KZ36" s="103"/>
      <c r="LA36" s="103"/>
      <c r="LB36" s="103"/>
      <c r="LC36" s="103"/>
      <c r="LD36" s="103"/>
      <c r="LE36" s="103"/>
      <c r="LF36" s="103"/>
      <c r="LG36" s="103"/>
      <c r="LH36" s="103"/>
      <c r="LI36" s="103"/>
      <c r="LJ36" s="103"/>
      <c r="LK36" s="103"/>
      <c r="LL36" s="103"/>
      <c r="LM36" s="103"/>
      <c r="LN36" s="103"/>
      <c r="LO36" s="103"/>
      <c r="LP36" s="103"/>
    </row>
    <row r="37" spans="2:328" x14ac:dyDescent="0.2">
      <c r="B37" s="145"/>
      <c r="C37" s="66"/>
      <c r="D37" s="66"/>
      <c r="E37" s="66"/>
      <c r="F37" s="66"/>
      <c r="G37" s="66"/>
      <c r="H37" s="66"/>
      <c r="M37" s="124">
        <f t="shared" si="0"/>
        <v>-18372.910000000033</v>
      </c>
      <c r="N37" s="125"/>
      <c r="O37" s="125"/>
      <c r="P37" s="126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  <c r="CS37" s="103"/>
      <c r="CT37" s="103"/>
      <c r="CU37" s="103"/>
      <c r="CV37" s="103"/>
      <c r="CW37" s="103"/>
      <c r="CX37" s="103"/>
      <c r="CY37" s="103"/>
      <c r="CZ37" s="103"/>
      <c r="DA37" s="103"/>
      <c r="DB37" s="103"/>
      <c r="DC37" s="103"/>
      <c r="DD37" s="103"/>
      <c r="DE37" s="103"/>
      <c r="DF37" s="103"/>
      <c r="DG37" s="103"/>
      <c r="DH37" s="103"/>
      <c r="DI37" s="103"/>
      <c r="DJ37" s="103"/>
      <c r="DK37" s="103"/>
      <c r="DL37" s="103"/>
      <c r="DM37" s="103"/>
      <c r="DN37" s="103"/>
      <c r="DO37" s="103"/>
      <c r="DP37" s="103"/>
      <c r="DQ37" s="103"/>
      <c r="DR37" s="103"/>
      <c r="DS37" s="103"/>
      <c r="DT37" s="103"/>
      <c r="DU37" s="103"/>
      <c r="DV37" s="103"/>
      <c r="DW37" s="103"/>
      <c r="DX37" s="103"/>
      <c r="DY37" s="103"/>
      <c r="DZ37" s="103"/>
      <c r="EA37" s="103"/>
      <c r="EB37" s="103"/>
      <c r="EC37" s="103"/>
      <c r="ED37" s="103"/>
      <c r="EE37" s="103"/>
      <c r="EF37" s="103"/>
      <c r="EG37" s="103"/>
      <c r="EH37" s="103"/>
      <c r="EI37" s="103"/>
      <c r="EJ37" s="103"/>
      <c r="EK37" s="103"/>
      <c r="EL37" s="103"/>
      <c r="EM37" s="103"/>
      <c r="EN37" s="103"/>
      <c r="EO37" s="103"/>
      <c r="EP37" s="103"/>
      <c r="EQ37" s="103"/>
      <c r="ER37" s="103"/>
      <c r="ES37" s="103"/>
      <c r="ET37" s="103"/>
      <c r="EU37" s="103"/>
      <c r="EV37" s="103"/>
      <c r="EW37" s="103"/>
      <c r="EX37" s="103"/>
      <c r="EY37" s="103"/>
      <c r="EZ37" s="103"/>
      <c r="FA37" s="103"/>
      <c r="FB37" s="103"/>
      <c r="FC37" s="103"/>
      <c r="FD37" s="103"/>
      <c r="FE37" s="103"/>
      <c r="FF37" s="103"/>
      <c r="FG37" s="103"/>
      <c r="FH37" s="103"/>
      <c r="FI37" s="103"/>
      <c r="FJ37" s="103"/>
      <c r="FK37" s="103"/>
      <c r="FL37" s="103"/>
      <c r="FM37" s="103"/>
      <c r="FN37" s="103"/>
      <c r="FO37" s="103"/>
      <c r="FP37" s="103"/>
      <c r="FQ37" s="103"/>
      <c r="FR37" s="103"/>
      <c r="FS37" s="103"/>
      <c r="FT37" s="103"/>
      <c r="FU37" s="103"/>
      <c r="FV37" s="103"/>
      <c r="FW37" s="103"/>
      <c r="FX37" s="103"/>
      <c r="FY37" s="103"/>
      <c r="FZ37" s="103"/>
      <c r="GA37" s="103"/>
      <c r="GB37" s="103"/>
      <c r="GC37" s="103"/>
      <c r="GD37" s="103"/>
      <c r="GE37" s="103"/>
      <c r="GF37" s="103"/>
      <c r="GG37" s="103"/>
      <c r="GH37" s="103"/>
      <c r="GI37" s="103"/>
      <c r="GJ37" s="103"/>
      <c r="GK37" s="103"/>
      <c r="GL37" s="103"/>
      <c r="GM37" s="103"/>
      <c r="GN37" s="103"/>
      <c r="GO37" s="103"/>
      <c r="GP37" s="103"/>
      <c r="GQ37" s="103"/>
      <c r="GR37" s="103"/>
      <c r="GS37" s="103"/>
      <c r="GT37" s="103"/>
      <c r="GU37" s="103"/>
      <c r="GV37" s="103"/>
      <c r="GW37" s="103"/>
      <c r="GX37" s="103"/>
      <c r="GY37" s="103"/>
      <c r="GZ37" s="103"/>
      <c r="HA37" s="103"/>
      <c r="HB37" s="103"/>
      <c r="HC37" s="103"/>
      <c r="HD37" s="103"/>
      <c r="HE37" s="103"/>
      <c r="HF37" s="103"/>
      <c r="HG37" s="103"/>
      <c r="HH37" s="103"/>
      <c r="HI37" s="103"/>
      <c r="HJ37" s="103"/>
      <c r="HK37" s="103"/>
      <c r="HL37" s="103"/>
      <c r="HM37" s="103"/>
      <c r="HN37" s="103"/>
      <c r="HO37" s="103"/>
      <c r="HP37" s="103"/>
      <c r="HQ37" s="103"/>
      <c r="HR37" s="103"/>
      <c r="HS37" s="103"/>
      <c r="HT37" s="103"/>
      <c r="HU37" s="103"/>
      <c r="HV37" s="103"/>
      <c r="HW37" s="103"/>
      <c r="HX37" s="103"/>
      <c r="HY37" s="103"/>
      <c r="HZ37" s="103"/>
      <c r="IA37" s="103"/>
      <c r="IB37" s="103"/>
      <c r="IC37" s="103"/>
      <c r="ID37" s="103"/>
      <c r="IE37" s="103"/>
      <c r="IF37" s="103"/>
      <c r="IG37" s="103"/>
      <c r="IH37" s="103"/>
      <c r="II37" s="103"/>
      <c r="IJ37" s="103"/>
      <c r="IK37" s="103"/>
      <c r="IL37" s="103"/>
      <c r="IM37" s="103"/>
      <c r="IN37" s="103"/>
      <c r="IO37" s="103"/>
      <c r="IP37" s="103"/>
      <c r="IQ37" s="103"/>
      <c r="IR37" s="103"/>
      <c r="IS37" s="103"/>
      <c r="IT37" s="103"/>
      <c r="IU37" s="103"/>
      <c r="IV37" s="103"/>
      <c r="IW37" s="103"/>
      <c r="IX37" s="103"/>
      <c r="IY37" s="103"/>
      <c r="IZ37" s="103"/>
      <c r="JA37" s="103"/>
      <c r="JB37" s="103"/>
      <c r="JC37" s="103"/>
      <c r="JD37" s="103"/>
      <c r="JE37" s="103"/>
      <c r="JF37" s="103"/>
      <c r="JG37" s="103"/>
      <c r="JH37" s="103"/>
      <c r="JI37" s="103"/>
      <c r="JJ37" s="103"/>
      <c r="JK37" s="103"/>
      <c r="JL37" s="103"/>
      <c r="JM37" s="103"/>
      <c r="JN37" s="103"/>
      <c r="JO37" s="103"/>
      <c r="JP37" s="103"/>
      <c r="JQ37" s="103"/>
      <c r="JR37" s="103"/>
      <c r="JS37" s="103"/>
      <c r="JT37" s="103"/>
      <c r="JU37" s="103"/>
      <c r="JV37" s="103"/>
      <c r="JW37" s="103"/>
      <c r="JX37" s="103"/>
      <c r="JY37" s="103"/>
      <c r="JZ37" s="103"/>
      <c r="KA37" s="103"/>
      <c r="KB37" s="103"/>
      <c r="KC37" s="103"/>
      <c r="KD37" s="103"/>
      <c r="KE37" s="103"/>
      <c r="KF37" s="103"/>
      <c r="KG37" s="103"/>
      <c r="KH37" s="103"/>
      <c r="KI37" s="103"/>
      <c r="KJ37" s="103"/>
      <c r="KK37" s="103"/>
      <c r="KL37" s="103"/>
      <c r="KM37" s="103"/>
      <c r="KN37" s="103"/>
      <c r="KO37" s="103"/>
      <c r="KP37" s="103"/>
      <c r="KQ37" s="103"/>
      <c r="KR37" s="103"/>
      <c r="KS37" s="103"/>
      <c r="KT37" s="103"/>
      <c r="KU37" s="103"/>
      <c r="KV37" s="103"/>
      <c r="KW37" s="103"/>
      <c r="KX37" s="103"/>
      <c r="KY37" s="103"/>
      <c r="KZ37" s="103"/>
      <c r="LA37" s="103"/>
      <c r="LB37" s="103"/>
      <c r="LC37" s="103"/>
      <c r="LD37" s="103"/>
      <c r="LE37" s="103"/>
      <c r="LF37" s="103"/>
      <c r="LG37" s="103"/>
      <c r="LH37" s="103"/>
      <c r="LI37" s="103"/>
      <c r="LJ37" s="103"/>
      <c r="LK37" s="103"/>
      <c r="LL37" s="103"/>
      <c r="LM37" s="103"/>
      <c r="LN37" s="103"/>
      <c r="LO37" s="103"/>
      <c r="LP37" s="103"/>
    </row>
    <row r="38" spans="2:328" x14ac:dyDescent="0.2">
      <c r="B38" s="145"/>
      <c r="C38" s="66"/>
      <c r="D38" s="66"/>
      <c r="E38" s="66"/>
      <c r="F38" s="66"/>
      <c r="G38" s="66"/>
      <c r="H38" s="66"/>
      <c r="M38" s="124">
        <f t="shared" si="0"/>
        <v>-23020.326000000059</v>
      </c>
      <c r="N38" s="125"/>
      <c r="O38" s="125"/>
      <c r="P38" s="126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3"/>
      <c r="CR38" s="103"/>
      <c r="CS38" s="103"/>
      <c r="CT38" s="103"/>
      <c r="CU38" s="103"/>
      <c r="CV38" s="103"/>
      <c r="CW38" s="103"/>
      <c r="CX38" s="103"/>
      <c r="CY38" s="103"/>
      <c r="CZ38" s="103"/>
      <c r="DA38" s="103"/>
      <c r="DB38" s="103"/>
      <c r="DC38" s="103"/>
      <c r="DD38" s="103"/>
      <c r="DE38" s="103"/>
      <c r="DF38" s="103"/>
      <c r="DG38" s="103"/>
      <c r="DH38" s="103"/>
      <c r="DI38" s="103"/>
      <c r="DJ38" s="103"/>
      <c r="DK38" s="103"/>
      <c r="DL38" s="103"/>
      <c r="DM38" s="103"/>
      <c r="DN38" s="103"/>
      <c r="DO38" s="103"/>
      <c r="DP38" s="103"/>
      <c r="DQ38" s="103"/>
      <c r="DR38" s="103"/>
      <c r="DS38" s="103"/>
      <c r="DT38" s="103"/>
      <c r="DU38" s="103"/>
      <c r="DV38" s="103"/>
      <c r="DW38" s="103"/>
      <c r="DX38" s="103"/>
      <c r="DY38" s="103"/>
      <c r="DZ38" s="103"/>
      <c r="EA38" s="103"/>
      <c r="EB38" s="103"/>
      <c r="EC38" s="103"/>
      <c r="ED38" s="103"/>
      <c r="EE38" s="103"/>
      <c r="EF38" s="103"/>
      <c r="EG38" s="103"/>
      <c r="EH38" s="103"/>
      <c r="EI38" s="103"/>
      <c r="EJ38" s="103"/>
      <c r="EK38" s="103"/>
      <c r="EL38" s="103"/>
      <c r="EM38" s="103"/>
      <c r="EN38" s="103"/>
      <c r="EO38" s="103"/>
      <c r="EP38" s="103"/>
      <c r="EQ38" s="103"/>
      <c r="ER38" s="103"/>
      <c r="ES38" s="103"/>
      <c r="ET38" s="103"/>
      <c r="EU38" s="103"/>
      <c r="EV38" s="103"/>
      <c r="EW38" s="103"/>
      <c r="EX38" s="103"/>
      <c r="EY38" s="103"/>
      <c r="EZ38" s="103"/>
      <c r="FA38" s="103"/>
      <c r="FB38" s="103"/>
      <c r="FC38" s="103"/>
      <c r="FD38" s="103"/>
      <c r="FE38" s="103"/>
      <c r="FF38" s="103"/>
      <c r="FG38" s="103"/>
      <c r="FH38" s="103"/>
      <c r="FI38" s="103"/>
      <c r="FJ38" s="103"/>
      <c r="FK38" s="103"/>
      <c r="FL38" s="103"/>
      <c r="FM38" s="103"/>
      <c r="FN38" s="103"/>
      <c r="FO38" s="103"/>
      <c r="FP38" s="103"/>
      <c r="FQ38" s="103"/>
      <c r="FR38" s="103"/>
      <c r="FS38" s="103"/>
      <c r="FT38" s="103"/>
      <c r="FU38" s="103"/>
      <c r="FV38" s="103"/>
      <c r="FW38" s="103"/>
      <c r="FX38" s="103"/>
      <c r="FY38" s="103"/>
      <c r="FZ38" s="103"/>
      <c r="GA38" s="103"/>
      <c r="GB38" s="103"/>
      <c r="GC38" s="103"/>
      <c r="GD38" s="103"/>
      <c r="GE38" s="103"/>
      <c r="GF38" s="103"/>
      <c r="GG38" s="103"/>
      <c r="GH38" s="103"/>
      <c r="GI38" s="103"/>
      <c r="GJ38" s="103"/>
      <c r="GK38" s="103"/>
      <c r="GL38" s="103"/>
      <c r="GM38" s="103"/>
      <c r="GN38" s="103"/>
      <c r="GO38" s="103"/>
      <c r="GP38" s="103"/>
      <c r="GQ38" s="103"/>
      <c r="GR38" s="103"/>
      <c r="GS38" s="103"/>
      <c r="GT38" s="103"/>
      <c r="GU38" s="103"/>
      <c r="GV38" s="103"/>
      <c r="GW38" s="103"/>
      <c r="GX38" s="103"/>
      <c r="GY38" s="103"/>
      <c r="GZ38" s="103"/>
      <c r="HA38" s="103"/>
      <c r="HB38" s="103"/>
      <c r="HC38" s="103"/>
      <c r="HD38" s="103"/>
      <c r="HE38" s="103"/>
      <c r="HF38" s="103"/>
      <c r="HG38" s="103"/>
      <c r="HH38" s="103"/>
      <c r="HI38" s="103"/>
      <c r="HJ38" s="103"/>
      <c r="HK38" s="103"/>
      <c r="HL38" s="103"/>
      <c r="HM38" s="103"/>
      <c r="HN38" s="103"/>
      <c r="HO38" s="103"/>
      <c r="HP38" s="103"/>
      <c r="HQ38" s="103"/>
      <c r="HR38" s="103"/>
      <c r="HS38" s="103"/>
      <c r="HT38" s="103"/>
      <c r="HU38" s="103"/>
      <c r="HV38" s="103"/>
      <c r="HW38" s="103"/>
      <c r="HX38" s="103"/>
      <c r="HY38" s="103"/>
      <c r="HZ38" s="103"/>
      <c r="IA38" s="103"/>
      <c r="IB38" s="103"/>
      <c r="IC38" s="103"/>
      <c r="ID38" s="103"/>
      <c r="IE38" s="103"/>
      <c r="IF38" s="103"/>
      <c r="IG38" s="103"/>
      <c r="IH38" s="103"/>
      <c r="II38" s="103"/>
      <c r="IJ38" s="103"/>
      <c r="IK38" s="103"/>
      <c r="IL38" s="103"/>
      <c r="IM38" s="103"/>
      <c r="IN38" s="103"/>
      <c r="IO38" s="103"/>
      <c r="IP38" s="103"/>
      <c r="IQ38" s="103"/>
      <c r="IR38" s="103"/>
      <c r="IS38" s="103"/>
      <c r="IT38" s="103"/>
      <c r="IU38" s="103"/>
      <c r="IV38" s="103"/>
      <c r="IW38" s="103"/>
      <c r="IX38" s="103"/>
      <c r="IY38" s="103"/>
      <c r="IZ38" s="103"/>
      <c r="JA38" s="103"/>
      <c r="JB38" s="103"/>
      <c r="JC38" s="103"/>
      <c r="JD38" s="103"/>
      <c r="JE38" s="103"/>
      <c r="JF38" s="103"/>
      <c r="JG38" s="103"/>
      <c r="JH38" s="103"/>
      <c r="JI38" s="103"/>
      <c r="JJ38" s="103"/>
      <c r="JK38" s="103"/>
      <c r="JL38" s="103"/>
      <c r="JM38" s="103"/>
      <c r="JN38" s="103"/>
      <c r="JO38" s="103"/>
      <c r="JP38" s="103"/>
      <c r="JQ38" s="103"/>
      <c r="JR38" s="103"/>
      <c r="JS38" s="103"/>
      <c r="JT38" s="103"/>
      <c r="JU38" s="103"/>
      <c r="JV38" s="103"/>
      <c r="JW38" s="103"/>
      <c r="JX38" s="103"/>
      <c r="JY38" s="103"/>
      <c r="JZ38" s="103"/>
      <c r="KA38" s="103"/>
      <c r="KB38" s="103"/>
      <c r="KC38" s="103"/>
      <c r="KD38" s="103"/>
      <c r="KE38" s="103"/>
      <c r="KF38" s="103"/>
      <c r="KG38" s="103"/>
      <c r="KH38" s="103"/>
      <c r="KI38" s="103"/>
      <c r="KJ38" s="103"/>
      <c r="KK38" s="103"/>
      <c r="KL38" s="103"/>
      <c r="KM38" s="103"/>
      <c r="KN38" s="103"/>
      <c r="KO38" s="103"/>
      <c r="KP38" s="103"/>
      <c r="KQ38" s="103"/>
      <c r="KR38" s="103"/>
      <c r="KS38" s="103"/>
      <c r="KT38" s="103"/>
      <c r="KU38" s="103"/>
      <c r="KV38" s="103"/>
      <c r="KW38" s="103"/>
      <c r="KX38" s="103"/>
      <c r="KY38" s="103"/>
      <c r="KZ38" s="103"/>
      <c r="LA38" s="103"/>
      <c r="LB38" s="103"/>
      <c r="LC38" s="103"/>
      <c r="LD38" s="103"/>
      <c r="LE38" s="103"/>
      <c r="LF38" s="103"/>
      <c r="LG38" s="103"/>
      <c r="LH38" s="103"/>
      <c r="LI38" s="103"/>
      <c r="LJ38" s="103"/>
      <c r="LK38" s="103"/>
      <c r="LL38" s="103"/>
      <c r="LM38" s="103"/>
      <c r="LN38" s="103"/>
      <c r="LO38" s="103"/>
      <c r="LP38" s="103"/>
    </row>
    <row r="39" spans="2:328" x14ac:dyDescent="0.2">
      <c r="B39" s="145"/>
      <c r="C39" s="66"/>
      <c r="D39" s="66"/>
      <c r="E39" s="66"/>
      <c r="F39" s="66"/>
      <c r="G39" s="66"/>
      <c r="H39" s="66"/>
      <c r="M39" s="124">
        <f t="shared" si="0"/>
        <v>-24390.207000000111</v>
      </c>
      <c r="N39" s="125"/>
      <c r="O39" s="125"/>
      <c r="P39" s="126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  <c r="CS39" s="103"/>
      <c r="CT39" s="103"/>
      <c r="CU39" s="103"/>
      <c r="CV39" s="103"/>
      <c r="CW39" s="103"/>
      <c r="CX39" s="103"/>
      <c r="CY39" s="103"/>
      <c r="CZ39" s="103"/>
      <c r="DA39" s="103"/>
      <c r="DB39" s="103"/>
      <c r="DC39" s="103"/>
      <c r="DD39" s="103"/>
      <c r="DE39" s="103"/>
      <c r="DF39" s="103"/>
      <c r="DG39" s="103"/>
      <c r="DH39" s="103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  <c r="DS39" s="103"/>
      <c r="DT39" s="103"/>
      <c r="DU39" s="103"/>
      <c r="DV39" s="103"/>
      <c r="DW39" s="103"/>
      <c r="DX39" s="103"/>
      <c r="DY39" s="103"/>
      <c r="DZ39" s="103"/>
      <c r="EA39" s="103"/>
      <c r="EB39" s="103"/>
      <c r="EC39" s="103"/>
      <c r="ED39" s="103"/>
      <c r="EE39" s="103"/>
      <c r="EF39" s="103"/>
      <c r="EG39" s="103"/>
      <c r="EH39" s="103"/>
      <c r="EI39" s="103"/>
      <c r="EJ39" s="103"/>
      <c r="EK39" s="103"/>
      <c r="EL39" s="103"/>
      <c r="EM39" s="103"/>
      <c r="EN39" s="103"/>
      <c r="EO39" s="103"/>
      <c r="EP39" s="103"/>
      <c r="EQ39" s="103"/>
      <c r="ER39" s="103"/>
      <c r="ES39" s="103"/>
      <c r="ET39" s="103"/>
      <c r="EU39" s="103"/>
      <c r="EV39" s="103"/>
      <c r="EW39" s="103"/>
      <c r="EX39" s="103"/>
      <c r="EY39" s="103"/>
      <c r="EZ39" s="103"/>
      <c r="FA39" s="103"/>
      <c r="FB39" s="103"/>
      <c r="FC39" s="103"/>
      <c r="FD39" s="103"/>
      <c r="FE39" s="103"/>
      <c r="FF39" s="103"/>
      <c r="FG39" s="103"/>
      <c r="FH39" s="103"/>
      <c r="FI39" s="103"/>
      <c r="FJ39" s="103"/>
      <c r="FK39" s="103"/>
      <c r="FL39" s="103"/>
      <c r="FM39" s="103"/>
      <c r="FN39" s="103"/>
      <c r="FO39" s="103"/>
      <c r="FP39" s="103"/>
      <c r="FQ39" s="103"/>
      <c r="FR39" s="103"/>
      <c r="FS39" s="103"/>
      <c r="FT39" s="103"/>
      <c r="FU39" s="103"/>
      <c r="FV39" s="103"/>
      <c r="FW39" s="103"/>
      <c r="FX39" s="103"/>
      <c r="FY39" s="103"/>
      <c r="FZ39" s="103"/>
      <c r="GA39" s="103"/>
      <c r="GB39" s="103"/>
      <c r="GC39" s="103"/>
      <c r="GD39" s="103"/>
      <c r="GE39" s="103"/>
      <c r="GF39" s="103"/>
      <c r="GG39" s="103"/>
      <c r="GH39" s="103"/>
      <c r="GI39" s="103"/>
      <c r="GJ39" s="103"/>
      <c r="GK39" s="103"/>
      <c r="GL39" s="103"/>
      <c r="GM39" s="103"/>
      <c r="GN39" s="103"/>
      <c r="GO39" s="103"/>
      <c r="GP39" s="103"/>
      <c r="GQ39" s="103"/>
      <c r="GR39" s="103"/>
      <c r="GS39" s="103"/>
      <c r="GT39" s="103"/>
      <c r="GU39" s="103"/>
      <c r="GV39" s="103"/>
      <c r="GW39" s="103"/>
      <c r="GX39" s="103"/>
      <c r="GY39" s="103"/>
      <c r="GZ39" s="103"/>
      <c r="HA39" s="103"/>
      <c r="HB39" s="103"/>
      <c r="HC39" s="103"/>
      <c r="HD39" s="103"/>
      <c r="HE39" s="103"/>
      <c r="HF39" s="103"/>
      <c r="HG39" s="103"/>
      <c r="HH39" s="103"/>
      <c r="HI39" s="103"/>
      <c r="HJ39" s="103"/>
      <c r="HK39" s="103"/>
      <c r="HL39" s="103"/>
      <c r="HM39" s="103"/>
      <c r="HN39" s="103"/>
      <c r="HO39" s="103"/>
      <c r="HP39" s="103"/>
      <c r="HQ39" s="103"/>
      <c r="HR39" s="103"/>
      <c r="HS39" s="103"/>
      <c r="HT39" s="103"/>
      <c r="HU39" s="103"/>
      <c r="HV39" s="103"/>
      <c r="HW39" s="103"/>
      <c r="HX39" s="103"/>
      <c r="HY39" s="103"/>
      <c r="HZ39" s="103"/>
      <c r="IA39" s="103"/>
      <c r="IB39" s="103"/>
      <c r="IC39" s="103"/>
      <c r="ID39" s="103"/>
      <c r="IE39" s="103"/>
      <c r="IF39" s="103"/>
      <c r="IG39" s="103"/>
      <c r="IH39" s="103"/>
      <c r="II39" s="103"/>
      <c r="IJ39" s="103"/>
      <c r="IK39" s="103"/>
      <c r="IL39" s="103"/>
      <c r="IM39" s="103"/>
      <c r="IN39" s="103"/>
      <c r="IO39" s="103"/>
      <c r="IP39" s="103"/>
      <c r="IQ39" s="103"/>
      <c r="IR39" s="103"/>
      <c r="IS39" s="103"/>
      <c r="IT39" s="103"/>
      <c r="IU39" s="103"/>
      <c r="IV39" s="103"/>
      <c r="IW39" s="103"/>
      <c r="IX39" s="103"/>
      <c r="IY39" s="103"/>
      <c r="IZ39" s="103"/>
      <c r="JA39" s="103"/>
      <c r="JB39" s="103"/>
      <c r="JC39" s="103"/>
      <c r="JD39" s="103"/>
      <c r="JE39" s="103"/>
      <c r="JF39" s="103"/>
      <c r="JG39" s="103"/>
      <c r="JH39" s="103"/>
      <c r="JI39" s="103"/>
      <c r="JJ39" s="103"/>
      <c r="JK39" s="103"/>
      <c r="JL39" s="103"/>
      <c r="JM39" s="103"/>
      <c r="JN39" s="103"/>
      <c r="JO39" s="103"/>
      <c r="JP39" s="103"/>
      <c r="JQ39" s="103"/>
      <c r="JR39" s="103"/>
      <c r="JS39" s="103"/>
      <c r="JT39" s="103"/>
      <c r="JU39" s="103"/>
      <c r="JV39" s="103"/>
      <c r="JW39" s="103"/>
      <c r="JX39" s="103"/>
      <c r="JY39" s="103"/>
      <c r="JZ39" s="103"/>
      <c r="KA39" s="103"/>
      <c r="KB39" s="103"/>
      <c r="KC39" s="103"/>
      <c r="KD39" s="103"/>
      <c r="KE39" s="103"/>
      <c r="KF39" s="103"/>
      <c r="KG39" s="103"/>
      <c r="KH39" s="103"/>
      <c r="KI39" s="103"/>
      <c r="KJ39" s="103"/>
      <c r="KK39" s="103"/>
      <c r="KL39" s="103"/>
      <c r="KM39" s="103"/>
      <c r="KN39" s="103"/>
      <c r="KO39" s="103"/>
      <c r="KP39" s="103"/>
      <c r="KQ39" s="103"/>
      <c r="KR39" s="103"/>
      <c r="KS39" s="103"/>
      <c r="KT39" s="103"/>
      <c r="KU39" s="103"/>
      <c r="KV39" s="103"/>
      <c r="KW39" s="103"/>
      <c r="KX39" s="103"/>
      <c r="KY39" s="103"/>
      <c r="KZ39" s="103"/>
      <c r="LA39" s="103"/>
      <c r="LB39" s="103"/>
      <c r="LC39" s="103"/>
      <c r="LD39" s="103"/>
      <c r="LE39" s="103"/>
      <c r="LF39" s="103"/>
      <c r="LG39" s="103"/>
      <c r="LH39" s="103"/>
      <c r="LI39" s="103"/>
      <c r="LJ39" s="103"/>
      <c r="LK39" s="103"/>
      <c r="LL39" s="103"/>
      <c r="LM39" s="103"/>
      <c r="LN39" s="103"/>
      <c r="LO39" s="103"/>
      <c r="LP39" s="103"/>
    </row>
    <row r="40" spans="2:328" x14ac:dyDescent="0.2">
      <c r="B40" s="145"/>
      <c r="C40" s="66"/>
      <c r="D40" s="66"/>
      <c r="E40" s="66"/>
      <c r="F40" s="66"/>
      <c r="G40" s="66"/>
      <c r="H40" s="66"/>
      <c r="M40" s="124">
        <f t="shared" si="0"/>
        <v>-21717.608000000066</v>
      </c>
      <c r="N40" s="125"/>
      <c r="O40" s="125"/>
      <c r="P40" s="126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  <c r="CS40" s="103"/>
      <c r="CT40" s="103"/>
      <c r="CU40" s="103"/>
      <c r="CV40" s="103"/>
      <c r="CW40" s="103"/>
      <c r="CX40" s="103"/>
      <c r="CY40" s="103"/>
      <c r="CZ40" s="103"/>
      <c r="DA40" s="103"/>
      <c r="DB40" s="103"/>
      <c r="DC40" s="103"/>
      <c r="DD40" s="103"/>
      <c r="DE40" s="103"/>
      <c r="DF40" s="103"/>
      <c r="DG40" s="103"/>
      <c r="DH40" s="103"/>
      <c r="DI40" s="103"/>
      <c r="DJ40" s="103"/>
      <c r="DK40" s="103"/>
      <c r="DL40" s="103"/>
      <c r="DM40" s="103"/>
      <c r="DN40" s="103"/>
      <c r="DO40" s="103"/>
      <c r="DP40" s="103"/>
      <c r="DQ40" s="103"/>
      <c r="DR40" s="103"/>
      <c r="DS40" s="103"/>
      <c r="DT40" s="103"/>
      <c r="DU40" s="103"/>
      <c r="DV40" s="103"/>
      <c r="DW40" s="103"/>
      <c r="DX40" s="103"/>
      <c r="DY40" s="103"/>
      <c r="DZ40" s="103"/>
      <c r="EA40" s="103"/>
      <c r="EB40" s="103"/>
      <c r="EC40" s="103"/>
      <c r="ED40" s="103"/>
      <c r="EE40" s="103"/>
      <c r="EF40" s="103"/>
      <c r="EG40" s="103"/>
      <c r="EH40" s="103"/>
      <c r="EI40" s="103"/>
      <c r="EJ40" s="103"/>
      <c r="EK40" s="103"/>
      <c r="EL40" s="103"/>
      <c r="EM40" s="103"/>
      <c r="EN40" s="103"/>
      <c r="EO40" s="103"/>
      <c r="EP40" s="103"/>
      <c r="EQ40" s="103"/>
      <c r="ER40" s="103"/>
      <c r="ES40" s="103"/>
      <c r="ET40" s="103"/>
      <c r="EU40" s="103"/>
      <c r="EV40" s="103"/>
      <c r="EW40" s="103"/>
      <c r="EX40" s="103"/>
      <c r="EY40" s="103"/>
      <c r="EZ40" s="103"/>
      <c r="FA40" s="103"/>
      <c r="FB40" s="103"/>
      <c r="FC40" s="103"/>
      <c r="FD40" s="103"/>
      <c r="FE40" s="103"/>
      <c r="FF40" s="103"/>
      <c r="FG40" s="103"/>
      <c r="FH40" s="103"/>
      <c r="FI40" s="103"/>
      <c r="FJ40" s="103"/>
      <c r="FK40" s="103"/>
      <c r="FL40" s="103"/>
      <c r="FM40" s="103"/>
      <c r="FN40" s="103"/>
      <c r="FO40" s="103"/>
      <c r="FP40" s="103"/>
      <c r="FQ40" s="103"/>
      <c r="FR40" s="103"/>
      <c r="FS40" s="103"/>
      <c r="FT40" s="103"/>
      <c r="FU40" s="103"/>
      <c r="FV40" s="103"/>
      <c r="FW40" s="103"/>
      <c r="FX40" s="103"/>
      <c r="FY40" s="103"/>
      <c r="FZ40" s="103"/>
      <c r="GA40" s="103"/>
      <c r="GB40" s="103"/>
      <c r="GC40" s="103"/>
      <c r="GD40" s="103"/>
      <c r="GE40" s="103"/>
      <c r="GF40" s="103"/>
      <c r="GG40" s="103"/>
      <c r="GH40" s="103"/>
      <c r="GI40" s="103"/>
      <c r="GJ40" s="103"/>
      <c r="GK40" s="103"/>
      <c r="GL40" s="103"/>
      <c r="GM40" s="103"/>
      <c r="GN40" s="103"/>
      <c r="GO40" s="103"/>
      <c r="GP40" s="103"/>
      <c r="GQ40" s="103"/>
      <c r="GR40" s="103"/>
      <c r="GS40" s="103"/>
      <c r="GT40" s="103"/>
      <c r="GU40" s="103"/>
      <c r="GV40" s="103"/>
      <c r="GW40" s="103"/>
      <c r="GX40" s="103"/>
      <c r="GY40" s="103"/>
      <c r="GZ40" s="103"/>
      <c r="HA40" s="103"/>
      <c r="HB40" s="103"/>
      <c r="HC40" s="103"/>
      <c r="HD40" s="103"/>
      <c r="HE40" s="103"/>
      <c r="HF40" s="103"/>
      <c r="HG40" s="103"/>
      <c r="HH40" s="103"/>
      <c r="HI40" s="103"/>
      <c r="HJ40" s="103"/>
      <c r="HK40" s="103"/>
      <c r="HL40" s="103"/>
      <c r="HM40" s="103"/>
      <c r="HN40" s="103"/>
      <c r="HO40" s="103"/>
      <c r="HP40" s="103"/>
      <c r="HQ40" s="103"/>
      <c r="HR40" s="103"/>
      <c r="HS40" s="103"/>
      <c r="HT40" s="103"/>
      <c r="HU40" s="103"/>
      <c r="HV40" s="103"/>
      <c r="HW40" s="103"/>
      <c r="HX40" s="103"/>
      <c r="HY40" s="103"/>
      <c r="HZ40" s="103"/>
      <c r="IA40" s="103"/>
      <c r="IB40" s="103"/>
      <c r="IC40" s="103"/>
      <c r="ID40" s="103"/>
      <c r="IE40" s="103"/>
      <c r="IF40" s="103"/>
      <c r="IG40" s="103"/>
      <c r="IH40" s="103"/>
      <c r="II40" s="103"/>
      <c r="IJ40" s="103"/>
      <c r="IK40" s="103"/>
      <c r="IL40" s="103"/>
      <c r="IM40" s="103"/>
      <c r="IN40" s="103"/>
      <c r="IO40" s="103"/>
      <c r="IP40" s="103"/>
      <c r="IQ40" s="103"/>
      <c r="IR40" s="103"/>
      <c r="IS40" s="103"/>
      <c r="IT40" s="103"/>
      <c r="IU40" s="103"/>
      <c r="IV40" s="103"/>
      <c r="IW40" s="103"/>
      <c r="IX40" s="103"/>
      <c r="IY40" s="103"/>
      <c r="IZ40" s="103"/>
      <c r="JA40" s="103"/>
      <c r="JB40" s="103"/>
      <c r="JC40" s="103"/>
      <c r="JD40" s="103"/>
      <c r="JE40" s="103"/>
      <c r="JF40" s="103"/>
      <c r="JG40" s="103"/>
      <c r="JH40" s="103"/>
      <c r="JI40" s="103"/>
      <c r="JJ40" s="103"/>
      <c r="JK40" s="103"/>
      <c r="JL40" s="103"/>
      <c r="JM40" s="103"/>
      <c r="JN40" s="103"/>
      <c r="JO40" s="103"/>
      <c r="JP40" s="103"/>
      <c r="JQ40" s="103"/>
      <c r="JR40" s="103"/>
      <c r="JS40" s="103"/>
      <c r="JT40" s="103"/>
      <c r="JU40" s="103"/>
      <c r="JV40" s="103"/>
      <c r="JW40" s="103"/>
      <c r="JX40" s="103"/>
      <c r="JY40" s="103"/>
      <c r="JZ40" s="103"/>
      <c r="KA40" s="103"/>
      <c r="KB40" s="103"/>
      <c r="KC40" s="103"/>
      <c r="KD40" s="103"/>
      <c r="KE40" s="103"/>
      <c r="KF40" s="103"/>
      <c r="KG40" s="103"/>
      <c r="KH40" s="103"/>
      <c r="KI40" s="103"/>
      <c r="KJ40" s="103"/>
      <c r="KK40" s="103"/>
      <c r="KL40" s="103"/>
      <c r="KM40" s="103"/>
      <c r="KN40" s="103"/>
      <c r="KO40" s="103"/>
      <c r="KP40" s="103"/>
      <c r="KQ40" s="103"/>
      <c r="KR40" s="103"/>
      <c r="KS40" s="103"/>
      <c r="KT40" s="103"/>
      <c r="KU40" s="103"/>
      <c r="KV40" s="103"/>
    </row>
    <row r="41" spans="2:328" x14ac:dyDescent="0.2">
      <c r="B41" s="145"/>
      <c r="C41" s="66"/>
      <c r="D41" s="66"/>
      <c r="E41" s="66"/>
      <c r="F41" s="66"/>
      <c r="G41" s="66"/>
      <c r="H41" s="66"/>
      <c r="M41" s="124"/>
      <c r="N41" s="125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  <c r="CW41" s="103"/>
      <c r="CX41" s="103"/>
      <c r="CY41" s="103"/>
      <c r="CZ41" s="103"/>
      <c r="DA41" s="103"/>
      <c r="DB41" s="103"/>
      <c r="DC41" s="103"/>
      <c r="DD41" s="103"/>
      <c r="DE41" s="103"/>
      <c r="DF41" s="103"/>
      <c r="DG41" s="103"/>
      <c r="DH41" s="103"/>
      <c r="DI41" s="103"/>
      <c r="DJ41" s="103"/>
      <c r="DK41" s="103"/>
      <c r="DL41" s="103"/>
      <c r="DM41" s="103"/>
      <c r="DN41" s="103"/>
      <c r="DO41" s="103"/>
      <c r="DP41" s="103"/>
      <c r="DQ41" s="103"/>
      <c r="DR41" s="103"/>
      <c r="DS41" s="103"/>
      <c r="DT41" s="103"/>
      <c r="DU41" s="103"/>
      <c r="DV41" s="103"/>
      <c r="DW41" s="103"/>
      <c r="DX41" s="103"/>
      <c r="DY41" s="103"/>
      <c r="DZ41" s="103"/>
      <c r="EA41" s="103"/>
      <c r="EB41" s="103"/>
      <c r="EC41" s="103"/>
      <c r="ED41" s="103"/>
      <c r="EE41" s="103"/>
      <c r="EF41" s="103"/>
      <c r="EG41" s="103"/>
      <c r="EH41" s="103"/>
      <c r="EI41" s="103"/>
      <c r="EJ41" s="103"/>
      <c r="EK41" s="103"/>
      <c r="EL41" s="103"/>
      <c r="EM41" s="103"/>
      <c r="EN41" s="103"/>
      <c r="EO41" s="103"/>
      <c r="EP41" s="103"/>
      <c r="EQ41" s="103"/>
      <c r="ER41" s="103"/>
      <c r="ES41" s="103"/>
      <c r="ET41" s="103"/>
      <c r="EU41" s="103"/>
      <c r="EV41" s="103"/>
      <c r="EW41" s="103"/>
      <c r="EX41" s="103"/>
      <c r="EY41" s="103"/>
      <c r="EZ41" s="103"/>
      <c r="FA41" s="103"/>
      <c r="FB41" s="103"/>
      <c r="FC41" s="103"/>
      <c r="FD41" s="103"/>
      <c r="FE41" s="103"/>
      <c r="FF41" s="103"/>
      <c r="FG41" s="103"/>
      <c r="FH41" s="103"/>
      <c r="FI41" s="103"/>
      <c r="FJ41" s="103"/>
      <c r="FK41" s="103"/>
      <c r="FL41" s="103"/>
      <c r="FM41" s="103"/>
      <c r="FN41" s="103"/>
      <c r="FO41" s="103"/>
      <c r="FP41" s="103"/>
      <c r="FQ41" s="103"/>
      <c r="FR41" s="103"/>
      <c r="FS41" s="103"/>
      <c r="FT41" s="103"/>
      <c r="FU41" s="103"/>
      <c r="FV41" s="103"/>
      <c r="FW41" s="103"/>
      <c r="FX41" s="103"/>
      <c r="FY41" s="103"/>
      <c r="FZ41" s="103"/>
      <c r="GA41" s="103"/>
      <c r="GB41" s="103"/>
      <c r="GC41" s="103"/>
      <c r="GD41" s="103"/>
      <c r="GE41" s="103"/>
      <c r="GF41" s="103"/>
      <c r="GG41" s="103"/>
      <c r="GH41" s="103"/>
      <c r="GI41" s="103"/>
      <c r="GJ41" s="103"/>
      <c r="GK41" s="103"/>
      <c r="GL41" s="103"/>
      <c r="GM41" s="103"/>
      <c r="GN41" s="103"/>
      <c r="GO41" s="103"/>
      <c r="GP41" s="103"/>
      <c r="GQ41" s="103"/>
      <c r="GR41" s="103"/>
      <c r="GS41" s="103"/>
      <c r="GT41" s="103"/>
      <c r="GU41" s="103"/>
      <c r="GV41" s="103"/>
      <c r="GW41" s="103"/>
      <c r="GX41" s="103"/>
      <c r="GY41" s="103"/>
      <c r="GZ41" s="103"/>
      <c r="HA41" s="103"/>
      <c r="HB41" s="103"/>
      <c r="HC41" s="103"/>
      <c r="HD41" s="103"/>
      <c r="HE41" s="103"/>
      <c r="HF41" s="103"/>
      <c r="HG41" s="103"/>
      <c r="HH41" s="103"/>
      <c r="HI41" s="103"/>
      <c r="HJ41" s="103"/>
      <c r="HK41" s="103"/>
      <c r="HL41" s="103"/>
      <c r="HM41" s="103"/>
      <c r="HN41" s="103"/>
      <c r="HO41" s="103"/>
      <c r="HP41" s="103"/>
      <c r="HQ41" s="103"/>
      <c r="HR41" s="103"/>
      <c r="HS41" s="103"/>
      <c r="HT41" s="103"/>
      <c r="HU41" s="103"/>
      <c r="HV41" s="103"/>
      <c r="HW41" s="103"/>
      <c r="HX41" s="103"/>
      <c r="HY41" s="103"/>
      <c r="HZ41" s="103"/>
      <c r="IA41" s="103"/>
      <c r="IB41" s="103"/>
      <c r="IC41" s="103"/>
      <c r="ID41" s="103"/>
      <c r="IE41" s="103"/>
      <c r="IF41" s="103"/>
      <c r="IG41" s="103"/>
      <c r="IH41" s="103"/>
      <c r="II41" s="103"/>
      <c r="IJ41" s="103"/>
      <c r="IK41" s="103"/>
      <c r="IL41" s="103"/>
      <c r="IM41" s="103"/>
      <c r="IN41" s="103"/>
      <c r="IO41" s="103"/>
      <c r="IP41" s="103"/>
      <c r="IQ41" s="103"/>
      <c r="IR41" s="103"/>
      <c r="IS41" s="103"/>
      <c r="IT41" s="103"/>
      <c r="IU41" s="103"/>
      <c r="IV41" s="103"/>
      <c r="IW41" s="103"/>
      <c r="IX41" s="103"/>
      <c r="IY41" s="103"/>
      <c r="IZ41" s="103"/>
      <c r="JA41" s="103"/>
      <c r="JB41" s="103"/>
      <c r="JC41" s="103"/>
      <c r="JD41" s="103"/>
      <c r="JE41" s="103"/>
      <c r="JF41" s="103"/>
      <c r="JG41" s="103"/>
      <c r="JH41" s="103"/>
      <c r="JI41" s="103"/>
      <c r="JJ41" s="103"/>
      <c r="JK41" s="103"/>
      <c r="JL41" s="103"/>
      <c r="JM41" s="103"/>
      <c r="JN41" s="103"/>
      <c r="JO41" s="103"/>
      <c r="JP41" s="103"/>
      <c r="JQ41" s="103"/>
      <c r="JR41" s="103"/>
      <c r="JS41" s="103"/>
      <c r="JT41" s="103"/>
      <c r="JU41" s="103"/>
      <c r="JV41" s="103"/>
      <c r="JW41" s="103"/>
      <c r="JX41" s="103"/>
      <c r="JY41" s="103"/>
      <c r="JZ41" s="103"/>
      <c r="KA41" s="103"/>
      <c r="KB41" s="103"/>
      <c r="KC41" s="103"/>
      <c r="KD41" s="103"/>
      <c r="KE41" s="103"/>
      <c r="KF41" s="103"/>
      <c r="KG41" s="103"/>
      <c r="KH41" s="103"/>
      <c r="KI41" s="103"/>
      <c r="KJ41" s="103"/>
      <c r="KK41" s="103"/>
      <c r="KL41" s="103"/>
      <c r="KM41" s="103"/>
      <c r="KN41" s="103"/>
      <c r="KO41" s="103"/>
      <c r="KP41" s="103"/>
      <c r="KQ41" s="103"/>
      <c r="KR41" s="103"/>
      <c r="KS41" s="103"/>
      <c r="KT41" s="103"/>
      <c r="KU41" s="103"/>
      <c r="KV41" s="103"/>
    </row>
    <row r="42" spans="2:328" x14ac:dyDescent="0.2">
      <c r="B42" s="145"/>
      <c r="C42" s="66"/>
      <c r="D42" s="66"/>
      <c r="E42" s="66"/>
      <c r="F42" s="66"/>
      <c r="G42" s="66"/>
      <c r="H42" s="66"/>
      <c r="M42" s="124"/>
      <c r="N42" s="125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  <c r="CW42" s="103"/>
      <c r="CX42" s="103"/>
      <c r="CY42" s="103"/>
      <c r="CZ42" s="103"/>
      <c r="DA42" s="103"/>
      <c r="DB42" s="103"/>
      <c r="DC42" s="103"/>
      <c r="DD42" s="103"/>
      <c r="DE42" s="103"/>
      <c r="DF42" s="103"/>
      <c r="DG42" s="103"/>
      <c r="DH42" s="103"/>
      <c r="DI42" s="103"/>
      <c r="DJ42" s="103"/>
      <c r="DK42" s="103"/>
      <c r="DL42" s="103"/>
      <c r="DM42" s="103"/>
      <c r="DN42" s="103"/>
      <c r="DO42" s="103"/>
      <c r="DP42" s="103"/>
      <c r="DQ42" s="103"/>
      <c r="DR42" s="103"/>
      <c r="DS42" s="103"/>
      <c r="DT42" s="103"/>
      <c r="DU42" s="103"/>
      <c r="DV42" s="103"/>
      <c r="DW42" s="103"/>
      <c r="DX42" s="103"/>
      <c r="DY42" s="103"/>
      <c r="DZ42" s="103"/>
      <c r="EA42" s="103"/>
      <c r="EB42" s="103"/>
      <c r="EC42" s="103"/>
      <c r="ED42" s="103"/>
      <c r="EE42" s="103"/>
      <c r="EF42" s="103"/>
      <c r="EG42" s="103"/>
      <c r="EH42" s="103"/>
      <c r="EI42" s="103"/>
      <c r="EJ42" s="103"/>
      <c r="EK42" s="103"/>
      <c r="EL42" s="103"/>
      <c r="EM42" s="103"/>
      <c r="EN42" s="103"/>
      <c r="EO42" s="103"/>
      <c r="EP42" s="103"/>
      <c r="EQ42" s="103"/>
      <c r="ER42" s="103"/>
      <c r="ES42" s="103"/>
      <c r="ET42" s="103"/>
      <c r="EU42" s="103"/>
      <c r="EV42" s="103"/>
      <c r="EW42" s="103"/>
      <c r="EX42" s="103"/>
      <c r="EY42" s="103"/>
      <c r="EZ42" s="103"/>
      <c r="FA42" s="103"/>
      <c r="FB42" s="103"/>
      <c r="FC42" s="103"/>
      <c r="FD42" s="103"/>
      <c r="FE42" s="103"/>
      <c r="FF42" s="103"/>
      <c r="FG42" s="103"/>
      <c r="FH42" s="103"/>
      <c r="FI42" s="103"/>
      <c r="FJ42" s="103"/>
      <c r="FK42" s="103"/>
      <c r="FL42" s="103"/>
      <c r="FM42" s="103"/>
      <c r="FN42" s="103"/>
      <c r="FO42" s="103"/>
      <c r="FP42" s="103"/>
      <c r="FQ42" s="103"/>
      <c r="FR42" s="103"/>
      <c r="FS42" s="103"/>
      <c r="FT42" s="103"/>
      <c r="FU42" s="103"/>
      <c r="FV42" s="103"/>
      <c r="FW42" s="103"/>
      <c r="FX42" s="103"/>
      <c r="FY42" s="103"/>
      <c r="FZ42" s="103"/>
      <c r="GA42" s="103"/>
      <c r="GB42" s="103"/>
      <c r="GC42" s="103"/>
      <c r="GD42" s="103"/>
      <c r="GE42" s="103"/>
      <c r="GF42" s="103"/>
      <c r="GG42" s="103"/>
      <c r="GH42" s="103"/>
      <c r="GI42" s="103"/>
      <c r="GJ42" s="103"/>
      <c r="GK42" s="103"/>
      <c r="GL42" s="103"/>
      <c r="GM42" s="103"/>
      <c r="GN42" s="103"/>
      <c r="GO42" s="103"/>
      <c r="GP42" s="103"/>
      <c r="GQ42" s="103"/>
      <c r="GR42" s="103"/>
      <c r="GS42" s="103"/>
      <c r="GT42" s="103"/>
      <c r="GU42" s="103"/>
      <c r="GV42" s="103"/>
      <c r="GW42" s="103"/>
      <c r="GX42" s="103"/>
      <c r="GY42" s="103"/>
      <c r="GZ42" s="103"/>
      <c r="HA42" s="103"/>
      <c r="HB42" s="103"/>
      <c r="HC42" s="103"/>
      <c r="HD42" s="103"/>
      <c r="HE42" s="103"/>
      <c r="HF42" s="103"/>
      <c r="HG42" s="103"/>
      <c r="HH42" s="103"/>
      <c r="HI42" s="103"/>
      <c r="HJ42" s="103"/>
      <c r="HK42" s="103"/>
      <c r="HL42" s="103"/>
      <c r="HM42" s="103"/>
      <c r="HN42" s="103"/>
      <c r="HO42" s="103"/>
      <c r="HP42" s="103"/>
      <c r="HQ42" s="103"/>
      <c r="HR42" s="103"/>
      <c r="HS42" s="103"/>
      <c r="HT42" s="103"/>
      <c r="HU42" s="103"/>
      <c r="HV42" s="103"/>
      <c r="HW42" s="103"/>
      <c r="HX42" s="103"/>
      <c r="HY42" s="103"/>
      <c r="HZ42" s="103"/>
      <c r="IA42" s="103"/>
      <c r="IB42" s="103"/>
      <c r="IC42" s="103"/>
      <c r="ID42" s="103"/>
      <c r="IE42" s="103"/>
      <c r="IF42" s="103"/>
      <c r="IG42" s="103"/>
      <c r="IH42" s="103"/>
      <c r="II42" s="103"/>
      <c r="IJ42" s="103"/>
      <c r="IK42" s="103"/>
      <c r="IL42" s="103"/>
      <c r="IM42" s="103"/>
      <c r="IN42" s="103"/>
      <c r="IO42" s="103"/>
      <c r="IP42" s="103"/>
      <c r="IQ42" s="103"/>
      <c r="IR42" s="103"/>
      <c r="IS42" s="103"/>
      <c r="IT42" s="103"/>
      <c r="IU42" s="103"/>
      <c r="IV42" s="103"/>
      <c r="IW42" s="103"/>
      <c r="IX42" s="103"/>
      <c r="IY42" s="103"/>
      <c r="IZ42" s="103"/>
      <c r="JA42" s="103"/>
      <c r="JB42" s="103"/>
      <c r="JC42" s="103"/>
      <c r="JD42" s="103"/>
      <c r="JE42" s="103"/>
      <c r="JF42" s="103"/>
      <c r="JG42" s="103"/>
      <c r="JH42" s="103"/>
      <c r="JI42" s="103"/>
      <c r="JJ42" s="103"/>
      <c r="JK42" s="103"/>
      <c r="JL42" s="103"/>
      <c r="JM42" s="103"/>
      <c r="JN42" s="103"/>
      <c r="JO42" s="103"/>
      <c r="JP42" s="103"/>
      <c r="JQ42" s="103"/>
      <c r="JR42" s="103"/>
      <c r="JS42" s="103"/>
      <c r="JT42" s="103"/>
      <c r="JU42" s="103"/>
      <c r="JV42" s="103"/>
      <c r="JW42" s="103"/>
      <c r="JX42" s="103"/>
      <c r="JY42" s="103"/>
      <c r="JZ42" s="103"/>
      <c r="KA42" s="103"/>
      <c r="KB42" s="103"/>
      <c r="KC42" s="103"/>
      <c r="KD42" s="103"/>
      <c r="KE42" s="103"/>
      <c r="KF42" s="103"/>
      <c r="KG42" s="103"/>
      <c r="KH42" s="103"/>
      <c r="KI42" s="103"/>
      <c r="KJ42" s="103"/>
      <c r="KK42" s="103"/>
      <c r="KL42" s="103"/>
      <c r="KM42" s="103"/>
      <c r="KN42" s="103"/>
      <c r="KO42" s="103"/>
      <c r="KP42" s="103"/>
      <c r="KQ42" s="103"/>
      <c r="KR42" s="103"/>
      <c r="KS42" s="103"/>
      <c r="KT42" s="103"/>
      <c r="KU42" s="103"/>
      <c r="KV42" s="103"/>
    </row>
    <row r="43" spans="2:328" x14ac:dyDescent="0.2">
      <c r="B43" s="145"/>
      <c r="C43" s="66"/>
      <c r="D43" s="66"/>
      <c r="E43" s="66"/>
      <c r="F43" s="66"/>
      <c r="G43" s="66"/>
      <c r="H43" s="66"/>
      <c r="M43" s="124"/>
      <c r="N43" s="128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03"/>
      <c r="DO43" s="103"/>
      <c r="DP43" s="103"/>
      <c r="DQ43" s="103"/>
      <c r="DR43" s="103"/>
      <c r="DS43" s="103"/>
      <c r="DT43" s="103"/>
      <c r="DU43" s="103"/>
      <c r="DV43" s="103"/>
      <c r="DW43" s="103"/>
      <c r="DX43" s="103"/>
      <c r="DY43" s="103"/>
      <c r="DZ43" s="103"/>
      <c r="EA43" s="103"/>
      <c r="EB43" s="103"/>
      <c r="EC43" s="103"/>
      <c r="ED43" s="103"/>
      <c r="EE43" s="103"/>
      <c r="EF43" s="103"/>
      <c r="EG43" s="103"/>
      <c r="EH43" s="103"/>
      <c r="EI43" s="103"/>
      <c r="EJ43" s="103"/>
      <c r="EK43" s="103"/>
      <c r="EL43" s="103"/>
      <c r="EM43" s="103"/>
      <c r="EN43" s="103"/>
      <c r="EO43" s="103"/>
      <c r="EP43" s="103"/>
      <c r="EQ43" s="103"/>
      <c r="ER43" s="103"/>
      <c r="ES43" s="103"/>
      <c r="ET43" s="103"/>
      <c r="EU43" s="103"/>
      <c r="EV43" s="103"/>
      <c r="EW43" s="103"/>
      <c r="EX43" s="103"/>
      <c r="EY43" s="103"/>
      <c r="EZ43" s="103"/>
      <c r="FA43" s="103"/>
      <c r="FB43" s="103"/>
      <c r="FC43" s="103"/>
      <c r="FD43" s="103"/>
      <c r="FE43" s="103"/>
      <c r="FF43" s="103"/>
      <c r="FG43" s="103"/>
      <c r="FH43" s="103"/>
      <c r="FI43" s="103"/>
      <c r="FJ43" s="103"/>
      <c r="FK43" s="103"/>
      <c r="FL43" s="103"/>
      <c r="FM43" s="103"/>
      <c r="FN43" s="103"/>
      <c r="FO43" s="103"/>
      <c r="FP43" s="103"/>
      <c r="FQ43" s="103"/>
      <c r="FR43" s="103"/>
      <c r="FS43" s="103"/>
      <c r="FT43" s="103"/>
      <c r="FU43" s="103"/>
      <c r="FV43" s="103"/>
      <c r="FW43" s="103"/>
      <c r="FX43" s="103"/>
      <c r="FY43" s="103"/>
      <c r="FZ43" s="103"/>
      <c r="GA43" s="103"/>
      <c r="GB43" s="103"/>
      <c r="GC43" s="103"/>
      <c r="GD43" s="103"/>
      <c r="GE43" s="103"/>
      <c r="GF43" s="103"/>
      <c r="GG43" s="103"/>
      <c r="GH43" s="103"/>
      <c r="GI43" s="103"/>
      <c r="GJ43" s="103"/>
      <c r="GK43" s="103"/>
      <c r="GL43" s="103"/>
      <c r="GM43" s="103"/>
      <c r="GN43" s="103"/>
      <c r="GO43" s="103"/>
      <c r="GP43" s="103"/>
      <c r="GQ43" s="103"/>
      <c r="GR43" s="103"/>
      <c r="GS43" s="103"/>
      <c r="GT43" s="103"/>
      <c r="GU43" s="103"/>
      <c r="GV43" s="103"/>
      <c r="GW43" s="103"/>
      <c r="GX43" s="103"/>
      <c r="GY43" s="103"/>
      <c r="GZ43" s="103"/>
      <c r="HA43" s="103"/>
      <c r="HB43" s="103"/>
      <c r="HC43" s="103"/>
      <c r="HD43" s="103"/>
      <c r="HE43" s="103"/>
      <c r="HF43" s="103"/>
      <c r="HG43" s="103"/>
      <c r="HH43" s="103"/>
      <c r="HI43" s="103"/>
      <c r="HJ43" s="103"/>
      <c r="HK43" s="103"/>
      <c r="HL43" s="103"/>
      <c r="HM43" s="103"/>
      <c r="HN43" s="103"/>
      <c r="HO43" s="103"/>
      <c r="HP43" s="103"/>
      <c r="HQ43" s="103"/>
      <c r="HR43" s="103"/>
      <c r="HS43" s="103"/>
      <c r="HT43" s="103"/>
      <c r="HU43" s="103"/>
      <c r="HV43" s="103"/>
      <c r="HW43" s="103"/>
      <c r="HX43" s="103"/>
      <c r="HY43" s="103"/>
      <c r="HZ43" s="103"/>
      <c r="IA43" s="103"/>
      <c r="IB43" s="103"/>
      <c r="IC43" s="103"/>
      <c r="ID43" s="103"/>
      <c r="IE43" s="103"/>
      <c r="IF43" s="103"/>
      <c r="IG43" s="103"/>
      <c r="IH43" s="103"/>
      <c r="II43" s="103"/>
      <c r="IJ43" s="103"/>
      <c r="IK43" s="103"/>
      <c r="IL43" s="103"/>
      <c r="IM43" s="103"/>
      <c r="IN43" s="103"/>
      <c r="IO43" s="103"/>
      <c r="IP43" s="103"/>
      <c r="IQ43" s="103"/>
      <c r="IR43" s="103"/>
      <c r="IS43" s="103"/>
      <c r="IT43" s="103"/>
      <c r="IU43" s="103"/>
      <c r="IV43" s="103"/>
      <c r="IW43" s="103"/>
      <c r="IX43" s="103"/>
      <c r="IY43" s="103"/>
      <c r="IZ43" s="103"/>
      <c r="JA43" s="103"/>
      <c r="JB43" s="103"/>
      <c r="JC43" s="103"/>
      <c r="JD43" s="103"/>
      <c r="JE43" s="103"/>
      <c r="JF43" s="103"/>
      <c r="JG43" s="103"/>
      <c r="JH43" s="103"/>
      <c r="JI43" s="103"/>
      <c r="JJ43" s="103"/>
      <c r="JK43" s="103"/>
      <c r="JL43" s="103"/>
      <c r="JM43" s="103"/>
      <c r="JN43" s="103"/>
      <c r="JO43" s="103"/>
      <c r="JP43" s="103"/>
      <c r="JQ43" s="103"/>
      <c r="JR43" s="103"/>
      <c r="JS43" s="103"/>
      <c r="JT43" s="103"/>
      <c r="JU43" s="103"/>
      <c r="JV43" s="103"/>
      <c r="JW43" s="103"/>
      <c r="JX43" s="103"/>
      <c r="JY43" s="103"/>
      <c r="JZ43" s="103"/>
      <c r="KA43" s="103"/>
      <c r="KB43" s="103"/>
      <c r="KC43" s="103"/>
      <c r="KD43" s="103"/>
      <c r="KE43" s="103"/>
      <c r="KF43" s="103"/>
      <c r="KG43" s="103"/>
      <c r="KH43" s="103"/>
      <c r="KI43" s="103"/>
      <c r="KJ43" s="103"/>
      <c r="KK43" s="103"/>
      <c r="KL43" s="103"/>
      <c r="KM43" s="103"/>
      <c r="KN43" s="103"/>
      <c r="KO43" s="103"/>
      <c r="KP43" s="103"/>
      <c r="KQ43" s="103"/>
      <c r="KR43" s="103"/>
      <c r="KS43" s="103"/>
      <c r="KT43" s="103"/>
      <c r="KU43" s="103"/>
      <c r="KV43" s="103"/>
    </row>
    <row r="44" spans="2:328" x14ac:dyDescent="0.2">
      <c r="B44" s="145"/>
      <c r="C44" s="66"/>
      <c r="D44" s="66"/>
      <c r="E44" s="66"/>
      <c r="F44" s="66"/>
      <c r="G44" s="66"/>
      <c r="H44" s="66"/>
      <c r="M44" s="124"/>
      <c r="N44" s="128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  <c r="CS44" s="103"/>
      <c r="CT44" s="103"/>
      <c r="CU44" s="103"/>
      <c r="CV44" s="103"/>
      <c r="CW44" s="103"/>
      <c r="CX44" s="103"/>
      <c r="CY44" s="103"/>
      <c r="CZ44" s="103"/>
      <c r="DA44" s="103"/>
      <c r="DB44" s="103"/>
      <c r="DC44" s="103"/>
      <c r="DD44" s="103"/>
      <c r="DE44" s="103"/>
      <c r="DF44" s="103"/>
      <c r="DG44" s="103"/>
      <c r="DH44" s="103"/>
      <c r="DI44" s="103"/>
      <c r="DJ44" s="103"/>
      <c r="DK44" s="103"/>
      <c r="DL44" s="103"/>
      <c r="DM44" s="103"/>
      <c r="DN44" s="103"/>
      <c r="DO44" s="103"/>
      <c r="DP44" s="103"/>
      <c r="DQ44" s="103"/>
      <c r="DR44" s="103"/>
      <c r="DS44" s="103"/>
      <c r="DT44" s="103"/>
      <c r="DU44" s="103"/>
      <c r="DV44" s="103"/>
      <c r="DW44" s="103"/>
      <c r="DX44" s="103"/>
      <c r="DY44" s="103"/>
      <c r="DZ44" s="103"/>
      <c r="EA44" s="103"/>
      <c r="EB44" s="103"/>
      <c r="EC44" s="103"/>
      <c r="ED44" s="103"/>
      <c r="EE44" s="103"/>
      <c r="EF44" s="103"/>
      <c r="EG44" s="103"/>
      <c r="EH44" s="103"/>
      <c r="EI44" s="103"/>
      <c r="EJ44" s="103"/>
      <c r="EK44" s="103"/>
      <c r="EL44" s="103"/>
      <c r="EM44" s="103"/>
      <c r="EN44" s="103"/>
      <c r="EO44" s="103"/>
      <c r="EP44" s="103"/>
      <c r="EQ44" s="103"/>
      <c r="ER44" s="103"/>
      <c r="ES44" s="103"/>
      <c r="ET44" s="103"/>
      <c r="EU44" s="103"/>
      <c r="EV44" s="103"/>
      <c r="EW44" s="103"/>
      <c r="EX44" s="103"/>
      <c r="EY44" s="103"/>
      <c r="EZ44" s="103"/>
      <c r="FA44" s="103"/>
      <c r="FB44" s="103"/>
      <c r="FC44" s="103"/>
      <c r="FD44" s="103"/>
      <c r="FE44" s="103"/>
      <c r="FF44" s="103"/>
      <c r="FG44" s="103"/>
      <c r="FH44" s="103"/>
      <c r="FI44" s="103"/>
      <c r="FJ44" s="103"/>
      <c r="FK44" s="103"/>
      <c r="FL44" s="103"/>
      <c r="FM44" s="103"/>
      <c r="FN44" s="103"/>
      <c r="FO44" s="103"/>
      <c r="FP44" s="103"/>
      <c r="FQ44" s="103"/>
      <c r="FR44" s="103"/>
      <c r="FS44" s="103"/>
      <c r="FT44" s="103"/>
      <c r="FU44" s="103"/>
      <c r="FV44" s="103"/>
      <c r="FW44" s="103"/>
      <c r="FX44" s="103"/>
      <c r="FY44" s="103"/>
      <c r="FZ44" s="103"/>
      <c r="GA44" s="103"/>
      <c r="GB44" s="103"/>
      <c r="GC44" s="103"/>
      <c r="GD44" s="103"/>
      <c r="GE44" s="103"/>
      <c r="GF44" s="103"/>
      <c r="GG44" s="103"/>
      <c r="GH44" s="103"/>
      <c r="GI44" s="103"/>
      <c r="GJ44" s="103"/>
      <c r="GK44" s="103"/>
      <c r="GL44" s="103"/>
      <c r="GM44" s="103"/>
      <c r="GN44" s="103"/>
      <c r="GO44" s="103"/>
      <c r="GP44" s="103"/>
      <c r="GQ44" s="103"/>
      <c r="GR44" s="103"/>
      <c r="GS44" s="103"/>
      <c r="GT44" s="103"/>
      <c r="GU44" s="103"/>
      <c r="GV44" s="103"/>
      <c r="GW44" s="103"/>
      <c r="GX44" s="103"/>
      <c r="GY44" s="103"/>
      <c r="GZ44" s="103"/>
      <c r="HA44" s="103"/>
      <c r="HB44" s="103"/>
      <c r="HC44" s="103"/>
      <c r="HD44" s="103"/>
      <c r="HE44" s="103"/>
      <c r="HF44" s="103"/>
      <c r="HG44" s="103"/>
      <c r="HH44" s="103"/>
      <c r="HI44" s="103"/>
      <c r="HJ44" s="103"/>
      <c r="HK44" s="103"/>
      <c r="HL44" s="103"/>
      <c r="HM44" s="103"/>
      <c r="HN44" s="103"/>
      <c r="HO44" s="103"/>
      <c r="HP44" s="103"/>
      <c r="HQ44" s="103"/>
      <c r="HR44" s="103"/>
      <c r="HS44" s="103"/>
      <c r="HT44" s="103"/>
      <c r="HU44" s="103"/>
      <c r="HV44" s="103"/>
      <c r="HW44" s="103"/>
      <c r="HX44" s="103"/>
      <c r="HY44" s="103"/>
      <c r="HZ44" s="103"/>
      <c r="IA44" s="103"/>
      <c r="IB44" s="103"/>
      <c r="IC44" s="103"/>
      <c r="ID44" s="103"/>
      <c r="IE44" s="103"/>
      <c r="IF44" s="103"/>
      <c r="IG44" s="103"/>
      <c r="IH44" s="103"/>
      <c r="II44" s="103"/>
      <c r="IJ44" s="103"/>
      <c r="IK44" s="103"/>
      <c r="IL44" s="103"/>
      <c r="IM44" s="103"/>
      <c r="IN44" s="103"/>
      <c r="IO44" s="103"/>
      <c r="IP44" s="103"/>
      <c r="IQ44" s="103"/>
      <c r="IR44" s="103"/>
      <c r="IS44" s="103"/>
      <c r="IT44" s="103"/>
      <c r="IU44" s="103"/>
      <c r="IV44" s="103"/>
      <c r="IW44" s="103"/>
      <c r="IX44" s="103"/>
      <c r="IY44" s="103"/>
      <c r="IZ44" s="103"/>
      <c r="JA44" s="103"/>
      <c r="JB44" s="103"/>
      <c r="JC44" s="103"/>
      <c r="JD44" s="103"/>
      <c r="JE44" s="103"/>
      <c r="JF44" s="103"/>
      <c r="JG44" s="103"/>
      <c r="JH44" s="103"/>
      <c r="JI44" s="103"/>
      <c r="JJ44" s="103"/>
      <c r="JK44" s="103"/>
      <c r="JL44" s="103"/>
      <c r="JM44" s="103"/>
      <c r="JN44" s="103"/>
      <c r="JO44" s="103"/>
      <c r="JP44" s="103"/>
      <c r="JQ44" s="103"/>
      <c r="JR44" s="103"/>
      <c r="JS44" s="103"/>
      <c r="JT44" s="103"/>
      <c r="JU44" s="103"/>
      <c r="JV44" s="103"/>
      <c r="JW44" s="103"/>
      <c r="JX44" s="103"/>
      <c r="JY44" s="103"/>
      <c r="JZ44" s="103"/>
      <c r="KA44" s="103"/>
      <c r="KB44" s="103"/>
      <c r="KC44" s="103"/>
      <c r="KD44" s="103"/>
      <c r="KE44" s="103"/>
      <c r="KF44" s="103"/>
      <c r="KG44" s="103"/>
      <c r="KH44" s="103"/>
      <c r="KI44" s="103"/>
      <c r="KJ44" s="103"/>
      <c r="KK44" s="103"/>
      <c r="KL44" s="103"/>
      <c r="KM44" s="103"/>
      <c r="KN44" s="103"/>
      <c r="KO44" s="103"/>
      <c r="KP44" s="103"/>
      <c r="KQ44" s="103"/>
      <c r="KR44" s="103"/>
      <c r="KS44" s="103"/>
      <c r="KT44" s="103"/>
      <c r="KU44" s="103"/>
      <c r="KV44" s="103"/>
    </row>
    <row r="45" spans="2:328" x14ac:dyDescent="0.2">
      <c r="B45" s="145"/>
      <c r="C45" s="66"/>
      <c r="D45" s="66"/>
      <c r="E45" s="66"/>
      <c r="F45" s="66"/>
      <c r="G45" s="66"/>
      <c r="H45" s="66"/>
      <c r="M45" s="124"/>
      <c r="N45" s="128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03"/>
      <c r="DE45" s="103"/>
      <c r="DF45" s="103"/>
      <c r="DG45" s="103"/>
      <c r="DH45" s="103"/>
      <c r="DI45" s="103"/>
      <c r="DJ45" s="103"/>
      <c r="DK45" s="103"/>
      <c r="DL45" s="103"/>
      <c r="DM45" s="103"/>
      <c r="DN45" s="103"/>
      <c r="DO45" s="103"/>
      <c r="DP45" s="103"/>
      <c r="DQ45" s="103"/>
      <c r="DR45" s="103"/>
      <c r="DS45" s="103"/>
      <c r="DT45" s="103"/>
      <c r="DU45" s="103"/>
      <c r="DV45" s="103"/>
      <c r="DW45" s="103"/>
      <c r="DX45" s="103"/>
      <c r="DY45" s="103"/>
      <c r="DZ45" s="103"/>
      <c r="EA45" s="103"/>
      <c r="EB45" s="103"/>
      <c r="EC45" s="103"/>
      <c r="ED45" s="103"/>
      <c r="EE45" s="103"/>
      <c r="EF45" s="103"/>
      <c r="EG45" s="103"/>
      <c r="EH45" s="103"/>
      <c r="EI45" s="103"/>
      <c r="EJ45" s="103"/>
      <c r="EK45" s="103"/>
      <c r="EL45" s="103"/>
      <c r="EM45" s="103"/>
      <c r="EN45" s="103"/>
      <c r="EO45" s="103"/>
      <c r="EP45" s="103"/>
      <c r="EQ45" s="103"/>
      <c r="ER45" s="103"/>
      <c r="ES45" s="103"/>
      <c r="ET45" s="103"/>
      <c r="EU45" s="103"/>
      <c r="EV45" s="103"/>
      <c r="EW45" s="103"/>
      <c r="EX45" s="103"/>
      <c r="EY45" s="103"/>
      <c r="EZ45" s="103"/>
      <c r="FA45" s="103"/>
      <c r="FB45" s="103"/>
      <c r="FC45" s="103"/>
      <c r="FD45" s="103"/>
      <c r="FE45" s="103"/>
      <c r="FF45" s="103"/>
      <c r="FG45" s="103"/>
      <c r="FH45" s="103"/>
      <c r="FI45" s="103"/>
      <c r="FJ45" s="103"/>
      <c r="FK45" s="103"/>
      <c r="FL45" s="103"/>
      <c r="FM45" s="103"/>
      <c r="FN45" s="103"/>
      <c r="FO45" s="103"/>
      <c r="FP45" s="103"/>
      <c r="FQ45" s="103"/>
      <c r="FR45" s="103"/>
      <c r="FS45" s="103"/>
      <c r="FT45" s="103"/>
      <c r="FU45" s="103"/>
      <c r="FV45" s="103"/>
      <c r="FW45" s="103"/>
      <c r="FX45" s="103"/>
      <c r="FY45" s="103"/>
      <c r="FZ45" s="103"/>
      <c r="GA45" s="103"/>
      <c r="GB45" s="103"/>
      <c r="GC45" s="103"/>
      <c r="GD45" s="103"/>
      <c r="GE45" s="103"/>
      <c r="GF45" s="103"/>
      <c r="GG45" s="103"/>
      <c r="GH45" s="103"/>
      <c r="GI45" s="103"/>
      <c r="GJ45" s="103"/>
      <c r="GK45" s="103"/>
      <c r="GL45" s="103"/>
      <c r="GM45" s="103"/>
      <c r="GN45" s="103"/>
      <c r="GO45" s="103"/>
      <c r="GP45" s="103"/>
      <c r="GQ45" s="103"/>
      <c r="GR45" s="103"/>
      <c r="GS45" s="103"/>
      <c r="GT45" s="103"/>
      <c r="GU45" s="103"/>
      <c r="GV45" s="103"/>
      <c r="GW45" s="103"/>
      <c r="GX45" s="103"/>
      <c r="GY45" s="103"/>
      <c r="GZ45" s="103"/>
      <c r="HA45" s="103"/>
      <c r="HB45" s="103"/>
      <c r="HC45" s="103"/>
      <c r="HD45" s="103"/>
      <c r="HE45" s="103"/>
      <c r="HF45" s="103"/>
      <c r="HG45" s="103"/>
      <c r="HH45" s="103"/>
      <c r="HI45" s="103"/>
      <c r="HJ45" s="103"/>
      <c r="HK45" s="103"/>
      <c r="HL45" s="103"/>
      <c r="HM45" s="103"/>
      <c r="HN45" s="103"/>
      <c r="HO45" s="103"/>
      <c r="HP45" s="103"/>
      <c r="HQ45" s="103"/>
      <c r="HR45" s="103"/>
      <c r="HS45" s="103"/>
      <c r="HT45" s="103"/>
      <c r="HU45" s="103"/>
      <c r="HV45" s="103"/>
      <c r="HW45" s="103"/>
      <c r="HX45" s="103"/>
      <c r="HY45" s="103"/>
      <c r="HZ45" s="103"/>
      <c r="IA45" s="103"/>
      <c r="IB45" s="103"/>
      <c r="IC45" s="103"/>
      <c r="ID45" s="103"/>
      <c r="IE45" s="103"/>
      <c r="IF45" s="103"/>
      <c r="IG45" s="103"/>
      <c r="IH45" s="103"/>
      <c r="II45" s="103"/>
      <c r="IJ45" s="103"/>
      <c r="IK45" s="103"/>
      <c r="IL45" s="103"/>
      <c r="IM45" s="103"/>
      <c r="IN45" s="103"/>
      <c r="IO45" s="103"/>
      <c r="IP45" s="103"/>
      <c r="IQ45" s="103"/>
      <c r="IR45" s="103"/>
      <c r="IS45" s="103"/>
      <c r="IT45" s="103"/>
      <c r="IU45" s="103"/>
      <c r="IV45" s="103"/>
      <c r="IW45" s="103"/>
      <c r="IX45" s="103"/>
      <c r="IY45" s="103"/>
      <c r="IZ45" s="103"/>
      <c r="JA45" s="103"/>
      <c r="JB45" s="103"/>
      <c r="JC45" s="103"/>
      <c r="JD45" s="103"/>
      <c r="JE45" s="103"/>
      <c r="JF45" s="103"/>
      <c r="JG45" s="103"/>
      <c r="JH45" s="103"/>
      <c r="JI45" s="103"/>
      <c r="JJ45" s="103"/>
      <c r="JK45" s="103"/>
      <c r="JL45" s="103"/>
      <c r="JM45" s="103"/>
      <c r="JN45" s="103"/>
      <c r="JO45" s="103"/>
      <c r="JP45" s="103"/>
      <c r="JQ45" s="103"/>
      <c r="JR45" s="103"/>
      <c r="JS45" s="103"/>
      <c r="JT45" s="103"/>
      <c r="JU45" s="103"/>
      <c r="JV45" s="103"/>
      <c r="JW45" s="103"/>
      <c r="JX45" s="103"/>
      <c r="JY45" s="103"/>
      <c r="JZ45" s="103"/>
      <c r="KA45" s="103"/>
      <c r="KB45" s="103"/>
      <c r="KC45" s="103"/>
      <c r="KD45" s="103"/>
      <c r="KE45" s="103"/>
      <c r="KF45" s="103"/>
      <c r="KG45" s="103"/>
      <c r="KH45" s="103"/>
      <c r="KI45" s="103"/>
      <c r="KJ45" s="103"/>
      <c r="KK45" s="103"/>
      <c r="KL45" s="103"/>
      <c r="KM45" s="103"/>
      <c r="KN45" s="103"/>
      <c r="KO45" s="103"/>
      <c r="KP45" s="103"/>
      <c r="KQ45" s="103"/>
      <c r="KR45" s="103"/>
      <c r="KS45" s="103"/>
      <c r="KT45" s="103"/>
      <c r="KU45" s="103"/>
      <c r="KV45" s="103"/>
    </row>
    <row r="46" spans="2:328" x14ac:dyDescent="0.2">
      <c r="B46" s="145"/>
      <c r="C46" s="66"/>
      <c r="D46" s="66"/>
      <c r="E46" s="66"/>
      <c r="F46" s="66"/>
      <c r="G46" s="66"/>
      <c r="H46" s="66"/>
      <c r="M46" s="124"/>
      <c r="N46" s="128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  <c r="CW46" s="103"/>
      <c r="CX46" s="103"/>
      <c r="CY46" s="103"/>
      <c r="CZ46" s="103"/>
      <c r="DA46" s="103"/>
      <c r="DB46" s="103"/>
      <c r="DC46" s="103"/>
      <c r="DD46" s="103"/>
      <c r="DE46" s="103"/>
      <c r="DF46" s="103"/>
      <c r="DG46" s="103"/>
      <c r="DH46" s="103"/>
      <c r="DI46" s="103"/>
      <c r="DJ46" s="103"/>
      <c r="DK46" s="103"/>
      <c r="DL46" s="103"/>
      <c r="DM46" s="103"/>
      <c r="DN46" s="103"/>
      <c r="DO46" s="103"/>
      <c r="DP46" s="103"/>
      <c r="DQ46" s="103"/>
      <c r="DR46" s="103"/>
      <c r="DS46" s="103"/>
      <c r="DT46" s="103"/>
      <c r="DU46" s="103"/>
      <c r="DV46" s="103"/>
      <c r="DW46" s="103"/>
      <c r="DX46" s="103"/>
      <c r="DY46" s="103"/>
      <c r="DZ46" s="103"/>
      <c r="EA46" s="103"/>
      <c r="EB46" s="103"/>
      <c r="EC46" s="103"/>
      <c r="ED46" s="103"/>
      <c r="EE46" s="103"/>
      <c r="EF46" s="103"/>
      <c r="EG46" s="103"/>
      <c r="EH46" s="103"/>
      <c r="EI46" s="103"/>
      <c r="EJ46" s="103"/>
      <c r="EK46" s="103"/>
      <c r="EL46" s="103"/>
      <c r="EM46" s="103"/>
      <c r="EN46" s="103"/>
      <c r="EO46" s="103"/>
      <c r="EP46" s="103"/>
      <c r="EQ46" s="103"/>
      <c r="ER46" s="103"/>
      <c r="ES46" s="103"/>
      <c r="ET46" s="103"/>
      <c r="EU46" s="103"/>
      <c r="EV46" s="103"/>
      <c r="EW46" s="103"/>
      <c r="EX46" s="103"/>
      <c r="EY46" s="103"/>
      <c r="EZ46" s="103"/>
      <c r="FA46" s="103"/>
      <c r="FB46" s="103"/>
      <c r="FC46" s="103"/>
      <c r="FD46" s="103"/>
      <c r="FE46" s="103"/>
      <c r="FF46" s="103"/>
      <c r="FG46" s="103"/>
      <c r="FH46" s="103"/>
      <c r="FI46" s="103"/>
      <c r="FJ46" s="103"/>
      <c r="FK46" s="103"/>
      <c r="FL46" s="103"/>
      <c r="FM46" s="103"/>
      <c r="FN46" s="103"/>
      <c r="FO46" s="103"/>
      <c r="FP46" s="103"/>
      <c r="FQ46" s="103"/>
      <c r="FR46" s="103"/>
      <c r="FS46" s="103"/>
      <c r="FT46" s="103"/>
      <c r="FU46" s="103"/>
      <c r="FV46" s="103"/>
      <c r="FW46" s="103"/>
      <c r="FX46" s="103"/>
      <c r="FY46" s="103"/>
      <c r="FZ46" s="103"/>
      <c r="GA46" s="103"/>
      <c r="GB46" s="103"/>
      <c r="GC46" s="103"/>
      <c r="GD46" s="103"/>
      <c r="GE46" s="103"/>
      <c r="GF46" s="103"/>
      <c r="GG46" s="103"/>
      <c r="GH46" s="103"/>
      <c r="GI46" s="103"/>
      <c r="GJ46" s="103"/>
      <c r="GK46" s="103"/>
      <c r="GL46" s="103"/>
      <c r="GM46" s="103"/>
      <c r="GN46" s="103"/>
      <c r="GO46" s="103"/>
      <c r="GP46" s="103"/>
      <c r="GQ46" s="103"/>
      <c r="GR46" s="103"/>
      <c r="GS46" s="103"/>
      <c r="GT46" s="103"/>
      <c r="GU46" s="103"/>
      <c r="GV46" s="103"/>
      <c r="GW46" s="103"/>
      <c r="GX46" s="103"/>
      <c r="GY46" s="103"/>
      <c r="GZ46" s="103"/>
      <c r="HA46" s="103"/>
      <c r="HB46" s="103"/>
      <c r="HC46" s="103"/>
      <c r="HD46" s="103"/>
      <c r="HE46" s="103"/>
      <c r="HF46" s="103"/>
      <c r="HG46" s="103"/>
      <c r="HH46" s="103"/>
      <c r="HI46" s="103"/>
      <c r="HJ46" s="103"/>
      <c r="HK46" s="103"/>
      <c r="HL46" s="103"/>
      <c r="HM46" s="103"/>
      <c r="HN46" s="103"/>
      <c r="HO46" s="103"/>
      <c r="HP46" s="103"/>
      <c r="HQ46" s="103"/>
      <c r="HR46" s="103"/>
      <c r="HS46" s="103"/>
      <c r="HT46" s="103"/>
      <c r="HU46" s="103"/>
      <c r="HV46" s="103"/>
      <c r="HW46" s="103"/>
      <c r="HX46" s="103"/>
      <c r="HY46" s="103"/>
      <c r="HZ46" s="103"/>
      <c r="IA46" s="103"/>
      <c r="IB46" s="103"/>
      <c r="IC46" s="103"/>
      <c r="ID46" s="103"/>
      <c r="IE46" s="103"/>
      <c r="IF46" s="103"/>
      <c r="IG46" s="103"/>
      <c r="IH46" s="103"/>
      <c r="II46" s="103"/>
      <c r="IJ46" s="103"/>
      <c r="IK46" s="103"/>
      <c r="IL46" s="103"/>
      <c r="IM46" s="103"/>
      <c r="IN46" s="103"/>
      <c r="IO46" s="103"/>
      <c r="IP46" s="103"/>
      <c r="IQ46" s="103"/>
      <c r="IR46" s="103"/>
      <c r="IS46" s="103"/>
      <c r="IT46" s="103"/>
      <c r="IU46" s="103"/>
      <c r="IV46" s="103"/>
      <c r="IW46" s="103"/>
      <c r="IX46" s="103"/>
      <c r="IY46" s="103"/>
      <c r="IZ46" s="103"/>
      <c r="JA46" s="103"/>
      <c r="JB46" s="103"/>
      <c r="JC46" s="103"/>
      <c r="JD46" s="103"/>
      <c r="JE46" s="103"/>
      <c r="JF46" s="103"/>
      <c r="JG46" s="103"/>
      <c r="JH46" s="103"/>
      <c r="JI46" s="103"/>
      <c r="JJ46" s="103"/>
      <c r="JK46" s="103"/>
      <c r="JL46" s="103"/>
      <c r="JM46" s="103"/>
      <c r="JN46" s="103"/>
      <c r="JO46" s="103"/>
      <c r="JP46" s="103"/>
      <c r="JQ46" s="103"/>
      <c r="JR46" s="103"/>
      <c r="JS46" s="103"/>
      <c r="JT46" s="103"/>
      <c r="JU46" s="103"/>
      <c r="JV46" s="103"/>
      <c r="JW46" s="103"/>
      <c r="JX46" s="103"/>
      <c r="JY46" s="103"/>
      <c r="JZ46" s="103"/>
      <c r="KA46" s="103"/>
      <c r="KB46" s="103"/>
      <c r="KC46" s="103"/>
      <c r="KD46" s="103"/>
      <c r="KE46" s="103"/>
      <c r="KF46" s="103"/>
      <c r="KG46" s="103"/>
      <c r="KH46" s="103"/>
      <c r="KI46" s="103"/>
      <c r="KJ46" s="103"/>
      <c r="KK46" s="103"/>
      <c r="KL46" s="103"/>
      <c r="KM46" s="103"/>
      <c r="KN46" s="103"/>
      <c r="KO46" s="103"/>
      <c r="KP46" s="103"/>
      <c r="KQ46" s="103"/>
      <c r="KR46" s="103"/>
      <c r="KS46" s="103"/>
      <c r="KT46" s="103"/>
      <c r="KU46" s="103"/>
      <c r="KV46" s="103"/>
    </row>
    <row r="47" spans="2:328" x14ac:dyDescent="0.2">
      <c r="B47" s="145"/>
      <c r="C47" s="66"/>
      <c r="D47" s="66"/>
      <c r="E47" s="66"/>
      <c r="F47" s="66"/>
      <c r="G47" s="66"/>
      <c r="H47" s="66"/>
      <c r="M47" s="125"/>
      <c r="N47" s="128"/>
    </row>
    <row r="48" spans="2:328" x14ac:dyDescent="0.2">
      <c r="B48" s="145"/>
      <c r="C48" s="66"/>
      <c r="D48" s="66"/>
      <c r="E48" s="66"/>
      <c r="F48" s="66"/>
      <c r="G48" s="66"/>
      <c r="H48" s="66"/>
      <c r="M48" s="126"/>
    </row>
    <row r="49" spans="2:17" x14ac:dyDescent="0.2">
      <c r="B49" s="145"/>
      <c r="C49" s="66"/>
      <c r="D49" s="66"/>
      <c r="E49" s="66"/>
      <c r="F49" s="66"/>
      <c r="G49" s="66"/>
      <c r="H49" s="66"/>
    </row>
    <row r="50" spans="2:17" ht="12" customHeight="1" x14ac:dyDescent="0.2">
      <c r="B50" s="145"/>
      <c r="C50" s="66"/>
      <c r="D50" s="66"/>
      <c r="E50" s="66"/>
      <c r="F50" s="66"/>
      <c r="G50" s="66"/>
      <c r="H50" s="66"/>
    </row>
    <row r="51" spans="2:17" hidden="1" x14ac:dyDescent="0.2">
      <c r="E51" s="137">
        <v>1995</v>
      </c>
      <c r="F51" s="138" t="str">
        <f>CONCATENATE("1","/","1","/",$P$4)</f>
        <v>1/1/2024</v>
      </c>
      <c r="G51" s="139">
        <f t="shared" ref="G51:G59" si="1">DATE(RIGHT(F51,4),MID(F51,3,1),LEFT(F51,1))</f>
        <v>45292</v>
      </c>
      <c r="H51" s="140">
        <v>2024</v>
      </c>
      <c r="I51" s="140" t="s">
        <v>13</v>
      </c>
      <c r="J51" s="137"/>
      <c r="K51" s="137">
        <v>1995</v>
      </c>
      <c r="M51" s="141"/>
      <c r="N51" s="64" t="s">
        <v>14</v>
      </c>
      <c r="O51" s="129"/>
      <c r="P51" s="130"/>
      <c r="Q51" s="131"/>
    </row>
    <row r="52" spans="2:17" hidden="1" x14ac:dyDescent="0.2">
      <c r="E52" s="137">
        <v>1996</v>
      </c>
      <c r="F52" s="138" t="str">
        <f>CONCATENATE("1","/","2","/",$P$4)</f>
        <v>1/2/2024</v>
      </c>
      <c r="G52" s="139">
        <f t="shared" si="1"/>
        <v>45323</v>
      </c>
      <c r="H52" s="142" t="str">
        <f>CONCATENATE("1","/","12","/",$H$51)</f>
        <v>1/12/2024</v>
      </c>
      <c r="J52" s="143">
        <f>SBPE_Mensal!A20</f>
        <v>29952</v>
      </c>
      <c r="K52" s="137">
        <v>1996</v>
      </c>
      <c r="M52" s="141"/>
      <c r="O52" s="129"/>
      <c r="P52" s="130"/>
      <c r="Q52" s="132"/>
    </row>
    <row r="53" spans="2:17" hidden="1" x14ac:dyDescent="0.2">
      <c r="E53" s="137">
        <v>1997</v>
      </c>
      <c r="F53" s="138" t="str">
        <f>CONCATENATE("1","/","3","/",$P$4)</f>
        <v>1/3/2024</v>
      </c>
      <c r="G53" s="139">
        <f t="shared" si="1"/>
        <v>45352</v>
      </c>
      <c r="H53" s="143">
        <f>DATE(RIGHT(H52,4),MID(H52,3,2),LEFT(H52,1))</f>
        <v>45627</v>
      </c>
      <c r="I53" s="140" t="s">
        <v>15</v>
      </c>
      <c r="J53" s="137"/>
      <c r="K53" s="137">
        <v>1997</v>
      </c>
      <c r="M53" s="141"/>
      <c r="O53" s="129"/>
      <c r="P53" s="130"/>
      <c r="Q53" s="133"/>
    </row>
    <row r="54" spans="2:17" hidden="1" x14ac:dyDescent="0.2">
      <c r="E54" s="137">
        <v>1998</v>
      </c>
      <c r="F54" s="138" t="str">
        <f>CONCATENATE("1","/","4","/",$P$4)</f>
        <v>1/4/2024</v>
      </c>
      <c r="G54" s="139">
        <f t="shared" si="1"/>
        <v>45383</v>
      </c>
      <c r="H54" s="137"/>
      <c r="J54" s="143">
        <v>45627</v>
      </c>
      <c r="K54" s="137">
        <v>1998</v>
      </c>
      <c r="M54" s="141"/>
      <c r="O54" s="129"/>
      <c r="P54" s="130"/>
    </row>
    <row r="55" spans="2:17" hidden="1" x14ac:dyDescent="0.2">
      <c r="E55" s="137">
        <v>1999</v>
      </c>
      <c r="F55" s="138" t="str">
        <f>CONCATENATE("1","/","5","/",$P$4)</f>
        <v>1/5/2024</v>
      </c>
      <c r="G55" s="139">
        <f t="shared" si="1"/>
        <v>45413</v>
      </c>
      <c r="H55" s="137"/>
      <c r="I55" s="137"/>
      <c r="J55" s="137"/>
      <c r="K55" s="137">
        <v>1999</v>
      </c>
      <c r="M55" s="141"/>
      <c r="O55" s="129"/>
      <c r="P55" s="130"/>
    </row>
    <row r="56" spans="2:17" hidden="1" x14ac:dyDescent="0.2">
      <c r="E56" s="137">
        <v>2000</v>
      </c>
      <c r="F56" s="138" t="str">
        <f>CONCATENATE("1","/","6","/",$P$4)</f>
        <v>1/6/2024</v>
      </c>
      <c r="G56" s="139">
        <f t="shared" si="1"/>
        <v>45444</v>
      </c>
      <c r="H56" s="137"/>
      <c r="I56" s="137"/>
      <c r="J56" s="137"/>
      <c r="K56" s="137">
        <v>2000</v>
      </c>
      <c r="M56" s="141"/>
      <c r="O56" s="129"/>
      <c r="P56" s="130"/>
    </row>
    <row r="57" spans="2:17" hidden="1" x14ac:dyDescent="0.2">
      <c r="E57" s="137">
        <v>2001</v>
      </c>
      <c r="F57" s="138" t="str">
        <f>CONCATENATE("1","/","7","/",$P$4)</f>
        <v>1/7/2024</v>
      </c>
      <c r="G57" s="139">
        <f t="shared" si="1"/>
        <v>45474</v>
      </c>
      <c r="H57" s="137"/>
      <c r="I57" s="137"/>
      <c r="J57" s="137"/>
      <c r="K57" s="137">
        <v>2001</v>
      </c>
      <c r="M57" s="141"/>
      <c r="O57" s="129"/>
      <c r="P57" s="130"/>
    </row>
    <row r="58" spans="2:17" hidden="1" x14ac:dyDescent="0.2">
      <c r="E58" s="137">
        <v>2002</v>
      </c>
      <c r="F58" s="138" t="str">
        <f>CONCATENATE("1","/","8","/",$P$4)</f>
        <v>1/8/2024</v>
      </c>
      <c r="G58" s="139">
        <f t="shared" si="1"/>
        <v>45505</v>
      </c>
      <c r="H58" s="137"/>
      <c r="I58" s="137"/>
      <c r="J58" s="137"/>
      <c r="K58" s="137">
        <v>2002</v>
      </c>
      <c r="M58" s="141"/>
      <c r="O58" s="129"/>
      <c r="P58" s="130"/>
    </row>
    <row r="59" spans="2:17" hidden="1" x14ac:dyDescent="0.2">
      <c r="E59" s="137">
        <v>2003</v>
      </c>
      <c r="F59" s="138" t="str">
        <f>CONCATENATE("1","/","9","/",$P$4)</f>
        <v>1/9/2024</v>
      </c>
      <c r="G59" s="139">
        <f t="shared" si="1"/>
        <v>45536</v>
      </c>
      <c r="H59" s="137"/>
      <c r="I59" s="137"/>
      <c r="J59" s="137"/>
      <c r="K59" s="137">
        <v>2003</v>
      </c>
      <c r="M59" s="141"/>
      <c r="O59" s="129"/>
      <c r="P59" s="130"/>
    </row>
    <row r="60" spans="2:17" hidden="1" x14ac:dyDescent="0.2">
      <c r="E60" s="137">
        <v>2004</v>
      </c>
      <c r="F60" s="138" t="str">
        <f>CONCATENATE("1","/","10","/",$P$4)</f>
        <v>1/10/2024</v>
      </c>
      <c r="G60" s="139">
        <f>DATE(RIGHT(F60,4),MID(F60,3,2),LEFT(F60,1))</f>
        <v>45566</v>
      </c>
      <c r="H60" s="137"/>
      <c r="I60" s="137"/>
      <c r="J60" s="137"/>
      <c r="K60" s="137">
        <v>2004</v>
      </c>
      <c r="M60" s="141"/>
      <c r="O60" s="129"/>
      <c r="P60" s="130"/>
    </row>
    <row r="61" spans="2:17" hidden="1" x14ac:dyDescent="0.2">
      <c r="E61" s="137">
        <v>2005</v>
      </c>
      <c r="F61" s="138" t="str">
        <f>CONCATENATE("1","/","11","/",$P$4)</f>
        <v>1/11/2024</v>
      </c>
      <c r="G61" s="139">
        <f>DATE(RIGHT(F61,4),MID(F61,3,2),LEFT(F61,1))</f>
        <v>45597</v>
      </c>
      <c r="H61" s="137"/>
      <c r="I61" s="137"/>
      <c r="J61" s="137"/>
      <c r="K61" s="137">
        <v>2005</v>
      </c>
      <c r="M61" s="141"/>
      <c r="O61" s="129"/>
      <c r="P61" s="130"/>
    </row>
    <row r="62" spans="2:17" hidden="1" x14ac:dyDescent="0.2">
      <c r="E62" s="137">
        <v>2006</v>
      </c>
      <c r="F62" s="138" t="str">
        <f>CONCATENATE("1","/","12","/",$P$4)</f>
        <v>1/12/2024</v>
      </c>
      <c r="G62" s="139">
        <f>DATE(RIGHT(F62,4),MID(F62,3,2),LEFT(F62,1))</f>
        <v>45627</v>
      </c>
      <c r="H62" s="137"/>
      <c r="I62" s="137"/>
      <c r="J62" s="137"/>
      <c r="K62" s="137">
        <v>2006</v>
      </c>
      <c r="M62" s="141"/>
      <c r="O62" s="129"/>
      <c r="P62" s="130"/>
    </row>
    <row r="63" spans="2:17" hidden="1" x14ac:dyDescent="0.2">
      <c r="E63" s="137">
        <v>2007</v>
      </c>
      <c r="F63" s="137"/>
      <c r="G63" s="137"/>
      <c r="H63" s="137"/>
      <c r="I63" s="137"/>
      <c r="J63" s="137"/>
      <c r="K63" s="137">
        <v>2007</v>
      </c>
    </row>
    <row r="64" spans="2:17" hidden="1" x14ac:dyDescent="0.2">
      <c r="E64" s="137">
        <v>2008</v>
      </c>
      <c r="F64" s="83" t="str">
        <f>CONCATENATE("Total.",$P$4)</f>
        <v>Total.2024</v>
      </c>
      <c r="G64" s="137"/>
      <c r="H64" s="137"/>
      <c r="I64" s="137"/>
      <c r="J64" s="137"/>
      <c r="K64" s="137">
        <v>2008</v>
      </c>
    </row>
    <row r="65" spans="5:11" hidden="1" x14ac:dyDescent="0.2">
      <c r="E65" s="137">
        <v>2009</v>
      </c>
      <c r="F65" s="137"/>
      <c r="G65" s="137"/>
      <c r="H65" s="137"/>
      <c r="I65" s="137"/>
      <c r="J65" s="137"/>
      <c r="K65" s="137">
        <v>2009</v>
      </c>
    </row>
    <row r="66" spans="5:11" hidden="1" x14ac:dyDescent="0.2">
      <c r="E66" s="137">
        <v>2010</v>
      </c>
      <c r="F66" s="137"/>
      <c r="G66" s="137"/>
      <c r="H66" s="137"/>
      <c r="I66" s="137"/>
      <c r="J66" s="137"/>
      <c r="K66" s="137">
        <v>2010</v>
      </c>
    </row>
    <row r="67" spans="5:11" hidden="1" x14ac:dyDescent="0.2">
      <c r="E67" s="137">
        <v>2011</v>
      </c>
      <c r="F67" s="137"/>
      <c r="G67" s="137"/>
      <c r="H67" s="137"/>
      <c r="I67" s="137"/>
      <c r="J67" s="137"/>
      <c r="K67" s="137">
        <v>2011</v>
      </c>
    </row>
    <row r="68" spans="5:11" hidden="1" x14ac:dyDescent="0.2">
      <c r="E68" s="137">
        <v>2012</v>
      </c>
      <c r="F68" s="137"/>
      <c r="G68" s="137"/>
      <c r="H68" s="137"/>
      <c r="I68" s="137"/>
      <c r="J68" s="137"/>
      <c r="K68" s="137">
        <v>2012</v>
      </c>
    </row>
    <row r="69" spans="5:11" hidden="1" x14ac:dyDescent="0.2">
      <c r="E69" s="137">
        <v>2013</v>
      </c>
      <c r="F69" s="137"/>
      <c r="G69" s="137"/>
      <c r="H69" s="137"/>
      <c r="I69" s="137"/>
      <c r="J69" s="137"/>
      <c r="K69" s="137">
        <v>2013</v>
      </c>
    </row>
    <row r="70" spans="5:11" hidden="1" x14ac:dyDescent="0.2">
      <c r="E70" s="137">
        <v>2014</v>
      </c>
      <c r="F70" s="137"/>
      <c r="G70" s="137"/>
      <c r="H70" s="137"/>
      <c r="I70" s="137"/>
      <c r="J70" s="137"/>
      <c r="K70" s="137">
        <v>2014</v>
      </c>
    </row>
    <row r="71" spans="5:11" hidden="1" x14ac:dyDescent="0.2">
      <c r="E71" s="137">
        <v>2015</v>
      </c>
      <c r="F71" s="137"/>
      <c r="G71" s="137"/>
      <c r="H71" s="137"/>
      <c r="I71" s="137"/>
      <c r="J71" s="137"/>
      <c r="K71" s="137">
        <v>2015</v>
      </c>
    </row>
    <row r="72" spans="5:11" hidden="1" x14ac:dyDescent="0.2">
      <c r="E72" s="137">
        <v>2016</v>
      </c>
      <c r="F72" s="137"/>
      <c r="G72" s="137"/>
      <c r="H72" s="137"/>
      <c r="I72" s="137"/>
      <c r="J72" s="137"/>
      <c r="K72" s="137">
        <v>2016</v>
      </c>
    </row>
    <row r="73" spans="5:11" hidden="1" x14ac:dyDescent="0.2">
      <c r="E73" s="137">
        <v>2017</v>
      </c>
      <c r="F73" s="137"/>
      <c r="G73" s="137"/>
      <c r="H73" s="137"/>
      <c r="I73" s="137"/>
      <c r="J73" s="137"/>
      <c r="K73" s="137">
        <v>2017</v>
      </c>
    </row>
    <row r="74" spans="5:11" hidden="1" x14ac:dyDescent="0.2">
      <c r="E74" s="137">
        <v>2018</v>
      </c>
      <c r="F74" s="137"/>
      <c r="G74" s="137"/>
      <c r="H74" s="137"/>
      <c r="I74" s="137"/>
      <c r="J74" s="137"/>
      <c r="K74" s="137">
        <v>2018</v>
      </c>
    </row>
    <row r="75" spans="5:11" hidden="1" x14ac:dyDescent="0.2">
      <c r="E75" s="137">
        <v>2019</v>
      </c>
      <c r="F75" s="137"/>
      <c r="G75" s="137"/>
      <c r="H75" s="137"/>
      <c r="I75" s="137"/>
      <c r="J75" s="137"/>
      <c r="K75" s="137">
        <v>2019</v>
      </c>
    </row>
    <row r="76" spans="5:11" hidden="1" x14ac:dyDescent="0.2">
      <c r="E76" s="137">
        <v>2020</v>
      </c>
      <c r="F76" s="137"/>
      <c r="G76" s="137"/>
      <c r="H76" s="137"/>
      <c r="I76" s="137"/>
      <c r="J76" s="137"/>
      <c r="K76" s="137">
        <v>2020</v>
      </c>
    </row>
    <row r="77" spans="5:11" hidden="1" x14ac:dyDescent="0.2">
      <c r="E77" s="137">
        <v>2021</v>
      </c>
      <c r="F77" s="137"/>
      <c r="G77" s="137"/>
      <c r="H77" s="137"/>
      <c r="I77" s="137"/>
      <c r="J77" s="137"/>
      <c r="K77" s="137">
        <v>2021</v>
      </c>
    </row>
    <row r="78" spans="5:11" hidden="1" x14ac:dyDescent="0.2">
      <c r="E78" s="137">
        <v>2022</v>
      </c>
      <c r="K78" s="137">
        <v>2022</v>
      </c>
    </row>
    <row r="79" spans="5:11" hidden="1" x14ac:dyDescent="0.2">
      <c r="E79" s="137">
        <v>2023</v>
      </c>
      <c r="K79" s="137">
        <v>2023</v>
      </c>
    </row>
    <row r="80" spans="5:11" hidden="1" x14ac:dyDescent="0.2">
      <c r="E80" s="137">
        <v>2024</v>
      </c>
      <c r="K80" s="137">
        <v>2024</v>
      </c>
    </row>
    <row r="376" spans="2:76" x14ac:dyDescent="0.2"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3"/>
      <c r="AE376" s="103"/>
      <c r="AF376" s="103"/>
      <c r="AG376" s="103"/>
      <c r="AH376" s="103"/>
      <c r="AI376" s="103"/>
      <c r="AJ376" s="103"/>
      <c r="AK376" s="103"/>
      <c r="AL376" s="103"/>
      <c r="AM376" s="103"/>
      <c r="AN376" s="103"/>
      <c r="AO376" s="103"/>
      <c r="AP376" s="103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  <c r="BP376" s="103"/>
      <c r="BQ376" s="103"/>
      <c r="BR376" s="103"/>
      <c r="BS376" s="103"/>
      <c r="BT376" s="103"/>
      <c r="BU376" s="103"/>
      <c r="BV376" s="103"/>
      <c r="BW376" s="103"/>
      <c r="BX376" s="103"/>
    </row>
    <row r="377" spans="2:76" x14ac:dyDescent="0.2"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3"/>
      <c r="AE377" s="103"/>
      <c r="AF377" s="103"/>
      <c r="AG377" s="103"/>
      <c r="AH377" s="103"/>
      <c r="AI377" s="103"/>
      <c r="AJ377" s="103"/>
      <c r="AK377" s="103"/>
      <c r="AL377" s="103"/>
      <c r="AM377" s="103"/>
      <c r="AN377" s="103"/>
      <c r="AO377" s="103"/>
      <c r="AP377" s="103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  <c r="BP377" s="103"/>
      <c r="BQ377" s="103"/>
      <c r="BR377" s="103"/>
      <c r="BS377" s="103"/>
      <c r="BT377" s="103"/>
      <c r="BU377" s="103"/>
      <c r="BV377" s="103"/>
      <c r="BW377" s="103"/>
      <c r="BX377" s="103"/>
    </row>
    <row r="378" spans="2:76" x14ac:dyDescent="0.2"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  <c r="AE378" s="103"/>
      <c r="AF378" s="103"/>
      <c r="AG378" s="103"/>
      <c r="AH378" s="103"/>
      <c r="AI378" s="103"/>
      <c r="AJ378" s="103"/>
      <c r="AK378" s="103"/>
      <c r="AL378" s="103"/>
      <c r="AM378" s="103"/>
      <c r="AN378" s="103"/>
      <c r="AO378" s="103"/>
      <c r="AP378" s="103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  <c r="BP378" s="103"/>
      <c r="BQ378" s="103"/>
      <c r="BR378" s="103"/>
      <c r="BS378" s="103"/>
      <c r="BT378" s="103"/>
      <c r="BU378" s="103"/>
      <c r="BV378" s="103"/>
      <c r="BW378" s="103"/>
      <c r="BX378" s="103"/>
    </row>
    <row r="379" spans="2:76" x14ac:dyDescent="0.2"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3"/>
      <c r="AE379" s="103"/>
      <c r="AF379" s="103"/>
      <c r="AG379" s="103"/>
      <c r="AH379" s="103"/>
      <c r="AI379" s="103"/>
      <c r="AJ379" s="103"/>
      <c r="AK379" s="103"/>
      <c r="AL379" s="103"/>
      <c r="AM379" s="103"/>
      <c r="AN379" s="103"/>
      <c r="AO379" s="103"/>
      <c r="AP379" s="103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  <c r="BP379" s="103"/>
      <c r="BQ379" s="103"/>
      <c r="BR379" s="103"/>
      <c r="BS379" s="103"/>
      <c r="BT379" s="103"/>
      <c r="BU379" s="103"/>
      <c r="BV379" s="103"/>
      <c r="BW379" s="103"/>
      <c r="BX379" s="103"/>
    </row>
    <row r="380" spans="2:76" x14ac:dyDescent="0.2"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  <c r="AE380" s="103"/>
      <c r="AF380" s="103"/>
      <c r="AG380" s="103"/>
      <c r="AH380" s="103"/>
      <c r="AI380" s="103"/>
      <c r="AJ380" s="103"/>
      <c r="AK380" s="103"/>
      <c r="AL380" s="103"/>
      <c r="AM380" s="103"/>
      <c r="AN380" s="103"/>
      <c r="AO380" s="103"/>
      <c r="AP380" s="103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  <c r="BP380" s="103"/>
      <c r="BQ380" s="103"/>
      <c r="BR380" s="103"/>
      <c r="BS380" s="103"/>
      <c r="BT380" s="103"/>
      <c r="BU380" s="103"/>
      <c r="BV380" s="103"/>
      <c r="BW380" s="103"/>
      <c r="BX380" s="103"/>
    </row>
    <row r="381" spans="2:76" x14ac:dyDescent="0.2"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3"/>
      <c r="AE381" s="103"/>
      <c r="AF381" s="103"/>
      <c r="AG381" s="103"/>
      <c r="AH381" s="103"/>
      <c r="AI381" s="103"/>
      <c r="AJ381" s="103"/>
      <c r="AK381" s="103"/>
      <c r="AL381" s="103"/>
      <c r="AM381" s="103"/>
      <c r="AN381" s="103"/>
      <c r="AO381" s="103"/>
      <c r="AP381" s="103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  <c r="BP381" s="103"/>
      <c r="BQ381" s="103"/>
      <c r="BR381" s="103"/>
      <c r="BS381" s="103"/>
      <c r="BT381" s="103"/>
      <c r="BU381" s="103"/>
      <c r="BV381" s="103"/>
      <c r="BW381" s="103"/>
      <c r="BX381" s="103"/>
    </row>
    <row r="382" spans="2:76" x14ac:dyDescent="0.2"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3"/>
      <c r="AE382" s="103"/>
      <c r="AF382" s="103"/>
      <c r="AG382" s="103"/>
      <c r="AH382" s="103"/>
      <c r="AI382" s="103"/>
      <c r="AJ382" s="103"/>
      <c r="AK382" s="103"/>
      <c r="AL382" s="103"/>
      <c r="AM382" s="103"/>
      <c r="AN382" s="103"/>
      <c r="AO382" s="103"/>
      <c r="AP382" s="103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  <c r="BP382" s="103"/>
      <c r="BQ382" s="103"/>
      <c r="BR382" s="103"/>
      <c r="BS382" s="103"/>
      <c r="BT382" s="103"/>
      <c r="BU382" s="103"/>
      <c r="BV382" s="103"/>
      <c r="BW382" s="103"/>
      <c r="BX382" s="103"/>
    </row>
    <row r="383" spans="2:76" x14ac:dyDescent="0.2"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3"/>
      <c r="AE383" s="103"/>
      <c r="AF383" s="103"/>
      <c r="AG383" s="103"/>
      <c r="AH383" s="103"/>
      <c r="AI383" s="103"/>
      <c r="AJ383" s="103"/>
      <c r="AK383" s="103"/>
      <c r="AL383" s="103"/>
      <c r="AM383" s="103"/>
      <c r="AN383" s="103"/>
      <c r="AO383" s="103"/>
      <c r="AP383" s="103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  <c r="BP383" s="103"/>
      <c r="BQ383" s="103"/>
      <c r="BR383" s="103"/>
      <c r="BS383" s="103"/>
      <c r="BT383" s="103"/>
      <c r="BU383" s="103"/>
      <c r="BV383" s="103"/>
      <c r="BW383" s="103"/>
      <c r="BX383" s="103"/>
    </row>
  </sheetData>
  <mergeCells count="7">
    <mergeCell ref="B6:H6"/>
    <mergeCell ref="B8:B9"/>
    <mergeCell ref="H8:H9"/>
    <mergeCell ref="E8:F8"/>
    <mergeCell ref="C8:C9"/>
    <mergeCell ref="D8:D9"/>
    <mergeCell ref="G8:G9"/>
  </mergeCells>
  <pageMargins left="0.51181102362204722" right="0.51181102362204722" top="0.45" bottom="0.78740157480314965" header="0.23" footer="0.31496062992125984"/>
  <pageSetup paperSize="9" scale="80" orientation="landscape" r:id="rId1"/>
  <ignoredErrors>
    <ignoredError sqref="M41 M29 M30 M32:M40 M31 G57:G62 F52:J53 F63:J63 F57:F62 H57:J62 F55:J56 F54:I54 F51:G51 I51:J5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40899" r:id="rId4" name="List Box 3">
              <controlPr defaultSize="0" print="0" autoLine="0" autoPict="0">
                <anchor moveWithCells="1">
                  <from>
                    <xdr:col>12</xdr:col>
                    <xdr:colOff>714375</xdr:colOff>
                    <xdr:row>5</xdr:row>
                    <xdr:rowOff>28575</xdr:rowOff>
                  </from>
                  <to>
                    <xdr:col>14</xdr:col>
                    <xdr:colOff>381000</xdr:colOff>
                    <xdr:row>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R583"/>
  <sheetViews>
    <sheetView showGridLines="0" zoomScaleNormal="100" workbookViewId="0">
      <pane ySplit="6" topLeftCell="A539" activePane="bottomLeft" state="frozen"/>
      <selection activeCell="E491" sqref="E491"/>
      <selection pane="bottomLeft" activeCell="L572" sqref="L572"/>
    </sheetView>
  </sheetViews>
  <sheetFormatPr defaultColWidth="9.140625" defaultRowHeight="12.75" outlineLevelRow="1" x14ac:dyDescent="0.2"/>
  <cols>
    <col min="1" max="1" width="10.42578125" style="1" customWidth="1"/>
    <col min="2" max="2" width="13.85546875" style="2" customWidth="1"/>
    <col min="3" max="4" width="12.42578125" style="2" customWidth="1"/>
    <col min="5" max="5" width="10.28515625" style="87" customWidth="1"/>
    <col min="6" max="6" width="12.42578125" style="1" customWidth="1"/>
    <col min="7" max="7" width="16.42578125" style="1" customWidth="1"/>
    <col min="8" max="8" width="4.28515625" style="1" bestFit="1" customWidth="1"/>
    <col min="9" max="9" width="7.42578125" style="1" hidden="1" customWidth="1"/>
    <col min="10" max="10" width="13.5703125" style="1" hidden="1" customWidth="1"/>
    <col min="11" max="11" width="7.42578125" style="1" hidden="1" customWidth="1"/>
    <col min="12" max="12" width="8.85546875"/>
    <col min="13" max="13" width="17" style="1" bestFit="1" customWidth="1"/>
    <col min="14" max="14" width="11.85546875" style="1" bestFit="1" customWidth="1"/>
    <col min="15" max="15" width="14.5703125" style="1" bestFit="1" customWidth="1"/>
    <col min="16" max="16" width="12" style="1" bestFit="1" customWidth="1"/>
    <col min="17" max="17" width="11" style="1" bestFit="1" customWidth="1"/>
    <col min="18" max="20" width="8.85546875" style="1" customWidth="1"/>
    <col min="21" max="21" width="10.28515625" style="1" bestFit="1" customWidth="1"/>
    <col min="22" max="22" width="11.85546875" style="1" bestFit="1" customWidth="1"/>
    <col min="23" max="16384" width="9.140625" style="1"/>
  </cols>
  <sheetData>
    <row r="1" spans="1:12" x14ac:dyDescent="0.2">
      <c r="A1" s="47">
        <v>369</v>
      </c>
    </row>
    <row r="2" spans="1:12" x14ac:dyDescent="0.2">
      <c r="B2" s="50" t="s">
        <v>0</v>
      </c>
      <c r="C2" s="50"/>
      <c r="D2" s="50"/>
      <c r="E2" s="88"/>
      <c r="F2" s="50"/>
      <c r="G2" s="50"/>
    </row>
    <row r="3" spans="1:12" x14ac:dyDescent="0.2">
      <c r="B3" s="158" t="s">
        <v>1</v>
      </c>
      <c r="C3" s="159"/>
      <c r="D3" s="159"/>
      <c r="E3" s="159"/>
      <c r="F3" s="159"/>
      <c r="G3" s="159"/>
    </row>
    <row r="4" spans="1:12" x14ac:dyDescent="0.2">
      <c r="B4" s="1"/>
      <c r="C4" s="1"/>
      <c r="D4" s="1"/>
      <c r="E4" s="89"/>
    </row>
    <row r="5" spans="1:12" ht="15" x14ac:dyDescent="0.25">
      <c r="A5" s="8" t="s">
        <v>4</v>
      </c>
      <c r="B5" s="9" t="s">
        <v>5</v>
      </c>
      <c r="C5" s="9" t="s">
        <v>6</v>
      </c>
      <c r="D5" s="160" t="s">
        <v>7</v>
      </c>
      <c r="E5" s="161"/>
      <c r="F5" s="9" t="s">
        <v>8</v>
      </c>
      <c r="G5" s="10" t="s">
        <v>9</v>
      </c>
      <c r="L5" s="1"/>
    </row>
    <row r="6" spans="1:12" ht="15" x14ac:dyDescent="0.25">
      <c r="A6" s="8"/>
      <c r="B6" s="9" t="s">
        <v>16</v>
      </c>
      <c r="C6" s="9" t="s">
        <v>16</v>
      </c>
      <c r="D6" s="11" t="s">
        <v>10</v>
      </c>
      <c r="E6" s="90" t="s">
        <v>11</v>
      </c>
      <c r="F6" s="9" t="s">
        <v>16</v>
      </c>
      <c r="G6" s="10"/>
      <c r="L6" s="1"/>
    </row>
    <row r="7" spans="1:12" hidden="1" x14ac:dyDescent="0.2">
      <c r="A7" s="3"/>
    </row>
    <row r="8" spans="1:12" hidden="1" x14ac:dyDescent="0.2">
      <c r="A8" s="83" t="s">
        <v>17</v>
      </c>
      <c r="B8" s="84"/>
      <c r="C8" s="84"/>
      <c r="D8" s="84"/>
      <c r="E8" s="91"/>
      <c r="F8" s="84"/>
      <c r="G8" s="85">
        <v>2000</v>
      </c>
    </row>
    <row r="9" spans="1:12" hidden="1" x14ac:dyDescent="0.2">
      <c r="A9" s="83" t="s">
        <v>18</v>
      </c>
      <c r="B9" s="84"/>
      <c r="C9" s="84"/>
      <c r="D9" s="84"/>
      <c r="E9" s="91"/>
      <c r="F9" s="84"/>
      <c r="G9" s="85">
        <v>4000</v>
      </c>
    </row>
    <row r="10" spans="1:12" hidden="1" x14ac:dyDescent="0.2">
      <c r="A10" s="83" t="s">
        <v>19</v>
      </c>
      <c r="B10" s="84"/>
      <c r="C10" s="84"/>
      <c r="D10" s="84"/>
      <c r="E10" s="91"/>
      <c r="F10" s="84"/>
      <c r="G10" s="85">
        <v>8000</v>
      </c>
    </row>
    <row r="11" spans="1:12" hidden="1" x14ac:dyDescent="0.2">
      <c r="A11" s="83" t="s">
        <v>20</v>
      </c>
      <c r="B11" s="84"/>
      <c r="C11" s="84"/>
      <c r="D11" s="84"/>
      <c r="E11" s="91"/>
      <c r="F11" s="84"/>
      <c r="G11" s="85">
        <v>14000</v>
      </c>
    </row>
    <row r="12" spans="1:12" hidden="1" x14ac:dyDescent="0.2">
      <c r="A12" s="83" t="s">
        <v>21</v>
      </c>
      <c r="B12" s="84"/>
      <c r="C12" s="84"/>
      <c r="D12" s="84"/>
      <c r="E12" s="91"/>
      <c r="F12" s="84"/>
      <c r="G12" s="85">
        <v>29000</v>
      </c>
    </row>
    <row r="13" spans="1:12" hidden="1" x14ac:dyDescent="0.2">
      <c r="A13" s="83" t="s">
        <v>22</v>
      </c>
      <c r="B13" s="84"/>
      <c r="C13" s="84"/>
      <c r="D13" s="84"/>
      <c r="E13" s="91"/>
      <c r="F13" s="84"/>
      <c r="G13" s="85">
        <v>55000</v>
      </c>
    </row>
    <row r="14" spans="1:12" hidden="1" x14ac:dyDescent="0.2">
      <c r="A14" s="83" t="s">
        <v>23</v>
      </c>
      <c r="B14" s="84"/>
      <c r="C14" s="84"/>
      <c r="D14" s="84"/>
      <c r="E14" s="91"/>
      <c r="F14" s="84"/>
      <c r="G14" s="85">
        <v>108000</v>
      </c>
    </row>
    <row r="15" spans="1:12" hidden="1" x14ac:dyDescent="0.2">
      <c r="A15" s="83" t="s">
        <v>24</v>
      </c>
      <c r="B15" s="84"/>
      <c r="C15" s="84"/>
      <c r="D15" s="84"/>
      <c r="E15" s="91"/>
      <c r="F15" s="84"/>
      <c r="G15" s="85">
        <v>177000</v>
      </c>
    </row>
    <row r="16" spans="1:12" hidden="1" x14ac:dyDescent="0.2">
      <c r="A16" s="83" t="s">
        <v>25</v>
      </c>
      <c r="B16" s="84"/>
      <c r="C16" s="84"/>
      <c r="D16" s="84"/>
      <c r="E16" s="91"/>
      <c r="F16" s="84"/>
      <c r="G16" s="85">
        <v>289000</v>
      </c>
    </row>
    <row r="17" spans="1:11" hidden="1" x14ac:dyDescent="0.2">
      <c r="A17" s="83" t="s">
        <v>26</v>
      </c>
      <c r="B17" s="84"/>
      <c r="C17" s="84"/>
      <c r="D17" s="84"/>
      <c r="E17" s="91"/>
      <c r="F17" s="84"/>
      <c r="G17" s="85">
        <v>523000</v>
      </c>
    </row>
    <row r="18" spans="1:11" hidden="1" x14ac:dyDescent="0.2">
      <c r="A18" s="83" t="s">
        <v>27</v>
      </c>
      <c r="B18" s="84"/>
      <c r="C18" s="84"/>
      <c r="D18" s="84">
        <v>136841</v>
      </c>
      <c r="E18" s="91"/>
      <c r="F18" s="84"/>
      <c r="G18" s="85">
        <v>975724</v>
      </c>
    </row>
    <row r="19" spans="1:11" hidden="1" x14ac:dyDescent="0.2">
      <c r="A19" s="83" t="s">
        <v>28</v>
      </c>
      <c r="B19" s="84"/>
      <c r="C19" s="84"/>
      <c r="D19" s="84">
        <v>502996</v>
      </c>
      <c r="E19" s="91"/>
      <c r="F19" s="84"/>
      <c r="G19" s="85">
        <v>2480950</v>
      </c>
    </row>
    <row r="20" spans="1:11" ht="20.100000000000001" hidden="1" customHeight="1" outlineLevel="1" x14ac:dyDescent="0.2">
      <c r="A20" s="93">
        <v>29952</v>
      </c>
      <c r="B20" s="86">
        <f t="shared" ref="B20:B31" si="0">(B33/G33)*G20</f>
        <v>238234.14087574635</v>
      </c>
      <c r="C20" s="86">
        <v>261523.14087574635</v>
      </c>
      <c r="D20" s="86">
        <v>-23289</v>
      </c>
      <c r="E20" s="92">
        <f t="shared" ref="E20:E85" si="1">D20/G19*100</f>
        <v>-0.93871299300671107</v>
      </c>
      <c r="F20" s="86">
        <f t="shared" ref="F20:F31" si="2">(G20-G19)-D20</f>
        <v>417103</v>
      </c>
      <c r="G20" s="86">
        <v>2874764</v>
      </c>
      <c r="H20" s="6"/>
      <c r="I20" s="1" t="s">
        <v>29</v>
      </c>
      <c r="J20" s="1" t="s">
        <v>30</v>
      </c>
      <c r="K20" s="1" t="s">
        <v>31</v>
      </c>
    </row>
    <row r="21" spans="1:11" hidden="1" outlineLevel="1" x14ac:dyDescent="0.2">
      <c r="A21" s="93">
        <v>29983</v>
      </c>
      <c r="B21" s="86">
        <f t="shared" si="0"/>
        <v>224079.97000726408</v>
      </c>
      <c r="C21" s="86">
        <v>161175.97000726408</v>
      </c>
      <c r="D21" s="86">
        <v>62904</v>
      </c>
      <c r="E21" s="92">
        <f t="shared" si="1"/>
        <v>2.1881448355412827</v>
      </c>
      <c r="F21" s="86">
        <f t="shared" si="2"/>
        <v>0</v>
      </c>
      <c r="G21" s="86">
        <v>2937668</v>
      </c>
      <c r="H21" s="6"/>
      <c r="I21" s="1" t="s">
        <v>29</v>
      </c>
      <c r="J21" s="1" t="s">
        <v>30</v>
      </c>
      <c r="K21" s="1" t="s">
        <v>31</v>
      </c>
    </row>
    <row r="22" spans="1:11" hidden="1" outlineLevel="1" x14ac:dyDescent="0.2">
      <c r="A22" s="93">
        <v>30011</v>
      </c>
      <c r="B22" s="86">
        <f t="shared" si="0"/>
        <v>247218.80717606266</v>
      </c>
      <c r="C22" s="86">
        <v>118662.80717606266</v>
      </c>
      <c r="D22" s="86">
        <v>128556</v>
      </c>
      <c r="E22" s="92">
        <f t="shared" si="1"/>
        <v>4.3761241910249895</v>
      </c>
      <c r="F22" s="86">
        <f t="shared" si="2"/>
        <v>0</v>
      </c>
      <c r="G22" s="86">
        <v>3066224</v>
      </c>
      <c r="H22" s="6"/>
      <c r="I22" s="1" t="s">
        <v>29</v>
      </c>
      <c r="J22" s="1" t="s">
        <v>30</v>
      </c>
      <c r="K22" s="1" t="s">
        <v>31</v>
      </c>
    </row>
    <row r="23" spans="1:11" hidden="1" outlineLevel="1" x14ac:dyDescent="0.2">
      <c r="A23" s="93">
        <v>30042</v>
      </c>
      <c r="B23" s="86">
        <f t="shared" si="0"/>
        <v>264925.03015440673</v>
      </c>
      <c r="C23" s="86">
        <v>378395.03015440673</v>
      </c>
      <c r="D23" s="86">
        <v>-113470</v>
      </c>
      <c r="E23" s="92">
        <f t="shared" si="1"/>
        <v>-3.7006428754063632</v>
      </c>
      <c r="F23" s="86">
        <f t="shared" si="2"/>
        <v>485995</v>
      </c>
      <c r="G23" s="86">
        <v>3438749</v>
      </c>
      <c r="H23" s="6"/>
      <c r="I23" s="1" t="s">
        <v>29</v>
      </c>
      <c r="J23" s="1" t="s">
        <v>30</v>
      </c>
      <c r="K23" s="1" t="s">
        <v>31</v>
      </c>
    </row>
    <row r="24" spans="1:11" hidden="1" outlineLevel="1" x14ac:dyDescent="0.2">
      <c r="A24" s="93">
        <v>30072</v>
      </c>
      <c r="B24" s="86">
        <f t="shared" si="0"/>
        <v>227636.31596993457</v>
      </c>
      <c r="C24" s="86">
        <v>137201.31596993457</v>
      </c>
      <c r="D24" s="86">
        <v>90435</v>
      </c>
      <c r="E24" s="92">
        <f t="shared" si="1"/>
        <v>2.6298808083986356</v>
      </c>
      <c r="F24" s="86">
        <f t="shared" si="2"/>
        <v>0</v>
      </c>
      <c r="G24" s="86">
        <v>3529184</v>
      </c>
      <c r="H24" s="6"/>
      <c r="I24" s="1" t="s">
        <v>29</v>
      </c>
      <c r="J24" s="1" t="s">
        <v>30</v>
      </c>
      <c r="K24" s="1" t="s">
        <v>31</v>
      </c>
    </row>
    <row r="25" spans="1:11" hidden="1" outlineLevel="1" x14ac:dyDescent="0.2">
      <c r="A25" s="93">
        <v>30103</v>
      </c>
      <c r="B25" s="86">
        <f t="shared" si="0"/>
        <v>319538.86729067174</v>
      </c>
      <c r="C25" s="86">
        <v>154799.86729067174</v>
      </c>
      <c r="D25" s="86">
        <v>164739</v>
      </c>
      <c r="E25" s="92">
        <f t="shared" si="1"/>
        <v>4.6679062355490668</v>
      </c>
      <c r="F25" s="86">
        <f t="shared" si="2"/>
        <v>0</v>
      </c>
      <c r="G25" s="86">
        <v>3693923</v>
      </c>
      <c r="H25" s="6"/>
      <c r="I25" s="1" t="s">
        <v>29</v>
      </c>
      <c r="J25" s="1" t="s">
        <v>30</v>
      </c>
      <c r="K25" s="1" t="s">
        <v>31</v>
      </c>
    </row>
    <row r="26" spans="1:11" hidden="1" outlineLevel="1" x14ac:dyDescent="0.2">
      <c r="A26" s="93">
        <v>30133</v>
      </c>
      <c r="B26" s="86">
        <f t="shared" si="0"/>
        <v>396887.73907521053</v>
      </c>
      <c r="C26" s="86">
        <v>496230.73907521053</v>
      </c>
      <c r="D26" s="86">
        <v>-99343</v>
      </c>
      <c r="E26" s="92">
        <f t="shared" si="1"/>
        <v>-2.6893630430304043</v>
      </c>
      <c r="F26" s="86">
        <f t="shared" si="2"/>
        <v>642432</v>
      </c>
      <c r="G26" s="86">
        <v>4237012</v>
      </c>
      <c r="H26" s="6"/>
      <c r="I26" s="1" t="s">
        <v>29</v>
      </c>
      <c r="J26" s="1" t="s">
        <v>30</v>
      </c>
      <c r="K26" s="1" t="s">
        <v>31</v>
      </c>
    </row>
    <row r="27" spans="1:11" hidden="1" outlineLevel="1" x14ac:dyDescent="0.2">
      <c r="A27" s="93">
        <v>30164</v>
      </c>
      <c r="B27" s="86">
        <f t="shared" si="0"/>
        <v>435464.39303754212</v>
      </c>
      <c r="C27" s="86">
        <v>300647.39303754212</v>
      </c>
      <c r="D27" s="86">
        <v>134817</v>
      </c>
      <c r="E27" s="92">
        <f t="shared" si="1"/>
        <v>3.1818885573135032</v>
      </c>
      <c r="F27" s="86">
        <f t="shared" si="2"/>
        <v>0</v>
      </c>
      <c r="G27" s="86">
        <v>4371829</v>
      </c>
      <c r="H27" s="6"/>
      <c r="I27" s="1" t="s">
        <v>29</v>
      </c>
      <c r="J27" s="1" t="s">
        <v>30</v>
      </c>
      <c r="K27" s="1" t="s">
        <v>31</v>
      </c>
    </row>
    <row r="28" spans="1:11" hidden="1" outlineLevel="1" x14ac:dyDescent="0.2">
      <c r="A28" s="93">
        <v>30195</v>
      </c>
      <c r="B28" s="86">
        <f t="shared" si="0"/>
        <v>450126.847392825</v>
      </c>
      <c r="C28" s="86">
        <v>235289.847392825</v>
      </c>
      <c r="D28" s="86">
        <v>214837</v>
      </c>
      <c r="E28" s="92">
        <f t="shared" si="1"/>
        <v>4.9141217554483489</v>
      </c>
      <c r="F28" s="86">
        <f t="shared" si="2"/>
        <v>0</v>
      </c>
      <c r="G28" s="86">
        <v>4586666</v>
      </c>
      <c r="H28" s="6"/>
      <c r="I28" s="1" t="s">
        <v>29</v>
      </c>
      <c r="J28" s="1" t="s">
        <v>30</v>
      </c>
      <c r="K28" s="1" t="s">
        <v>31</v>
      </c>
    </row>
    <row r="29" spans="1:11" hidden="1" outlineLevel="1" x14ac:dyDescent="0.2">
      <c r="A29" s="93">
        <v>30225</v>
      </c>
      <c r="B29" s="86">
        <f t="shared" si="0"/>
        <v>553765.8620737209</v>
      </c>
      <c r="C29" s="86">
        <v>796711.8620737209</v>
      </c>
      <c r="D29" s="86">
        <v>-242946</v>
      </c>
      <c r="E29" s="92">
        <f t="shared" si="1"/>
        <v>-5.2967885605797331</v>
      </c>
      <c r="F29" s="86">
        <f t="shared" si="2"/>
        <v>957944</v>
      </c>
      <c r="G29" s="86">
        <v>5301664</v>
      </c>
      <c r="H29" s="6"/>
      <c r="I29" s="1" t="s">
        <v>29</v>
      </c>
      <c r="J29" s="1" t="s">
        <v>30</v>
      </c>
      <c r="K29" s="1" t="s">
        <v>31</v>
      </c>
    </row>
    <row r="30" spans="1:11" hidden="1" outlineLevel="1" x14ac:dyDescent="0.2">
      <c r="A30" s="93">
        <v>30256</v>
      </c>
      <c r="B30" s="86">
        <f t="shared" si="0"/>
        <v>534026.73674633808</v>
      </c>
      <c r="C30" s="86">
        <v>416365.73674633808</v>
      </c>
      <c r="D30" s="86">
        <v>117661</v>
      </c>
      <c r="E30" s="92">
        <f t="shared" si="1"/>
        <v>2.2193220845379868</v>
      </c>
      <c r="F30" s="86">
        <f t="shared" si="2"/>
        <v>0</v>
      </c>
      <c r="G30" s="86">
        <v>5419325</v>
      </c>
      <c r="H30" s="6"/>
      <c r="I30" s="1" t="s">
        <v>29</v>
      </c>
      <c r="J30" s="1" t="s">
        <v>30</v>
      </c>
      <c r="K30" s="1" t="s">
        <v>31</v>
      </c>
    </row>
    <row r="31" spans="1:11" hidden="1" outlineLevel="1" x14ac:dyDescent="0.2">
      <c r="A31" s="93">
        <v>30286</v>
      </c>
      <c r="B31" s="86">
        <f t="shared" si="0"/>
        <v>536215.49868563598</v>
      </c>
      <c r="C31" s="86">
        <v>255281.49868563598</v>
      </c>
      <c r="D31" s="86">
        <v>280934</v>
      </c>
      <c r="E31" s="92">
        <f t="shared" si="1"/>
        <v>5.1839297329464458</v>
      </c>
      <c r="F31" s="86">
        <f t="shared" si="2"/>
        <v>0</v>
      </c>
      <c r="G31" s="86">
        <v>5700259</v>
      </c>
      <c r="H31" s="6"/>
      <c r="I31" s="1" t="s">
        <v>29</v>
      </c>
      <c r="J31" s="1" t="s">
        <v>30</v>
      </c>
      <c r="K31" s="1" t="s">
        <v>31</v>
      </c>
    </row>
    <row r="32" spans="1:11" hidden="1" collapsed="1" x14ac:dyDescent="0.2">
      <c r="A32" s="83" t="s">
        <v>32</v>
      </c>
      <c r="B32" s="84">
        <f>SUM(B20:B31)</f>
        <v>4428120.2084853593</v>
      </c>
      <c r="C32" s="84">
        <f>SUM(C20:C31)</f>
        <v>3712285.2084853593</v>
      </c>
      <c r="D32" s="84">
        <f>SUM(D20:D31)</f>
        <v>715835</v>
      </c>
      <c r="E32" s="91">
        <f>(D32/G19*100)</f>
        <v>28.853261855337674</v>
      </c>
      <c r="F32" s="84">
        <f>SUM(F20:F31)</f>
        <v>2503474</v>
      </c>
      <c r="G32" s="85">
        <f>G31</f>
        <v>5700259</v>
      </c>
      <c r="I32" s="1" t="s">
        <v>29</v>
      </c>
      <c r="J32" s="1" t="s">
        <v>30</v>
      </c>
      <c r="K32" s="1" t="s">
        <v>31</v>
      </c>
    </row>
    <row r="33" spans="1:11" ht="20.100000000000001" hidden="1" customHeight="1" outlineLevel="1" x14ac:dyDescent="0.2">
      <c r="A33" s="93">
        <v>30317</v>
      </c>
      <c r="B33" s="86">
        <f t="shared" ref="B33:B44" si="3">(B46/G46)*G33</f>
        <v>548239.24576056167</v>
      </c>
      <c r="C33" s="86">
        <v>841763.24576056167</v>
      </c>
      <c r="D33" s="86">
        <v>-293524</v>
      </c>
      <c r="E33" s="92">
        <f t="shared" si="1"/>
        <v>-5.1493098822351762</v>
      </c>
      <c r="F33" s="86">
        <f>(G33-G31)-D33</f>
        <v>1208851</v>
      </c>
      <c r="G33" s="86">
        <v>6615586</v>
      </c>
      <c r="H33" s="6"/>
      <c r="I33" s="1" t="s">
        <v>29</v>
      </c>
      <c r="J33" s="1" t="s">
        <v>30</v>
      </c>
      <c r="K33" s="1" t="s">
        <v>31</v>
      </c>
    </row>
    <row r="34" spans="1:11" hidden="1" outlineLevel="1" x14ac:dyDescent="0.2">
      <c r="A34" s="93">
        <v>30348</v>
      </c>
      <c r="B34" s="86">
        <f t="shared" si="3"/>
        <v>511896.23325759027</v>
      </c>
      <c r="C34" s="86">
        <v>416569.23325759027</v>
      </c>
      <c r="D34" s="86">
        <v>95327</v>
      </c>
      <c r="E34" s="92">
        <f t="shared" si="1"/>
        <v>1.4409456698167025</v>
      </c>
      <c r="F34" s="86">
        <f t="shared" ref="F34:F44" si="4">(G34-G33)-D34</f>
        <v>0</v>
      </c>
      <c r="G34" s="86">
        <v>6710913</v>
      </c>
      <c r="H34" s="6"/>
      <c r="I34" s="1" t="s">
        <v>29</v>
      </c>
      <c r="J34" s="1" t="s">
        <v>30</v>
      </c>
      <c r="K34" s="1" t="s">
        <v>31</v>
      </c>
    </row>
    <row r="35" spans="1:11" hidden="1" outlineLevel="1" x14ac:dyDescent="0.2">
      <c r="A35" s="93">
        <v>30376</v>
      </c>
      <c r="B35" s="86">
        <f t="shared" si="3"/>
        <v>558100.51432376483</v>
      </c>
      <c r="C35" s="86">
        <v>346962.51432376483</v>
      </c>
      <c r="D35" s="86">
        <v>211138</v>
      </c>
      <c r="E35" s="92">
        <f t="shared" si="1"/>
        <v>3.1461889015697269</v>
      </c>
      <c r="F35" s="86">
        <f t="shared" si="4"/>
        <v>0</v>
      </c>
      <c r="G35" s="86">
        <v>6922051</v>
      </c>
      <c r="H35" s="6"/>
      <c r="I35" s="1" t="s">
        <v>29</v>
      </c>
      <c r="J35" s="1" t="s">
        <v>30</v>
      </c>
      <c r="K35" s="1" t="s">
        <v>31</v>
      </c>
    </row>
    <row r="36" spans="1:11" hidden="1" outlineLevel="1" x14ac:dyDescent="0.2">
      <c r="A36" s="93">
        <v>30407</v>
      </c>
      <c r="B36" s="86">
        <f t="shared" si="3"/>
        <v>625943.58733322029</v>
      </c>
      <c r="C36" s="86">
        <v>960448.58733322029</v>
      </c>
      <c r="D36" s="86">
        <v>-334505</v>
      </c>
      <c r="E36" s="92">
        <f t="shared" si="1"/>
        <v>-4.8324550050266897</v>
      </c>
      <c r="F36" s="86">
        <f t="shared" si="4"/>
        <v>1537254</v>
      </c>
      <c r="G36" s="86">
        <v>8124800</v>
      </c>
      <c r="H36" s="6"/>
      <c r="I36" s="1" t="s">
        <v>29</v>
      </c>
      <c r="J36" s="1" t="s">
        <v>30</v>
      </c>
      <c r="K36" s="1" t="s">
        <v>31</v>
      </c>
    </row>
    <row r="37" spans="1:11" hidden="1" outlineLevel="1" x14ac:dyDescent="0.2">
      <c r="A37" s="93">
        <v>30437</v>
      </c>
      <c r="B37" s="86">
        <f t="shared" si="3"/>
        <v>533873.75964453921</v>
      </c>
      <c r="C37" s="86">
        <v>381704.75964453921</v>
      </c>
      <c r="D37" s="86">
        <v>152169</v>
      </c>
      <c r="E37" s="92">
        <f t="shared" si="1"/>
        <v>1.8728953328081923</v>
      </c>
      <c r="F37" s="86">
        <f t="shared" si="4"/>
        <v>0</v>
      </c>
      <c r="G37" s="86">
        <v>8276969</v>
      </c>
      <c r="H37" s="6"/>
      <c r="I37" s="1" t="s">
        <v>29</v>
      </c>
      <c r="J37" s="1" t="s">
        <v>30</v>
      </c>
      <c r="K37" s="1" t="s">
        <v>31</v>
      </c>
    </row>
    <row r="38" spans="1:11" hidden="1" outlineLevel="1" x14ac:dyDescent="0.2">
      <c r="A38" s="93">
        <v>30468</v>
      </c>
      <c r="B38" s="86">
        <f t="shared" si="3"/>
        <v>740470.55139182042</v>
      </c>
      <c r="C38" s="86">
        <v>457475.55139182042</v>
      </c>
      <c r="D38" s="86">
        <v>282995</v>
      </c>
      <c r="E38" s="92">
        <f t="shared" si="1"/>
        <v>3.4190656023962394</v>
      </c>
      <c r="F38" s="86">
        <f t="shared" si="4"/>
        <v>0</v>
      </c>
      <c r="G38" s="86">
        <v>8559964</v>
      </c>
      <c r="H38" s="6"/>
      <c r="I38" s="1" t="s">
        <v>29</v>
      </c>
      <c r="J38" s="1" t="s">
        <v>30</v>
      </c>
      <c r="K38" s="1" t="s">
        <v>31</v>
      </c>
    </row>
    <row r="39" spans="1:11" hidden="1" outlineLevel="1" x14ac:dyDescent="0.2">
      <c r="A39" s="93">
        <v>30498</v>
      </c>
      <c r="B39" s="86">
        <f t="shared" si="3"/>
        <v>945127.16308258881</v>
      </c>
      <c r="C39" s="86">
        <v>1538270.1630825889</v>
      </c>
      <c r="D39" s="86">
        <v>-593143</v>
      </c>
      <c r="E39" s="92">
        <f t="shared" si="1"/>
        <v>-6.9292697959944691</v>
      </c>
      <c r="F39" s="86">
        <f t="shared" si="4"/>
        <v>2122972</v>
      </c>
      <c r="G39" s="86">
        <v>10089793</v>
      </c>
      <c r="H39" s="6"/>
      <c r="I39" s="1" t="s">
        <v>29</v>
      </c>
      <c r="J39" s="1" t="s">
        <v>30</v>
      </c>
      <c r="K39" s="1" t="s">
        <v>31</v>
      </c>
    </row>
    <row r="40" spans="1:11" hidden="1" outlineLevel="1" x14ac:dyDescent="0.2">
      <c r="A40" s="93">
        <v>30529</v>
      </c>
      <c r="B40" s="86">
        <f t="shared" si="3"/>
        <v>1186229.3908051171</v>
      </c>
      <c r="C40" s="86">
        <v>269024.39080511709</v>
      </c>
      <c r="D40" s="86">
        <v>917205</v>
      </c>
      <c r="E40" s="92">
        <f t="shared" si="1"/>
        <v>9.0904243526106026</v>
      </c>
      <c r="F40" s="86">
        <f t="shared" si="4"/>
        <v>902109</v>
      </c>
      <c r="G40" s="86">
        <v>11909107</v>
      </c>
      <c r="H40" s="6"/>
      <c r="I40" s="1" t="s">
        <v>29</v>
      </c>
      <c r="J40" s="1" t="s">
        <v>30</v>
      </c>
      <c r="K40" s="1" t="s">
        <v>31</v>
      </c>
    </row>
    <row r="41" spans="1:11" hidden="1" outlineLevel="1" x14ac:dyDescent="0.2">
      <c r="A41" s="93">
        <v>30560</v>
      </c>
      <c r="B41" s="86">
        <f t="shared" si="3"/>
        <v>1315353.1771502388</v>
      </c>
      <c r="C41" s="86">
        <v>926180.17715023877</v>
      </c>
      <c r="D41" s="86">
        <v>389173</v>
      </c>
      <c r="E41" s="92">
        <f t="shared" si="1"/>
        <v>3.2678604701427236</v>
      </c>
      <c r="F41" s="86">
        <f t="shared" si="4"/>
        <v>1104799</v>
      </c>
      <c r="G41" s="86">
        <v>13403079</v>
      </c>
      <c r="H41" s="6"/>
      <c r="I41" s="1" t="s">
        <v>29</v>
      </c>
      <c r="J41" s="1" t="s">
        <v>30</v>
      </c>
      <c r="K41" s="1" t="s">
        <v>31</v>
      </c>
    </row>
    <row r="42" spans="1:11" hidden="1" outlineLevel="1" x14ac:dyDescent="0.2">
      <c r="A42" s="93">
        <v>30590</v>
      </c>
      <c r="B42" s="86">
        <f t="shared" si="3"/>
        <v>1580049.7004861382</v>
      </c>
      <c r="C42" s="86">
        <v>1114578.7004861382</v>
      </c>
      <c r="D42" s="86">
        <v>465471</v>
      </c>
      <c r="E42" s="92">
        <f t="shared" si="1"/>
        <v>3.4728661973864363</v>
      </c>
      <c r="F42" s="86">
        <f t="shared" si="4"/>
        <v>1258588</v>
      </c>
      <c r="G42" s="86">
        <v>15127138</v>
      </c>
      <c r="H42" s="6"/>
      <c r="I42" s="1" t="s">
        <v>29</v>
      </c>
      <c r="J42" s="1" t="s">
        <v>30</v>
      </c>
      <c r="K42" s="1" t="s">
        <v>31</v>
      </c>
    </row>
    <row r="43" spans="1:11" hidden="1" outlineLevel="1" x14ac:dyDescent="0.2">
      <c r="A43" s="93">
        <v>30621</v>
      </c>
      <c r="B43" s="86">
        <f t="shared" si="3"/>
        <v>1662790.2551594754</v>
      </c>
      <c r="C43" s="86">
        <v>1400560.2551594754</v>
      </c>
      <c r="D43" s="86">
        <v>262230</v>
      </c>
      <c r="E43" s="92">
        <f t="shared" si="1"/>
        <v>1.7335070255854081</v>
      </c>
      <c r="F43" s="86">
        <f t="shared" si="4"/>
        <v>1484695</v>
      </c>
      <c r="G43" s="86">
        <v>16874063</v>
      </c>
      <c r="H43" s="6"/>
      <c r="I43" s="1" t="s">
        <v>29</v>
      </c>
      <c r="J43" s="1" t="s">
        <v>30</v>
      </c>
      <c r="K43" s="1" t="s">
        <v>31</v>
      </c>
    </row>
    <row r="44" spans="1:11" hidden="1" outlineLevel="1" x14ac:dyDescent="0.2">
      <c r="A44" s="93">
        <v>30651</v>
      </c>
      <c r="B44" s="86">
        <f t="shared" si="3"/>
        <v>1708984.2253390406</v>
      </c>
      <c r="C44" s="86">
        <v>1727705.2253390406</v>
      </c>
      <c r="D44" s="86">
        <v>-18721</v>
      </c>
      <c r="E44" s="92">
        <f t="shared" si="1"/>
        <v>-0.11094541960641015</v>
      </c>
      <c r="F44" s="86">
        <f t="shared" si="4"/>
        <v>1312079</v>
      </c>
      <c r="G44" s="86">
        <v>18167421</v>
      </c>
      <c r="H44" s="6"/>
      <c r="I44" s="1" t="s">
        <v>29</v>
      </c>
      <c r="J44" s="1" t="s">
        <v>30</v>
      </c>
      <c r="K44" s="1" t="s">
        <v>31</v>
      </c>
    </row>
    <row r="45" spans="1:11" hidden="1" collapsed="1" x14ac:dyDescent="0.2">
      <c r="A45" s="83" t="s">
        <v>33</v>
      </c>
      <c r="B45" s="84">
        <f>SUM(B33:B44)</f>
        <v>11917057.803734094</v>
      </c>
      <c r="C45" s="84">
        <f>SUM(C33:C44)</f>
        <v>10381242.803734096</v>
      </c>
      <c r="D45" s="84">
        <f>SUM(D33:D44)</f>
        <v>1535815</v>
      </c>
      <c r="E45" s="91">
        <f>(D45/G32*100)</f>
        <v>26.942898559521595</v>
      </c>
      <c r="F45" s="84">
        <f>SUM(F33:F44)</f>
        <v>10931347</v>
      </c>
      <c r="G45" s="85">
        <f>G44</f>
        <v>18167421</v>
      </c>
      <c r="I45" s="1" t="s">
        <v>29</v>
      </c>
      <c r="J45" s="1" t="s">
        <v>30</v>
      </c>
      <c r="K45" s="1" t="s">
        <v>31</v>
      </c>
    </row>
    <row r="46" spans="1:11" ht="20.100000000000001" hidden="1" customHeight="1" outlineLevel="1" x14ac:dyDescent="0.2">
      <c r="A46" s="93">
        <v>30682</v>
      </c>
      <c r="B46" s="86">
        <v>1630485</v>
      </c>
      <c r="C46" s="86">
        <v>1541240</v>
      </c>
      <c r="D46" s="86">
        <v>89245</v>
      </c>
      <c r="E46" s="92">
        <f t="shared" si="1"/>
        <v>0.49123648315300228</v>
      </c>
      <c r="F46" s="86">
        <f>(G46-G44)-D46</f>
        <v>1418346</v>
      </c>
      <c r="G46" s="86">
        <v>19675012</v>
      </c>
      <c r="H46" s="6"/>
      <c r="I46" s="1" t="s">
        <v>29</v>
      </c>
      <c r="J46" s="1" t="s">
        <v>30</v>
      </c>
      <c r="K46" s="1" t="s">
        <v>31</v>
      </c>
    </row>
    <row r="47" spans="1:11" hidden="1" outlineLevel="1" x14ac:dyDescent="0.2">
      <c r="A47" s="93">
        <v>30713</v>
      </c>
      <c r="B47" s="86">
        <v>1650612</v>
      </c>
      <c r="C47" s="86">
        <v>1604467</v>
      </c>
      <c r="D47" s="86">
        <v>46145</v>
      </c>
      <c r="E47" s="92">
        <f t="shared" si="1"/>
        <v>0.23453607042272706</v>
      </c>
      <c r="F47" s="86">
        <f t="shared" ref="F47:F57" si="5">(G47-G46)-D47</f>
        <v>1918216</v>
      </c>
      <c r="G47" s="86">
        <v>21639373</v>
      </c>
      <c r="H47" s="6"/>
      <c r="I47" s="1" t="s">
        <v>29</v>
      </c>
      <c r="J47" s="1" t="s">
        <v>30</v>
      </c>
      <c r="K47" s="1" t="s">
        <v>31</v>
      </c>
    </row>
    <row r="48" spans="1:11" hidden="1" outlineLevel="1" x14ac:dyDescent="0.2">
      <c r="A48" s="93">
        <v>30742</v>
      </c>
      <c r="B48" s="86">
        <v>1978958</v>
      </c>
      <c r="C48" s="86">
        <v>1877261</v>
      </c>
      <c r="D48" s="86">
        <v>101697</v>
      </c>
      <c r="E48" s="92">
        <f t="shared" si="1"/>
        <v>0.46996278496608934</v>
      </c>
      <c r="F48" s="86">
        <f t="shared" si="5"/>
        <v>2803699</v>
      </c>
      <c r="G48" s="86">
        <v>24544769</v>
      </c>
      <c r="H48" s="6"/>
      <c r="I48" s="1" t="s">
        <v>29</v>
      </c>
      <c r="J48" s="1" t="s">
        <v>30</v>
      </c>
      <c r="K48" s="1" t="s">
        <v>31</v>
      </c>
    </row>
    <row r="49" spans="1:11" hidden="1" outlineLevel="1" x14ac:dyDescent="0.2">
      <c r="A49" s="93">
        <v>30773</v>
      </c>
      <c r="B49" s="86">
        <v>2069686</v>
      </c>
      <c r="C49" s="86">
        <v>2158194</v>
      </c>
      <c r="D49" s="86">
        <v>-88508</v>
      </c>
      <c r="E49" s="92">
        <f t="shared" si="1"/>
        <v>-0.36059821952286453</v>
      </c>
      <c r="F49" s="86">
        <f t="shared" si="5"/>
        <v>2408436</v>
      </c>
      <c r="G49" s="86">
        <v>26864697</v>
      </c>
      <c r="H49" s="6"/>
      <c r="I49" s="1" t="s">
        <v>29</v>
      </c>
      <c r="J49" s="1" t="s">
        <v>30</v>
      </c>
      <c r="K49" s="1" t="s">
        <v>31</v>
      </c>
    </row>
    <row r="50" spans="1:11" hidden="1" outlineLevel="1" x14ac:dyDescent="0.2">
      <c r="A50" s="93">
        <v>30803</v>
      </c>
      <c r="B50" s="86">
        <v>1874785</v>
      </c>
      <c r="C50" s="86">
        <v>2155937</v>
      </c>
      <c r="D50" s="86">
        <v>-281152</v>
      </c>
      <c r="E50" s="92">
        <f t="shared" si="1"/>
        <v>-1.0465481892462811</v>
      </c>
      <c r="F50" s="86">
        <f t="shared" si="5"/>
        <v>2482385</v>
      </c>
      <c r="G50" s="86">
        <v>29065930</v>
      </c>
      <c r="H50" s="6"/>
      <c r="I50" s="1" t="s">
        <v>29</v>
      </c>
      <c r="J50" s="1" t="s">
        <v>30</v>
      </c>
      <c r="K50" s="1" t="s">
        <v>31</v>
      </c>
    </row>
    <row r="51" spans="1:11" hidden="1" outlineLevel="1" x14ac:dyDescent="0.2">
      <c r="A51" s="93">
        <v>30834</v>
      </c>
      <c r="B51" s="86">
        <v>2687515</v>
      </c>
      <c r="C51" s="86">
        <v>3065307</v>
      </c>
      <c r="D51" s="86">
        <v>-377792</v>
      </c>
      <c r="E51" s="92">
        <f t="shared" si="1"/>
        <v>-1.2997760608382392</v>
      </c>
      <c r="F51" s="86">
        <f t="shared" si="5"/>
        <v>2379987</v>
      </c>
      <c r="G51" s="86">
        <v>31068125</v>
      </c>
      <c r="H51" s="6"/>
      <c r="I51" s="1" t="s">
        <v>29</v>
      </c>
      <c r="J51" s="1" t="s">
        <v>30</v>
      </c>
      <c r="K51" s="1" t="s">
        <v>31</v>
      </c>
    </row>
    <row r="52" spans="1:11" hidden="1" outlineLevel="1" x14ac:dyDescent="0.2">
      <c r="A52" s="93">
        <v>30864</v>
      </c>
      <c r="B52" s="86">
        <v>3230899</v>
      </c>
      <c r="C52" s="86">
        <v>3199392</v>
      </c>
      <c r="D52" s="86">
        <v>31507</v>
      </c>
      <c r="E52" s="92">
        <f t="shared" si="1"/>
        <v>0.10141262145687904</v>
      </c>
      <c r="F52" s="86">
        <f t="shared" si="5"/>
        <v>3392131</v>
      </c>
      <c r="G52" s="86">
        <v>34491763</v>
      </c>
      <c r="H52" s="6"/>
      <c r="I52" s="1" t="s">
        <v>29</v>
      </c>
      <c r="J52" s="1" t="s">
        <v>30</v>
      </c>
      <c r="K52" s="1" t="s">
        <v>31</v>
      </c>
    </row>
    <row r="53" spans="1:11" hidden="1" outlineLevel="1" x14ac:dyDescent="0.2">
      <c r="A53" s="93">
        <v>30895</v>
      </c>
      <c r="B53" s="86">
        <v>3824900</v>
      </c>
      <c r="C53" s="86">
        <v>3282489</v>
      </c>
      <c r="D53" s="86">
        <v>542411</v>
      </c>
      <c r="E53" s="92">
        <f t="shared" si="1"/>
        <v>1.5725812565742145</v>
      </c>
      <c r="F53" s="86">
        <f t="shared" si="5"/>
        <v>3365771</v>
      </c>
      <c r="G53" s="86">
        <v>38399945</v>
      </c>
      <c r="H53" s="6"/>
      <c r="I53" s="1" t="s">
        <v>29</v>
      </c>
      <c r="J53" s="1" t="s">
        <v>30</v>
      </c>
      <c r="K53" s="1" t="s">
        <v>31</v>
      </c>
    </row>
    <row r="54" spans="1:11" hidden="1" outlineLevel="1" x14ac:dyDescent="0.2">
      <c r="A54" s="93">
        <v>30926</v>
      </c>
      <c r="B54" s="86">
        <v>4253901</v>
      </c>
      <c r="C54" s="86">
        <v>3489604</v>
      </c>
      <c r="D54" s="86">
        <v>764297</v>
      </c>
      <c r="E54" s="92">
        <f t="shared" si="1"/>
        <v>1.9903596216088331</v>
      </c>
      <c r="F54" s="86">
        <f t="shared" si="5"/>
        <v>4181813</v>
      </c>
      <c r="G54" s="86">
        <v>43346055</v>
      </c>
      <c r="H54" s="6"/>
      <c r="I54" s="1" t="s">
        <v>29</v>
      </c>
      <c r="J54" s="1" t="s">
        <v>30</v>
      </c>
      <c r="K54" s="1" t="s">
        <v>31</v>
      </c>
    </row>
    <row r="55" spans="1:11" hidden="1" outlineLevel="1" x14ac:dyDescent="0.2">
      <c r="A55" s="93">
        <v>30956</v>
      </c>
      <c r="B55" s="86">
        <v>5106497</v>
      </c>
      <c r="C55" s="86">
        <v>4455207</v>
      </c>
      <c r="D55" s="86">
        <v>651290</v>
      </c>
      <c r="E55" s="92">
        <f t="shared" si="1"/>
        <v>1.5025358132360604</v>
      </c>
      <c r="F55" s="86">
        <f t="shared" si="5"/>
        <v>4891424</v>
      </c>
      <c r="G55" s="86">
        <v>48888769</v>
      </c>
      <c r="H55" s="6"/>
      <c r="I55" s="1" t="s">
        <v>29</v>
      </c>
      <c r="J55" s="1" t="s">
        <v>30</v>
      </c>
      <c r="K55" s="1" t="s">
        <v>31</v>
      </c>
    </row>
    <row r="56" spans="1:11" hidden="1" outlineLevel="1" x14ac:dyDescent="0.2">
      <c r="A56" s="93">
        <v>30987</v>
      </c>
      <c r="B56" s="86">
        <v>5477079</v>
      </c>
      <c r="C56" s="86">
        <v>4840858</v>
      </c>
      <c r="D56" s="86">
        <v>636221</v>
      </c>
      <c r="E56" s="92">
        <f t="shared" si="1"/>
        <v>1.3013643276638853</v>
      </c>
      <c r="F56" s="86">
        <f t="shared" si="5"/>
        <v>6056630</v>
      </c>
      <c r="G56" s="86">
        <v>55581620</v>
      </c>
      <c r="H56" s="6"/>
      <c r="I56" s="1" t="s">
        <v>29</v>
      </c>
      <c r="J56" s="1" t="s">
        <v>30</v>
      </c>
      <c r="K56" s="1" t="s">
        <v>31</v>
      </c>
    </row>
    <row r="57" spans="1:11" hidden="1" outlineLevel="1" x14ac:dyDescent="0.2">
      <c r="A57" s="93">
        <v>31017</v>
      </c>
      <c r="B57" s="86">
        <v>5752306</v>
      </c>
      <c r="C57" s="86">
        <v>5915605</v>
      </c>
      <c r="D57" s="86">
        <v>-163299</v>
      </c>
      <c r="E57" s="92">
        <f t="shared" si="1"/>
        <v>-0.29380036062281023</v>
      </c>
      <c r="F57" s="86">
        <f t="shared" si="5"/>
        <v>5731784</v>
      </c>
      <c r="G57" s="86">
        <v>61150105</v>
      </c>
      <c r="H57" s="6"/>
      <c r="I57" s="1" t="s">
        <v>29</v>
      </c>
      <c r="J57" s="1" t="s">
        <v>30</v>
      </c>
      <c r="K57" s="1" t="s">
        <v>31</v>
      </c>
    </row>
    <row r="58" spans="1:11" hidden="1" collapsed="1" x14ac:dyDescent="0.2">
      <c r="A58" s="83" t="s">
        <v>34</v>
      </c>
      <c r="B58" s="84">
        <f>SUM(B46:B57)</f>
        <v>39537623</v>
      </c>
      <c r="C58" s="84">
        <f>SUM(C46:C57)</f>
        <v>37585561</v>
      </c>
      <c r="D58" s="84">
        <f>SUM(D46:D57)</f>
        <v>1952062</v>
      </c>
      <c r="E58" s="91">
        <f>(D58/G45*100)</f>
        <v>10.744849255158451</v>
      </c>
      <c r="F58" s="84">
        <f>SUM(F46:F57)</f>
        <v>41030622</v>
      </c>
      <c r="G58" s="85">
        <f>G57</f>
        <v>61150105</v>
      </c>
      <c r="I58" s="1" t="s">
        <v>29</v>
      </c>
      <c r="J58" s="1" t="s">
        <v>30</v>
      </c>
      <c r="K58" s="1" t="s">
        <v>31</v>
      </c>
    </row>
    <row r="59" spans="1:11" ht="20.100000000000001" hidden="1" customHeight="1" outlineLevel="1" x14ac:dyDescent="0.2">
      <c r="A59" s="93">
        <v>31048</v>
      </c>
      <c r="B59" s="86">
        <v>7241433</v>
      </c>
      <c r="C59" s="86">
        <v>6204665</v>
      </c>
      <c r="D59" s="86">
        <v>1036768</v>
      </c>
      <c r="E59" s="92">
        <f t="shared" si="1"/>
        <v>1.6954476202452964</v>
      </c>
      <c r="F59" s="86">
        <f>(G59-G57)-D59</f>
        <v>7373061</v>
      </c>
      <c r="G59" s="86">
        <v>69559934</v>
      </c>
      <c r="H59" s="6"/>
      <c r="I59" s="1" t="s">
        <v>29</v>
      </c>
      <c r="J59" s="1" t="s">
        <v>30</v>
      </c>
      <c r="K59" s="1" t="s">
        <v>31</v>
      </c>
    </row>
    <row r="60" spans="1:11" hidden="1" outlineLevel="1" x14ac:dyDescent="0.2">
      <c r="A60" s="93">
        <v>31079</v>
      </c>
      <c r="B60" s="86">
        <v>7248432</v>
      </c>
      <c r="C60" s="86">
        <v>6974411</v>
      </c>
      <c r="D60" s="86">
        <v>274021</v>
      </c>
      <c r="E60" s="92">
        <f t="shared" si="1"/>
        <v>0.39393510637891055</v>
      </c>
      <c r="F60" s="86">
        <f t="shared" ref="F60:F70" si="6">(G60-G59)-D60</f>
        <v>8142879</v>
      </c>
      <c r="G60" s="86">
        <v>77976834</v>
      </c>
      <c r="H60" s="6"/>
      <c r="I60" s="1" t="s">
        <v>29</v>
      </c>
      <c r="J60" s="1" t="s">
        <v>30</v>
      </c>
      <c r="K60" s="1" t="s">
        <v>31</v>
      </c>
    </row>
    <row r="61" spans="1:11" hidden="1" outlineLevel="1" x14ac:dyDescent="0.2">
      <c r="A61" s="93">
        <v>31107</v>
      </c>
      <c r="B61" s="86">
        <v>8149767</v>
      </c>
      <c r="C61" s="86">
        <v>8786361</v>
      </c>
      <c r="D61" s="86">
        <v>-636594</v>
      </c>
      <c r="E61" s="92">
        <f t="shared" si="1"/>
        <v>-0.81638862126667011</v>
      </c>
      <c r="F61" s="86">
        <f t="shared" si="6"/>
        <v>9852217</v>
      </c>
      <c r="G61" s="86">
        <v>87192457</v>
      </c>
      <c r="H61" s="6"/>
      <c r="I61" s="1" t="s">
        <v>29</v>
      </c>
      <c r="J61" s="1" t="s">
        <v>30</v>
      </c>
      <c r="K61" s="1" t="s">
        <v>31</v>
      </c>
    </row>
    <row r="62" spans="1:11" hidden="1" outlineLevel="1" x14ac:dyDescent="0.2">
      <c r="A62" s="93">
        <v>31138</v>
      </c>
      <c r="B62" s="86">
        <v>9502009</v>
      </c>
      <c r="C62" s="86">
        <v>8961478</v>
      </c>
      <c r="D62" s="86">
        <v>540531</v>
      </c>
      <c r="E62" s="92">
        <f t="shared" si="1"/>
        <v>0.61992862524793857</v>
      </c>
      <c r="F62" s="86">
        <f t="shared" si="6"/>
        <v>10695909</v>
      </c>
      <c r="G62" s="86">
        <v>98428897</v>
      </c>
      <c r="H62" s="6"/>
      <c r="I62" s="1" t="s">
        <v>29</v>
      </c>
      <c r="J62" s="1" t="s">
        <v>30</v>
      </c>
      <c r="K62" s="1" t="s">
        <v>31</v>
      </c>
    </row>
    <row r="63" spans="1:11" hidden="1" outlineLevel="1" x14ac:dyDescent="0.2">
      <c r="A63" s="93">
        <v>31168</v>
      </c>
      <c r="B63" s="86">
        <v>9794707</v>
      </c>
      <c r="C63" s="86">
        <v>10289608</v>
      </c>
      <c r="D63" s="86">
        <v>-494901</v>
      </c>
      <c r="E63" s="92">
        <f t="shared" si="1"/>
        <v>-0.50280051395882253</v>
      </c>
      <c r="F63" s="86">
        <f t="shared" si="6"/>
        <v>12623190</v>
      </c>
      <c r="G63" s="86">
        <v>110557186</v>
      </c>
      <c r="H63" s="6"/>
      <c r="I63" s="1" t="s">
        <v>29</v>
      </c>
      <c r="J63" s="1" t="s">
        <v>30</v>
      </c>
      <c r="K63" s="1" t="s">
        <v>31</v>
      </c>
    </row>
    <row r="64" spans="1:11" hidden="1" outlineLevel="1" x14ac:dyDescent="0.2">
      <c r="A64" s="93">
        <v>31199</v>
      </c>
      <c r="B64" s="86">
        <v>9063398</v>
      </c>
      <c r="C64" s="86">
        <v>11417328</v>
      </c>
      <c r="D64" s="86">
        <v>-2353930</v>
      </c>
      <c r="E64" s="92">
        <f t="shared" si="1"/>
        <v>-2.1291515144026913</v>
      </c>
      <c r="F64" s="86">
        <f t="shared" si="6"/>
        <v>11128734</v>
      </c>
      <c r="G64" s="86">
        <v>119331990</v>
      </c>
      <c r="H64" s="6"/>
      <c r="I64" s="1" t="s">
        <v>29</v>
      </c>
      <c r="J64" s="1" t="s">
        <v>30</v>
      </c>
      <c r="K64" s="1" t="s">
        <v>31</v>
      </c>
    </row>
    <row r="65" spans="1:13" hidden="1" outlineLevel="1" x14ac:dyDescent="0.2">
      <c r="A65" s="93">
        <v>31229</v>
      </c>
      <c r="B65" s="86">
        <v>12262257</v>
      </c>
      <c r="C65" s="86">
        <v>15936487</v>
      </c>
      <c r="D65" s="86">
        <v>-3674230</v>
      </c>
      <c r="E65" s="92">
        <f t="shared" si="1"/>
        <v>-3.0789983473836311</v>
      </c>
      <c r="F65" s="86">
        <f t="shared" si="6"/>
        <v>11591056</v>
      </c>
      <c r="G65" s="86">
        <v>127248816</v>
      </c>
      <c r="H65" s="6"/>
      <c r="I65" s="1" t="s">
        <v>29</v>
      </c>
      <c r="J65" s="1" t="s">
        <v>30</v>
      </c>
      <c r="K65" s="1" t="s">
        <v>31</v>
      </c>
    </row>
    <row r="66" spans="1:13" hidden="1" outlineLevel="1" x14ac:dyDescent="0.2">
      <c r="A66" s="93">
        <v>31260</v>
      </c>
      <c r="B66" s="86">
        <v>10476419</v>
      </c>
      <c r="C66" s="86">
        <v>14941776</v>
      </c>
      <c r="D66" s="86">
        <v>-4465357</v>
      </c>
      <c r="E66" s="92">
        <f t="shared" si="1"/>
        <v>-3.5091540655278077</v>
      </c>
      <c r="F66" s="86">
        <f t="shared" si="6"/>
        <v>10014914</v>
      </c>
      <c r="G66" s="86">
        <v>132798373</v>
      </c>
      <c r="H66" s="6"/>
      <c r="I66" s="1" t="s">
        <v>29</v>
      </c>
      <c r="J66" s="1" t="s">
        <v>30</v>
      </c>
      <c r="K66" s="1" t="s">
        <v>31</v>
      </c>
    </row>
    <row r="67" spans="1:13" hidden="1" outlineLevel="1" x14ac:dyDescent="0.2">
      <c r="A67" s="93">
        <v>31291</v>
      </c>
      <c r="B67" s="86">
        <v>18997070</v>
      </c>
      <c r="C67" s="86">
        <v>13232890</v>
      </c>
      <c r="D67" s="86">
        <v>5764180</v>
      </c>
      <c r="E67" s="92">
        <f t="shared" si="1"/>
        <v>4.3405501662283168</v>
      </c>
      <c r="F67" s="86">
        <f t="shared" si="6"/>
        <v>11485552</v>
      </c>
      <c r="G67" s="86">
        <v>150048105</v>
      </c>
      <c r="H67" s="6"/>
      <c r="I67" s="1" t="s">
        <v>29</v>
      </c>
      <c r="J67" s="1" t="s">
        <v>30</v>
      </c>
      <c r="K67" s="1" t="s">
        <v>31</v>
      </c>
    </row>
    <row r="68" spans="1:13" hidden="1" outlineLevel="1" x14ac:dyDescent="0.2">
      <c r="A68" s="93">
        <v>31321</v>
      </c>
      <c r="B68" s="86">
        <v>18941187</v>
      </c>
      <c r="C68" s="86">
        <v>16677655</v>
      </c>
      <c r="D68" s="86">
        <v>2263532</v>
      </c>
      <c r="E68" s="92">
        <f t="shared" si="1"/>
        <v>1.508537545342542</v>
      </c>
      <c r="F68" s="86">
        <f t="shared" si="6"/>
        <v>14697334</v>
      </c>
      <c r="G68" s="86">
        <v>167008971</v>
      </c>
      <c r="H68" s="6"/>
      <c r="I68" s="1" t="s">
        <v>29</v>
      </c>
      <c r="J68" s="1" t="s">
        <v>30</v>
      </c>
      <c r="K68" s="1" t="s">
        <v>31</v>
      </c>
    </row>
    <row r="69" spans="1:13" hidden="1" outlineLevel="1" x14ac:dyDescent="0.2">
      <c r="A69" s="93">
        <v>31352</v>
      </c>
      <c r="B69" s="86">
        <v>20472655</v>
      </c>
      <c r="C69" s="86">
        <v>17935942</v>
      </c>
      <c r="D69" s="86">
        <v>2536713</v>
      </c>
      <c r="E69" s="92">
        <f t="shared" si="1"/>
        <v>1.5189082267922003</v>
      </c>
      <c r="F69" s="86">
        <f t="shared" si="6"/>
        <v>17051687</v>
      </c>
      <c r="G69" s="86">
        <v>186597371</v>
      </c>
      <c r="H69" s="6"/>
      <c r="I69" s="1" t="s">
        <v>29</v>
      </c>
      <c r="J69" s="1" t="s">
        <v>30</v>
      </c>
      <c r="K69" s="1" t="s">
        <v>31</v>
      </c>
    </row>
    <row r="70" spans="1:13" hidden="1" outlineLevel="1" x14ac:dyDescent="0.2">
      <c r="A70" s="93">
        <v>31382</v>
      </c>
      <c r="B70" s="86">
        <v>28478691</v>
      </c>
      <c r="C70" s="86">
        <v>22822801</v>
      </c>
      <c r="D70" s="86">
        <v>5655890</v>
      </c>
      <c r="E70" s="92">
        <f t="shared" si="1"/>
        <v>3.0310662844226246</v>
      </c>
      <c r="F70" s="86">
        <f t="shared" si="6"/>
        <v>24158622</v>
      </c>
      <c r="G70" s="86">
        <v>216411883</v>
      </c>
      <c r="H70" s="6"/>
      <c r="I70" s="1" t="s">
        <v>29</v>
      </c>
      <c r="J70" s="1" t="s">
        <v>30</v>
      </c>
      <c r="K70" s="1" t="s">
        <v>31</v>
      </c>
    </row>
    <row r="71" spans="1:13" hidden="1" collapsed="1" x14ac:dyDescent="0.2">
      <c r="A71" s="83" t="s">
        <v>35</v>
      </c>
      <c r="B71" s="84">
        <f>SUM(B59:B70)</f>
        <v>160628025</v>
      </c>
      <c r="C71" s="84">
        <f>SUM(C59:C70)</f>
        <v>154181402</v>
      </c>
      <c r="D71" s="84">
        <f>SUM(D59:D70)</f>
        <v>6446623</v>
      </c>
      <c r="E71" s="91">
        <f>(D71/G58*100)</f>
        <v>10.542292609309502</v>
      </c>
      <c r="F71" s="84">
        <f>SUM(F59:F70)</f>
        <v>148815155</v>
      </c>
      <c r="G71" s="85">
        <f>G70</f>
        <v>216411883</v>
      </c>
      <c r="I71" s="1" t="s">
        <v>29</v>
      </c>
      <c r="J71" s="1" t="s">
        <v>30</v>
      </c>
      <c r="K71" s="1" t="s">
        <v>31</v>
      </c>
    </row>
    <row r="72" spans="1:13" ht="20.100000000000001" hidden="1" customHeight="1" outlineLevel="1" x14ac:dyDescent="0.2">
      <c r="A72" s="93">
        <v>31413</v>
      </c>
      <c r="B72" s="86">
        <v>38777364</v>
      </c>
      <c r="C72" s="86">
        <v>22480542</v>
      </c>
      <c r="D72" s="86">
        <v>16296822</v>
      </c>
      <c r="E72" s="92">
        <f t="shared" si="1"/>
        <v>7.5304654134911804</v>
      </c>
      <c r="F72" s="86">
        <f>(G72-G70)-D72</f>
        <v>26196900</v>
      </c>
      <c r="G72" s="86">
        <v>258905605</v>
      </c>
      <c r="H72" s="6"/>
      <c r="I72" s="1" t="s">
        <v>29</v>
      </c>
      <c r="J72" s="1" t="s">
        <v>30</v>
      </c>
      <c r="K72" s="1" t="s">
        <v>31</v>
      </c>
    </row>
    <row r="73" spans="1:13" hidden="1" outlineLevel="1" x14ac:dyDescent="0.2">
      <c r="A73" s="93">
        <v>31444</v>
      </c>
      <c r="B73" s="86">
        <v>30489808</v>
      </c>
      <c r="C73" s="86">
        <v>24240854</v>
      </c>
      <c r="D73" s="86">
        <v>6248954</v>
      </c>
      <c r="E73" s="92">
        <f t="shared" si="1"/>
        <v>2.4136032126457825</v>
      </c>
      <c r="F73" s="86">
        <f>(G73-G72)-D73</f>
        <v>37532147</v>
      </c>
      <c r="G73" s="86">
        <v>302686706</v>
      </c>
      <c r="H73" s="6"/>
      <c r="I73" s="1" t="s">
        <v>29</v>
      </c>
      <c r="J73" s="1" t="s">
        <v>30</v>
      </c>
      <c r="K73" s="1" t="s">
        <v>31</v>
      </c>
    </row>
    <row r="74" spans="1:13" hidden="1" outlineLevel="1" x14ac:dyDescent="0.2">
      <c r="A74" s="93">
        <v>31472</v>
      </c>
      <c r="B74" s="86">
        <v>21826</v>
      </c>
      <c r="C74" s="86">
        <v>53875</v>
      </c>
      <c r="D74" s="86">
        <v>-32049</v>
      </c>
      <c r="E74" s="92">
        <f t="shared" si="1"/>
        <v>-1.058817561680426E-2</v>
      </c>
      <c r="F74" s="86">
        <f>(G74-(G73/1000))-D74</f>
        <v>31491.293999999994</v>
      </c>
      <c r="G74" s="86">
        <v>302129</v>
      </c>
      <c r="H74" s="6"/>
      <c r="I74" s="79" t="s">
        <v>36</v>
      </c>
      <c r="J74" s="79" t="s">
        <v>37</v>
      </c>
      <c r="K74" s="80" t="s">
        <v>31</v>
      </c>
      <c r="M74" s="74"/>
    </row>
    <row r="75" spans="1:13" hidden="1" outlineLevel="1" x14ac:dyDescent="0.2">
      <c r="A75" s="93">
        <v>31503</v>
      </c>
      <c r="B75" s="86">
        <v>15601</v>
      </c>
      <c r="C75" s="86">
        <v>33306</v>
      </c>
      <c r="D75" s="86">
        <v>-17705</v>
      </c>
      <c r="E75" s="92">
        <f t="shared" si="1"/>
        <v>-5.860079634857958</v>
      </c>
      <c r="F75" s="86">
        <f t="shared" ref="F75:F83" si="7">(G75-G74)-D75</f>
        <v>283</v>
      </c>
      <c r="G75" s="86">
        <v>284707</v>
      </c>
      <c r="H75" s="6"/>
      <c r="I75" s="6" t="s">
        <v>36</v>
      </c>
      <c r="J75" s="6" t="s">
        <v>37</v>
      </c>
      <c r="K75" s="1" t="s">
        <v>31</v>
      </c>
    </row>
    <row r="76" spans="1:13" hidden="1" outlineLevel="1" x14ac:dyDescent="0.2">
      <c r="A76" s="93">
        <v>31533</v>
      </c>
      <c r="B76" s="86">
        <v>16582</v>
      </c>
      <c r="C76" s="86">
        <v>17304</v>
      </c>
      <c r="D76" s="86">
        <v>-722</v>
      </c>
      <c r="E76" s="92">
        <f t="shared" si="1"/>
        <v>-0.25359404580849787</v>
      </c>
      <c r="F76" s="86">
        <f t="shared" si="7"/>
        <v>67</v>
      </c>
      <c r="G76" s="86">
        <v>284052</v>
      </c>
      <c r="H76" s="6"/>
      <c r="I76" s="6" t="s">
        <v>36</v>
      </c>
      <c r="J76" s="6" t="s">
        <v>37</v>
      </c>
      <c r="K76" s="1" t="s">
        <v>31</v>
      </c>
    </row>
    <row r="77" spans="1:13" hidden="1" outlineLevel="1" x14ac:dyDescent="0.2">
      <c r="A77" s="93">
        <v>31564</v>
      </c>
      <c r="B77" s="86">
        <v>22580</v>
      </c>
      <c r="C77" s="86">
        <v>26373</v>
      </c>
      <c r="D77" s="86">
        <v>-3793</v>
      </c>
      <c r="E77" s="92">
        <f t="shared" si="1"/>
        <v>-1.3353188852745272</v>
      </c>
      <c r="F77" s="86">
        <f t="shared" si="7"/>
        <v>5835</v>
      </c>
      <c r="G77" s="86">
        <v>286094</v>
      </c>
      <c r="H77" s="6"/>
      <c r="I77" s="6" t="s">
        <v>36</v>
      </c>
      <c r="J77" s="6" t="s">
        <v>37</v>
      </c>
      <c r="K77" s="1" t="s">
        <v>31</v>
      </c>
    </row>
    <row r="78" spans="1:13" hidden="1" outlineLevel="1" x14ac:dyDescent="0.2">
      <c r="A78" s="93">
        <v>31594</v>
      </c>
      <c r="B78" s="86">
        <v>26608</v>
      </c>
      <c r="C78" s="86">
        <v>20998</v>
      </c>
      <c r="D78" s="86">
        <v>5610</v>
      </c>
      <c r="E78" s="92">
        <f t="shared" si="1"/>
        <v>1.9608939719113299</v>
      </c>
      <c r="F78" s="86">
        <f t="shared" si="7"/>
        <v>257</v>
      </c>
      <c r="G78" s="86">
        <v>291961</v>
      </c>
      <c r="H78" s="6"/>
      <c r="I78" s="6" t="s">
        <v>36</v>
      </c>
      <c r="J78" s="6" t="s">
        <v>37</v>
      </c>
      <c r="K78" s="1" t="s">
        <v>31</v>
      </c>
    </row>
    <row r="79" spans="1:13" hidden="1" outlineLevel="1" x14ac:dyDescent="0.2">
      <c r="A79" s="93">
        <v>31625</v>
      </c>
      <c r="B79" s="86">
        <v>21905</v>
      </c>
      <c r="C79" s="86">
        <v>17488</v>
      </c>
      <c r="D79" s="86">
        <v>4417</v>
      </c>
      <c r="E79" s="92">
        <f t="shared" si="1"/>
        <v>1.5128732947208703</v>
      </c>
      <c r="F79" s="86">
        <f t="shared" si="7"/>
        <v>277</v>
      </c>
      <c r="G79" s="86">
        <v>296655</v>
      </c>
      <c r="H79" s="6"/>
      <c r="I79" s="6" t="s">
        <v>36</v>
      </c>
      <c r="J79" s="6" t="s">
        <v>37</v>
      </c>
      <c r="K79" s="1" t="s">
        <v>31</v>
      </c>
    </row>
    <row r="80" spans="1:13" hidden="1" outlineLevel="1" x14ac:dyDescent="0.2">
      <c r="A80" s="93">
        <v>31656</v>
      </c>
      <c r="B80" s="86">
        <v>23669</v>
      </c>
      <c r="C80" s="86">
        <v>25130</v>
      </c>
      <c r="D80" s="86">
        <v>-1461</v>
      </c>
      <c r="E80" s="92">
        <f t="shared" si="1"/>
        <v>-0.49249127774687768</v>
      </c>
      <c r="F80" s="86">
        <f t="shared" si="7"/>
        <v>17615</v>
      </c>
      <c r="G80" s="86">
        <v>312809</v>
      </c>
      <c r="H80" s="6"/>
      <c r="I80" s="6" t="s">
        <v>36</v>
      </c>
      <c r="J80" s="6" t="s">
        <v>37</v>
      </c>
      <c r="K80" s="1" t="s">
        <v>31</v>
      </c>
    </row>
    <row r="81" spans="1:18" hidden="1" outlineLevel="1" x14ac:dyDescent="0.2">
      <c r="A81" s="93">
        <v>31686</v>
      </c>
      <c r="B81" s="86">
        <v>23328</v>
      </c>
      <c r="C81" s="86">
        <v>22725</v>
      </c>
      <c r="D81" s="86">
        <v>603</v>
      </c>
      <c r="E81" s="92">
        <f t="shared" si="1"/>
        <v>0.19276938962753631</v>
      </c>
      <c r="F81" s="86">
        <f t="shared" si="7"/>
        <v>1489</v>
      </c>
      <c r="G81" s="86">
        <v>314901</v>
      </c>
      <c r="H81" s="6"/>
      <c r="I81" s="6" t="s">
        <v>36</v>
      </c>
      <c r="J81" s="6" t="s">
        <v>37</v>
      </c>
      <c r="K81" s="1" t="s">
        <v>31</v>
      </c>
    </row>
    <row r="82" spans="1:18" hidden="1" outlineLevel="1" x14ac:dyDescent="0.2">
      <c r="A82" s="93">
        <v>31717</v>
      </c>
      <c r="B82" s="86">
        <v>18513</v>
      </c>
      <c r="C82" s="86">
        <v>19981</v>
      </c>
      <c r="D82" s="86">
        <v>-1468</v>
      </c>
      <c r="E82" s="92">
        <f t="shared" si="1"/>
        <v>-0.46617825919892281</v>
      </c>
      <c r="F82" s="86">
        <f t="shared" si="7"/>
        <v>1948</v>
      </c>
      <c r="G82" s="86">
        <v>315381</v>
      </c>
      <c r="H82" s="6"/>
      <c r="I82" s="6" t="s">
        <v>36</v>
      </c>
      <c r="J82" s="6" t="s">
        <v>37</v>
      </c>
      <c r="K82" s="1" t="s">
        <v>31</v>
      </c>
    </row>
    <row r="83" spans="1:18" hidden="1" outlineLevel="1" x14ac:dyDescent="0.2">
      <c r="A83" s="93">
        <v>31747</v>
      </c>
      <c r="B83" s="86">
        <v>24513</v>
      </c>
      <c r="C83" s="86">
        <v>31984</v>
      </c>
      <c r="D83" s="86">
        <v>-7471</v>
      </c>
      <c r="E83" s="92">
        <f t="shared" si="1"/>
        <v>-2.3688808139995752</v>
      </c>
      <c r="F83" s="86">
        <f t="shared" si="7"/>
        <v>16824</v>
      </c>
      <c r="G83" s="86">
        <v>324734</v>
      </c>
      <c r="H83" s="6"/>
      <c r="I83" s="6" t="s">
        <v>36</v>
      </c>
      <c r="J83" s="6" t="s">
        <v>37</v>
      </c>
      <c r="K83" s="1" t="s">
        <v>31</v>
      </c>
    </row>
    <row r="84" spans="1:18" hidden="1" collapsed="1" x14ac:dyDescent="0.2">
      <c r="A84" s="83" t="s">
        <v>38</v>
      </c>
      <c r="B84" s="84">
        <f>SUM(B72:B83)</f>
        <v>69482297</v>
      </c>
      <c r="C84" s="84">
        <f>SUM(C72:C83)</f>
        <v>46990560</v>
      </c>
      <c r="D84" s="84">
        <f>SUM(D72:D83)</f>
        <v>22491737</v>
      </c>
      <c r="E84" s="91">
        <f>(D84/G71*100)</f>
        <v>10.393023104003952</v>
      </c>
      <c r="F84" s="84">
        <f>SUM(F72:F83)</f>
        <v>63805133.294</v>
      </c>
      <c r="G84" s="85">
        <f>G83</f>
        <v>324734</v>
      </c>
      <c r="I84" s="6" t="s">
        <v>36</v>
      </c>
      <c r="J84" s="6" t="s">
        <v>37</v>
      </c>
      <c r="K84" s="1" t="s">
        <v>31</v>
      </c>
    </row>
    <row r="85" spans="1:18" ht="20.100000000000001" hidden="1" customHeight="1" outlineLevel="1" x14ac:dyDescent="0.2">
      <c r="A85" s="93">
        <v>31778</v>
      </c>
      <c r="B85" s="86">
        <v>44271</v>
      </c>
      <c r="C85" s="86">
        <v>26745</v>
      </c>
      <c r="D85" s="86">
        <v>17526</v>
      </c>
      <c r="E85" s="92">
        <f t="shared" si="1"/>
        <v>5.3970326482598061</v>
      </c>
      <c r="F85" s="86">
        <f>(G85-G83)-D85</f>
        <v>29020</v>
      </c>
      <c r="G85" s="86">
        <v>371280</v>
      </c>
      <c r="H85" s="6"/>
      <c r="I85" s="6" t="s">
        <v>36</v>
      </c>
      <c r="J85" s="6" t="s">
        <v>37</v>
      </c>
      <c r="K85" s="1" t="s">
        <v>31</v>
      </c>
      <c r="Q85" s="75">
        <v>13335</v>
      </c>
      <c r="R85" s="76">
        <f t="shared" ref="R85:R96" si="8">Q85/G85</f>
        <v>3.5916289592760178E-2</v>
      </c>
    </row>
    <row r="86" spans="1:18" hidden="1" outlineLevel="1" x14ac:dyDescent="0.2">
      <c r="A86" s="93">
        <v>31809</v>
      </c>
      <c r="B86" s="86">
        <v>63518</v>
      </c>
      <c r="C86" s="86">
        <v>33954</v>
      </c>
      <c r="D86" s="86">
        <v>29564</v>
      </c>
      <c r="E86" s="92">
        <f t="shared" ref="E86:E96" si="9">D86/G85*100</f>
        <v>7.9627235509588443</v>
      </c>
      <c r="F86" s="86">
        <f t="shared" ref="F86:F96" si="10">(G86-G85)-D86</f>
        <v>60150</v>
      </c>
      <c r="G86" s="86">
        <v>460994</v>
      </c>
      <c r="H86" s="6"/>
      <c r="I86" s="6" t="s">
        <v>36</v>
      </c>
      <c r="J86" s="6" t="s">
        <v>37</v>
      </c>
      <c r="K86" s="1" t="s">
        <v>31</v>
      </c>
      <c r="Q86" s="75">
        <v>16774</v>
      </c>
      <c r="R86" s="76">
        <f t="shared" si="8"/>
        <v>3.6386590714846616E-2</v>
      </c>
    </row>
    <row r="87" spans="1:18" hidden="1" outlineLevel="1" x14ac:dyDescent="0.2">
      <c r="A87" s="93">
        <v>31837</v>
      </c>
      <c r="B87" s="86">
        <v>57691</v>
      </c>
      <c r="C87" s="86">
        <v>34154</v>
      </c>
      <c r="D87" s="86">
        <v>23537</v>
      </c>
      <c r="E87" s="92">
        <f t="shared" si="9"/>
        <v>5.1057063649418426</v>
      </c>
      <c r="F87" s="86">
        <f t="shared" si="10"/>
        <v>87865</v>
      </c>
      <c r="G87" s="86">
        <v>572396</v>
      </c>
      <c r="H87" s="6"/>
      <c r="I87" s="6" t="s">
        <v>36</v>
      </c>
      <c r="J87" s="6" t="s">
        <v>37</v>
      </c>
      <c r="K87" s="1" t="s">
        <v>31</v>
      </c>
      <c r="Q87" s="75">
        <v>21295</v>
      </c>
      <c r="R87" s="76">
        <f t="shared" si="8"/>
        <v>3.7203264872570738E-2</v>
      </c>
    </row>
    <row r="88" spans="1:18" hidden="1" outlineLevel="1" x14ac:dyDescent="0.2">
      <c r="A88" s="93">
        <v>31868</v>
      </c>
      <c r="B88" s="86">
        <v>78387</v>
      </c>
      <c r="C88" s="86">
        <v>62109</v>
      </c>
      <c r="D88" s="86">
        <v>16278</v>
      </c>
      <c r="E88" s="92">
        <f t="shared" si="9"/>
        <v>2.8438353866903334</v>
      </c>
      <c r="F88" s="86">
        <f t="shared" si="10"/>
        <v>90770</v>
      </c>
      <c r="G88" s="86">
        <v>679444</v>
      </c>
      <c r="H88" s="6"/>
      <c r="I88" s="6" t="s">
        <v>36</v>
      </c>
      <c r="J88" s="6" t="s">
        <v>37</v>
      </c>
      <c r="K88" s="1" t="s">
        <v>31</v>
      </c>
      <c r="Q88" s="75">
        <v>25520</v>
      </c>
      <c r="R88" s="76">
        <f t="shared" si="8"/>
        <v>3.7560122688551224E-2</v>
      </c>
    </row>
    <row r="89" spans="1:18" hidden="1" outlineLevel="1" x14ac:dyDescent="0.2">
      <c r="A89" s="93">
        <v>31898</v>
      </c>
      <c r="B89" s="86">
        <v>80585</v>
      </c>
      <c r="C89" s="86">
        <v>61601</v>
      </c>
      <c r="D89" s="86">
        <v>18984</v>
      </c>
      <c r="E89" s="92">
        <f t="shared" si="9"/>
        <v>2.7940492520354878</v>
      </c>
      <c r="F89" s="86">
        <f t="shared" si="10"/>
        <v>140819</v>
      </c>
      <c r="G89" s="86">
        <v>839247</v>
      </c>
      <c r="H89" s="6"/>
      <c r="I89" s="6" t="s">
        <v>36</v>
      </c>
      <c r="J89" s="6" t="s">
        <v>37</v>
      </c>
      <c r="K89" s="1" t="s">
        <v>31</v>
      </c>
      <c r="Q89" s="75">
        <v>31927</v>
      </c>
      <c r="R89" s="76">
        <f t="shared" si="8"/>
        <v>3.8042435659585316E-2</v>
      </c>
    </row>
    <row r="90" spans="1:18" hidden="1" outlineLevel="1" x14ac:dyDescent="0.2">
      <c r="A90" s="93">
        <v>31929</v>
      </c>
      <c r="B90" s="86">
        <v>96196</v>
      </c>
      <c r="C90" s="86">
        <v>76616</v>
      </c>
      <c r="D90" s="86">
        <v>19580</v>
      </c>
      <c r="E90" s="92">
        <f t="shared" si="9"/>
        <v>2.333043788062394</v>
      </c>
      <c r="F90" s="86">
        <f t="shared" si="10"/>
        <v>197865</v>
      </c>
      <c r="G90" s="86">
        <v>1056692</v>
      </c>
      <c r="H90" s="6"/>
      <c r="I90" s="6" t="s">
        <v>36</v>
      </c>
      <c r="J90" s="6" t="s">
        <v>37</v>
      </c>
      <c r="K90" s="1" t="s">
        <v>31</v>
      </c>
      <c r="Q90" s="75">
        <v>40333</v>
      </c>
      <c r="R90" s="76">
        <f t="shared" si="8"/>
        <v>3.816911645020498E-2</v>
      </c>
    </row>
    <row r="91" spans="1:18" hidden="1" outlineLevel="1" x14ac:dyDescent="0.2">
      <c r="A91" s="93">
        <v>31959</v>
      </c>
      <c r="B91" s="86">
        <v>110172</v>
      </c>
      <c r="C91" s="86">
        <v>115162</v>
      </c>
      <c r="D91" s="86">
        <v>-4990</v>
      </c>
      <c r="E91" s="92">
        <f t="shared" si="9"/>
        <v>-0.47222842606928034</v>
      </c>
      <c r="F91" s="86">
        <f t="shared" si="10"/>
        <v>191439</v>
      </c>
      <c r="G91" s="86">
        <v>1243141</v>
      </c>
      <c r="H91" s="6"/>
      <c r="I91" s="6" t="s">
        <v>36</v>
      </c>
      <c r="J91" s="6" t="s">
        <v>37</v>
      </c>
      <c r="K91" s="1" t="s">
        <v>31</v>
      </c>
      <c r="Q91" s="75">
        <v>47261</v>
      </c>
      <c r="R91" s="76">
        <f t="shared" si="8"/>
        <v>3.801740912736367E-2</v>
      </c>
    </row>
    <row r="92" spans="1:18" hidden="1" outlineLevel="1" x14ac:dyDescent="0.2">
      <c r="A92" s="93">
        <v>31990</v>
      </c>
      <c r="B92" s="86">
        <v>91416</v>
      </c>
      <c r="C92" s="86">
        <v>116281</v>
      </c>
      <c r="D92" s="86">
        <v>-24865</v>
      </c>
      <c r="E92" s="92">
        <f t="shared" si="9"/>
        <v>-2.0001753622477256</v>
      </c>
      <c r="F92" s="86">
        <f t="shared" si="10"/>
        <v>108832</v>
      </c>
      <c r="G92" s="86">
        <v>1327108</v>
      </c>
      <c r="H92" s="6"/>
      <c r="I92" s="6" t="s">
        <v>36</v>
      </c>
      <c r="J92" s="6" t="s">
        <v>37</v>
      </c>
      <c r="K92" s="1" t="s">
        <v>31</v>
      </c>
      <c r="Q92" s="75">
        <v>50324</v>
      </c>
      <c r="R92" s="76">
        <f t="shared" si="8"/>
        <v>3.7920048707414923E-2</v>
      </c>
    </row>
    <row r="93" spans="1:18" hidden="1" outlineLevel="1" x14ac:dyDescent="0.2">
      <c r="A93" s="93">
        <v>32021</v>
      </c>
      <c r="B93" s="86">
        <v>109251</v>
      </c>
      <c r="C93" s="86">
        <v>117822</v>
      </c>
      <c r="D93" s="86">
        <v>-8571</v>
      </c>
      <c r="E93" s="92">
        <f t="shared" si="9"/>
        <v>-0.64584042896282745</v>
      </c>
      <c r="F93" s="86">
        <f t="shared" si="10"/>
        <v>107300</v>
      </c>
      <c r="G93" s="86">
        <v>1425837</v>
      </c>
      <c r="H93" s="6"/>
      <c r="I93" s="6" t="s">
        <v>36</v>
      </c>
      <c r="J93" s="6" t="s">
        <v>37</v>
      </c>
      <c r="K93" s="1" t="s">
        <v>31</v>
      </c>
      <c r="Q93" s="75">
        <v>54313</v>
      </c>
      <c r="R93" s="76">
        <f t="shared" si="8"/>
        <v>3.80920119200161E-2</v>
      </c>
    </row>
    <row r="94" spans="1:18" hidden="1" outlineLevel="1" x14ac:dyDescent="0.2">
      <c r="A94" s="93">
        <v>32051</v>
      </c>
      <c r="B94" s="86">
        <v>120556</v>
      </c>
      <c r="C94" s="86">
        <v>133809</v>
      </c>
      <c r="D94" s="86">
        <v>-13253</v>
      </c>
      <c r="E94" s="92">
        <f t="shared" si="9"/>
        <v>-0.92948913515359755</v>
      </c>
      <c r="F94" s="86">
        <f t="shared" si="10"/>
        <v>112232</v>
      </c>
      <c r="G94" s="86">
        <v>1524816</v>
      </c>
      <c r="H94" s="6"/>
      <c r="I94" s="6" t="s">
        <v>36</v>
      </c>
      <c r="J94" s="6" t="s">
        <v>37</v>
      </c>
      <c r="K94" s="1" t="s">
        <v>31</v>
      </c>
      <c r="Q94" s="75">
        <v>58312</v>
      </c>
      <c r="R94" s="76">
        <f t="shared" si="8"/>
        <v>3.8241991164835627E-2</v>
      </c>
    </row>
    <row r="95" spans="1:18" hidden="1" outlineLevel="1" x14ac:dyDescent="0.2">
      <c r="A95" s="93">
        <v>32082</v>
      </c>
      <c r="B95" s="86">
        <v>127539</v>
      </c>
      <c r="C95" s="86">
        <v>136259</v>
      </c>
      <c r="D95" s="86">
        <v>-8720</v>
      </c>
      <c r="E95" s="92">
        <f t="shared" si="9"/>
        <v>-0.57187227836014309</v>
      </c>
      <c r="F95" s="86">
        <f t="shared" si="10"/>
        <v>147225</v>
      </c>
      <c r="G95" s="86">
        <v>1663321</v>
      </c>
      <c r="H95" s="6"/>
      <c r="I95" s="6" t="s">
        <v>36</v>
      </c>
      <c r="J95" s="6" t="s">
        <v>37</v>
      </c>
      <c r="K95" s="1" t="s">
        <v>31</v>
      </c>
      <c r="Q95" s="75">
        <v>64340</v>
      </c>
      <c r="R95" s="76">
        <f t="shared" si="8"/>
        <v>3.8681649543293208E-2</v>
      </c>
    </row>
    <row r="96" spans="1:18" hidden="1" outlineLevel="1" x14ac:dyDescent="0.2">
      <c r="A96" s="93">
        <v>32112</v>
      </c>
      <c r="B96" s="86">
        <v>266653</v>
      </c>
      <c r="C96" s="86">
        <v>158702</v>
      </c>
      <c r="D96" s="86">
        <v>107951</v>
      </c>
      <c r="E96" s="92">
        <f t="shared" si="9"/>
        <v>6.4900882030588205</v>
      </c>
      <c r="F96" s="86">
        <f t="shared" si="10"/>
        <v>270885</v>
      </c>
      <c r="G96" s="86">
        <v>2042157</v>
      </c>
      <c r="H96" s="6"/>
      <c r="I96" s="6" t="s">
        <v>36</v>
      </c>
      <c r="J96" s="6" t="s">
        <v>37</v>
      </c>
      <c r="K96" s="1" t="s">
        <v>31</v>
      </c>
      <c r="Q96" s="75">
        <v>79937</v>
      </c>
      <c r="R96" s="76">
        <f t="shared" si="8"/>
        <v>3.9143415516045048E-2</v>
      </c>
    </row>
    <row r="97" spans="1:18" hidden="1" collapsed="1" x14ac:dyDescent="0.2">
      <c r="A97" s="83" t="s">
        <v>39</v>
      </c>
      <c r="B97" s="84">
        <f>SUM(B85:B96)</f>
        <v>1246235</v>
      </c>
      <c r="C97" s="84">
        <f>SUM(C85:C96)</f>
        <v>1073214</v>
      </c>
      <c r="D97" s="84">
        <f>SUM(D85:D96)</f>
        <v>173021</v>
      </c>
      <c r="E97" s="91">
        <f>(D97/G84*100)</f>
        <v>53.280839086760245</v>
      </c>
      <c r="F97" s="84">
        <f>SUM(F85:F96)</f>
        <v>1544402</v>
      </c>
      <c r="G97" s="85">
        <f>G96</f>
        <v>2042157</v>
      </c>
      <c r="I97" s="6" t="s">
        <v>36</v>
      </c>
      <c r="J97" s="6" t="s">
        <v>37</v>
      </c>
      <c r="K97" s="1" t="s">
        <v>31</v>
      </c>
    </row>
    <row r="98" spans="1:18" ht="20.100000000000001" hidden="1" customHeight="1" outlineLevel="1" x14ac:dyDescent="0.2">
      <c r="A98" s="93">
        <v>32143</v>
      </c>
      <c r="B98" s="86">
        <v>231770</v>
      </c>
      <c r="C98" s="86">
        <v>184529</v>
      </c>
      <c r="D98" s="86">
        <v>47241</v>
      </c>
      <c r="E98" s="92">
        <f t="shared" ref="E98:E109" si="11">D98/G97*100</f>
        <v>2.3132893308398912</v>
      </c>
      <c r="F98" s="86">
        <f>(G98-G96)-D98</f>
        <v>284712</v>
      </c>
      <c r="G98" s="86">
        <v>2374110</v>
      </c>
      <c r="H98" s="6"/>
      <c r="I98" s="6" t="s">
        <v>36</v>
      </c>
      <c r="J98" s="6" t="s">
        <v>37</v>
      </c>
      <c r="K98" s="1" t="s">
        <v>31</v>
      </c>
      <c r="Q98" s="75">
        <v>93649</v>
      </c>
      <c r="R98" s="76">
        <f t="shared" ref="R98:R109" si="12">Q98/G98</f>
        <v>3.9445939741629493E-2</v>
      </c>
    </row>
    <row r="99" spans="1:18" hidden="1" outlineLevel="1" x14ac:dyDescent="0.2">
      <c r="A99" s="93">
        <v>32174</v>
      </c>
      <c r="B99" s="86">
        <v>307850</v>
      </c>
      <c r="C99" s="86">
        <v>193484</v>
      </c>
      <c r="D99" s="86">
        <v>114366</v>
      </c>
      <c r="E99" s="92">
        <f t="shared" si="11"/>
        <v>4.8172157145203887</v>
      </c>
      <c r="F99" s="86">
        <f t="shared" ref="F99:F109" si="13">(G99-G98)-D99</f>
        <v>375021</v>
      </c>
      <c r="G99" s="86">
        <v>2863497</v>
      </c>
      <c r="H99" s="6"/>
      <c r="I99" s="6" t="s">
        <v>36</v>
      </c>
      <c r="J99" s="6" t="s">
        <v>37</v>
      </c>
      <c r="K99" s="1" t="s">
        <v>31</v>
      </c>
      <c r="Q99" s="75">
        <v>113311</v>
      </c>
      <c r="R99" s="76">
        <f t="shared" si="12"/>
        <v>3.9570846416112887E-2</v>
      </c>
    </row>
    <row r="100" spans="1:18" hidden="1" outlineLevel="1" x14ac:dyDescent="0.2">
      <c r="A100" s="93">
        <v>32203</v>
      </c>
      <c r="B100" s="86">
        <v>423252</v>
      </c>
      <c r="C100" s="86">
        <v>280632</v>
      </c>
      <c r="D100" s="86">
        <v>142620</v>
      </c>
      <c r="E100" s="92">
        <f t="shared" si="11"/>
        <v>4.9806233427169646</v>
      </c>
      <c r="F100" s="86">
        <f t="shared" si="13"/>
        <v>455341</v>
      </c>
      <c r="G100" s="86">
        <v>3461458</v>
      </c>
      <c r="H100" s="6"/>
      <c r="I100" s="6" t="s">
        <v>36</v>
      </c>
      <c r="J100" s="6" t="s">
        <v>37</v>
      </c>
      <c r="K100" s="1" t="s">
        <v>31</v>
      </c>
      <c r="Q100" s="75">
        <v>141079</v>
      </c>
      <c r="R100" s="76">
        <f t="shared" si="12"/>
        <v>4.0757102931770373E-2</v>
      </c>
    </row>
    <row r="101" spans="1:18" hidden="1" outlineLevel="1" x14ac:dyDescent="0.2">
      <c r="A101" s="93">
        <v>32234</v>
      </c>
      <c r="B101" s="86">
        <v>365545</v>
      </c>
      <c r="C101" s="86">
        <v>382430</v>
      </c>
      <c r="D101" s="86">
        <v>-16885</v>
      </c>
      <c r="E101" s="92">
        <f t="shared" si="11"/>
        <v>-0.48780022753417784</v>
      </c>
      <c r="F101" s="86">
        <f t="shared" si="13"/>
        <v>554357</v>
      </c>
      <c r="G101" s="86">
        <v>3998930</v>
      </c>
      <c r="H101" s="6"/>
      <c r="I101" s="6" t="s">
        <v>36</v>
      </c>
      <c r="J101" s="6" t="s">
        <v>37</v>
      </c>
      <c r="K101" s="1" t="s">
        <v>31</v>
      </c>
      <c r="Q101" s="75">
        <v>166834</v>
      </c>
      <c r="R101" s="76">
        <f t="shared" si="12"/>
        <v>4.1719660009052424E-2</v>
      </c>
    </row>
    <row r="102" spans="1:18" hidden="1" outlineLevel="1" x14ac:dyDescent="0.2">
      <c r="A102" s="93">
        <v>32264</v>
      </c>
      <c r="B102" s="86">
        <v>461159</v>
      </c>
      <c r="C102" s="86">
        <v>389723</v>
      </c>
      <c r="D102" s="86">
        <v>71436</v>
      </c>
      <c r="E102" s="92">
        <f t="shared" si="11"/>
        <v>1.7863778560765005</v>
      </c>
      <c r="F102" s="86">
        <f t="shared" si="13"/>
        <v>771597</v>
      </c>
      <c r="G102" s="86">
        <v>4841963</v>
      </c>
      <c r="H102" s="6"/>
      <c r="I102" s="6" t="s">
        <v>36</v>
      </c>
      <c r="J102" s="6" t="s">
        <v>37</v>
      </c>
      <c r="K102" s="1" t="s">
        <v>31</v>
      </c>
      <c r="Q102" s="75">
        <v>202920</v>
      </c>
      <c r="R102" s="76">
        <f t="shared" si="12"/>
        <v>4.1908622597900895E-2</v>
      </c>
    </row>
    <row r="103" spans="1:18" hidden="1" outlineLevel="1" x14ac:dyDescent="0.2">
      <c r="A103" s="93">
        <v>32295</v>
      </c>
      <c r="B103" s="86">
        <v>580585</v>
      </c>
      <c r="C103" s="86">
        <v>504815</v>
      </c>
      <c r="D103" s="86">
        <v>75770</v>
      </c>
      <c r="E103" s="92">
        <f t="shared" si="11"/>
        <v>1.5648611936935495</v>
      </c>
      <c r="F103" s="86">
        <f t="shared" si="13"/>
        <v>885806</v>
      </c>
      <c r="G103" s="86">
        <v>5803539</v>
      </c>
      <c r="H103" s="6"/>
      <c r="I103" s="6" t="s">
        <v>36</v>
      </c>
      <c r="J103" s="6" t="s">
        <v>37</v>
      </c>
      <c r="K103" s="1" t="s">
        <v>31</v>
      </c>
      <c r="Q103" s="75">
        <v>247048</v>
      </c>
      <c r="R103" s="76">
        <f t="shared" si="12"/>
        <v>4.2568508628958987E-2</v>
      </c>
    </row>
    <row r="104" spans="1:18" hidden="1" outlineLevel="1" x14ac:dyDescent="0.2">
      <c r="A104" s="93">
        <v>32325</v>
      </c>
      <c r="B104" s="86">
        <v>697684</v>
      </c>
      <c r="C104" s="86">
        <v>585692</v>
      </c>
      <c r="D104" s="86">
        <v>111992</v>
      </c>
      <c r="E104" s="92">
        <f t="shared" si="11"/>
        <v>1.9297190903688248</v>
      </c>
      <c r="F104" s="86">
        <f t="shared" si="13"/>
        <v>1158923</v>
      </c>
      <c r="G104" s="86">
        <v>7074454</v>
      </c>
      <c r="H104" s="6"/>
      <c r="I104" s="6" t="s">
        <v>36</v>
      </c>
      <c r="J104" s="6" t="s">
        <v>37</v>
      </c>
      <c r="K104" s="1" t="s">
        <v>31</v>
      </c>
      <c r="Q104" s="75">
        <v>306279</v>
      </c>
      <c r="R104" s="76">
        <f t="shared" si="12"/>
        <v>4.3293659129029605E-2</v>
      </c>
    </row>
    <row r="105" spans="1:18" hidden="1" outlineLevel="1" x14ac:dyDescent="0.2">
      <c r="A105" s="93">
        <v>32356</v>
      </c>
      <c r="B105" s="86">
        <v>861030</v>
      </c>
      <c r="C105" s="86">
        <v>803482</v>
      </c>
      <c r="D105" s="86">
        <v>57548</v>
      </c>
      <c r="E105" s="92">
        <f t="shared" si="11"/>
        <v>0.81346207071245369</v>
      </c>
      <c r="F105" s="86">
        <f t="shared" si="13"/>
        <v>1711249</v>
      </c>
      <c r="G105" s="86">
        <v>8843251</v>
      </c>
      <c r="H105" s="6"/>
      <c r="I105" s="6" t="s">
        <v>36</v>
      </c>
      <c r="J105" s="6" t="s">
        <v>37</v>
      </c>
      <c r="K105" s="1" t="s">
        <v>31</v>
      </c>
      <c r="Q105" s="75">
        <v>385218</v>
      </c>
      <c r="R105" s="76">
        <f t="shared" si="12"/>
        <v>4.3560676950139716E-2</v>
      </c>
    </row>
    <row r="106" spans="1:18" hidden="1" outlineLevel="1" x14ac:dyDescent="0.2">
      <c r="A106" s="93">
        <v>32387</v>
      </c>
      <c r="B106" s="86">
        <v>1061879</v>
      </c>
      <c r="C106" s="86">
        <v>960612</v>
      </c>
      <c r="D106" s="86">
        <v>101267</v>
      </c>
      <c r="E106" s="92">
        <f t="shared" si="11"/>
        <v>1.1451331642627807</v>
      </c>
      <c r="F106" s="86">
        <f t="shared" si="13"/>
        <v>1857218</v>
      </c>
      <c r="G106" s="86">
        <v>10801736</v>
      </c>
      <c r="H106" s="6"/>
      <c r="I106" s="6" t="s">
        <v>36</v>
      </c>
      <c r="J106" s="6" t="s">
        <v>37</v>
      </c>
      <c r="K106" s="1" t="s">
        <v>31</v>
      </c>
      <c r="Q106" s="75">
        <v>474322</v>
      </c>
      <c r="R106" s="76">
        <f t="shared" si="12"/>
        <v>4.3911645313308899E-2</v>
      </c>
    </row>
    <row r="107" spans="1:18" hidden="1" outlineLevel="1" x14ac:dyDescent="0.2">
      <c r="A107" s="93">
        <v>32417</v>
      </c>
      <c r="B107" s="86">
        <v>1105743</v>
      </c>
      <c r="C107" s="86">
        <v>1113215</v>
      </c>
      <c r="D107" s="86">
        <v>-7472</v>
      </c>
      <c r="E107" s="92">
        <f t="shared" si="11"/>
        <v>-6.9174066094561101E-2</v>
      </c>
      <c r="F107" s="86">
        <f t="shared" si="13"/>
        <v>2616693</v>
      </c>
      <c r="G107" s="86">
        <v>13410957</v>
      </c>
      <c r="H107" s="6"/>
      <c r="I107" s="6" t="s">
        <v>36</v>
      </c>
      <c r="J107" s="6" t="s">
        <v>37</v>
      </c>
      <c r="K107" s="1" t="s">
        <v>31</v>
      </c>
      <c r="Q107" s="75">
        <v>596765</v>
      </c>
      <c r="R107" s="76">
        <f t="shared" si="12"/>
        <v>4.4498315817431973E-2</v>
      </c>
    </row>
    <row r="108" spans="1:18" hidden="1" outlineLevel="1" x14ac:dyDescent="0.2">
      <c r="A108" s="93">
        <v>32448</v>
      </c>
      <c r="B108" s="86">
        <v>1422849</v>
      </c>
      <c r="C108" s="86">
        <v>1528294</v>
      </c>
      <c r="D108" s="86">
        <v>-105445</v>
      </c>
      <c r="E108" s="92">
        <f t="shared" si="11"/>
        <v>-0.78626007077645543</v>
      </c>
      <c r="F108" s="86">
        <f t="shared" si="13"/>
        <v>3680318</v>
      </c>
      <c r="G108" s="86">
        <v>16985830</v>
      </c>
      <c r="H108" s="6"/>
      <c r="I108" s="6" t="s">
        <v>36</v>
      </c>
      <c r="J108" s="6" t="s">
        <v>37</v>
      </c>
      <c r="K108" s="1" t="s">
        <v>31</v>
      </c>
      <c r="Q108" s="75">
        <v>753130</v>
      </c>
      <c r="R108" s="76">
        <f t="shared" si="12"/>
        <v>4.4338722335028669E-2</v>
      </c>
    </row>
    <row r="109" spans="1:18" hidden="1" outlineLevel="1" x14ac:dyDescent="0.2">
      <c r="A109" s="93">
        <v>32478</v>
      </c>
      <c r="B109" s="86">
        <v>2563126</v>
      </c>
      <c r="C109" s="86">
        <v>2127618</v>
      </c>
      <c r="D109" s="86">
        <v>435508</v>
      </c>
      <c r="E109" s="92">
        <f t="shared" si="11"/>
        <v>2.5639488915172235</v>
      </c>
      <c r="F109" s="86">
        <f t="shared" si="13"/>
        <v>4685143</v>
      </c>
      <c r="G109" s="86">
        <v>22106481</v>
      </c>
      <c r="H109" s="6"/>
      <c r="I109" s="6" t="s">
        <v>36</v>
      </c>
      <c r="J109" s="6" t="s">
        <v>37</v>
      </c>
      <c r="K109" s="1" t="s">
        <v>31</v>
      </c>
      <c r="Q109" s="75">
        <v>983665</v>
      </c>
      <c r="R109" s="76">
        <f t="shared" si="12"/>
        <v>4.449667950317375E-2</v>
      </c>
    </row>
    <row r="110" spans="1:18" hidden="1" collapsed="1" x14ac:dyDescent="0.2">
      <c r="A110" s="83" t="s">
        <v>40</v>
      </c>
      <c r="B110" s="84">
        <f>SUM(B98:B109)</f>
        <v>10082472</v>
      </c>
      <c r="C110" s="84">
        <f>SUM(C98:C109)</f>
        <v>9054526</v>
      </c>
      <c r="D110" s="84">
        <f>SUM(D98:D109)</f>
        <v>1027946</v>
      </c>
      <c r="E110" s="91">
        <f>(D110/G97*100)</f>
        <v>50.336286583254861</v>
      </c>
      <c r="F110" s="84">
        <f>SUM(F98:F109)</f>
        <v>19036378</v>
      </c>
      <c r="G110" s="85">
        <f>G109</f>
        <v>22106481</v>
      </c>
      <c r="I110" s="6" t="s">
        <v>36</v>
      </c>
      <c r="J110" s="6" t="s">
        <v>37</v>
      </c>
      <c r="K110" s="1" t="s">
        <v>31</v>
      </c>
      <c r="M110" s="75"/>
      <c r="R110" s="76"/>
    </row>
    <row r="111" spans="1:18" ht="20.100000000000001" hidden="1" customHeight="1" outlineLevel="1" x14ac:dyDescent="0.2">
      <c r="A111" s="93">
        <v>32509</v>
      </c>
      <c r="B111" s="86">
        <v>1762</v>
      </c>
      <c r="C111" s="86">
        <v>2272</v>
      </c>
      <c r="D111" s="86">
        <v>-510</v>
      </c>
      <c r="E111" s="92">
        <f t="shared" ref="E111:E122" si="14">D111/G110*100</f>
        <v>-2.3070157570533275E-3</v>
      </c>
      <c r="F111" s="86">
        <f>(G111-(G109/1000))-D111</f>
        <v>6255.5190000000002</v>
      </c>
      <c r="G111" s="86">
        <v>27852</v>
      </c>
      <c r="H111" s="6"/>
      <c r="I111" s="79" t="s">
        <v>41</v>
      </c>
      <c r="J111" s="79" t="s">
        <v>42</v>
      </c>
      <c r="K111" s="80" t="s">
        <v>31</v>
      </c>
      <c r="P111" s="75">
        <v>1246881</v>
      </c>
      <c r="Q111" s="77">
        <f>P111/1000</f>
        <v>1246.8810000000001</v>
      </c>
      <c r="R111" s="76">
        <f t="shared" ref="R111:R122" si="15">Q111/G111</f>
        <v>4.4768095648427403E-2</v>
      </c>
    </row>
    <row r="112" spans="1:18" hidden="1" outlineLevel="1" x14ac:dyDescent="0.2">
      <c r="A112" s="93">
        <v>32540</v>
      </c>
      <c r="B112" s="86">
        <v>2661</v>
      </c>
      <c r="C112" s="86">
        <v>2655</v>
      </c>
      <c r="D112" s="86">
        <v>6</v>
      </c>
      <c r="E112" s="92">
        <f t="shared" si="14"/>
        <v>2.1542438604049977E-2</v>
      </c>
      <c r="F112" s="86">
        <f t="shared" ref="F112:F122" si="16">(G112-G111)-D112</f>
        <v>6307</v>
      </c>
      <c r="G112" s="86">
        <v>34165</v>
      </c>
      <c r="H112" s="6"/>
      <c r="I112" s="6" t="s">
        <v>41</v>
      </c>
      <c r="J112" s="6" t="s">
        <v>42</v>
      </c>
      <c r="K112" s="1" t="s">
        <v>31</v>
      </c>
      <c r="P112" s="75">
        <v>1555393</v>
      </c>
      <c r="Q112" s="77">
        <f t="shared" ref="Q112:Q134" si="17">P112/1000</f>
        <v>1555.393</v>
      </c>
      <c r="R112" s="76">
        <f t="shared" si="15"/>
        <v>4.5525918337479876E-2</v>
      </c>
    </row>
    <row r="113" spans="1:18" hidden="1" outlineLevel="1" x14ac:dyDescent="0.2">
      <c r="A113" s="93">
        <v>32568</v>
      </c>
      <c r="B113" s="86">
        <v>3584</v>
      </c>
      <c r="C113" s="86">
        <v>3325</v>
      </c>
      <c r="D113" s="86">
        <v>259</v>
      </c>
      <c r="E113" s="92">
        <f t="shared" si="14"/>
        <v>0.75808576028098928</v>
      </c>
      <c r="F113" s="86">
        <f t="shared" si="16"/>
        <v>6485</v>
      </c>
      <c r="G113" s="86">
        <v>40909</v>
      </c>
      <c r="H113" s="6"/>
      <c r="I113" s="6" t="s">
        <v>41</v>
      </c>
      <c r="J113" s="6" t="s">
        <v>42</v>
      </c>
      <c r="K113" s="1" t="s">
        <v>31</v>
      </c>
      <c r="P113" s="75">
        <v>1956031</v>
      </c>
      <c r="Q113" s="77">
        <f t="shared" si="17"/>
        <v>1956.0309999999999</v>
      </c>
      <c r="R113" s="76">
        <f t="shared" si="15"/>
        <v>4.7814197364883029E-2</v>
      </c>
    </row>
    <row r="114" spans="1:18" hidden="1" outlineLevel="1" x14ac:dyDescent="0.2">
      <c r="A114" s="93">
        <v>32599</v>
      </c>
      <c r="B114" s="86">
        <v>2983</v>
      </c>
      <c r="C114" s="86">
        <v>3547</v>
      </c>
      <c r="D114" s="86">
        <v>-564</v>
      </c>
      <c r="E114" s="92">
        <f t="shared" si="14"/>
        <v>-1.3786697303771787</v>
      </c>
      <c r="F114" s="86">
        <f t="shared" si="16"/>
        <v>8110</v>
      </c>
      <c r="G114" s="86">
        <v>48455</v>
      </c>
      <c r="H114" s="6"/>
      <c r="I114" s="6" t="s">
        <v>41</v>
      </c>
      <c r="J114" s="6" t="s">
        <v>42</v>
      </c>
      <c r="K114" s="1" t="s">
        <v>31</v>
      </c>
      <c r="P114" s="75">
        <v>2310092</v>
      </c>
      <c r="Q114" s="77">
        <f t="shared" si="17"/>
        <v>2310.0920000000001</v>
      </c>
      <c r="R114" s="76">
        <f t="shared" si="15"/>
        <v>4.7674997420286865E-2</v>
      </c>
    </row>
    <row r="115" spans="1:18" hidden="1" outlineLevel="1" x14ac:dyDescent="0.2">
      <c r="A115" s="93">
        <v>32629</v>
      </c>
      <c r="B115" s="86">
        <v>2938</v>
      </c>
      <c r="C115" s="86">
        <v>5578</v>
      </c>
      <c r="D115" s="86">
        <v>-2640</v>
      </c>
      <c r="E115" s="92">
        <f t="shared" si="14"/>
        <v>-5.4483541430192961</v>
      </c>
      <c r="F115" s="86">
        <f t="shared" si="16"/>
        <v>5546</v>
      </c>
      <c r="G115" s="86">
        <v>51361</v>
      </c>
      <c r="H115" s="6"/>
      <c r="I115" s="6" t="s">
        <v>41</v>
      </c>
      <c r="J115" s="6" t="s">
        <v>42</v>
      </c>
      <c r="K115" s="1" t="s">
        <v>31</v>
      </c>
      <c r="P115" s="75">
        <v>2345532</v>
      </c>
      <c r="Q115" s="77">
        <f t="shared" si="17"/>
        <v>2345.5320000000002</v>
      </c>
      <c r="R115" s="76">
        <f t="shared" si="15"/>
        <v>4.5667568777866478E-2</v>
      </c>
    </row>
    <row r="116" spans="1:18" hidden="1" outlineLevel="1" x14ac:dyDescent="0.2">
      <c r="A116" s="93">
        <v>32660</v>
      </c>
      <c r="B116" s="86">
        <v>4461</v>
      </c>
      <c r="C116" s="86">
        <v>5642</v>
      </c>
      <c r="D116" s="86">
        <v>-1181</v>
      </c>
      <c r="E116" s="92">
        <f t="shared" si="14"/>
        <v>-2.2994100582153774</v>
      </c>
      <c r="F116" s="86">
        <f t="shared" si="16"/>
        <v>5366</v>
      </c>
      <c r="G116" s="86">
        <v>55546</v>
      </c>
      <c r="H116" s="6"/>
      <c r="I116" s="6" t="s">
        <v>41</v>
      </c>
      <c r="J116" s="6" t="s">
        <v>42</v>
      </c>
      <c r="K116" s="1" t="s">
        <v>31</v>
      </c>
      <c r="P116" s="75">
        <v>2497887</v>
      </c>
      <c r="Q116" s="77">
        <f t="shared" si="17"/>
        <v>2497.8870000000002</v>
      </c>
      <c r="R116" s="76">
        <f t="shared" si="15"/>
        <v>4.4969700788535634E-2</v>
      </c>
    </row>
    <row r="117" spans="1:18" hidden="1" outlineLevel="1" x14ac:dyDescent="0.2">
      <c r="A117" s="93">
        <v>32690</v>
      </c>
      <c r="B117" s="86">
        <v>4811</v>
      </c>
      <c r="C117" s="86">
        <v>5751</v>
      </c>
      <c r="D117" s="86">
        <v>-940</v>
      </c>
      <c r="E117" s="92">
        <f t="shared" si="14"/>
        <v>-1.692291074064739</v>
      </c>
      <c r="F117" s="86">
        <f t="shared" si="16"/>
        <v>8956</v>
      </c>
      <c r="G117" s="86">
        <v>63562</v>
      </c>
      <c r="H117" s="6"/>
      <c r="I117" s="6" t="s">
        <v>41</v>
      </c>
      <c r="J117" s="6" t="s">
        <v>42</v>
      </c>
      <c r="K117" s="1" t="s">
        <v>31</v>
      </c>
      <c r="P117" s="75">
        <v>3110504</v>
      </c>
      <c r="Q117" s="77">
        <f t="shared" si="17"/>
        <v>3110.5039999999999</v>
      </c>
      <c r="R117" s="76">
        <f t="shared" si="15"/>
        <v>4.8936534407350303E-2</v>
      </c>
    </row>
    <row r="118" spans="1:18" hidden="1" outlineLevel="1" x14ac:dyDescent="0.2">
      <c r="A118" s="93">
        <v>32721</v>
      </c>
      <c r="B118" s="86">
        <v>6731</v>
      </c>
      <c r="C118" s="86">
        <v>7952</v>
      </c>
      <c r="D118" s="86">
        <v>-1221</v>
      </c>
      <c r="E118" s="92">
        <f t="shared" si="14"/>
        <v>-1.9209590635914542</v>
      </c>
      <c r="F118" s="86">
        <f t="shared" si="16"/>
        <v>25130</v>
      </c>
      <c r="G118" s="86">
        <v>87471</v>
      </c>
      <c r="H118" s="6"/>
      <c r="I118" s="6" t="s">
        <v>41</v>
      </c>
      <c r="J118" s="6" t="s">
        <v>42</v>
      </c>
      <c r="K118" s="1" t="s">
        <v>31</v>
      </c>
      <c r="P118" s="75">
        <v>3983491</v>
      </c>
      <c r="Q118" s="77">
        <f t="shared" si="17"/>
        <v>3983.491</v>
      </c>
      <c r="R118" s="76">
        <f t="shared" si="15"/>
        <v>4.5540704919344699E-2</v>
      </c>
    </row>
    <row r="119" spans="1:18" hidden="1" outlineLevel="1" x14ac:dyDescent="0.2">
      <c r="A119" s="93">
        <v>32752</v>
      </c>
      <c r="B119" s="86">
        <v>7534</v>
      </c>
      <c r="C119" s="86">
        <v>10996</v>
      </c>
      <c r="D119" s="86">
        <v>-3462</v>
      </c>
      <c r="E119" s="92">
        <f t="shared" si="14"/>
        <v>-3.9578831841410298</v>
      </c>
      <c r="F119" s="86">
        <f t="shared" si="16"/>
        <v>25775</v>
      </c>
      <c r="G119" s="86">
        <v>109784</v>
      </c>
      <c r="H119" s="6"/>
      <c r="I119" s="6" t="s">
        <v>41</v>
      </c>
      <c r="J119" s="6" t="s">
        <v>42</v>
      </c>
      <c r="K119" s="1" t="s">
        <v>31</v>
      </c>
      <c r="P119" s="75">
        <v>4935606</v>
      </c>
      <c r="Q119" s="77">
        <f t="shared" si="17"/>
        <v>4935.6059999999998</v>
      </c>
      <c r="R119" s="76">
        <f t="shared" si="15"/>
        <v>4.4957425490053195E-2</v>
      </c>
    </row>
    <row r="120" spans="1:18" hidden="1" outlineLevel="1" x14ac:dyDescent="0.2">
      <c r="A120" s="93">
        <v>32782</v>
      </c>
      <c r="B120" s="86">
        <v>10620</v>
      </c>
      <c r="C120" s="86">
        <v>13927</v>
      </c>
      <c r="D120" s="86">
        <v>-3307</v>
      </c>
      <c r="E120" s="92">
        <f t="shared" si="14"/>
        <v>-3.0122786562704946</v>
      </c>
      <c r="F120" s="86">
        <f t="shared" si="16"/>
        <v>39732</v>
      </c>
      <c r="G120" s="86">
        <v>146209</v>
      </c>
      <c r="H120" s="6"/>
      <c r="I120" s="6" t="s">
        <v>41</v>
      </c>
      <c r="J120" s="6" t="s">
        <v>42</v>
      </c>
      <c r="K120" s="1" t="s">
        <v>31</v>
      </c>
      <c r="P120" s="75">
        <v>6550581</v>
      </c>
      <c r="Q120" s="77">
        <f t="shared" si="17"/>
        <v>6550.5810000000001</v>
      </c>
      <c r="R120" s="76">
        <f t="shared" si="15"/>
        <v>4.4802857553228596E-2</v>
      </c>
    </row>
    <row r="121" spans="1:18" hidden="1" outlineLevel="1" x14ac:dyDescent="0.2">
      <c r="A121" s="93">
        <v>32813</v>
      </c>
      <c r="B121" s="86">
        <v>13008</v>
      </c>
      <c r="C121" s="86">
        <v>22622</v>
      </c>
      <c r="D121" s="86">
        <v>-9614</v>
      </c>
      <c r="E121" s="92">
        <f t="shared" si="14"/>
        <v>-6.5755186069257023</v>
      </c>
      <c r="F121" s="86">
        <f t="shared" si="16"/>
        <v>55368</v>
      </c>
      <c r="G121" s="86">
        <v>191963</v>
      </c>
      <c r="H121" s="6"/>
      <c r="I121" s="6" t="s">
        <v>41</v>
      </c>
      <c r="J121" s="6" t="s">
        <v>42</v>
      </c>
      <c r="K121" s="1" t="s">
        <v>31</v>
      </c>
      <c r="P121" s="75">
        <v>8418852</v>
      </c>
      <c r="Q121" s="77">
        <f t="shared" si="17"/>
        <v>8418.8520000000008</v>
      </c>
      <c r="R121" s="76">
        <f t="shared" si="15"/>
        <v>4.3856639039814967E-2</v>
      </c>
    </row>
    <row r="122" spans="1:18" hidden="1" outlineLevel="1" x14ac:dyDescent="0.2">
      <c r="A122" s="93">
        <v>32843</v>
      </c>
      <c r="B122" s="86">
        <v>24970</v>
      </c>
      <c r="C122" s="86">
        <v>30839</v>
      </c>
      <c r="D122" s="86">
        <v>-5869</v>
      </c>
      <c r="E122" s="92">
        <f t="shared" si="14"/>
        <v>-3.0573600120856623</v>
      </c>
      <c r="F122" s="86">
        <f t="shared" si="16"/>
        <v>80583</v>
      </c>
      <c r="G122" s="86">
        <v>266677</v>
      </c>
      <c r="H122" s="6"/>
      <c r="I122" s="6" t="s">
        <v>41</v>
      </c>
      <c r="J122" s="6" t="s">
        <v>42</v>
      </c>
      <c r="K122" s="1" t="s">
        <v>31</v>
      </c>
      <c r="P122" s="75">
        <v>11650749</v>
      </c>
      <c r="Q122" s="77">
        <f t="shared" si="17"/>
        <v>11650.749</v>
      </c>
      <c r="R122" s="76">
        <f t="shared" si="15"/>
        <v>4.3688615816137123E-2</v>
      </c>
    </row>
    <row r="123" spans="1:18" hidden="1" collapsed="1" x14ac:dyDescent="0.2">
      <c r="A123" s="83" t="s">
        <v>43</v>
      </c>
      <c r="B123" s="84">
        <f>SUM(B111:B122)</f>
        <v>86063</v>
      </c>
      <c r="C123" s="84">
        <f>SUM(C111:C122)</f>
        <v>115106</v>
      </c>
      <c r="D123" s="84">
        <f>SUM(D111:D122)</f>
        <v>-29043</v>
      </c>
      <c r="E123" s="91">
        <f>(D123/G110*100)</f>
        <v>-0.13137776202372509</v>
      </c>
      <c r="F123" s="84">
        <f>SUM(F111:F122)</f>
        <v>273613.51899999997</v>
      </c>
      <c r="G123" s="85">
        <f>G122</f>
        <v>266677</v>
      </c>
      <c r="I123" s="6" t="s">
        <v>41</v>
      </c>
      <c r="J123" s="6" t="s">
        <v>42</v>
      </c>
      <c r="K123" s="1" t="s">
        <v>31</v>
      </c>
    </row>
    <row r="124" spans="1:18" ht="20.100000000000001" hidden="1" customHeight="1" outlineLevel="1" x14ac:dyDescent="0.2">
      <c r="A124" s="93">
        <v>32874</v>
      </c>
      <c r="B124" s="86">
        <v>34089</v>
      </c>
      <c r="C124" s="86">
        <v>41597</v>
      </c>
      <c r="D124" s="86">
        <v>-7508</v>
      </c>
      <c r="E124" s="92">
        <f t="shared" ref="E124:E135" si="18">D124/G123*100</f>
        <v>-2.8153909036024856</v>
      </c>
      <c r="F124" s="86">
        <f>(G124-G122)-D124</f>
        <v>142452</v>
      </c>
      <c r="G124" s="86">
        <v>401621</v>
      </c>
      <c r="H124" s="6"/>
      <c r="I124" s="6" t="s">
        <v>41</v>
      </c>
      <c r="J124" s="6" t="s">
        <v>42</v>
      </c>
      <c r="K124" s="1" t="s">
        <v>31</v>
      </c>
      <c r="P124" s="75">
        <v>17579392</v>
      </c>
      <c r="Q124" s="77">
        <f t="shared" si="17"/>
        <v>17579.392</v>
      </c>
      <c r="R124" s="76">
        <f t="shared" ref="R124:R134" si="19">Q124/G124</f>
        <v>4.3771097626867123E-2</v>
      </c>
    </row>
    <row r="125" spans="1:18" hidden="1" outlineLevel="1" x14ac:dyDescent="0.2">
      <c r="A125" s="93">
        <v>32905</v>
      </c>
      <c r="B125" s="86">
        <v>229539</v>
      </c>
      <c r="C125" s="86">
        <v>55484</v>
      </c>
      <c r="D125" s="86">
        <v>174055</v>
      </c>
      <c r="E125" s="92">
        <f t="shared" si="18"/>
        <v>43.338122259543198</v>
      </c>
      <c r="F125" s="86">
        <f t="shared" ref="F125:F135" si="20">(G125-G124)-D125</f>
        <v>285546</v>
      </c>
      <c r="G125" s="86">
        <v>861222</v>
      </c>
      <c r="H125" s="6"/>
      <c r="I125" s="6" t="s">
        <v>41</v>
      </c>
      <c r="J125" s="6" t="s">
        <v>42</v>
      </c>
      <c r="K125" s="1" t="s">
        <v>31</v>
      </c>
      <c r="P125" s="75">
        <v>45262281</v>
      </c>
      <c r="Q125" s="77">
        <f t="shared" si="17"/>
        <v>45262.281000000003</v>
      </c>
      <c r="R125" s="76">
        <f t="shared" si="19"/>
        <v>5.2555881062025821E-2</v>
      </c>
    </row>
    <row r="126" spans="1:18" hidden="1" outlineLevel="1" x14ac:dyDescent="0.2">
      <c r="A126" s="93">
        <v>32933</v>
      </c>
      <c r="B126" s="86">
        <v>105398</v>
      </c>
      <c r="C126" s="86">
        <v>40325</v>
      </c>
      <c r="D126" s="86">
        <v>65073</v>
      </c>
      <c r="E126" s="92">
        <f t="shared" si="18"/>
        <v>7.5558915122929973</v>
      </c>
      <c r="F126" s="86">
        <f t="shared" si="20"/>
        <v>252250</v>
      </c>
      <c r="G126" s="86">
        <v>1178545</v>
      </c>
      <c r="H126" s="6"/>
      <c r="I126" s="79" t="s">
        <v>29</v>
      </c>
      <c r="J126" s="79" t="s">
        <v>30</v>
      </c>
      <c r="K126" s="80" t="s">
        <v>31</v>
      </c>
      <c r="P126" s="75">
        <v>61542686</v>
      </c>
      <c r="Q126" s="77">
        <f t="shared" si="17"/>
        <v>61542.686000000002</v>
      </c>
      <c r="R126" s="76">
        <f t="shared" si="19"/>
        <v>5.2219207582230635E-2</v>
      </c>
    </row>
    <row r="127" spans="1:18" hidden="1" outlineLevel="1" x14ac:dyDescent="0.2">
      <c r="A127" s="93">
        <v>32964</v>
      </c>
      <c r="B127" s="86">
        <v>20000</v>
      </c>
      <c r="C127" s="86">
        <v>370000</v>
      </c>
      <c r="D127" s="86">
        <v>-350000</v>
      </c>
      <c r="E127" s="92">
        <f t="shared" si="18"/>
        <v>-29.697635643950804</v>
      </c>
      <c r="F127" s="86">
        <f t="shared" si="20"/>
        <v>1455</v>
      </c>
      <c r="G127" s="86">
        <v>830000</v>
      </c>
      <c r="H127" s="6"/>
      <c r="I127" s="6" t="s">
        <v>29</v>
      </c>
      <c r="J127" s="6" t="s">
        <v>30</v>
      </c>
      <c r="K127" s="1" t="s">
        <v>31</v>
      </c>
      <c r="P127" s="75">
        <v>40347316</v>
      </c>
      <c r="Q127" s="77">
        <f t="shared" si="17"/>
        <v>40347.315999999999</v>
      </c>
      <c r="R127" s="76">
        <f t="shared" si="19"/>
        <v>4.861122409638554E-2</v>
      </c>
    </row>
    <row r="128" spans="1:18" hidden="1" outlineLevel="1" x14ac:dyDescent="0.2">
      <c r="A128" s="93">
        <v>32994</v>
      </c>
      <c r="B128" s="86">
        <v>10000</v>
      </c>
      <c r="C128" s="86">
        <v>60000</v>
      </c>
      <c r="D128" s="86">
        <v>-50000</v>
      </c>
      <c r="E128" s="92">
        <f t="shared" si="18"/>
        <v>-6.024096385542169</v>
      </c>
      <c r="F128" s="86">
        <f t="shared" si="20"/>
        <v>6807</v>
      </c>
      <c r="G128" s="86">
        <v>786807</v>
      </c>
      <c r="H128" s="6"/>
      <c r="I128" s="6" t="s">
        <v>29</v>
      </c>
      <c r="J128" s="6" t="s">
        <v>30</v>
      </c>
      <c r="K128" s="1" t="s">
        <v>31</v>
      </c>
      <c r="P128" s="75">
        <v>38428065</v>
      </c>
      <c r="Q128" s="77">
        <f t="shared" si="17"/>
        <v>38428.065000000002</v>
      </c>
      <c r="R128" s="76">
        <f t="shared" si="19"/>
        <v>4.8840522516957786E-2</v>
      </c>
    </row>
    <row r="129" spans="1:18" hidden="1" outlineLevel="1" x14ac:dyDescent="0.2">
      <c r="A129" s="93">
        <v>33025</v>
      </c>
      <c r="B129" s="86">
        <v>93446</v>
      </c>
      <c r="C129" s="86">
        <v>100476</v>
      </c>
      <c r="D129" s="86">
        <v>-7030</v>
      </c>
      <c r="E129" s="92">
        <f t="shared" si="18"/>
        <v>-0.89348467921612285</v>
      </c>
      <c r="F129" s="86">
        <f t="shared" si="20"/>
        <v>50796</v>
      </c>
      <c r="G129" s="86">
        <v>830573</v>
      </c>
      <c r="H129" s="6"/>
      <c r="I129" s="6" t="s">
        <v>29</v>
      </c>
      <c r="J129" s="6" t="s">
        <v>30</v>
      </c>
      <c r="K129" s="1" t="s">
        <v>31</v>
      </c>
      <c r="P129" s="75">
        <v>49121976</v>
      </c>
      <c r="Q129" s="77">
        <f t="shared" si="17"/>
        <v>49121.976000000002</v>
      </c>
      <c r="R129" s="76">
        <f t="shared" si="19"/>
        <v>5.9142274068624913E-2</v>
      </c>
    </row>
    <row r="130" spans="1:18" hidden="1" outlineLevel="1" x14ac:dyDescent="0.2">
      <c r="A130" s="93">
        <v>33055</v>
      </c>
      <c r="B130" s="86">
        <v>192126</v>
      </c>
      <c r="C130" s="86">
        <v>107190</v>
      </c>
      <c r="D130" s="86">
        <v>84936</v>
      </c>
      <c r="E130" s="92">
        <f t="shared" si="18"/>
        <v>10.226193242496445</v>
      </c>
      <c r="F130" s="86">
        <f t="shared" si="20"/>
        <v>74575</v>
      </c>
      <c r="G130" s="86">
        <v>990084</v>
      </c>
      <c r="H130" s="6"/>
      <c r="I130" s="6" t="s">
        <v>29</v>
      </c>
      <c r="J130" s="6" t="s">
        <v>30</v>
      </c>
      <c r="K130" s="1" t="s">
        <v>31</v>
      </c>
      <c r="P130" s="75">
        <v>57141131</v>
      </c>
      <c r="Q130" s="77">
        <f t="shared" si="17"/>
        <v>57141.131000000001</v>
      </c>
      <c r="R130" s="76">
        <f t="shared" si="19"/>
        <v>5.7713417245405442E-2</v>
      </c>
    </row>
    <row r="131" spans="1:18" hidden="1" outlineLevel="1" x14ac:dyDescent="0.2">
      <c r="A131" s="93">
        <v>33086</v>
      </c>
      <c r="B131" s="86">
        <v>172324</v>
      </c>
      <c r="C131" s="86">
        <v>129272</v>
      </c>
      <c r="D131" s="86">
        <v>43052</v>
      </c>
      <c r="E131" s="92">
        <f t="shared" si="18"/>
        <v>4.3483179204996745</v>
      </c>
      <c r="F131" s="86">
        <f t="shared" si="20"/>
        <v>111778</v>
      </c>
      <c r="G131" s="86">
        <v>1144914</v>
      </c>
      <c r="H131" s="6"/>
      <c r="I131" s="6" t="s">
        <v>29</v>
      </c>
      <c r="J131" s="6" t="s">
        <v>30</v>
      </c>
      <c r="K131" s="1" t="s">
        <v>31</v>
      </c>
      <c r="P131" s="75">
        <v>64239597</v>
      </c>
      <c r="Q131" s="77">
        <f t="shared" si="17"/>
        <v>64239.597000000002</v>
      </c>
      <c r="R131" s="76">
        <f t="shared" si="19"/>
        <v>5.6108665803719759E-2</v>
      </c>
    </row>
    <row r="132" spans="1:18" hidden="1" outlineLevel="1" x14ac:dyDescent="0.2">
      <c r="A132" s="93">
        <v>33117</v>
      </c>
      <c r="B132" s="86">
        <v>130861</v>
      </c>
      <c r="C132" s="86">
        <v>121815</v>
      </c>
      <c r="D132" s="86">
        <v>9046</v>
      </c>
      <c r="E132" s="92">
        <f t="shared" si="18"/>
        <v>0.79010301210396594</v>
      </c>
      <c r="F132" s="86">
        <f t="shared" si="20"/>
        <v>121430</v>
      </c>
      <c r="G132" s="86">
        <v>1275390</v>
      </c>
      <c r="H132" s="6"/>
      <c r="I132" s="6" t="s">
        <v>29</v>
      </c>
      <c r="J132" s="6" t="s">
        <v>30</v>
      </c>
      <c r="K132" s="1" t="s">
        <v>31</v>
      </c>
      <c r="P132" s="75">
        <v>72524971</v>
      </c>
      <c r="Q132" s="77">
        <f t="shared" si="17"/>
        <v>72524.971000000005</v>
      </c>
      <c r="R132" s="76">
        <f t="shared" si="19"/>
        <v>5.6864936215588961E-2</v>
      </c>
    </row>
    <row r="133" spans="1:18" hidden="1" outlineLevel="1" x14ac:dyDescent="0.2">
      <c r="A133" s="93">
        <v>33147</v>
      </c>
      <c r="B133" s="86">
        <v>157407</v>
      </c>
      <c r="C133" s="86">
        <v>154439</v>
      </c>
      <c r="D133" s="86">
        <v>2968</v>
      </c>
      <c r="E133" s="92">
        <f t="shared" si="18"/>
        <v>0.23271313088545467</v>
      </c>
      <c r="F133" s="86">
        <f t="shared" si="20"/>
        <v>168427</v>
      </c>
      <c r="G133" s="86">
        <v>1446785</v>
      </c>
      <c r="H133" s="6"/>
      <c r="I133" s="6" t="s">
        <v>29</v>
      </c>
      <c r="J133" s="6" t="s">
        <v>30</v>
      </c>
      <c r="K133" s="1" t="s">
        <v>31</v>
      </c>
      <c r="P133" s="75">
        <v>81040963</v>
      </c>
      <c r="Q133" s="77">
        <f t="shared" si="17"/>
        <v>81040.963000000003</v>
      </c>
      <c r="R133" s="76">
        <f t="shared" si="19"/>
        <v>5.6014517015313264E-2</v>
      </c>
    </row>
    <row r="134" spans="1:18" hidden="1" outlineLevel="1" x14ac:dyDescent="0.2">
      <c r="A134" s="93">
        <v>33178</v>
      </c>
      <c r="B134" s="86">
        <v>176286</v>
      </c>
      <c r="C134" s="86">
        <v>184581</v>
      </c>
      <c r="D134" s="86">
        <v>-8295</v>
      </c>
      <c r="E134" s="92">
        <f t="shared" si="18"/>
        <v>-0.57334019913117706</v>
      </c>
      <c r="F134" s="86">
        <f t="shared" si="20"/>
        <v>198891</v>
      </c>
      <c r="G134" s="86">
        <v>1637381</v>
      </c>
      <c r="H134" s="6"/>
      <c r="I134" s="6" t="s">
        <v>29</v>
      </c>
      <c r="J134" s="6" t="s">
        <v>30</v>
      </c>
      <c r="K134" s="1" t="s">
        <v>31</v>
      </c>
      <c r="P134" s="75">
        <v>97394073</v>
      </c>
      <c r="Q134" s="77">
        <f t="shared" si="17"/>
        <v>97394.073000000004</v>
      </c>
      <c r="R134" s="76">
        <f t="shared" si="19"/>
        <v>5.948161912224461E-2</v>
      </c>
    </row>
    <row r="135" spans="1:18" hidden="1" outlineLevel="1" x14ac:dyDescent="0.2">
      <c r="A135" s="93">
        <v>33208</v>
      </c>
      <c r="B135" s="86">
        <v>319572</v>
      </c>
      <c r="C135" s="86">
        <v>236001</v>
      </c>
      <c r="D135" s="86">
        <v>83571</v>
      </c>
      <c r="E135" s="92">
        <f t="shared" si="18"/>
        <v>5.1039434316142671</v>
      </c>
      <c r="F135" s="86">
        <f t="shared" si="20"/>
        <v>327824</v>
      </c>
      <c r="G135" s="86">
        <v>2048776</v>
      </c>
      <c r="H135" s="6"/>
      <c r="I135" s="6" t="s">
        <v>29</v>
      </c>
      <c r="J135" s="6" t="s">
        <v>30</v>
      </c>
      <c r="K135" s="1" t="s">
        <v>31</v>
      </c>
    </row>
    <row r="136" spans="1:18" hidden="1" collapsed="1" x14ac:dyDescent="0.2">
      <c r="A136" s="83" t="s">
        <v>44</v>
      </c>
      <c r="B136" s="84">
        <f>SUM(B124:B135)</f>
        <v>1641048</v>
      </c>
      <c r="C136" s="84">
        <f>SUM(C124:C135)</f>
        <v>1601180</v>
      </c>
      <c r="D136" s="84">
        <f>SUM(D124:D135)</f>
        <v>39868</v>
      </c>
      <c r="E136" s="91">
        <f>(D136/G123*100)</f>
        <v>14.94992069057324</v>
      </c>
      <c r="F136" s="84">
        <f>SUM(F124:F135)</f>
        <v>1742231</v>
      </c>
      <c r="G136" s="85">
        <f>G135</f>
        <v>2048776</v>
      </c>
      <c r="I136" s="6" t="s">
        <v>29</v>
      </c>
      <c r="J136" s="6" t="s">
        <v>30</v>
      </c>
      <c r="K136" s="1" t="s">
        <v>31</v>
      </c>
    </row>
    <row r="137" spans="1:18" ht="20.100000000000001" hidden="1" customHeight="1" outlineLevel="1" x14ac:dyDescent="0.2">
      <c r="A137" s="93">
        <v>33239</v>
      </c>
      <c r="B137" s="86">
        <v>322977</v>
      </c>
      <c r="C137" s="86">
        <v>274268</v>
      </c>
      <c r="D137" s="86">
        <v>48709</v>
      </c>
      <c r="E137" s="92">
        <f t="shared" ref="E137:E148" si="21">D137/G136*100</f>
        <v>2.3774683030258066</v>
      </c>
      <c r="F137" s="86">
        <f>(G137-G135)-D137</f>
        <v>350917</v>
      </c>
      <c r="G137" s="86">
        <v>2448402</v>
      </c>
      <c r="H137" s="6"/>
      <c r="I137" s="6" t="s">
        <v>29</v>
      </c>
      <c r="J137" s="6" t="s">
        <v>30</v>
      </c>
      <c r="K137" s="1" t="s">
        <v>31</v>
      </c>
      <c r="P137" s="75">
        <v>118484148</v>
      </c>
      <c r="Q137" s="77">
        <f t="shared" ref="Q137:Q148" si="22">P137/1000</f>
        <v>118484.148</v>
      </c>
      <c r="R137" s="76">
        <f t="shared" ref="R137:R148" si="23">Q137/G137</f>
        <v>4.8392440457081805E-2</v>
      </c>
    </row>
    <row r="138" spans="1:18" hidden="1" outlineLevel="1" x14ac:dyDescent="0.2">
      <c r="A138" s="93">
        <v>33270</v>
      </c>
      <c r="B138" s="86">
        <v>389492</v>
      </c>
      <c r="C138" s="86">
        <v>323634</v>
      </c>
      <c r="D138" s="86">
        <v>65858</v>
      </c>
      <c r="E138" s="92">
        <f t="shared" si="21"/>
        <v>2.6898360645024799</v>
      </c>
      <c r="F138" s="86">
        <f t="shared" ref="F138:F148" si="24">(G138-G137)-D138</f>
        <v>391733</v>
      </c>
      <c r="G138" s="86">
        <v>2905993</v>
      </c>
      <c r="H138" s="6"/>
      <c r="I138" s="6" t="s">
        <v>29</v>
      </c>
      <c r="J138" s="6" t="s">
        <v>30</v>
      </c>
      <c r="K138" s="1" t="s">
        <v>31</v>
      </c>
      <c r="P138" s="75">
        <v>139048196</v>
      </c>
      <c r="Q138" s="77">
        <f t="shared" si="22"/>
        <v>139048.196</v>
      </c>
      <c r="R138" s="76">
        <f t="shared" si="23"/>
        <v>4.7848771831177847E-2</v>
      </c>
    </row>
    <row r="139" spans="1:18" hidden="1" outlineLevel="1" x14ac:dyDescent="0.2">
      <c r="A139" s="93">
        <v>33298</v>
      </c>
      <c r="B139" s="86">
        <v>567697</v>
      </c>
      <c r="C139" s="86">
        <v>448094</v>
      </c>
      <c r="D139" s="86">
        <v>119603</v>
      </c>
      <c r="E139" s="92">
        <f t="shared" si="21"/>
        <v>4.1157359979876063</v>
      </c>
      <c r="F139" s="86">
        <f t="shared" si="24"/>
        <v>271080</v>
      </c>
      <c r="G139" s="86">
        <v>3296676</v>
      </c>
      <c r="H139" s="6"/>
      <c r="I139" s="6" t="s">
        <v>29</v>
      </c>
      <c r="J139" s="6" t="s">
        <v>30</v>
      </c>
      <c r="K139" s="1" t="s">
        <v>31</v>
      </c>
      <c r="P139" s="75">
        <v>154105677</v>
      </c>
      <c r="Q139" s="77">
        <f t="shared" si="22"/>
        <v>154105.677</v>
      </c>
      <c r="R139" s="76">
        <f t="shared" si="23"/>
        <v>4.6745775745023165E-2</v>
      </c>
    </row>
    <row r="140" spans="1:18" hidden="1" outlineLevel="1" x14ac:dyDescent="0.2">
      <c r="A140" s="93">
        <v>33329</v>
      </c>
      <c r="B140" s="86">
        <v>606966</v>
      </c>
      <c r="C140" s="86">
        <v>621348</v>
      </c>
      <c r="D140" s="86">
        <v>-14382</v>
      </c>
      <c r="E140" s="92">
        <f t="shared" si="21"/>
        <v>-0.43625761221302911</v>
      </c>
      <c r="F140" s="86">
        <f t="shared" si="24"/>
        <v>260713</v>
      </c>
      <c r="G140" s="86">
        <v>3543007</v>
      </c>
      <c r="H140" s="6"/>
      <c r="I140" s="6" t="s">
        <v>29</v>
      </c>
      <c r="J140" s="6" t="s">
        <v>30</v>
      </c>
      <c r="K140" s="1" t="s">
        <v>31</v>
      </c>
      <c r="P140" s="75">
        <v>168680014</v>
      </c>
      <c r="Q140" s="77">
        <f t="shared" si="22"/>
        <v>168680.014</v>
      </c>
      <c r="R140" s="76">
        <f t="shared" si="23"/>
        <v>4.7609280478418475E-2</v>
      </c>
    </row>
    <row r="141" spans="1:18" hidden="1" outlineLevel="1" x14ac:dyDescent="0.2">
      <c r="A141" s="93">
        <v>33359</v>
      </c>
      <c r="B141" s="86">
        <v>586035</v>
      </c>
      <c r="C141" s="86">
        <v>596643</v>
      </c>
      <c r="D141" s="86">
        <v>-10608</v>
      </c>
      <c r="E141" s="92">
        <f t="shared" si="21"/>
        <v>-0.299406690418619</v>
      </c>
      <c r="F141" s="86">
        <f t="shared" si="24"/>
        <v>307110</v>
      </c>
      <c r="G141" s="86">
        <v>3839509</v>
      </c>
      <c r="H141" s="6"/>
      <c r="I141" s="6" t="s">
        <v>29</v>
      </c>
      <c r="J141" s="6" t="s">
        <v>30</v>
      </c>
      <c r="K141" s="1" t="s">
        <v>31</v>
      </c>
      <c r="P141" s="75">
        <v>185216016</v>
      </c>
      <c r="Q141" s="77">
        <f t="shared" si="22"/>
        <v>185216.016</v>
      </c>
      <c r="R141" s="76">
        <f t="shared" si="23"/>
        <v>4.8239505624286853E-2</v>
      </c>
    </row>
    <row r="142" spans="1:18" hidden="1" outlineLevel="1" x14ac:dyDescent="0.2">
      <c r="A142" s="93">
        <v>33390</v>
      </c>
      <c r="B142" s="86">
        <v>764134</v>
      </c>
      <c r="C142" s="86">
        <v>656009</v>
      </c>
      <c r="D142" s="86">
        <v>108125</v>
      </c>
      <c r="E142" s="92">
        <f t="shared" si="21"/>
        <v>2.8161152897414747</v>
      </c>
      <c r="F142" s="86">
        <f t="shared" si="24"/>
        <v>390219</v>
      </c>
      <c r="G142" s="86">
        <v>4337853</v>
      </c>
      <c r="H142" s="6"/>
      <c r="I142" s="6" t="s">
        <v>29</v>
      </c>
      <c r="J142" s="6" t="s">
        <v>30</v>
      </c>
      <c r="K142" s="1" t="s">
        <v>31</v>
      </c>
      <c r="P142" s="75">
        <v>209466780</v>
      </c>
      <c r="Q142" s="77">
        <f t="shared" si="22"/>
        <v>209466.78</v>
      </c>
      <c r="R142" s="76">
        <f t="shared" si="23"/>
        <v>4.8288123179831131E-2</v>
      </c>
    </row>
    <row r="143" spans="1:18" hidden="1" outlineLevel="1" x14ac:dyDescent="0.2">
      <c r="A143" s="93">
        <v>33420</v>
      </c>
      <c r="B143" s="86">
        <v>991882</v>
      </c>
      <c r="C143" s="86">
        <v>866452</v>
      </c>
      <c r="D143" s="86">
        <v>125430</v>
      </c>
      <c r="E143" s="92">
        <f t="shared" si="21"/>
        <v>2.8915226034630495</v>
      </c>
      <c r="F143" s="86">
        <f t="shared" si="24"/>
        <v>380568</v>
      </c>
      <c r="G143" s="86">
        <v>4843851</v>
      </c>
      <c r="H143" s="6"/>
      <c r="I143" s="6" t="s">
        <v>29</v>
      </c>
      <c r="J143" s="6" t="s">
        <v>30</v>
      </c>
      <c r="K143" s="1" t="s">
        <v>31</v>
      </c>
      <c r="P143" s="75">
        <v>240486632</v>
      </c>
      <c r="Q143" s="77">
        <f t="shared" si="22"/>
        <v>240486.63200000001</v>
      </c>
      <c r="R143" s="76">
        <f t="shared" si="23"/>
        <v>4.9647817820985825E-2</v>
      </c>
    </row>
    <row r="144" spans="1:18" hidden="1" outlineLevel="1" x14ac:dyDescent="0.2">
      <c r="A144" s="93">
        <v>33451</v>
      </c>
      <c r="B144" s="86">
        <v>1179408</v>
      </c>
      <c r="C144" s="86">
        <v>1183456</v>
      </c>
      <c r="D144" s="86">
        <v>-4048</v>
      </c>
      <c r="E144" s="92">
        <f t="shared" si="21"/>
        <v>-8.3569870336639179E-2</v>
      </c>
      <c r="F144" s="86">
        <f t="shared" si="24"/>
        <v>528522</v>
      </c>
      <c r="G144" s="86">
        <v>5368325</v>
      </c>
      <c r="H144" s="6"/>
      <c r="I144" s="6" t="s">
        <v>29</v>
      </c>
      <c r="J144" s="6" t="s">
        <v>30</v>
      </c>
      <c r="K144" s="1" t="s">
        <v>31</v>
      </c>
      <c r="P144" s="75">
        <v>267210772</v>
      </c>
      <c r="Q144" s="77">
        <f t="shared" si="22"/>
        <v>267210.772</v>
      </c>
      <c r="R144" s="76">
        <f t="shared" si="23"/>
        <v>4.9775446158718033E-2</v>
      </c>
    </row>
    <row r="145" spans="1:18" hidden="1" outlineLevel="1" x14ac:dyDescent="0.2">
      <c r="A145" s="93">
        <v>33482</v>
      </c>
      <c r="B145" s="86">
        <v>1242204</v>
      </c>
      <c r="C145" s="86">
        <v>1209925</v>
      </c>
      <c r="D145" s="86">
        <v>32279</v>
      </c>
      <c r="E145" s="92">
        <f t="shared" si="21"/>
        <v>0.60128624850395607</v>
      </c>
      <c r="F145" s="86">
        <f t="shared" si="24"/>
        <v>701309</v>
      </c>
      <c r="G145" s="86">
        <v>6101913</v>
      </c>
      <c r="H145" s="6"/>
      <c r="I145" s="6" t="s">
        <v>29</v>
      </c>
      <c r="J145" s="6" t="s">
        <v>30</v>
      </c>
      <c r="K145" s="1" t="s">
        <v>31</v>
      </c>
      <c r="P145" s="75">
        <v>309849105</v>
      </c>
      <c r="Q145" s="77">
        <f t="shared" si="22"/>
        <v>309849.10499999998</v>
      </c>
      <c r="R145" s="76">
        <f t="shared" si="23"/>
        <v>5.0779010615195595E-2</v>
      </c>
    </row>
    <row r="146" spans="1:18" hidden="1" outlineLevel="1" x14ac:dyDescent="0.2">
      <c r="A146" s="93">
        <v>33512</v>
      </c>
      <c r="B146" s="86">
        <v>1891693</v>
      </c>
      <c r="C146" s="86">
        <v>1815932</v>
      </c>
      <c r="D146" s="86">
        <v>75761</v>
      </c>
      <c r="E146" s="92">
        <f t="shared" si="21"/>
        <v>1.2415942344638478</v>
      </c>
      <c r="F146" s="86">
        <f t="shared" si="24"/>
        <v>1039704</v>
      </c>
      <c r="G146" s="86">
        <v>7217378</v>
      </c>
      <c r="H146" s="6"/>
      <c r="I146" s="6" t="s">
        <v>29</v>
      </c>
      <c r="J146" s="6" t="s">
        <v>30</v>
      </c>
      <c r="K146" s="1" t="s">
        <v>31</v>
      </c>
      <c r="P146" s="75">
        <v>368574224</v>
      </c>
      <c r="Q146" s="77">
        <f t="shared" si="22"/>
        <v>368574.22399999999</v>
      </c>
      <c r="R146" s="76">
        <f t="shared" si="23"/>
        <v>5.1067607100528753E-2</v>
      </c>
    </row>
    <row r="147" spans="1:18" hidden="1" outlineLevel="1" x14ac:dyDescent="0.2">
      <c r="A147" s="93">
        <v>33543</v>
      </c>
      <c r="B147" s="86">
        <v>2316550</v>
      </c>
      <c r="C147" s="86">
        <v>2085796</v>
      </c>
      <c r="D147" s="86">
        <v>230754</v>
      </c>
      <c r="E147" s="92">
        <f t="shared" si="21"/>
        <v>3.1971998695371089</v>
      </c>
      <c r="F147" s="86">
        <f t="shared" si="24"/>
        <v>1621832</v>
      </c>
      <c r="G147" s="86">
        <v>9069964</v>
      </c>
      <c r="H147" s="6"/>
      <c r="I147" s="6" t="s">
        <v>29</v>
      </c>
      <c r="J147" s="6" t="s">
        <v>30</v>
      </c>
      <c r="K147" s="1" t="s">
        <v>31</v>
      </c>
      <c r="P147" s="75">
        <v>465976593</v>
      </c>
      <c r="Q147" s="77">
        <f t="shared" si="22"/>
        <v>465976.59299999999</v>
      </c>
      <c r="R147" s="76">
        <f t="shared" si="23"/>
        <v>5.1375793002044992E-2</v>
      </c>
    </row>
    <row r="148" spans="1:18" hidden="1" outlineLevel="1" x14ac:dyDescent="0.2">
      <c r="A148" s="93">
        <v>33573</v>
      </c>
      <c r="B148" s="86">
        <v>4768623</v>
      </c>
      <c r="C148" s="86">
        <v>2785799</v>
      </c>
      <c r="D148" s="86">
        <v>1982824</v>
      </c>
      <c r="E148" s="92">
        <f t="shared" si="21"/>
        <v>21.861431864558671</v>
      </c>
      <c r="F148" s="86">
        <f t="shared" si="24"/>
        <v>2651770</v>
      </c>
      <c r="G148" s="86">
        <v>13704558</v>
      </c>
      <c r="H148" s="6"/>
      <c r="I148" s="6" t="s">
        <v>29</v>
      </c>
      <c r="J148" s="6" t="s">
        <v>30</v>
      </c>
      <c r="K148" s="1" t="s">
        <v>31</v>
      </c>
      <c r="P148" s="75">
        <v>755056952</v>
      </c>
      <c r="Q148" s="77">
        <f t="shared" si="22"/>
        <v>755056.95200000005</v>
      </c>
      <c r="R148" s="76">
        <f t="shared" si="23"/>
        <v>5.5095315879578173E-2</v>
      </c>
    </row>
    <row r="149" spans="1:18" hidden="1" collapsed="1" x14ac:dyDescent="0.2">
      <c r="A149" s="83" t="s">
        <v>45</v>
      </c>
      <c r="B149" s="84">
        <f>SUM(B137:B148)</f>
        <v>15627661</v>
      </c>
      <c r="C149" s="84">
        <f>SUM(C137:C148)</f>
        <v>12867356</v>
      </c>
      <c r="D149" s="84">
        <f>SUM(D137:D148)</f>
        <v>2760305</v>
      </c>
      <c r="E149" s="91">
        <f>(D149/G136*100)</f>
        <v>134.72946774073887</v>
      </c>
      <c r="F149" s="84">
        <f>SUM(F137:F148)</f>
        <v>8895477</v>
      </c>
      <c r="G149" s="85">
        <f>G148</f>
        <v>13704558</v>
      </c>
      <c r="I149" s="6" t="s">
        <v>29</v>
      </c>
      <c r="J149" s="6" t="s">
        <v>30</v>
      </c>
      <c r="K149" s="1" t="s">
        <v>31</v>
      </c>
    </row>
    <row r="150" spans="1:18" ht="20.100000000000001" hidden="1" customHeight="1" outlineLevel="1" x14ac:dyDescent="0.2">
      <c r="A150" s="93">
        <v>33604</v>
      </c>
      <c r="B150" s="86">
        <v>2977303</v>
      </c>
      <c r="C150" s="86">
        <v>2941508</v>
      </c>
      <c r="D150" s="86">
        <v>35795</v>
      </c>
      <c r="E150" s="92">
        <f t="shared" ref="E150:E161" si="25">D150/G149*100</f>
        <v>0.26119047400142348</v>
      </c>
      <c r="F150" s="86">
        <f>(G150-G148)-D150</f>
        <v>3450725</v>
      </c>
      <c r="G150" s="86">
        <v>17191078</v>
      </c>
      <c r="I150" s="6" t="s">
        <v>29</v>
      </c>
      <c r="J150" s="6" t="s">
        <v>30</v>
      </c>
      <c r="K150" s="1" t="s">
        <v>31</v>
      </c>
    </row>
    <row r="151" spans="1:18" hidden="1" outlineLevel="1" x14ac:dyDescent="0.2">
      <c r="A151" s="93">
        <v>33635</v>
      </c>
      <c r="B151" s="86">
        <v>3360095</v>
      </c>
      <c r="C151" s="86">
        <v>2943811</v>
      </c>
      <c r="D151" s="86">
        <v>416284</v>
      </c>
      <c r="E151" s="92">
        <f t="shared" si="25"/>
        <v>2.4215119028603094</v>
      </c>
      <c r="F151" s="86">
        <f t="shared" ref="F151:F161" si="26">(G151-G150)-D151</f>
        <v>4530637</v>
      </c>
      <c r="G151" s="86">
        <v>22137999</v>
      </c>
      <c r="I151" s="6" t="s">
        <v>29</v>
      </c>
      <c r="J151" s="6" t="s">
        <v>30</v>
      </c>
      <c r="K151" s="1" t="s">
        <v>31</v>
      </c>
    </row>
    <row r="152" spans="1:18" hidden="1" outlineLevel="1" x14ac:dyDescent="0.2">
      <c r="A152" s="93">
        <v>33664</v>
      </c>
      <c r="B152" s="86">
        <v>3625679</v>
      </c>
      <c r="C152" s="86">
        <v>3726135</v>
      </c>
      <c r="D152" s="86">
        <v>-100456</v>
      </c>
      <c r="E152" s="92">
        <f t="shared" si="25"/>
        <v>-0.45377181560085894</v>
      </c>
      <c r="F152" s="86">
        <f t="shared" si="26"/>
        <v>5304101</v>
      </c>
      <c r="G152" s="86">
        <v>27341644</v>
      </c>
      <c r="I152" s="6" t="s">
        <v>29</v>
      </c>
      <c r="J152" s="6" t="s">
        <v>30</v>
      </c>
      <c r="K152" s="1" t="s">
        <v>31</v>
      </c>
    </row>
    <row r="153" spans="1:18" hidden="1" outlineLevel="1" x14ac:dyDescent="0.2">
      <c r="A153" s="93">
        <v>33695</v>
      </c>
      <c r="B153" s="86">
        <v>5488320</v>
      </c>
      <c r="C153" s="86">
        <v>4349642</v>
      </c>
      <c r="D153" s="86">
        <v>1138678</v>
      </c>
      <c r="E153" s="92">
        <f t="shared" si="25"/>
        <v>4.1646288716216189</v>
      </c>
      <c r="F153" s="86">
        <f t="shared" si="26"/>
        <v>6725728</v>
      </c>
      <c r="G153" s="86">
        <v>35206050</v>
      </c>
      <c r="I153" s="6" t="s">
        <v>29</v>
      </c>
      <c r="J153" s="6" t="s">
        <v>30</v>
      </c>
      <c r="K153" s="1" t="s">
        <v>31</v>
      </c>
    </row>
    <row r="154" spans="1:18" hidden="1" outlineLevel="1" x14ac:dyDescent="0.2">
      <c r="A154" s="93">
        <v>33725</v>
      </c>
      <c r="B154" s="86">
        <v>5089354</v>
      </c>
      <c r="C154" s="86">
        <v>6104037</v>
      </c>
      <c r="D154" s="86">
        <v>-1014683</v>
      </c>
      <c r="E154" s="92">
        <f t="shared" si="25"/>
        <v>-2.882126793548268</v>
      </c>
      <c r="F154" s="86">
        <f t="shared" si="26"/>
        <v>6912395</v>
      </c>
      <c r="G154" s="86">
        <v>41103762</v>
      </c>
      <c r="I154" s="6" t="s">
        <v>29</v>
      </c>
      <c r="J154" s="6" t="s">
        <v>30</v>
      </c>
      <c r="K154" s="1" t="s">
        <v>31</v>
      </c>
    </row>
    <row r="155" spans="1:18" hidden="1" outlineLevel="1" x14ac:dyDescent="0.2">
      <c r="A155" s="93">
        <v>33756</v>
      </c>
      <c r="B155" s="86">
        <v>7600297</v>
      </c>
      <c r="C155" s="86">
        <v>7004026</v>
      </c>
      <c r="D155" s="86">
        <v>596271</v>
      </c>
      <c r="E155" s="92">
        <f t="shared" si="25"/>
        <v>1.4506482399348264</v>
      </c>
      <c r="F155" s="86">
        <f t="shared" si="26"/>
        <v>8871242</v>
      </c>
      <c r="G155" s="86">
        <v>50571275</v>
      </c>
      <c r="I155" s="6" t="s">
        <v>29</v>
      </c>
      <c r="J155" s="6" t="s">
        <v>30</v>
      </c>
      <c r="K155" s="1" t="s">
        <v>31</v>
      </c>
    </row>
    <row r="156" spans="1:18" hidden="1" outlineLevel="1" x14ac:dyDescent="0.2">
      <c r="A156" s="93">
        <v>33786</v>
      </c>
      <c r="B156" s="86">
        <v>10466790</v>
      </c>
      <c r="C156" s="86">
        <v>10002640</v>
      </c>
      <c r="D156" s="86">
        <v>464150</v>
      </c>
      <c r="E156" s="92">
        <f t="shared" si="25"/>
        <v>0.91781352160885799</v>
      </c>
      <c r="F156" s="86">
        <f t="shared" si="26"/>
        <v>10568069</v>
      </c>
      <c r="G156" s="86">
        <v>61603494</v>
      </c>
      <c r="I156" s="6" t="s">
        <v>29</v>
      </c>
      <c r="J156" s="6" t="s">
        <v>30</v>
      </c>
      <c r="K156" s="1" t="s">
        <v>31</v>
      </c>
    </row>
    <row r="157" spans="1:18" hidden="1" outlineLevel="1" x14ac:dyDescent="0.2">
      <c r="A157" s="93">
        <v>33817</v>
      </c>
      <c r="B157" s="86">
        <v>13688156</v>
      </c>
      <c r="C157" s="86">
        <v>12961374</v>
      </c>
      <c r="D157" s="86">
        <v>726782</v>
      </c>
      <c r="E157" s="92">
        <f t="shared" si="25"/>
        <v>1.179773991390813</v>
      </c>
      <c r="F157" s="86">
        <f t="shared" si="26"/>
        <v>14471483</v>
      </c>
      <c r="G157" s="86">
        <v>76801759</v>
      </c>
      <c r="I157" s="6" t="s">
        <v>29</v>
      </c>
      <c r="J157" s="6" t="s">
        <v>30</v>
      </c>
      <c r="K157" s="1" t="s">
        <v>31</v>
      </c>
    </row>
    <row r="158" spans="1:18" hidden="1" outlineLevel="1" x14ac:dyDescent="0.2">
      <c r="A158" s="93">
        <v>33848</v>
      </c>
      <c r="B158" s="86">
        <v>18867869</v>
      </c>
      <c r="C158" s="86">
        <v>17483054</v>
      </c>
      <c r="D158" s="86">
        <v>1384815</v>
      </c>
      <c r="E158" s="92">
        <f t="shared" si="25"/>
        <v>1.8031032336121366</v>
      </c>
      <c r="F158" s="86">
        <f t="shared" si="26"/>
        <v>18831998</v>
      </c>
      <c r="G158" s="86">
        <v>97018572</v>
      </c>
      <c r="I158" s="6" t="s">
        <v>29</v>
      </c>
      <c r="J158" s="6" t="s">
        <v>30</v>
      </c>
      <c r="K158" s="1" t="s">
        <v>31</v>
      </c>
    </row>
    <row r="159" spans="1:18" hidden="1" outlineLevel="1" x14ac:dyDescent="0.2">
      <c r="A159" s="93">
        <v>33878</v>
      </c>
      <c r="B159" s="86">
        <v>25057259</v>
      </c>
      <c r="C159" s="86">
        <v>21507063</v>
      </c>
      <c r="D159" s="86">
        <v>3550196</v>
      </c>
      <c r="E159" s="92">
        <f t="shared" si="25"/>
        <v>3.6592952532840823</v>
      </c>
      <c r="F159" s="86">
        <f t="shared" si="26"/>
        <v>24262277</v>
      </c>
      <c r="G159" s="86">
        <v>124831045</v>
      </c>
      <c r="I159" s="6" t="s">
        <v>29</v>
      </c>
      <c r="J159" s="6" t="s">
        <v>30</v>
      </c>
      <c r="K159" s="1" t="s">
        <v>31</v>
      </c>
    </row>
    <row r="160" spans="1:18" hidden="1" outlineLevel="1" x14ac:dyDescent="0.2">
      <c r="A160" s="93">
        <v>33909</v>
      </c>
      <c r="B160" s="86">
        <v>32550119</v>
      </c>
      <c r="C160" s="86">
        <v>30970743</v>
      </c>
      <c r="D160" s="86">
        <v>1579376</v>
      </c>
      <c r="E160" s="92">
        <f t="shared" si="25"/>
        <v>1.2652109096739517</v>
      </c>
      <c r="F160" s="86">
        <f t="shared" si="26"/>
        <v>30709273</v>
      </c>
      <c r="G160" s="86">
        <v>157119694</v>
      </c>
      <c r="I160" s="6" t="s">
        <v>29</v>
      </c>
      <c r="J160" s="6" t="s">
        <v>30</v>
      </c>
      <c r="K160" s="1" t="s">
        <v>31</v>
      </c>
    </row>
    <row r="161" spans="1:13" hidden="1" outlineLevel="1" x14ac:dyDescent="0.2">
      <c r="A161" s="93">
        <v>33939</v>
      </c>
      <c r="B161" s="86">
        <v>52546288</v>
      </c>
      <c r="C161" s="86">
        <v>41454294</v>
      </c>
      <c r="D161" s="86">
        <v>11091994</v>
      </c>
      <c r="E161" s="92">
        <f t="shared" si="25"/>
        <v>7.0595822316201815</v>
      </c>
      <c r="F161" s="86">
        <f t="shared" si="26"/>
        <v>37697312</v>
      </c>
      <c r="G161" s="86">
        <v>205909000</v>
      </c>
      <c r="I161" s="6" t="s">
        <v>29</v>
      </c>
      <c r="J161" s="6" t="s">
        <v>30</v>
      </c>
      <c r="K161" s="1" t="s">
        <v>31</v>
      </c>
    </row>
    <row r="162" spans="1:13" hidden="1" collapsed="1" x14ac:dyDescent="0.2">
      <c r="A162" s="83" t="s">
        <v>46</v>
      </c>
      <c r="B162" s="84">
        <f>SUM(B150:B161)</f>
        <v>181317529</v>
      </c>
      <c r="C162" s="84">
        <f>SUM(C150:C161)</f>
        <v>161448327</v>
      </c>
      <c r="D162" s="84">
        <f>SUM(D150:D161)</f>
        <v>19869202</v>
      </c>
      <c r="E162" s="91">
        <f>(D162/G149*100)</f>
        <v>144.98243577063923</v>
      </c>
      <c r="F162" s="84">
        <f>SUM(F150:F161)</f>
        <v>172335240</v>
      </c>
      <c r="G162" s="85">
        <f>G161</f>
        <v>205909000</v>
      </c>
      <c r="I162" s="6" t="s">
        <v>29</v>
      </c>
      <c r="J162" s="6" t="s">
        <v>30</v>
      </c>
      <c r="K162" s="1" t="s">
        <v>31</v>
      </c>
    </row>
    <row r="163" spans="1:13" ht="20.100000000000001" hidden="1" customHeight="1" outlineLevel="1" x14ac:dyDescent="0.2">
      <c r="A163" s="93">
        <v>33970</v>
      </c>
      <c r="B163" s="86">
        <v>52193207</v>
      </c>
      <c r="C163" s="86">
        <v>51862829</v>
      </c>
      <c r="D163" s="86">
        <v>330378</v>
      </c>
      <c r="E163" s="92">
        <f t="shared" ref="E163:E174" si="27">D163/G162*100</f>
        <v>0.16044854765940295</v>
      </c>
      <c r="F163" s="86">
        <f>(G163-G161)-D163</f>
        <v>48116445</v>
      </c>
      <c r="G163" s="86">
        <v>254355823</v>
      </c>
      <c r="I163" s="6" t="s">
        <v>29</v>
      </c>
      <c r="J163" s="6" t="s">
        <v>30</v>
      </c>
      <c r="K163" s="1" t="s">
        <v>31</v>
      </c>
    </row>
    <row r="164" spans="1:13" hidden="1" outlineLevel="1" x14ac:dyDescent="0.2">
      <c r="A164" s="93">
        <v>34001</v>
      </c>
      <c r="B164" s="86">
        <v>81484568</v>
      </c>
      <c r="C164" s="86">
        <v>58356751</v>
      </c>
      <c r="D164" s="86">
        <v>23127817</v>
      </c>
      <c r="E164" s="92">
        <f t="shared" si="27"/>
        <v>9.0927019980195229</v>
      </c>
      <c r="F164" s="86">
        <f t="shared" ref="F164:F169" si="28">(G164-G163)-D164</f>
        <v>73899966</v>
      </c>
      <c r="G164" s="86">
        <v>351383606</v>
      </c>
      <c r="I164" s="6" t="s">
        <v>29</v>
      </c>
      <c r="J164" s="6" t="s">
        <v>30</v>
      </c>
      <c r="K164" s="1" t="s">
        <v>31</v>
      </c>
    </row>
    <row r="165" spans="1:13" hidden="1" outlineLevel="1" x14ac:dyDescent="0.2">
      <c r="A165" s="93">
        <v>34029</v>
      </c>
      <c r="B165" s="86">
        <v>98995003</v>
      </c>
      <c r="C165" s="86">
        <v>102421377</v>
      </c>
      <c r="D165" s="86">
        <v>-3426374</v>
      </c>
      <c r="E165" s="92">
        <f t="shared" si="27"/>
        <v>-0.97510923716799691</v>
      </c>
      <c r="F165" s="86">
        <f t="shared" si="28"/>
        <v>90304495</v>
      </c>
      <c r="G165" s="86">
        <v>438261727</v>
      </c>
      <c r="I165" s="6" t="s">
        <v>29</v>
      </c>
      <c r="J165" s="6" t="s">
        <v>30</v>
      </c>
      <c r="K165" s="1" t="s">
        <v>31</v>
      </c>
    </row>
    <row r="166" spans="1:13" hidden="1" outlineLevel="1" x14ac:dyDescent="0.2">
      <c r="A166" s="93">
        <v>34060</v>
      </c>
      <c r="B166" s="86">
        <v>108270685</v>
      </c>
      <c r="C166" s="86">
        <v>112273066</v>
      </c>
      <c r="D166" s="86">
        <v>-4002381</v>
      </c>
      <c r="E166" s="92">
        <f t="shared" si="27"/>
        <v>-0.91323990972179969</v>
      </c>
      <c r="F166" s="86">
        <f t="shared" si="28"/>
        <v>112061383</v>
      </c>
      <c r="G166" s="86">
        <v>546320729</v>
      </c>
      <c r="I166" s="6" t="s">
        <v>29</v>
      </c>
      <c r="J166" s="6" t="s">
        <v>30</v>
      </c>
      <c r="K166" s="1" t="s">
        <v>31</v>
      </c>
    </row>
    <row r="167" spans="1:13" hidden="1" outlineLevel="1" x14ac:dyDescent="0.2">
      <c r="A167" s="93">
        <v>34090</v>
      </c>
      <c r="B167" s="86">
        <v>170888893</v>
      </c>
      <c r="C167" s="86">
        <v>129211705</v>
      </c>
      <c r="D167" s="86">
        <v>41677188</v>
      </c>
      <c r="E167" s="92">
        <f t="shared" si="27"/>
        <v>7.6287033948514145</v>
      </c>
      <c r="F167" s="86">
        <f t="shared" si="28"/>
        <v>149448106</v>
      </c>
      <c r="G167" s="86">
        <v>737446023</v>
      </c>
      <c r="I167" s="6" t="s">
        <v>29</v>
      </c>
      <c r="J167" s="6" t="s">
        <v>30</v>
      </c>
      <c r="K167" s="1" t="s">
        <v>31</v>
      </c>
    </row>
    <row r="168" spans="1:13" hidden="1" outlineLevel="1" x14ac:dyDescent="0.2">
      <c r="A168" s="93">
        <v>34121</v>
      </c>
      <c r="B168" s="86">
        <v>212981978</v>
      </c>
      <c r="C168" s="86">
        <v>182573506</v>
      </c>
      <c r="D168" s="86">
        <v>30408472</v>
      </c>
      <c r="E168" s="92">
        <f t="shared" si="27"/>
        <v>4.1234844383993652</v>
      </c>
      <c r="F168" s="86">
        <f t="shared" si="28"/>
        <v>217660384</v>
      </c>
      <c r="G168" s="86">
        <v>985514879</v>
      </c>
      <c r="I168" s="6" t="s">
        <v>29</v>
      </c>
      <c r="J168" s="6" t="s">
        <v>30</v>
      </c>
      <c r="K168" s="1" t="s">
        <v>31</v>
      </c>
    </row>
    <row r="169" spans="1:13" hidden="1" outlineLevel="1" x14ac:dyDescent="0.2">
      <c r="A169" s="93">
        <v>34151</v>
      </c>
      <c r="B169" s="86">
        <v>274906547</v>
      </c>
      <c r="C169" s="86">
        <v>246876515</v>
      </c>
      <c r="D169" s="86">
        <v>28030032</v>
      </c>
      <c r="E169" s="92">
        <f t="shared" si="27"/>
        <v>2.8442018073275581</v>
      </c>
      <c r="F169" s="86">
        <f t="shared" si="28"/>
        <v>286812413</v>
      </c>
      <c r="G169" s="86">
        <v>1300357324</v>
      </c>
      <c r="I169" s="6" t="s">
        <v>29</v>
      </c>
      <c r="J169" s="6" t="s">
        <v>30</v>
      </c>
      <c r="K169" s="1" t="s">
        <v>31</v>
      </c>
    </row>
    <row r="170" spans="1:13" hidden="1" outlineLevel="1" x14ac:dyDescent="0.2">
      <c r="A170" s="93">
        <v>34182</v>
      </c>
      <c r="B170" s="86">
        <v>492796</v>
      </c>
      <c r="C170" s="86">
        <v>458604</v>
      </c>
      <c r="D170" s="86">
        <v>34192</v>
      </c>
      <c r="E170" s="92">
        <f t="shared" si="27"/>
        <v>2.6294311085835048E-3</v>
      </c>
      <c r="F170" s="86">
        <f>(G170-(G169/1000))-D170</f>
        <v>408617.67599999998</v>
      </c>
      <c r="G170" s="86">
        <v>1743167</v>
      </c>
      <c r="I170" s="79" t="s">
        <v>47</v>
      </c>
      <c r="J170" s="79" t="s">
        <v>48</v>
      </c>
      <c r="K170" s="80" t="s">
        <v>31</v>
      </c>
    </row>
    <row r="171" spans="1:13" hidden="1" outlineLevel="1" x14ac:dyDescent="0.2">
      <c r="A171" s="93">
        <v>34213</v>
      </c>
      <c r="B171" s="86">
        <v>533464</v>
      </c>
      <c r="C171" s="86">
        <v>498220</v>
      </c>
      <c r="D171" s="86">
        <v>35244</v>
      </c>
      <c r="E171" s="92">
        <f t="shared" si="27"/>
        <v>2.0218372651616283</v>
      </c>
      <c r="F171" s="86">
        <f>(G171-G170)-D171</f>
        <v>575784</v>
      </c>
      <c r="G171" s="86">
        <v>2354195</v>
      </c>
      <c r="I171" s="78" t="s">
        <v>47</v>
      </c>
      <c r="J171" s="6" t="s">
        <v>48</v>
      </c>
      <c r="K171" s="1" t="s">
        <v>31</v>
      </c>
    </row>
    <row r="172" spans="1:13" hidden="1" outlineLevel="1" x14ac:dyDescent="0.2">
      <c r="A172" s="93">
        <v>34243</v>
      </c>
      <c r="B172" s="86">
        <v>731305</v>
      </c>
      <c r="C172" s="86">
        <v>588049</v>
      </c>
      <c r="D172" s="86">
        <v>143256</v>
      </c>
      <c r="E172" s="92">
        <f t="shared" si="27"/>
        <v>6.0851373824173445</v>
      </c>
      <c r="F172" s="86">
        <f>(G172-G171)-D172</f>
        <v>840184</v>
      </c>
      <c r="G172" s="86">
        <v>3337635</v>
      </c>
      <c r="I172" s="78" t="s">
        <v>47</v>
      </c>
      <c r="J172" s="6" t="s">
        <v>48</v>
      </c>
      <c r="K172" s="1" t="s">
        <v>31</v>
      </c>
    </row>
    <row r="173" spans="1:13" hidden="1" outlineLevel="1" x14ac:dyDescent="0.2">
      <c r="A173" s="93">
        <v>34274</v>
      </c>
      <c r="B173" s="86">
        <v>981650</v>
      </c>
      <c r="C173" s="86">
        <v>846078</v>
      </c>
      <c r="D173" s="86">
        <v>135572</v>
      </c>
      <c r="E173" s="92">
        <f t="shared" si="27"/>
        <v>4.0619180946987914</v>
      </c>
      <c r="F173" s="86">
        <f>(G173-G172)-D173</f>
        <v>1236174</v>
      </c>
      <c r="G173" s="86">
        <v>4709381</v>
      </c>
      <c r="I173" s="78" t="s">
        <v>47</v>
      </c>
      <c r="J173" s="6" t="s">
        <v>48</v>
      </c>
      <c r="K173" s="1" t="s">
        <v>31</v>
      </c>
    </row>
    <row r="174" spans="1:13" hidden="1" outlineLevel="1" x14ac:dyDescent="0.2">
      <c r="A174" s="93">
        <v>34304</v>
      </c>
      <c r="B174" s="86">
        <v>2082613</v>
      </c>
      <c r="C174" s="86">
        <v>1307781</v>
      </c>
      <c r="D174" s="86">
        <v>774832</v>
      </c>
      <c r="E174" s="92">
        <f t="shared" si="27"/>
        <v>16.452947850258877</v>
      </c>
      <c r="F174" s="86">
        <f>(G174-G173)-D174</f>
        <v>1664629</v>
      </c>
      <c r="G174" s="86">
        <v>7148842</v>
      </c>
      <c r="I174" s="78" t="s">
        <v>47</v>
      </c>
      <c r="J174" s="6" t="s">
        <v>48</v>
      </c>
      <c r="K174" s="1" t="s">
        <v>31</v>
      </c>
    </row>
    <row r="175" spans="1:13" hidden="1" collapsed="1" x14ac:dyDescent="0.2">
      <c r="A175" s="83" t="s">
        <v>49</v>
      </c>
      <c r="B175" s="84">
        <f>SUM(B163:B174)</f>
        <v>1004542709</v>
      </c>
      <c r="C175" s="84">
        <f>SUM(C163:C174)</f>
        <v>887274481</v>
      </c>
      <c r="D175" s="84">
        <f>SUM(D163:D174)</f>
        <v>117268228</v>
      </c>
      <c r="E175" s="91">
        <f>(D175/G162*100)</f>
        <v>56.951482450985623</v>
      </c>
      <c r="F175" s="84">
        <f>SUM(F163:F174)</f>
        <v>983028580.676</v>
      </c>
      <c r="G175" s="85">
        <f>G174</f>
        <v>7148842</v>
      </c>
      <c r="I175" s="78" t="s">
        <v>47</v>
      </c>
      <c r="J175" s="6" t="s">
        <v>48</v>
      </c>
      <c r="K175" s="1" t="s">
        <v>31</v>
      </c>
    </row>
    <row r="176" spans="1:13" ht="20.100000000000001" hidden="1" customHeight="1" outlineLevel="1" x14ac:dyDescent="0.2">
      <c r="A176" s="93">
        <v>34335</v>
      </c>
      <c r="B176" s="86">
        <v>2142398</v>
      </c>
      <c r="C176" s="86">
        <v>1599498</v>
      </c>
      <c r="D176" s="86">
        <v>542900</v>
      </c>
      <c r="E176" s="92">
        <f t="shared" ref="E176:E187" si="29">D176/G175*100</f>
        <v>7.5942369407520829</v>
      </c>
      <c r="F176" s="86">
        <f>(G176-G174)-D176</f>
        <v>2748280</v>
      </c>
      <c r="G176" s="86">
        <v>10440022</v>
      </c>
      <c r="I176" s="78" t="s">
        <v>47</v>
      </c>
      <c r="J176" s="6" t="s">
        <v>48</v>
      </c>
      <c r="K176" s="1" t="s">
        <v>31</v>
      </c>
      <c r="M176" s="6"/>
    </row>
    <row r="177" spans="1:15" hidden="1" outlineLevel="1" x14ac:dyDescent="0.2">
      <c r="A177" s="93">
        <v>34366</v>
      </c>
      <c r="B177" s="86">
        <v>1883525</v>
      </c>
      <c r="C177" s="86">
        <v>2185352</v>
      </c>
      <c r="D177" s="86">
        <v>-301827</v>
      </c>
      <c r="E177" s="92">
        <f t="shared" si="29"/>
        <v>-2.8910571261248301</v>
      </c>
      <c r="F177" s="86">
        <f>(G177-G176)-D177</f>
        <v>4599787</v>
      </c>
      <c r="G177" s="86">
        <v>14737982</v>
      </c>
      <c r="I177" s="78" t="s">
        <v>47</v>
      </c>
      <c r="J177" s="6" t="s">
        <v>48</v>
      </c>
      <c r="K177" s="1" t="s">
        <v>31</v>
      </c>
      <c r="M177" s="6"/>
    </row>
    <row r="178" spans="1:15" hidden="1" outlineLevel="1" x14ac:dyDescent="0.2">
      <c r="A178" s="93">
        <v>34394</v>
      </c>
      <c r="B178" s="86">
        <v>3342627</v>
      </c>
      <c r="C178" s="86">
        <v>3307830</v>
      </c>
      <c r="D178" s="86">
        <v>34797</v>
      </c>
      <c r="E178" s="92">
        <f t="shared" si="29"/>
        <v>0.23610423733724195</v>
      </c>
      <c r="F178" s="86">
        <f>(G178-G177)-D178</f>
        <v>5584268</v>
      </c>
      <c r="G178" s="86">
        <v>20357047</v>
      </c>
      <c r="I178" s="78" t="s">
        <v>47</v>
      </c>
      <c r="J178" s="6" t="s">
        <v>48</v>
      </c>
      <c r="K178" s="1" t="s">
        <v>31</v>
      </c>
      <c r="M178" s="6"/>
    </row>
    <row r="179" spans="1:15" hidden="1" outlineLevel="1" x14ac:dyDescent="0.2">
      <c r="A179" s="93">
        <v>34425</v>
      </c>
      <c r="B179" s="86">
        <v>4821626</v>
      </c>
      <c r="C179" s="86">
        <v>4887072</v>
      </c>
      <c r="D179" s="86">
        <v>-65446</v>
      </c>
      <c r="E179" s="92">
        <f t="shared" si="29"/>
        <v>-0.32149063663310301</v>
      </c>
      <c r="F179" s="86">
        <f>(G179-G178)-D179</f>
        <v>8717555</v>
      </c>
      <c r="G179" s="86">
        <v>29009156</v>
      </c>
      <c r="I179" s="78" t="s">
        <v>47</v>
      </c>
      <c r="J179" s="6" t="s">
        <v>48</v>
      </c>
      <c r="K179" s="1" t="s">
        <v>31</v>
      </c>
      <c r="M179" s="6"/>
    </row>
    <row r="180" spans="1:15" hidden="1" outlineLevel="1" x14ac:dyDescent="0.2">
      <c r="A180" s="93">
        <v>34455</v>
      </c>
      <c r="B180" s="86">
        <v>7438709</v>
      </c>
      <c r="C180" s="86">
        <v>6904443</v>
      </c>
      <c r="D180" s="86">
        <v>534266</v>
      </c>
      <c r="E180" s="92">
        <f t="shared" si="29"/>
        <v>1.8417150778188791</v>
      </c>
      <c r="F180" s="86">
        <f>(G180-G179)-D180</f>
        <v>13673033</v>
      </c>
      <c r="G180" s="86">
        <v>43216455</v>
      </c>
      <c r="I180" s="78" t="s">
        <v>47</v>
      </c>
      <c r="J180" s="6" t="s">
        <v>48</v>
      </c>
      <c r="K180" s="1" t="s">
        <v>31</v>
      </c>
      <c r="M180" s="6"/>
    </row>
    <row r="181" spans="1:15" hidden="1" outlineLevel="1" x14ac:dyDescent="0.2">
      <c r="A181" s="93">
        <v>34486</v>
      </c>
      <c r="B181" s="86">
        <v>12572409</v>
      </c>
      <c r="C181" s="86">
        <v>10809935</v>
      </c>
      <c r="D181" s="86">
        <v>1762474</v>
      </c>
      <c r="E181" s="92">
        <f t="shared" si="29"/>
        <v>4.0782475101208551</v>
      </c>
      <c r="F181" s="86">
        <f>(G181-G180)-D181</f>
        <v>20791205</v>
      </c>
      <c r="G181" s="86">
        <v>65770134</v>
      </c>
      <c r="I181" s="78" t="s">
        <v>47</v>
      </c>
      <c r="J181" s="6" t="s">
        <v>48</v>
      </c>
      <c r="K181" s="1" t="s">
        <v>31</v>
      </c>
      <c r="M181" s="6"/>
    </row>
    <row r="182" spans="1:15" hidden="1" outlineLevel="1" x14ac:dyDescent="0.2">
      <c r="A182" s="93">
        <v>34516</v>
      </c>
      <c r="B182" s="86">
        <f t="shared" ref="B182:B187" si="30">(C182+D182)</f>
        <v>8344.0460000000003</v>
      </c>
      <c r="C182" s="86">
        <v>6632</v>
      </c>
      <c r="D182" s="86">
        <v>1712.046</v>
      </c>
      <c r="E182" s="92">
        <f t="shared" si="29"/>
        <v>2.6030751282945541E-3</v>
      </c>
      <c r="F182" s="86">
        <f>(G182-(G181/2750))-D182</f>
        <v>7554.3026363636363</v>
      </c>
      <c r="G182" s="86">
        <v>33182.760999999999</v>
      </c>
      <c r="I182" s="79" t="s">
        <v>50</v>
      </c>
      <c r="J182" s="79" t="s">
        <v>51</v>
      </c>
      <c r="K182" s="80" t="s">
        <v>31</v>
      </c>
      <c r="O182" s="75"/>
    </row>
    <row r="183" spans="1:15" hidden="1" outlineLevel="1" x14ac:dyDescent="0.2">
      <c r="A183" s="93">
        <v>34547</v>
      </c>
      <c r="B183" s="86">
        <f t="shared" si="30"/>
        <v>6107.8050000000003</v>
      </c>
      <c r="C183" s="86">
        <v>6701</v>
      </c>
      <c r="D183" s="86">
        <v>-593.19500000000005</v>
      </c>
      <c r="E183" s="92">
        <f t="shared" si="29"/>
        <v>-1.7876601648669321</v>
      </c>
      <c r="F183" s="86">
        <f>(G183-G182)-D183</f>
        <v>1464.1679999999983</v>
      </c>
      <c r="G183" s="86">
        <v>34053.733999999997</v>
      </c>
      <c r="I183" s="1" t="s">
        <v>50</v>
      </c>
      <c r="J183" s="1" t="s">
        <v>51</v>
      </c>
      <c r="K183" s="1" t="s">
        <v>31</v>
      </c>
      <c r="M183" s="6"/>
    </row>
    <row r="184" spans="1:15" hidden="1" outlineLevel="1" x14ac:dyDescent="0.2">
      <c r="A184" s="93">
        <v>34578</v>
      </c>
      <c r="B184" s="86">
        <f t="shared" si="30"/>
        <v>7289</v>
      </c>
      <c r="C184" s="86">
        <v>8216</v>
      </c>
      <c r="D184" s="86">
        <v>-927</v>
      </c>
      <c r="E184" s="92">
        <f t="shared" si="29"/>
        <v>-2.7221684412053024</v>
      </c>
      <c r="F184" s="86">
        <f>(G184-G183)-D184</f>
        <v>872.97300000000541</v>
      </c>
      <c r="G184" s="86">
        <v>33999.707000000002</v>
      </c>
      <c r="I184" s="1" t="s">
        <v>50</v>
      </c>
      <c r="J184" s="1" t="s">
        <v>51</v>
      </c>
      <c r="K184" s="1" t="s">
        <v>31</v>
      </c>
      <c r="M184" s="6"/>
    </row>
    <row r="185" spans="1:15" hidden="1" outlineLevel="1" x14ac:dyDescent="0.2">
      <c r="A185" s="93">
        <v>34608</v>
      </c>
      <c r="B185" s="86">
        <f t="shared" si="30"/>
        <v>7659.26</v>
      </c>
      <c r="C185" s="86">
        <v>7922</v>
      </c>
      <c r="D185" s="86">
        <v>-262.74</v>
      </c>
      <c r="E185" s="92">
        <f t="shared" si="29"/>
        <v>-0.77277136535323665</v>
      </c>
      <c r="F185" s="86">
        <f>(G185-G184)-D185</f>
        <v>993.89699999999925</v>
      </c>
      <c r="G185" s="86">
        <v>34730.864000000001</v>
      </c>
      <c r="I185" s="1" t="s">
        <v>50</v>
      </c>
      <c r="J185" s="1" t="s">
        <v>51</v>
      </c>
      <c r="K185" s="1" t="s">
        <v>31</v>
      </c>
      <c r="M185" s="6"/>
    </row>
    <row r="186" spans="1:15" hidden="1" outlineLevel="1" x14ac:dyDescent="0.2">
      <c r="A186" s="93">
        <v>34639</v>
      </c>
      <c r="B186" s="86">
        <f t="shared" si="30"/>
        <v>8555.2970000000005</v>
      </c>
      <c r="C186" s="86">
        <v>8908</v>
      </c>
      <c r="D186" s="86">
        <v>-352.70299999999997</v>
      </c>
      <c r="E186" s="92">
        <f t="shared" si="29"/>
        <v>-1.0155318911732225</v>
      </c>
      <c r="F186" s="86">
        <f>(G186-G185)-D186</f>
        <v>1063.9109999999987</v>
      </c>
      <c r="G186" s="86">
        <v>35442.072</v>
      </c>
      <c r="I186" s="1" t="s">
        <v>50</v>
      </c>
      <c r="J186" s="1" t="s">
        <v>51</v>
      </c>
      <c r="K186" s="1" t="s">
        <v>31</v>
      </c>
      <c r="M186" s="6"/>
    </row>
    <row r="187" spans="1:15" hidden="1" outlineLevel="1" x14ac:dyDescent="0.2">
      <c r="A187" s="93">
        <v>34669</v>
      </c>
      <c r="B187" s="86">
        <f t="shared" si="30"/>
        <v>10455.285</v>
      </c>
      <c r="C187" s="86">
        <v>10208</v>
      </c>
      <c r="D187" s="86">
        <v>247.285</v>
      </c>
      <c r="E187" s="92">
        <f t="shared" si="29"/>
        <v>0.69771598003638158</v>
      </c>
      <c r="F187" s="86">
        <f>(G187-G186)-D187</f>
        <v>1194.5200000000002</v>
      </c>
      <c r="G187" s="86">
        <v>36883.877</v>
      </c>
      <c r="I187" s="1" t="s">
        <v>50</v>
      </c>
      <c r="J187" s="1" t="s">
        <v>51</v>
      </c>
      <c r="K187" s="1" t="s">
        <v>31</v>
      </c>
      <c r="M187" s="6"/>
    </row>
    <row r="188" spans="1:15" hidden="1" collapsed="1" x14ac:dyDescent="0.2">
      <c r="A188" s="83" t="s">
        <v>52</v>
      </c>
      <c r="B188" s="84">
        <f>SUM(B176:B187)</f>
        <v>32249704.693</v>
      </c>
      <c r="C188" s="84">
        <f>SUM(C176:C187)</f>
        <v>29742717</v>
      </c>
      <c r="D188" s="84">
        <f>SUM(D176:D187)</f>
        <v>2506987.693</v>
      </c>
      <c r="E188" s="91">
        <f>(D188/G175*100)</f>
        <v>35.068444553677367</v>
      </c>
      <c r="F188" s="84">
        <f>SUM(F176:F187)</f>
        <v>56127271.771636359</v>
      </c>
      <c r="G188" s="85">
        <f>G187</f>
        <v>36883.877</v>
      </c>
      <c r="I188" s="1" t="s">
        <v>50</v>
      </c>
      <c r="J188" s="1" t="s">
        <v>51</v>
      </c>
      <c r="K188" s="1" t="s">
        <v>31</v>
      </c>
    </row>
    <row r="189" spans="1:15" ht="20.100000000000001" hidden="1" customHeight="1" outlineLevel="1" x14ac:dyDescent="0.2">
      <c r="A189" s="93">
        <v>34700</v>
      </c>
      <c r="B189" s="86">
        <f t="shared" ref="B189:B200" si="31">(C189+D189)</f>
        <v>12179.726000000001</v>
      </c>
      <c r="C189" s="86">
        <v>12767</v>
      </c>
      <c r="D189" s="86">
        <v>-587.274</v>
      </c>
      <c r="E189" s="92">
        <f t="shared" ref="E189:E200" si="32">D189/G188*100</f>
        <v>-1.5922241579972733</v>
      </c>
      <c r="F189" s="86">
        <f>(G189-G187)-D189</f>
        <v>1040.1879999999969</v>
      </c>
      <c r="G189" s="86">
        <v>37336.790999999997</v>
      </c>
      <c r="I189" s="1" t="s">
        <v>50</v>
      </c>
      <c r="J189" s="1" t="s">
        <v>51</v>
      </c>
      <c r="K189" s="1" t="s">
        <v>31</v>
      </c>
      <c r="M189" s="6"/>
    </row>
    <row r="190" spans="1:15" hidden="1" outlineLevel="1" x14ac:dyDescent="0.2">
      <c r="A190" s="93">
        <v>34731</v>
      </c>
      <c r="B190" s="86">
        <f t="shared" si="31"/>
        <v>9131.4310000000005</v>
      </c>
      <c r="C190" s="86">
        <v>9633</v>
      </c>
      <c r="D190" s="86">
        <v>-501.56900000000002</v>
      </c>
      <c r="E190" s="92">
        <f t="shared" si="32"/>
        <v>-1.3433639757632092</v>
      </c>
      <c r="F190" s="86">
        <f t="shared" ref="F190:F200" si="33">(G190-G189)-D190</f>
        <v>915.58199999999897</v>
      </c>
      <c r="G190" s="86">
        <v>37750.803999999996</v>
      </c>
      <c r="I190" s="1" t="s">
        <v>50</v>
      </c>
      <c r="J190" s="1" t="s">
        <v>51</v>
      </c>
      <c r="K190" s="1" t="s">
        <v>31</v>
      </c>
      <c r="M190" s="6"/>
    </row>
    <row r="191" spans="1:15" hidden="1" outlineLevel="1" x14ac:dyDescent="0.2">
      <c r="A191" s="93">
        <v>34759</v>
      </c>
      <c r="B191" s="86">
        <f t="shared" si="31"/>
        <v>11941.475</v>
      </c>
      <c r="C191" s="86">
        <v>12321</v>
      </c>
      <c r="D191" s="86">
        <v>-379.52499999999998</v>
      </c>
      <c r="E191" s="92">
        <f t="shared" si="32"/>
        <v>-1.0053428266057591</v>
      </c>
      <c r="F191" s="86">
        <f t="shared" si="33"/>
        <v>890.13000000000318</v>
      </c>
      <c r="G191" s="86">
        <v>38261.409</v>
      </c>
      <c r="I191" s="1" t="s">
        <v>50</v>
      </c>
      <c r="J191" s="1" t="s">
        <v>51</v>
      </c>
      <c r="K191" s="1" t="s">
        <v>31</v>
      </c>
      <c r="M191" s="6"/>
    </row>
    <row r="192" spans="1:15" hidden="1" outlineLevel="1" x14ac:dyDescent="0.2">
      <c r="A192" s="93">
        <v>34790</v>
      </c>
      <c r="B192" s="86">
        <f t="shared" si="31"/>
        <v>10310.123</v>
      </c>
      <c r="C192" s="86">
        <v>9977</v>
      </c>
      <c r="D192" s="86">
        <v>333.12299999999999</v>
      </c>
      <c r="E192" s="92">
        <f t="shared" si="32"/>
        <v>0.87065011118644375</v>
      </c>
      <c r="F192" s="86">
        <f t="shared" si="33"/>
        <v>1397.3219999999997</v>
      </c>
      <c r="G192" s="86">
        <v>39991.853999999999</v>
      </c>
      <c r="I192" s="1" t="s">
        <v>50</v>
      </c>
      <c r="J192" s="1" t="s">
        <v>51</v>
      </c>
      <c r="K192" s="1" t="s">
        <v>31</v>
      </c>
      <c r="M192" s="6"/>
    </row>
    <row r="193" spans="1:13" hidden="1" outlineLevel="1" x14ac:dyDescent="0.2">
      <c r="A193" s="93">
        <v>34820</v>
      </c>
      <c r="B193" s="86">
        <f t="shared" si="31"/>
        <v>11959.101000000001</v>
      </c>
      <c r="C193" s="86">
        <v>11573</v>
      </c>
      <c r="D193" s="86">
        <v>386.101</v>
      </c>
      <c r="E193" s="92">
        <f t="shared" si="32"/>
        <v>0.96544911371200748</v>
      </c>
      <c r="F193" s="86">
        <f t="shared" si="33"/>
        <v>1479.8120000000004</v>
      </c>
      <c r="G193" s="86">
        <v>41857.767</v>
      </c>
      <c r="I193" s="1" t="s">
        <v>50</v>
      </c>
      <c r="J193" s="1" t="s">
        <v>51</v>
      </c>
      <c r="K193" s="1" t="s">
        <v>31</v>
      </c>
      <c r="M193" s="6"/>
    </row>
    <row r="194" spans="1:13" hidden="1" outlineLevel="1" x14ac:dyDescent="0.2">
      <c r="A194" s="93">
        <v>34851</v>
      </c>
      <c r="B194" s="86">
        <f t="shared" si="31"/>
        <v>11586.999</v>
      </c>
      <c r="C194" s="86">
        <v>11239</v>
      </c>
      <c r="D194" s="86">
        <v>347.99900000000002</v>
      </c>
      <c r="E194" s="92">
        <f t="shared" si="32"/>
        <v>0.8313845313344117</v>
      </c>
      <c r="F194" s="86">
        <f t="shared" si="33"/>
        <v>1459.5629999999981</v>
      </c>
      <c r="G194" s="86">
        <v>43665.328999999998</v>
      </c>
      <c r="I194" s="1" t="s">
        <v>50</v>
      </c>
      <c r="J194" s="1" t="s">
        <v>51</v>
      </c>
      <c r="K194" s="1" t="s">
        <v>31</v>
      </c>
      <c r="M194" s="6"/>
    </row>
    <row r="195" spans="1:13" hidden="1" outlineLevel="1" x14ac:dyDescent="0.2">
      <c r="A195" s="93">
        <v>34881</v>
      </c>
      <c r="B195" s="86">
        <f t="shared" si="31"/>
        <v>11205.583000000001</v>
      </c>
      <c r="C195" s="86">
        <v>10900</v>
      </c>
      <c r="D195" s="86">
        <v>305.58300000000003</v>
      </c>
      <c r="E195" s="92">
        <f t="shared" si="32"/>
        <v>0.69982983524525844</v>
      </c>
      <c r="F195" s="86">
        <f t="shared" si="33"/>
        <v>1448.1350000000007</v>
      </c>
      <c r="G195" s="86">
        <v>45419.046999999999</v>
      </c>
      <c r="I195" s="1" t="s">
        <v>50</v>
      </c>
      <c r="J195" s="1" t="s">
        <v>51</v>
      </c>
      <c r="K195" s="1" t="s">
        <v>31</v>
      </c>
      <c r="M195" s="6"/>
    </row>
    <row r="196" spans="1:13" hidden="1" outlineLevel="1" x14ac:dyDescent="0.2">
      <c r="A196" s="93">
        <v>34912</v>
      </c>
      <c r="B196" s="86">
        <f t="shared" si="31"/>
        <v>12298.207</v>
      </c>
      <c r="C196" s="86">
        <v>12496</v>
      </c>
      <c r="D196" s="86">
        <v>-197.79300000000001</v>
      </c>
      <c r="E196" s="92">
        <f t="shared" si="32"/>
        <v>-0.43548469874323875</v>
      </c>
      <c r="F196" s="86">
        <f t="shared" si="33"/>
        <v>1539.9989999999984</v>
      </c>
      <c r="G196" s="86">
        <v>46761.252999999997</v>
      </c>
      <c r="I196" s="1" t="s">
        <v>50</v>
      </c>
      <c r="J196" s="1" t="s">
        <v>51</v>
      </c>
      <c r="K196" s="1" t="s">
        <v>31</v>
      </c>
      <c r="M196" s="6"/>
    </row>
    <row r="197" spans="1:13" hidden="1" outlineLevel="1" x14ac:dyDescent="0.2">
      <c r="A197" s="93">
        <v>34943</v>
      </c>
      <c r="B197" s="86">
        <f t="shared" si="31"/>
        <v>11006.462</v>
      </c>
      <c r="C197" s="86">
        <v>12203</v>
      </c>
      <c r="D197" s="86">
        <v>-1196.538</v>
      </c>
      <c r="E197" s="92">
        <f t="shared" si="32"/>
        <v>-2.5588236482884668</v>
      </c>
      <c r="F197" s="86">
        <f t="shared" si="33"/>
        <v>1255.3409999999999</v>
      </c>
      <c r="G197" s="86">
        <v>46820.055999999997</v>
      </c>
      <c r="I197" s="1" t="s">
        <v>50</v>
      </c>
      <c r="J197" s="1" t="s">
        <v>51</v>
      </c>
      <c r="K197" s="1" t="s">
        <v>31</v>
      </c>
      <c r="M197" s="6"/>
    </row>
    <row r="198" spans="1:13" hidden="1" outlineLevel="1" x14ac:dyDescent="0.2">
      <c r="A198" s="93">
        <v>34973</v>
      </c>
      <c r="B198" s="86">
        <f t="shared" si="31"/>
        <v>11867.75</v>
      </c>
      <c r="C198" s="86">
        <v>12317</v>
      </c>
      <c r="D198" s="86">
        <v>-449.25</v>
      </c>
      <c r="E198" s="92">
        <f t="shared" si="32"/>
        <v>-0.95952469599780066</v>
      </c>
      <c r="F198" s="86">
        <f t="shared" si="33"/>
        <v>1068.4310000000041</v>
      </c>
      <c r="G198" s="86">
        <v>47439.237000000001</v>
      </c>
      <c r="I198" s="1" t="s">
        <v>50</v>
      </c>
      <c r="J198" s="1" t="s">
        <v>51</v>
      </c>
      <c r="K198" s="1" t="s">
        <v>31</v>
      </c>
      <c r="M198" s="6"/>
    </row>
    <row r="199" spans="1:13" hidden="1" outlineLevel="1" x14ac:dyDescent="0.2">
      <c r="A199" s="93">
        <v>35004</v>
      </c>
      <c r="B199" s="86">
        <f t="shared" si="31"/>
        <v>12332.75</v>
      </c>
      <c r="C199" s="86">
        <v>12760</v>
      </c>
      <c r="D199" s="86">
        <v>-427.25</v>
      </c>
      <c r="E199" s="92">
        <f t="shared" si="32"/>
        <v>-0.90062578367354429</v>
      </c>
      <c r="F199" s="86">
        <f t="shared" si="33"/>
        <v>903.05299999999988</v>
      </c>
      <c r="G199" s="86">
        <v>47915.040000000001</v>
      </c>
      <c r="I199" s="1" t="s">
        <v>50</v>
      </c>
      <c r="J199" s="1" t="s">
        <v>51</v>
      </c>
      <c r="K199" s="1" t="s">
        <v>31</v>
      </c>
      <c r="M199" s="6"/>
    </row>
    <row r="200" spans="1:13" hidden="1" outlineLevel="1" x14ac:dyDescent="0.2">
      <c r="A200" s="93">
        <v>35034</v>
      </c>
      <c r="B200" s="86">
        <f t="shared" si="31"/>
        <v>15656.993</v>
      </c>
      <c r="C200" s="86">
        <v>13129</v>
      </c>
      <c r="D200" s="86">
        <v>2527.9929999999999</v>
      </c>
      <c r="E200" s="92">
        <f t="shared" si="32"/>
        <v>5.2759905866717425</v>
      </c>
      <c r="F200" s="86">
        <f t="shared" si="33"/>
        <v>919.37899999999581</v>
      </c>
      <c r="G200" s="86">
        <v>51362.411999999997</v>
      </c>
      <c r="I200" s="1" t="s">
        <v>50</v>
      </c>
      <c r="J200" s="1" t="s">
        <v>51</v>
      </c>
      <c r="K200" s="1" t="s">
        <v>31</v>
      </c>
      <c r="M200" s="6"/>
    </row>
    <row r="201" spans="1:13" hidden="1" collapsed="1" x14ac:dyDescent="0.2">
      <c r="A201" s="83" t="s">
        <v>53</v>
      </c>
      <c r="B201" s="84">
        <f>SUM(B189:B200)</f>
        <v>141476.59999999998</v>
      </c>
      <c r="C201" s="84">
        <f>SUM(C189:C200)</f>
        <v>141315</v>
      </c>
      <c r="D201" s="84">
        <f>SUM(D189:D200)</f>
        <v>161.59999999999991</v>
      </c>
      <c r="E201" s="91">
        <f>(D201/G188*100)</f>
        <v>0.43813181569822479</v>
      </c>
      <c r="F201" s="84">
        <f>SUM(F189:F200)</f>
        <v>14316.934999999996</v>
      </c>
      <c r="G201" s="85">
        <f>G200</f>
        <v>51362.411999999997</v>
      </c>
      <c r="I201" s="1" t="s">
        <v>50</v>
      </c>
      <c r="J201" s="1" t="s">
        <v>51</v>
      </c>
      <c r="K201" s="1" t="s">
        <v>31</v>
      </c>
    </row>
    <row r="202" spans="1:13" ht="20.100000000000001" hidden="1" customHeight="1" outlineLevel="1" x14ac:dyDescent="0.2">
      <c r="A202" s="93">
        <v>35065</v>
      </c>
      <c r="B202" s="86">
        <f t="shared" ref="B202:B212" si="34">(C202+D202)</f>
        <v>13652.092000000001</v>
      </c>
      <c r="C202" s="86">
        <v>14128</v>
      </c>
      <c r="D202" s="86">
        <v>-475.90800000000002</v>
      </c>
      <c r="E202" s="92">
        <f t="shared" ref="E202:E213" si="35">D202/G201*100</f>
        <v>-0.92656863544492429</v>
      </c>
      <c r="F202" s="86">
        <f>(G202-G200)-D202</f>
        <v>839.81400000000269</v>
      </c>
      <c r="G202" s="86">
        <v>51726.317999999999</v>
      </c>
      <c r="H202" s="6"/>
      <c r="I202" s="1" t="s">
        <v>50</v>
      </c>
      <c r="J202" s="1" t="s">
        <v>51</v>
      </c>
      <c r="K202" s="1" t="s">
        <v>31</v>
      </c>
    </row>
    <row r="203" spans="1:13" hidden="1" outlineLevel="1" x14ac:dyDescent="0.2">
      <c r="A203" s="93">
        <v>35096</v>
      </c>
      <c r="B203" s="86">
        <f t="shared" si="34"/>
        <v>12308.675999999999</v>
      </c>
      <c r="C203" s="86">
        <v>11963</v>
      </c>
      <c r="D203" s="86">
        <v>345.67599999999999</v>
      </c>
      <c r="E203" s="92">
        <f t="shared" si="35"/>
        <v>0.66827876671987363</v>
      </c>
      <c r="F203" s="86">
        <f t="shared" ref="F203:F213" si="36">(G203-G202)-D203</f>
        <v>165.00600000000071</v>
      </c>
      <c r="G203" s="86">
        <v>52237</v>
      </c>
      <c r="H203" s="6"/>
      <c r="I203" s="1" t="s">
        <v>50</v>
      </c>
      <c r="J203" s="1" t="s">
        <v>51</v>
      </c>
      <c r="K203" s="1" t="s">
        <v>31</v>
      </c>
      <c r="M203" s="6"/>
    </row>
    <row r="204" spans="1:13" hidden="1" outlineLevel="1" x14ac:dyDescent="0.2">
      <c r="A204" s="93">
        <v>35125</v>
      </c>
      <c r="B204" s="86">
        <f t="shared" si="34"/>
        <v>13579.571</v>
      </c>
      <c r="C204" s="86">
        <v>12938</v>
      </c>
      <c r="D204" s="86">
        <v>641.57100000000003</v>
      </c>
      <c r="E204" s="92">
        <f t="shared" si="35"/>
        <v>1.2281926603748301</v>
      </c>
      <c r="F204" s="86">
        <f t="shared" si="36"/>
        <v>-604.57100000000003</v>
      </c>
      <c r="G204" s="86">
        <v>52274</v>
      </c>
      <c r="H204" s="6"/>
      <c r="I204" s="1" t="s">
        <v>50</v>
      </c>
      <c r="J204" s="1" t="s">
        <v>51</v>
      </c>
      <c r="K204" s="1" t="s">
        <v>31</v>
      </c>
      <c r="M204" s="6"/>
    </row>
    <row r="205" spans="1:13" hidden="1" outlineLevel="1" x14ac:dyDescent="0.2">
      <c r="A205" s="93">
        <v>35156</v>
      </c>
      <c r="B205" s="86">
        <f t="shared" si="34"/>
        <v>12720.308000000001</v>
      </c>
      <c r="C205" s="86">
        <v>13301</v>
      </c>
      <c r="D205" s="86">
        <v>-580.69200000000001</v>
      </c>
      <c r="E205" s="92">
        <f t="shared" si="35"/>
        <v>-1.110861996403566</v>
      </c>
      <c r="F205" s="86">
        <f t="shared" si="36"/>
        <v>648.55299999999716</v>
      </c>
      <c r="G205" s="86">
        <v>52341.860999999997</v>
      </c>
      <c r="H205" s="6"/>
      <c r="I205" s="1" t="s">
        <v>50</v>
      </c>
      <c r="J205" s="1" t="s">
        <v>51</v>
      </c>
      <c r="K205" s="1" t="s">
        <v>31</v>
      </c>
      <c r="M205" s="6"/>
    </row>
    <row r="206" spans="1:13" hidden="1" outlineLevel="1" x14ac:dyDescent="0.2">
      <c r="A206" s="93">
        <v>35186</v>
      </c>
      <c r="B206" s="86">
        <f t="shared" si="34"/>
        <v>13308.028</v>
      </c>
      <c r="C206" s="86">
        <v>14087</v>
      </c>
      <c r="D206" s="86">
        <v>-778.97199999999998</v>
      </c>
      <c r="E206" s="92">
        <f t="shared" si="35"/>
        <v>-1.4882390215357457</v>
      </c>
      <c r="F206" s="86">
        <f t="shared" si="36"/>
        <v>551.08000000000015</v>
      </c>
      <c r="G206" s="86">
        <v>52113.968999999997</v>
      </c>
      <c r="H206" s="6"/>
      <c r="I206" s="1" t="s">
        <v>50</v>
      </c>
      <c r="J206" s="1" t="s">
        <v>51</v>
      </c>
      <c r="K206" s="1" t="s">
        <v>31</v>
      </c>
      <c r="M206" s="6"/>
    </row>
    <row r="207" spans="1:13" hidden="1" outlineLevel="1" x14ac:dyDescent="0.2">
      <c r="A207" s="93">
        <v>35217</v>
      </c>
      <c r="B207" s="86">
        <f t="shared" si="34"/>
        <v>13252.344999999999</v>
      </c>
      <c r="C207" s="86">
        <v>13940</v>
      </c>
      <c r="D207" s="86">
        <v>-687.65499999999997</v>
      </c>
      <c r="E207" s="92">
        <f t="shared" si="35"/>
        <v>-1.3195214511487312</v>
      </c>
      <c r="F207" s="86">
        <f t="shared" si="36"/>
        <v>577.52599999999916</v>
      </c>
      <c r="G207" s="86">
        <v>52003.839999999997</v>
      </c>
      <c r="H207" s="6"/>
      <c r="I207" s="1" t="s">
        <v>50</v>
      </c>
      <c r="J207" s="1" t="s">
        <v>51</v>
      </c>
      <c r="K207" s="1" t="s">
        <v>31</v>
      </c>
      <c r="M207" s="6"/>
    </row>
    <row r="208" spans="1:13" hidden="1" outlineLevel="1" x14ac:dyDescent="0.2">
      <c r="A208" s="93">
        <v>35247</v>
      </c>
      <c r="B208" s="86">
        <f t="shared" si="34"/>
        <v>18608.154999999999</v>
      </c>
      <c r="C208" s="86">
        <v>19175</v>
      </c>
      <c r="D208" s="86">
        <v>-566.84500000000003</v>
      </c>
      <c r="E208" s="92">
        <f t="shared" si="35"/>
        <v>-1.0900060457073941</v>
      </c>
      <c r="F208" s="86">
        <f t="shared" si="36"/>
        <v>543.34900000000084</v>
      </c>
      <c r="G208" s="86">
        <v>51980.343999999997</v>
      </c>
      <c r="H208" s="6"/>
      <c r="I208" s="1" t="s">
        <v>50</v>
      </c>
      <c r="J208" s="1" t="s">
        <v>51</v>
      </c>
      <c r="K208" s="1" t="s">
        <v>31</v>
      </c>
      <c r="M208" s="6"/>
    </row>
    <row r="209" spans="1:13" hidden="1" outlineLevel="1" x14ac:dyDescent="0.2">
      <c r="A209" s="93">
        <v>35278</v>
      </c>
      <c r="B209" s="86">
        <f t="shared" si="34"/>
        <v>13953.704</v>
      </c>
      <c r="C209" s="86">
        <v>14383</v>
      </c>
      <c r="D209" s="86">
        <v>-429.29599999999999</v>
      </c>
      <c r="E209" s="92">
        <f t="shared" si="35"/>
        <v>-0.82588141394370151</v>
      </c>
      <c r="F209" s="86">
        <f t="shared" si="36"/>
        <v>517.86599999999976</v>
      </c>
      <c r="G209" s="86">
        <v>52068.913999999997</v>
      </c>
      <c r="H209" s="6"/>
      <c r="I209" s="1" t="s">
        <v>50</v>
      </c>
      <c r="J209" s="1" t="s">
        <v>51</v>
      </c>
      <c r="K209" s="1" t="s">
        <v>31</v>
      </c>
      <c r="M209" s="6"/>
    </row>
    <row r="210" spans="1:13" hidden="1" outlineLevel="1" x14ac:dyDescent="0.2">
      <c r="A210" s="93">
        <v>35309</v>
      </c>
      <c r="B210" s="86">
        <f t="shared" si="34"/>
        <v>14341.117</v>
      </c>
      <c r="C210" s="86">
        <v>14402</v>
      </c>
      <c r="D210" s="86">
        <v>-60.883000000000003</v>
      </c>
      <c r="E210" s="92">
        <f t="shared" si="35"/>
        <v>-0.11692773158280198</v>
      </c>
      <c r="F210" s="86">
        <f t="shared" si="36"/>
        <v>589.11399999999981</v>
      </c>
      <c r="G210" s="86">
        <v>52597.144999999997</v>
      </c>
      <c r="H210" s="6"/>
      <c r="I210" s="1" t="s">
        <v>50</v>
      </c>
      <c r="J210" s="1" t="s">
        <v>51</v>
      </c>
      <c r="K210" s="1" t="s">
        <v>31</v>
      </c>
      <c r="M210" s="6"/>
    </row>
    <row r="211" spans="1:13" hidden="1" outlineLevel="1" x14ac:dyDescent="0.2">
      <c r="A211" s="93">
        <v>35339</v>
      </c>
      <c r="B211" s="86">
        <f t="shared" si="34"/>
        <v>15044.358</v>
      </c>
      <c r="C211" s="86">
        <v>14779</v>
      </c>
      <c r="D211" s="86">
        <v>265.358</v>
      </c>
      <c r="E211" s="92">
        <f t="shared" si="35"/>
        <v>0.50451027332377074</v>
      </c>
      <c r="F211" s="86">
        <f t="shared" si="36"/>
        <v>552.5970000000018</v>
      </c>
      <c r="G211" s="86">
        <v>53415.1</v>
      </c>
      <c r="H211" s="6"/>
      <c r="I211" s="1" t="s">
        <v>50</v>
      </c>
      <c r="J211" s="1" t="s">
        <v>51</v>
      </c>
      <c r="K211" s="1" t="s">
        <v>31</v>
      </c>
      <c r="M211" s="6"/>
    </row>
    <row r="212" spans="1:13" hidden="1" outlineLevel="1" x14ac:dyDescent="0.2">
      <c r="A212" s="93">
        <v>35370</v>
      </c>
      <c r="B212" s="86">
        <f t="shared" si="34"/>
        <v>14811.858</v>
      </c>
      <c r="C212" s="86">
        <v>13824</v>
      </c>
      <c r="D212" s="86">
        <v>987.85799999999995</v>
      </c>
      <c r="E212" s="92">
        <f t="shared" si="35"/>
        <v>1.8493983910916576</v>
      </c>
      <c r="F212" s="86">
        <f t="shared" si="36"/>
        <v>635.61899999999901</v>
      </c>
      <c r="G212" s="86">
        <v>55038.576999999997</v>
      </c>
      <c r="H212" s="6"/>
      <c r="I212" s="1" t="s">
        <v>50</v>
      </c>
      <c r="J212" s="1" t="s">
        <v>51</v>
      </c>
      <c r="K212" s="1" t="s">
        <v>31</v>
      </c>
      <c r="M212" s="6"/>
    </row>
    <row r="213" spans="1:13" hidden="1" outlineLevel="1" x14ac:dyDescent="0.2">
      <c r="A213" s="93">
        <v>35400</v>
      </c>
      <c r="B213" s="86">
        <v>21872</v>
      </c>
      <c r="C213" s="86">
        <v>18186.506000000001</v>
      </c>
      <c r="D213" s="86">
        <v>3685.4940000000001</v>
      </c>
      <c r="E213" s="92">
        <f t="shared" si="35"/>
        <v>6.6962014661098523</v>
      </c>
      <c r="F213" s="86">
        <f t="shared" si="36"/>
        <v>694.62600000000248</v>
      </c>
      <c r="G213" s="86">
        <v>59418.697</v>
      </c>
      <c r="H213" s="6"/>
      <c r="I213" s="1" t="s">
        <v>50</v>
      </c>
      <c r="J213" s="1" t="s">
        <v>51</v>
      </c>
      <c r="K213" s="1" t="s">
        <v>31</v>
      </c>
      <c r="M213" s="6"/>
    </row>
    <row r="214" spans="1:13" hidden="1" collapsed="1" x14ac:dyDescent="0.2">
      <c r="A214" s="83" t="s">
        <v>54</v>
      </c>
      <c r="B214" s="84">
        <f>SUM(B202:B213)</f>
        <v>177452.212</v>
      </c>
      <c r="C214" s="84">
        <f>SUM(C202:C213)</f>
        <v>175106.50599999999</v>
      </c>
      <c r="D214" s="84">
        <f>SUM(D202:D213)</f>
        <v>2345.706000000001</v>
      </c>
      <c r="E214" s="91">
        <f>(D214/G201*100)</f>
        <v>4.566970102572288</v>
      </c>
      <c r="F214" s="84">
        <f>SUM(F202:F213)</f>
        <v>5710.5790000000034</v>
      </c>
      <c r="G214" s="85">
        <f>G213</f>
        <v>59418.697</v>
      </c>
      <c r="I214" s="1" t="s">
        <v>50</v>
      </c>
      <c r="J214" s="1" t="s">
        <v>51</v>
      </c>
      <c r="K214" s="1" t="s">
        <v>31</v>
      </c>
      <c r="M214" s="6"/>
    </row>
    <row r="215" spans="1:13" ht="20.100000000000001" hidden="1" customHeight="1" outlineLevel="1" x14ac:dyDescent="0.2">
      <c r="A215" s="93">
        <v>35431</v>
      </c>
      <c r="B215" s="86">
        <v>20605</v>
      </c>
      <c r="C215" s="86">
        <v>17624.099000000002</v>
      </c>
      <c r="D215" s="86">
        <v>2980.9009999999998</v>
      </c>
      <c r="E215" s="92">
        <f t="shared" ref="E215:E226" si="37">D215/G214*100</f>
        <v>5.0167727508396887</v>
      </c>
      <c r="F215" s="86">
        <f>(G215-G213)-D215</f>
        <v>723.64799999999923</v>
      </c>
      <c r="G215" s="86">
        <v>63123.245999999999</v>
      </c>
      <c r="H215" s="6"/>
      <c r="I215" s="1" t="s">
        <v>50</v>
      </c>
      <c r="J215" s="1" t="s">
        <v>51</v>
      </c>
      <c r="K215" s="1" t="s">
        <v>31</v>
      </c>
      <c r="M215" s="6"/>
    </row>
    <row r="216" spans="1:13" hidden="1" outlineLevel="1" x14ac:dyDescent="0.2">
      <c r="A216" s="93">
        <v>35462</v>
      </c>
      <c r="B216" s="86">
        <v>11754</v>
      </c>
      <c r="C216" s="86">
        <v>11140.476000000001</v>
      </c>
      <c r="D216" s="86">
        <v>613.524</v>
      </c>
      <c r="E216" s="92">
        <f t="shared" si="37"/>
        <v>0.97194621455303476</v>
      </c>
      <c r="F216" s="86">
        <f t="shared" ref="F216:F226" si="38">(G216-G215)-D216</f>
        <v>739.56200000000297</v>
      </c>
      <c r="G216" s="86">
        <v>64476.332000000002</v>
      </c>
      <c r="H216" s="6"/>
      <c r="I216" s="1" t="s">
        <v>50</v>
      </c>
      <c r="J216" s="1" t="s">
        <v>51</v>
      </c>
      <c r="K216" s="1" t="s">
        <v>31</v>
      </c>
      <c r="M216" s="6"/>
    </row>
    <row r="217" spans="1:13" hidden="1" outlineLevel="1" x14ac:dyDescent="0.2">
      <c r="A217" s="93">
        <v>35490</v>
      </c>
      <c r="B217" s="86">
        <v>12069</v>
      </c>
      <c r="C217" s="86">
        <v>11751.075000000001</v>
      </c>
      <c r="D217" s="86">
        <v>317.92500000000001</v>
      </c>
      <c r="E217" s="92">
        <f t="shared" si="37"/>
        <v>0.49308791325164092</v>
      </c>
      <c r="F217" s="86">
        <f t="shared" si="38"/>
        <v>753.05900000000406</v>
      </c>
      <c r="G217" s="86">
        <v>65547.316000000006</v>
      </c>
      <c r="H217" s="6"/>
      <c r="I217" s="1" t="s">
        <v>50</v>
      </c>
      <c r="J217" s="1" t="s">
        <v>51</v>
      </c>
      <c r="K217" s="1" t="s">
        <v>31</v>
      </c>
      <c r="M217" s="6"/>
    </row>
    <row r="218" spans="1:13" hidden="1" outlineLevel="1" x14ac:dyDescent="0.2">
      <c r="A218" s="93">
        <v>35521</v>
      </c>
      <c r="B218" s="86">
        <v>13638</v>
      </c>
      <c r="C218" s="86">
        <v>13669.689</v>
      </c>
      <c r="D218" s="86">
        <v>-31.689</v>
      </c>
      <c r="E218" s="92">
        <f t="shared" si="37"/>
        <v>-4.8345228964066199E-2</v>
      </c>
      <c r="F218" s="86">
        <f t="shared" si="38"/>
        <v>716.87999999999158</v>
      </c>
      <c r="G218" s="86">
        <v>66232.506999999998</v>
      </c>
      <c r="H218" s="6"/>
      <c r="I218" s="1" t="s">
        <v>50</v>
      </c>
      <c r="J218" s="1" t="s">
        <v>51</v>
      </c>
      <c r="K218" s="1" t="s">
        <v>31</v>
      </c>
      <c r="M218" s="6"/>
    </row>
    <row r="219" spans="1:13" hidden="1" outlineLevel="1" x14ac:dyDescent="0.2">
      <c r="A219" s="93">
        <v>35551</v>
      </c>
      <c r="B219" s="86">
        <v>13635</v>
      </c>
      <c r="C219" s="86">
        <v>13568.59</v>
      </c>
      <c r="D219" s="86">
        <v>66.41</v>
      </c>
      <c r="E219" s="92">
        <f t="shared" si="37"/>
        <v>0.10026798472236602</v>
      </c>
      <c r="F219" s="86">
        <f t="shared" si="38"/>
        <v>685.27700000000539</v>
      </c>
      <c r="G219" s="86">
        <v>66984.194000000003</v>
      </c>
      <c r="H219" s="6"/>
      <c r="I219" s="1" t="s">
        <v>50</v>
      </c>
      <c r="J219" s="1" t="s">
        <v>51</v>
      </c>
      <c r="K219" s="1" t="s">
        <v>31</v>
      </c>
      <c r="M219" s="6"/>
    </row>
    <row r="220" spans="1:13" hidden="1" outlineLevel="1" x14ac:dyDescent="0.2">
      <c r="A220" s="93">
        <v>35582</v>
      </c>
      <c r="B220" s="86">
        <v>14457</v>
      </c>
      <c r="C220" s="86">
        <v>14129.085999999999</v>
      </c>
      <c r="D220" s="86">
        <v>327.91399999999999</v>
      </c>
      <c r="E220" s="92">
        <f t="shared" si="37"/>
        <v>0.48953936804852799</v>
      </c>
      <c r="F220" s="86">
        <f t="shared" si="38"/>
        <v>760.58600000000001</v>
      </c>
      <c r="G220" s="86">
        <v>68072.694000000003</v>
      </c>
      <c r="H220" s="6"/>
      <c r="I220" s="1" t="s">
        <v>50</v>
      </c>
      <c r="J220" s="1" t="s">
        <v>51</v>
      </c>
      <c r="K220" s="1" t="s">
        <v>31</v>
      </c>
      <c r="M220" s="6"/>
    </row>
    <row r="221" spans="1:13" hidden="1" outlineLevel="1" x14ac:dyDescent="0.2">
      <c r="A221" s="93">
        <v>35612</v>
      </c>
      <c r="B221" s="86">
        <v>14776</v>
      </c>
      <c r="C221" s="86">
        <v>14962.794</v>
      </c>
      <c r="D221" s="86">
        <v>-186.79400000000001</v>
      </c>
      <c r="E221" s="92">
        <f t="shared" si="37"/>
        <v>-0.27440371318343887</v>
      </c>
      <c r="F221" s="86">
        <f t="shared" si="38"/>
        <v>720.60199999998997</v>
      </c>
      <c r="G221" s="86">
        <v>68606.501999999993</v>
      </c>
      <c r="H221" s="6"/>
      <c r="I221" s="1" t="s">
        <v>50</v>
      </c>
      <c r="J221" s="1" t="s">
        <v>51</v>
      </c>
      <c r="K221" s="1" t="s">
        <v>31</v>
      </c>
      <c r="M221" s="6"/>
    </row>
    <row r="222" spans="1:13" hidden="1" outlineLevel="1" x14ac:dyDescent="0.2">
      <c r="A222" s="93">
        <v>35643</v>
      </c>
      <c r="B222" s="86">
        <v>14573</v>
      </c>
      <c r="C222" s="86">
        <v>14122.715</v>
      </c>
      <c r="D222" s="86">
        <v>450.28500000000003</v>
      </c>
      <c r="E222" s="92">
        <f t="shared" si="37"/>
        <v>0.65632992044981409</v>
      </c>
      <c r="F222" s="86">
        <f t="shared" si="38"/>
        <v>746.39200000001051</v>
      </c>
      <c r="G222" s="86">
        <v>69803.179000000004</v>
      </c>
      <c r="H222" s="6"/>
      <c r="I222" s="1" t="s">
        <v>50</v>
      </c>
      <c r="J222" s="1" t="s">
        <v>51</v>
      </c>
      <c r="K222" s="1" t="s">
        <v>31</v>
      </c>
      <c r="M222" s="6"/>
    </row>
    <row r="223" spans="1:13" hidden="1" outlineLevel="1" x14ac:dyDescent="0.2">
      <c r="A223" s="93">
        <v>35674</v>
      </c>
      <c r="B223" s="86">
        <v>15736</v>
      </c>
      <c r="C223" s="86">
        <v>15144.95</v>
      </c>
      <c r="D223" s="86">
        <v>591.04999999999995</v>
      </c>
      <c r="E223" s="92">
        <f t="shared" si="37"/>
        <v>0.84673794011587911</v>
      </c>
      <c r="F223" s="86">
        <f t="shared" si="38"/>
        <v>778.57699999999318</v>
      </c>
      <c r="G223" s="86">
        <v>71172.805999999997</v>
      </c>
      <c r="H223" s="6"/>
      <c r="I223" s="1" t="s">
        <v>50</v>
      </c>
      <c r="J223" s="1" t="s">
        <v>51</v>
      </c>
      <c r="K223" s="1" t="s">
        <v>31</v>
      </c>
      <c r="M223" s="6"/>
    </row>
    <row r="224" spans="1:13" hidden="1" outlineLevel="1" x14ac:dyDescent="0.2">
      <c r="A224" s="93">
        <v>35704</v>
      </c>
      <c r="B224" s="86">
        <v>15911</v>
      </c>
      <c r="C224" s="86">
        <v>15394.393</v>
      </c>
      <c r="D224" s="86">
        <v>516.60699999999997</v>
      </c>
      <c r="E224" s="92">
        <f t="shared" si="37"/>
        <v>0.72584885862164827</v>
      </c>
      <c r="F224" s="86">
        <f t="shared" si="38"/>
        <v>734.72700000000259</v>
      </c>
      <c r="G224" s="86">
        <v>72424.14</v>
      </c>
      <c r="H224" s="6"/>
      <c r="I224" s="1" t="s">
        <v>50</v>
      </c>
      <c r="J224" s="1" t="s">
        <v>51</v>
      </c>
      <c r="K224" s="1" t="s">
        <v>31</v>
      </c>
      <c r="M224" s="6"/>
    </row>
    <row r="225" spans="1:13" hidden="1" outlineLevel="1" x14ac:dyDescent="0.2">
      <c r="A225" s="93">
        <v>35735</v>
      </c>
      <c r="B225" s="86">
        <v>18245</v>
      </c>
      <c r="C225" s="86">
        <v>14749.969000000001</v>
      </c>
      <c r="D225" s="86">
        <v>3495.0309999999999</v>
      </c>
      <c r="E225" s="92">
        <f t="shared" si="37"/>
        <v>4.8257818456663752</v>
      </c>
      <c r="F225" s="86">
        <f t="shared" si="38"/>
        <v>807.51900000000296</v>
      </c>
      <c r="G225" s="86">
        <v>76726.69</v>
      </c>
      <c r="H225" s="6"/>
      <c r="I225" s="1" t="s">
        <v>50</v>
      </c>
      <c r="J225" s="1" t="s">
        <v>51</v>
      </c>
      <c r="K225" s="1" t="s">
        <v>31</v>
      </c>
      <c r="M225" s="6"/>
    </row>
    <row r="226" spans="1:13" hidden="1" outlineLevel="1" x14ac:dyDescent="0.2">
      <c r="A226" s="93">
        <v>35765</v>
      </c>
      <c r="B226" s="86">
        <v>21127</v>
      </c>
      <c r="C226" s="86">
        <v>19189.246999999999</v>
      </c>
      <c r="D226" s="86">
        <v>1937.7529999999999</v>
      </c>
      <c r="E226" s="92">
        <f t="shared" si="37"/>
        <v>2.5255266452912277</v>
      </c>
      <c r="F226" s="86">
        <f t="shared" si="38"/>
        <v>1585.9339999999909</v>
      </c>
      <c r="G226" s="86">
        <v>80250.376999999993</v>
      </c>
      <c r="H226" s="6"/>
      <c r="I226" s="1" t="s">
        <v>50</v>
      </c>
      <c r="J226" s="1" t="s">
        <v>51</v>
      </c>
      <c r="K226" s="1" t="s">
        <v>31</v>
      </c>
      <c r="M226" s="6"/>
    </row>
    <row r="227" spans="1:13" hidden="1" collapsed="1" x14ac:dyDescent="0.2">
      <c r="A227" s="83" t="s">
        <v>55</v>
      </c>
      <c r="B227" s="84">
        <f>SUM(B215:B226)</f>
        <v>186526</v>
      </c>
      <c r="C227" s="84">
        <f>SUM(C215:C226)</f>
        <v>175447.08300000001</v>
      </c>
      <c r="D227" s="84">
        <f>SUM(D215:D226)</f>
        <v>11078.917000000001</v>
      </c>
      <c r="E227" s="91">
        <f>(D227/G214*100)</f>
        <v>18.645506480897758</v>
      </c>
      <c r="F227" s="84">
        <f>SUM(F215:F226)</f>
        <v>9752.7629999999936</v>
      </c>
      <c r="G227" s="85">
        <f>G226</f>
        <v>80250.376999999993</v>
      </c>
      <c r="I227" s="1" t="s">
        <v>50</v>
      </c>
      <c r="J227" s="1" t="s">
        <v>51</v>
      </c>
      <c r="K227" s="1" t="s">
        <v>31</v>
      </c>
    </row>
    <row r="228" spans="1:13" ht="20.100000000000001" hidden="1" customHeight="1" outlineLevel="1" x14ac:dyDescent="0.2">
      <c r="A228" s="93">
        <v>35796</v>
      </c>
      <c r="B228" s="86">
        <f>20049*0.8</f>
        <v>16039.2</v>
      </c>
      <c r="C228" s="86">
        <v>15593.457</v>
      </c>
      <c r="D228" s="86">
        <v>445.74299999999999</v>
      </c>
      <c r="E228" s="92">
        <f t="shared" ref="E228:E239" si="39">D228/G227*100</f>
        <v>0.55544038129565432</v>
      </c>
      <c r="F228" s="86">
        <f>(G228-G226)-D228</f>
        <v>1203.8080000000068</v>
      </c>
      <c r="G228" s="86">
        <v>81899.928</v>
      </c>
      <c r="H228" s="6"/>
      <c r="I228" s="1" t="s">
        <v>50</v>
      </c>
      <c r="J228" s="1" t="s">
        <v>51</v>
      </c>
      <c r="K228" s="1" t="s">
        <v>31</v>
      </c>
      <c r="M228" s="6"/>
    </row>
    <row r="229" spans="1:13" hidden="1" outlineLevel="1" x14ac:dyDescent="0.2">
      <c r="A229" s="93">
        <v>35827</v>
      </c>
      <c r="B229" s="86">
        <v>14543</v>
      </c>
      <c r="C229" s="86">
        <v>17233.295999999998</v>
      </c>
      <c r="D229" s="86">
        <v>-2690.2959999999998</v>
      </c>
      <c r="E229" s="92">
        <f t="shared" si="39"/>
        <v>-3.2848575886415916</v>
      </c>
      <c r="F229" s="86">
        <f t="shared" ref="F229:F239" si="40">(G229-G228)-D229</f>
        <v>1342.3489999999997</v>
      </c>
      <c r="G229" s="86">
        <v>80551.981</v>
      </c>
      <c r="H229" s="6"/>
      <c r="I229" s="1" t="s">
        <v>50</v>
      </c>
      <c r="J229" s="1" t="s">
        <v>51</v>
      </c>
      <c r="K229" s="1" t="s">
        <v>31</v>
      </c>
      <c r="M229" s="6"/>
    </row>
    <row r="230" spans="1:13" hidden="1" outlineLevel="1" x14ac:dyDescent="0.2">
      <c r="A230" s="93">
        <v>35855</v>
      </c>
      <c r="B230" s="86">
        <v>15436</v>
      </c>
      <c r="C230" s="86">
        <v>16816.838</v>
      </c>
      <c r="D230" s="86">
        <v>-1380.838</v>
      </c>
      <c r="E230" s="92">
        <f t="shared" si="39"/>
        <v>-1.7142197905722516</v>
      </c>
      <c r="F230" s="86">
        <f t="shared" si="40"/>
        <v>711.70200000000136</v>
      </c>
      <c r="G230" s="86">
        <v>79882.845000000001</v>
      </c>
      <c r="H230" s="6"/>
      <c r="I230" s="1" t="s">
        <v>50</v>
      </c>
      <c r="J230" s="1" t="s">
        <v>51</v>
      </c>
      <c r="K230" s="1" t="s">
        <v>31</v>
      </c>
      <c r="M230" s="6"/>
    </row>
    <row r="231" spans="1:13" hidden="1" outlineLevel="1" x14ac:dyDescent="0.2">
      <c r="A231" s="93">
        <v>35886</v>
      </c>
      <c r="B231" s="86">
        <v>14818</v>
      </c>
      <c r="C231" s="86">
        <v>15707.119000000001</v>
      </c>
      <c r="D231" s="86">
        <v>-889.11900000000003</v>
      </c>
      <c r="E231" s="92">
        <f t="shared" si="39"/>
        <v>-1.1130287109829402</v>
      </c>
      <c r="F231" s="86">
        <f t="shared" si="40"/>
        <v>852.1390000000041</v>
      </c>
      <c r="G231" s="86">
        <v>79845.865000000005</v>
      </c>
      <c r="H231" s="6"/>
      <c r="I231" s="1" t="s">
        <v>50</v>
      </c>
      <c r="J231" s="1" t="s">
        <v>51</v>
      </c>
      <c r="K231" s="1" t="s">
        <v>31</v>
      </c>
      <c r="M231" s="6"/>
    </row>
    <row r="232" spans="1:13" hidden="1" outlineLevel="1" x14ac:dyDescent="0.2">
      <c r="A232" s="93">
        <v>35916</v>
      </c>
      <c r="B232" s="86">
        <v>14180</v>
      </c>
      <c r="C232" s="86">
        <v>14250.906999999999</v>
      </c>
      <c r="D232" s="86">
        <v>-70.906999999999996</v>
      </c>
      <c r="E232" s="92">
        <f t="shared" si="39"/>
        <v>-8.8804849192879301E-2</v>
      </c>
      <c r="F232" s="86">
        <f t="shared" si="40"/>
        <v>396.1719999999994</v>
      </c>
      <c r="G232" s="86">
        <v>80171.13</v>
      </c>
      <c r="H232" s="6"/>
      <c r="I232" s="1" t="s">
        <v>50</v>
      </c>
      <c r="J232" s="1" t="s">
        <v>51</v>
      </c>
      <c r="K232" s="1" t="s">
        <v>31</v>
      </c>
      <c r="M232" s="6"/>
    </row>
    <row r="233" spans="1:13" hidden="1" outlineLevel="1" x14ac:dyDescent="0.2">
      <c r="A233" s="93">
        <v>35947</v>
      </c>
      <c r="B233" s="86">
        <v>17470.839</v>
      </c>
      <c r="C233" s="86">
        <v>16818</v>
      </c>
      <c r="D233" s="86">
        <v>652.83900000000006</v>
      </c>
      <c r="E233" s="92">
        <f t="shared" si="39"/>
        <v>0.81430684586833191</v>
      </c>
      <c r="F233" s="86">
        <f t="shared" si="40"/>
        <v>657.31899999999575</v>
      </c>
      <c r="G233" s="86">
        <v>81481.288</v>
      </c>
      <c r="H233" s="6"/>
      <c r="I233" s="1" t="s">
        <v>50</v>
      </c>
      <c r="J233" s="1" t="s">
        <v>51</v>
      </c>
      <c r="K233" s="1" t="s">
        <v>31</v>
      </c>
      <c r="M233" s="6"/>
    </row>
    <row r="234" spans="1:13" hidden="1" outlineLevel="1" x14ac:dyDescent="0.2">
      <c r="A234" s="93">
        <v>35977</v>
      </c>
      <c r="B234" s="86">
        <f>(B233*1.002)</f>
        <v>17505.780677999999</v>
      </c>
      <c r="C234" s="86">
        <v>17056.930678000001</v>
      </c>
      <c r="D234" s="86">
        <v>448.85</v>
      </c>
      <c r="E234" s="92">
        <f t="shared" si="39"/>
        <v>0.55086267168481673</v>
      </c>
      <c r="F234" s="86">
        <f t="shared" si="40"/>
        <v>733.88699999999369</v>
      </c>
      <c r="G234" s="86">
        <v>82664.024999999994</v>
      </c>
      <c r="H234" s="6"/>
      <c r="I234" s="1" t="s">
        <v>50</v>
      </c>
      <c r="J234" s="1" t="s">
        <v>51</v>
      </c>
      <c r="K234" s="1" t="s">
        <v>31</v>
      </c>
      <c r="M234" s="6"/>
    </row>
    <row r="235" spans="1:13" hidden="1" outlineLevel="1" x14ac:dyDescent="0.2">
      <c r="A235" s="93">
        <v>36008</v>
      </c>
      <c r="B235" s="86">
        <f>(18605/0.95)</f>
        <v>19584.21052631579</v>
      </c>
      <c r="C235" s="86">
        <v>19313.740526315789</v>
      </c>
      <c r="D235" s="86">
        <v>270.47000000000003</v>
      </c>
      <c r="E235" s="92">
        <f t="shared" si="39"/>
        <v>0.32719190724139074</v>
      </c>
      <c r="F235" s="86">
        <f t="shared" si="40"/>
        <v>749.54099999999858</v>
      </c>
      <c r="G235" s="86">
        <v>83684.035999999993</v>
      </c>
      <c r="H235" s="6"/>
      <c r="I235" s="1" t="s">
        <v>50</v>
      </c>
      <c r="J235" s="1" t="s">
        <v>51</v>
      </c>
      <c r="K235" s="1" t="s">
        <v>31</v>
      </c>
      <c r="M235" s="6"/>
    </row>
    <row r="236" spans="1:13" hidden="1" outlineLevel="1" x14ac:dyDescent="0.2">
      <c r="A236" s="93">
        <v>36039</v>
      </c>
      <c r="B236" s="86">
        <f>25680*0.823</f>
        <v>21134.639999999999</v>
      </c>
      <c r="C236" s="86">
        <v>20644.823</v>
      </c>
      <c r="D236" s="86">
        <v>489.81700000000001</v>
      </c>
      <c r="E236" s="92">
        <f t="shared" si="39"/>
        <v>0.58531713264881258</v>
      </c>
      <c r="F236" s="86">
        <f t="shared" si="40"/>
        <v>733.67800000000989</v>
      </c>
      <c r="G236" s="86">
        <v>84907.531000000003</v>
      </c>
      <c r="H236" s="6"/>
      <c r="I236" s="1" t="s">
        <v>50</v>
      </c>
      <c r="J236" s="1" t="s">
        <v>51</v>
      </c>
      <c r="K236" s="1" t="s">
        <v>31</v>
      </c>
      <c r="M236" s="6"/>
    </row>
    <row r="237" spans="1:13" hidden="1" outlineLevel="1" x14ac:dyDescent="0.2">
      <c r="A237" s="93">
        <v>36069</v>
      </c>
      <c r="B237" s="86">
        <v>20245</v>
      </c>
      <c r="C237" s="86">
        <v>20369.919000000002</v>
      </c>
      <c r="D237" s="86">
        <v>-124.919</v>
      </c>
      <c r="E237" s="92">
        <f t="shared" si="39"/>
        <v>-0.14712358082818353</v>
      </c>
      <c r="F237" s="86">
        <f t="shared" si="40"/>
        <v>1188.0919999999953</v>
      </c>
      <c r="G237" s="86">
        <v>85970.703999999998</v>
      </c>
      <c r="H237" s="6"/>
      <c r="I237" s="1" t="s">
        <v>50</v>
      </c>
      <c r="J237" s="1" t="s">
        <v>51</v>
      </c>
      <c r="K237" s="1" t="s">
        <v>31</v>
      </c>
      <c r="M237" s="6"/>
    </row>
    <row r="238" spans="1:13" hidden="1" outlineLevel="1" x14ac:dyDescent="0.2">
      <c r="A238" s="93">
        <v>36100</v>
      </c>
      <c r="B238" s="86">
        <f>20514*1.05</f>
        <v>21539.7</v>
      </c>
      <c r="C238" s="86">
        <v>21406.296000000002</v>
      </c>
      <c r="D238" s="86">
        <v>133.404</v>
      </c>
      <c r="E238" s="92">
        <f t="shared" si="39"/>
        <v>0.15517379036468051</v>
      </c>
      <c r="F238" s="86">
        <f t="shared" si="40"/>
        <v>1171.6000000000008</v>
      </c>
      <c r="G238" s="86">
        <v>87275.707999999999</v>
      </c>
      <c r="H238" s="6"/>
      <c r="I238" s="1" t="s">
        <v>50</v>
      </c>
      <c r="J238" s="1" t="s">
        <v>51</v>
      </c>
      <c r="K238" s="1" t="s">
        <v>31</v>
      </c>
      <c r="M238" s="6"/>
    </row>
    <row r="239" spans="1:13" hidden="1" outlineLevel="1" x14ac:dyDescent="0.2">
      <c r="A239" s="93">
        <v>36130</v>
      </c>
      <c r="B239" s="86">
        <f>20714*1.05</f>
        <v>21749.7</v>
      </c>
      <c r="C239" s="86">
        <v>21336.244000000002</v>
      </c>
      <c r="D239" s="86">
        <v>413.45600000000002</v>
      </c>
      <c r="E239" s="92">
        <f t="shared" si="39"/>
        <v>0.47373548662590054</v>
      </c>
      <c r="F239" s="86">
        <f t="shared" si="40"/>
        <v>849.18500000000324</v>
      </c>
      <c r="G239" s="86">
        <v>88538.349000000002</v>
      </c>
      <c r="H239" s="6"/>
      <c r="I239" s="1" t="s">
        <v>50</v>
      </c>
      <c r="J239" s="1" t="s">
        <v>51</v>
      </c>
      <c r="K239" s="1" t="s">
        <v>31</v>
      </c>
      <c r="M239" s="6"/>
    </row>
    <row r="240" spans="1:13" hidden="1" collapsed="1" x14ac:dyDescent="0.2">
      <c r="A240" s="83" t="s">
        <v>56</v>
      </c>
      <c r="B240" s="84">
        <f>SUM(B228:B239)</f>
        <v>214246.07020431579</v>
      </c>
      <c r="C240" s="84">
        <f>SUM(C228:C239)</f>
        <v>216547.57020431579</v>
      </c>
      <c r="D240" s="84">
        <f>SUM(D228:D239)</f>
        <v>-2301.4999999999995</v>
      </c>
      <c r="E240" s="91">
        <f>(D240/G227*100)</f>
        <v>-2.8678992997129469</v>
      </c>
      <c r="F240" s="84">
        <f>SUM(F228:F239)</f>
        <v>10589.472000000007</v>
      </c>
      <c r="G240" s="85">
        <f>G239</f>
        <v>88538.349000000002</v>
      </c>
      <c r="I240" s="1" t="s">
        <v>50</v>
      </c>
      <c r="J240" s="1" t="s">
        <v>51</v>
      </c>
      <c r="K240" s="1" t="s">
        <v>31</v>
      </c>
    </row>
    <row r="241" spans="1:13" ht="20.100000000000001" hidden="1" customHeight="1" outlineLevel="1" x14ac:dyDescent="0.2">
      <c r="A241" s="93">
        <v>36161</v>
      </c>
      <c r="B241" s="86">
        <f>21058/0.975</f>
        <v>21597.948717948719</v>
      </c>
      <c r="C241" s="86">
        <v>21899.31171794872</v>
      </c>
      <c r="D241" s="86">
        <v>-301.363</v>
      </c>
      <c r="E241" s="92">
        <f t="shared" ref="E241:E252" si="41">D241/G240*100</f>
        <v>-0.3403756715635165</v>
      </c>
      <c r="F241" s="86">
        <f>(G241-G239)-D241</f>
        <v>920.55300000000238</v>
      </c>
      <c r="G241" s="86">
        <v>89157.539000000004</v>
      </c>
      <c r="H241" s="6"/>
      <c r="I241" s="1" t="s">
        <v>50</v>
      </c>
      <c r="J241" s="1" t="s">
        <v>51</v>
      </c>
      <c r="K241" s="1" t="s">
        <v>31</v>
      </c>
      <c r="M241" s="6"/>
    </row>
    <row r="242" spans="1:13" hidden="1" outlineLevel="1" x14ac:dyDescent="0.2">
      <c r="A242" s="93">
        <v>36192</v>
      </c>
      <c r="B242" s="86">
        <f>22190/0.975</f>
        <v>22758.974358974359</v>
      </c>
      <c r="C242" s="86">
        <v>23202.073358974358</v>
      </c>
      <c r="D242" s="86">
        <v>-443.09899999999999</v>
      </c>
      <c r="E242" s="92">
        <f t="shared" si="41"/>
        <v>-0.49698433241859669</v>
      </c>
      <c r="F242" s="86">
        <f t="shared" ref="F242:F252" si="42">(G242-G241)-D242</f>
        <v>1901.4440000000011</v>
      </c>
      <c r="G242" s="86">
        <v>90615.884000000005</v>
      </c>
      <c r="H242" s="6"/>
      <c r="I242" s="1" t="s">
        <v>50</v>
      </c>
      <c r="J242" s="1" t="s">
        <v>51</v>
      </c>
      <c r="K242" s="1" t="s">
        <v>31</v>
      </c>
      <c r="M242" s="6"/>
    </row>
    <row r="243" spans="1:13" hidden="1" outlineLevel="1" x14ac:dyDescent="0.2">
      <c r="A243" s="93">
        <v>36220</v>
      </c>
      <c r="B243" s="86">
        <f>27169.24/0.975</f>
        <v>27865.887179487181</v>
      </c>
      <c r="C243" s="86">
        <v>28673.178179487182</v>
      </c>
      <c r="D243" s="86">
        <v>-807.29100000000005</v>
      </c>
      <c r="E243" s="92">
        <f t="shared" si="41"/>
        <v>-0.89089347735105684</v>
      </c>
      <c r="F243" s="86">
        <f t="shared" si="42"/>
        <v>1094.2209999999932</v>
      </c>
      <c r="G243" s="86">
        <v>90902.813999999998</v>
      </c>
      <c r="H243" s="6"/>
      <c r="I243" s="1" t="s">
        <v>50</v>
      </c>
      <c r="J243" s="1" t="s">
        <v>51</v>
      </c>
      <c r="K243" s="1" t="s">
        <v>31</v>
      </c>
      <c r="M243" s="6"/>
    </row>
    <row r="244" spans="1:13" hidden="1" outlineLevel="1" x14ac:dyDescent="0.2">
      <c r="A244" s="93">
        <v>36251</v>
      </c>
      <c r="B244" s="86">
        <f>25317/0.975</f>
        <v>25966.153846153848</v>
      </c>
      <c r="C244" s="86">
        <v>26931.230846153849</v>
      </c>
      <c r="D244" s="86">
        <v>-965.077</v>
      </c>
      <c r="E244" s="92">
        <f t="shared" si="41"/>
        <v>-1.0616580032384917</v>
      </c>
      <c r="F244" s="86">
        <f t="shared" si="42"/>
        <v>1151.8540000000019</v>
      </c>
      <c r="G244" s="86">
        <v>91089.591</v>
      </c>
      <c r="H244" s="6"/>
      <c r="I244" s="1" t="s">
        <v>50</v>
      </c>
      <c r="J244" s="1" t="s">
        <v>51</v>
      </c>
      <c r="K244" s="1" t="s">
        <v>31</v>
      </c>
      <c r="M244" s="6"/>
    </row>
    <row r="245" spans="1:13" hidden="1" outlineLevel="1" x14ac:dyDescent="0.2">
      <c r="A245" s="93">
        <v>36281</v>
      </c>
      <c r="B245" s="86">
        <f>27273/0.975</f>
        <v>27972.307692307691</v>
      </c>
      <c r="C245" s="86">
        <v>28222.05269230769</v>
      </c>
      <c r="D245" s="86">
        <v>-249.745</v>
      </c>
      <c r="E245" s="92">
        <f t="shared" si="41"/>
        <v>-0.27417512501510738</v>
      </c>
      <c r="F245" s="86">
        <f t="shared" si="42"/>
        <v>953.54200000000594</v>
      </c>
      <c r="G245" s="86">
        <v>91793.388000000006</v>
      </c>
      <c r="H245" s="6"/>
      <c r="I245" s="1" t="s">
        <v>50</v>
      </c>
      <c r="J245" s="1" t="s">
        <v>51</v>
      </c>
      <c r="K245" s="1" t="s">
        <v>31</v>
      </c>
      <c r="M245" s="6"/>
    </row>
    <row r="246" spans="1:13" hidden="1" outlineLevel="1" x14ac:dyDescent="0.2">
      <c r="A246" s="93">
        <v>36312</v>
      </c>
      <c r="B246" s="86">
        <f>26470/0.975</f>
        <v>27148.717948717949</v>
      </c>
      <c r="C246" s="86">
        <v>28501.137948717951</v>
      </c>
      <c r="D246" s="86">
        <v>-1352.42</v>
      </c>
      <c r="E246" s="92">
        <f t="shared" si="41"/>
        <v>-1.4733305191872861</v>
      </c>
      <c r="F246" s="86">
        <f t="shared" si="42"/>
        <v>757.73399999999856</v>
      </c>
      <c r="G246" s="86">
        <v>91198.702000000005</v>
      </c>
      <c r="H246" s="6"/>
      <c r="I246" s="1" t="s">
        <v>50</v>
      </c>
      <c r="J246" s="1" t="s">
        <v>51</v>
      </c>
      <c r="K246" s="1" t="s">
        <v>31</v>
      </c>
      <c r="M246" s="6"/>
    </row>
    <row r="247" spans="1:13" hidden="1" outlineLevel="1" x14ac:dyDescent="0.2">
      <c r="A247" s="93">
        <v>36342</v>
      </c>
      <c r="B247" s="86">
        <f>23715/0.975</f>
        <v>24323.076923076922</v>
      </c>
      <c r="C247" s="86">
        <v>25399.127923076921</v>
      </c>
      <c r="D247" s="86">
        <v>-1076.0509999999999</v>
      </c>
      <c r="E247" s="92">
        <f t="shared" si="41"/>
        <v>-1.1798972752923609</v>
      </c>
      <c r="F247" s="86">
        <f t="shared" si="42"/>
        <v>689.84499999999434</v>
      </c>
      <c r="G247" s="86">
        <v>90812.495999999999</v>
      </c>
      <c r="H247" s="6"/>
      <c r="I247" s="1" t="s">
        <v>50</v>
      </c>
      <c r="J247" s="1" t="s">
        <v>51</v>
      </c>
      <c r="K247" s="1" t="s">
        <v>31</v>
      </c>
      <c r="M247" s="6"/>
    </row>
    <row r="248" spans="1:13" hidden="1" outlineLevel="1" x14ac:dyDescent="0.2">
      <c r="A248" s="93">
        <v>36373</v>
      </c>
      <c r="B248" s="86">
        <f>28127/0.975</f>
        <v>28848.205128205129</v>
      </c>
      <c r="C248" s="86">
        <v>30028.563128205129</v>
      </c>
      <c r="D248" s="86">
        <v>-1180.3579999999999</v>
      </c>
      <c r="E248" s="92">
        <f t="shared" si="41"/>
        <v>-1.2997748679873307</v>
      </c>
      <c r="F248" s="86">
        <f t="shared" si="42"/>
        <v>699.42700000000309</v>
      </c>
      <c r="G248" s="86">
        <v>90331.565000000002</v>
      </c>
      <c r="H248" s="6"/>
      <c r="I248" s="1" t="s">
        <v>50</v>
      </c>
      <c r="J248" s="1" t="s">
        <v>51</v>
      </c>
      <c r="K248" s="1" t="s">
        <v>31</v>
      </c>
      <c r="M248" s="6"/>
    </row>
    <row r="249" spans="1:13" hidden="1" outlineLevel="1" x14ac:dyDescent="0.2">
      <c r="A249" s="93">
        <v>36404</v>
      </c>
      <c r="B249" s="86">
        <f>27315/0.975</f>
        <v>28015.384615384617</v>
      </c>
      <c r="C249" s="86">
        <v>29295.568615384618</v>
      </c>
      <c r="D249" s="86">
        <v>-1280.184</v>
      </c>
      <c r="E249" s="92">
        <f t="shared" si="41"/>
        <v>-1.4172056024934363</v>
      </c>
      <c r="F249" s="86">
        <f t="shared" si="42"/>
        <v>658.97099999999659</v>
      </c>
      <c r="G249" s="86">
        <v>89710.351999999999</v>
      </c>
      <c r="H249" s="6"/>
      <c r="I249" s="1" t="s">
        <v>50</v>
      </c>
      <c r="J249" s="1" t="s">
        <v>51</v>
      </c>
      <c r="K249" s="1" t="s">
        <v>31</v>
      </c>
      <c r="M249" s="6"/>
    </row>
    <row r="250" spans="1:13" hidden="1" outlineLevel="1" x14ac:dyDescent="0.2">
      <c r="A250" s="93">
        <v>36434</v>
      </c>
      <c r="B250" s="86">
        <f>27279/0.975</f>
        <v>27978.461538461539</v>
      </c>
      <c r="C250" s="86">
        <v>28984.473538461538</v>
      </c>
      <c r="D250" s="86">
        <v>-1006.0119999999999</v>
      </c>
      <c r="E250" s="92">
        <f t="shared" si="41"/>
        <v>-1.1214001255953159</v>
      </c>
      <c r="F250" s="86">
        <f t="shared" si="42"/>
        <v>946.03900000000181</v>
      </c>
      <c r="G250" s="86">
        <v>89650.379000000001</v>
      </c>
      <c r="H250" s="6"/>
      <c r="I250" s="1" t="s">
        <v>50</v>
      </c>
      <c r="J250" s="1" t="s">
        <v>51</v>
      </c>
      <c r="K250" s="1" t="s">
        <v>31</v>
      </c>
      <c r="M250" s="6"/>
    </row>
    <row r="251" spans="1:13" hidden="1" outlineLevel="1" x14ac:dyDescent="0.2">
      <c r="A251" s="93">
        <v>36465</v>
      </c>
      <c r="B251" s="86">
        <f>31438/0.975</f>
        <v>32244.102564102566</v>
      </c>
      <c r="C251" s="86">
        <v>32504.509564102565</v>
      </c>
      <c r="D251" s="86">
        <v>-260.40699999999998</v>
      </c>
      <c r="E251" s="92">
        <f t="shared" si="41"/>
        <v>-0.29046949148982404</v>
      </c>
      <c r="F251" s="86">
        <f t="shared" si="42"/>
        <v>255.93599999999498</v>
      </c>
      <c r="G251" s="86">
        <v>89645.907999999996</v>
      </c>
      <c r="H251" s="6"/>
      <c r="I251" s="1" t="s">
        <v>50</v>
      </c>
      <c r="J251" s="1" t="s">
        <v>51</v>
      </c>
      <c r="K251" s="1" t="s">
        <v>31</v>
      </c>
      <c r="M251" s="6"/>
    </row>
    <row r="252" spans="1:13" hidden="1" outlineLevel="1" x14ac:dyDescent="0.2">
      <c r="A252" s="93">
        <v>36495</v>
      </c>
      <c r="B252" s="86">
        <f>37805.61/0.975</f>
        <v>38774.984615384616</v>
      </c>
      <c r="C252" s="86">
        <v>38593.177615384615</v>
      </c>
      <c r="D252" s="86">
        <v>181.80699999999999</v>
      </c>
      <c r="E252" s="92">
        <f t="shared" si="41"/>
        <v>0.20280568746093797</v>
      </c>
      <c r="F252" s="86">
        <f t="shared" si="42"/>
        <v>610.02500000000941</v>
      </c>
      <c r="G252" s="86">
        <v>90437.74</v>
      </c>
      <c r="H252" s="6"/>
      <c r="I252" s="1" t="s">
        <v>50</v>
      </c>
      <c r="J252" s="1" t="s">
        <v>51</v>
      </c>
      <c r="K252" s="1" t="s">
        <v>31</v>
      </c>
      <c r="M252" s="6"/>
    </row>
    <row r="253" spans="1:13" hidden="1" collapsed="1" x14ac:dyDescent="0.2">
      <c r="A253" s="83" t="s">
        <v>57</v>
      </c>
      <c r="B253" s="84">
        <f>SUM(B241:B252)</f>
        <v>333494.20512820513</v>
      </c>
      <c r="C253" s="84">
        <f>SUM(C241:C252)</f>
        <v>342234.40512820514</v>
      </c>
      <c r="D253" s="84">
        <f>SUM(D241:D252)</f>
        <v>-8740.1999999999989</v>
      </c>
      <c r="E253" s="91">
        <f>(D253/G240*100)</f>
        <v>-9.8716545979415073</v>
      </c>
      <c r="F253" s="84">
        <f>SUM(F241:F252)</f>
        <v>10639.591000000002</v>
      </c>
      <c r="G253" s="85">
        <f>G252</f>
        <v>90437.74</v>
      </c>
      <c r="I253" s="1" t="s">
        <v>50</v>
      </c>
      <c r="J253" s="1" t="s">
        <v>51</v>
      </c>
      <c r="K253" s="1" t="s">
        <v>31</v>
      </c>
    </row>
    <row r="254" spans="1:13" ht="20.100000000000001" hidden="1" customHeight="1" outlineLevel="1" x14ac:dyDescent="0.2">
      <c r="A254" s="93">
        <v>36526</v>
      </c>
      <c r="B254" s="86">
        <f>33374</f>
        <v>33374</v>
      </c>
      <c r="C254" s="86">
        <v>33020.072999999997</v>
      </c>
      <c r="D254" s="86">
        <v>353.92700000000002</v>
      </c>
      <c r="E254" s="92">
        <f t="shared" ref="E254:E265" si="43">D254/G253*100</f>
        <v>0.39134878868047784</v>
      </c>
      <c r="F254" s="86">
        <f>(G254-G252)-D254</f>
        <v>680.32399999998927</v>
      </c>
      <c r="G254" s="86">
        <v>91471.990999999995</v>
      </c>
      <c r="H254" s="6"/>
      <c r="I254" s="1" t="s">
        <v>50</v>
      </c>
      <c r="J254" s="1" t="s">
        <v>51</v>
      </c>
      <c r="K254" s="1" t="s">
        <v>31</v>
      </c>
      <c r="M254" s="6"/>
    </row>
    <row r="255" spans="1:13" hidden="1" outlineLevel="1" x14ac:dyDescent="0.2">
      <c r="A255" s="93">
        <v>36557</v>
      </c>
      <c r="B255" s="86">
        <f>33000</f>
        <v>33000</v>
      </c>
      <c r="C255" s="86">
        <v>34296.57</v>
      </c>
      <c r="D255" s="86">
        <v>-1296.57</v>
      </c>
      <c r="E255" s="92">
        <f t="shared" si="43"/>
        <v>-1.4174502881433948</v>
      </c>
      <c r="F255" s="86">
        <f t="shared" ref="F255:F265" si="44">(G255-G254-D255)</f>
        <v>641.87800000000448</v>
      </c>
      <c r="G255" s="86">
        <v>90817.298999999999</v>
      </c>
      <c r="H255" s="6"/>
      <c r="I255" s="1" t="s">
        <v>50</v>
      </c>
      <c r="J255" s="1" t="s">
        <v>51</v>
      </c>
      <c r="K255" s="1" t="s">
        <v>31</v>
      </c>
      <c r="M255" s="6"/>
    </row>
    <row r="256" spans="1:13" hidden="1" outlineLevel="1" x14ac:dyDescent="0.2">
      <c r="A256" s="93">
        <v>36586</v>
      </c>
      <c r="B256" s="86">
        <f>33443</f>
        <v>33443</v>
      </c>
      <c r="C256" s="86">
        <v>34613.972000000002</v>
      </c>
      <c r="D256" s="86">
        <v>-1170.972</v>
      </c>
      <c r="E256" s="92">
        <f t="shared" si="43"/>
        <v>-1.2893710921748509</v>
      </c>
      <c r="F256" s="86">
        <f t="shared" si="44"/>
        <v>565.13900000000126</v>
      </c>
      <c r="G256" s="86">
        <v>90211.466</v>
      </c>
      <c r="H256" s="6"/>
      <c r="I256" s="1" t="s">
        <v>50</v>
      </c>
      <c r="J256" s="1" t="s">
        <v>51</v>
      </c>
      <c r="K256" s="1" t="s">
        <v>31</v>
      </c>
      <c r="M256" s="6"/>
    </row>
    <row r="257" spans="1:13" hidden="1" outlineLevel="1" x14ac:dyDescent="0.2">
      <c r="A257" s="93">
        <v>36617</v>
      </c>
      <c r="B257" s="86">
        <f>30043</f>
        <v>30043</v>
      </c>
      <c r="C257" s="86">
        <v>30921.106</v>
      </c>
      <c r="D257" s="86">
        <v>-878.10599999999999</v>
      </c>
      <c r="E257" s="92">
        <f t="shared" si="43"/>
        <v>-0.97338624338507029</v>
      </c>
      <c r="F257" s="86">
        <f t="shared" si="44"/>
        <v>620.36900000000628</v>
      </c>
      <c r="G257" s="86">
        <v>89953.729000000007</v>
      </c>
      <c r="H257" s="6"/>
      <c r="I257" s="1" t="s">
        <v>50</v>
      </c>
      <c r="J257" s="1" t="s">
        <v>51</v>
      </c>
      <c r="K257" s="1" t="s">
        <v>31</v>
      </c>
      <c r="M257" s="6"/>
    </row>
    <row r="258" spans="1:13" hidden="1" outlineLevel="1" x14ac:dyDescent="0.2">
      <c r="A258" s="93">
        <v>36647</v>
      </c>
      <c r="B258" s="86">
        <f>32972</f>
        <v>32972</v>
      </c>
      <c r="C258" s="86">
        <v>34012.290999999997</v>
      </c>
      <c r="D258" s="86">
        <v>-1040.2909999999999</v>
      </c>
      <c r="E258" s="92">
        <f t="shared" si="43"/>
        <v>-1.1564734575928473</v>
      </c>
      <c r="F258" s="86">
        <f t="shared" si="44"/>
        <v>547.95400000000041</v>
      </c>
      <c r="G258" s="86">
        <v>89461.392000000007</v>
      </c>
      <c r="H258" s="6"/>
      <c r="I258" s="1" t="s">
        <v>50</v>
      </c>
      <c r="J258" s="1" t="s">
        <v>51</v>
      </c>
      <c r="K258" s="1" t="s">
        <v>31</v>
      </c>
      <c r="M258" s="6"/>
    </row>
    <row r="259" spans="1:13" hidden="1" outlineLevel="1" x14ac:dyDescent="0.2">
      <c r="A259" s="93">
        <v>36678</v>
      </c>
      <c r="B259" s="86">
        <f>32699.968</f>
        <v>32699.968000000001</v>
      </c>
      <c r="C259" s="86">
        <v>33126.968000000001</v>
      </c>
      <c r="D259" s="86">
        <v>-427</v>
      </c>
      <c r="E259" s="92">
        <f t="shared" si="43"/>
        <v>-0.47730086739540112</v>
      </c>
      <c r="F259" s="86">
        <f t="shared" si="44"/>
        <v>1030.804999999993</v>
      </c>
      <c r="G259" s="86">
        <v>90065.197</v>
      </c>
      <c r="H259" s="6"/>
      <c r="I259" s="1" t="s">
        <v>50</v>
      </c>
      <c r="J259" s="1" t="s">
        <v>51</v>
      </c>
      <c r="K259" s="1" t="s">
        <v>31</v>
      </c>
      <c r="M259" s="6"/>
    </row>
    <row r="260" spans="1:13" hidden="1" outlineLevel="1" x14ac:dyDescent="0.2">
      <c r="A260" s="93">
        <v>36708</v>
      </c>
      <c r="B260" s="86">
        <f>32793</f>
        <v>32793</v>
      </c>
      <c r="C260" s="86">
        <v>33486.317999999999</v>
      </c>
      <c r="D260" s="86">
        <v>-693.31799999999998</v>
      </c>
      <c r="E260" s="92">
        <f t="shared" si="43"/>
        <v>-0.76979568478598892</v>
      </c>
      <c r="F260" s="86">
        <f t="shared" si="44"/>
        <v>554.75500000000534</v>
      </c>
      <c r="G260" s="86">
        <v>89926.634000000005</v>
      </c>
      <c r="H260" s="6"/>
      <c r="I260" s="1" t="s">
        <v>50</v>
      </c>
      <c r="J260" s="1" t="s">
        <v>51</v>
      </c>
      <c r="K260" s="1" t="s">
        <v>31</v>
      </c>
      <c r="M260" s="6"/>
    </row>
    <row r="261" spans="1:13" hidden="1" outlineLevel="1" x14ac:dyDescent="0.2">
      <c r="A261" s="93">
        <v>36739</v>
      </c>
      <c r="B261" s="86">
        <f>35126</f>
        <v>35126</v>
      </c>
      <c r="C261" s="86">
        <v>35939.288999999997</v>
      </c>
      <c r="D261" s="86">
        <v>-813.28899999999999</v>
      </c>
      <c r="E261" s="92">
        <f t="shared" si="43"/>
        <v>-0.90439168444801343</v>
      </c>
      <c r="F261" s="86">
        <f t="shared" si="44"/>
        <v>590.7759999999937</v>
      </c>
      <c r="G261" s="86">
        <v>89704.120999999999</v>
      </c>
      <c r="H261" s="6"/>
      <c r="I261" s="1" t="s">
        <v>50</v>
      </c>
      <c r="J261" s="1" t="s">
        <v>51</v>
      </c>
      <c r="K261" s="1" t="s">
        <v>31</v>
      </c>
      <c r="M261" s="6"/>
    </row>
    <row r="262" spans="1:13" hidden="1" outlineLevel="1" x14ac:dyDescent="0.2">
      <c r="A262" s="93">
        <v>36770</v>
      </c>
      <c r="B262" s="86">
        <f>30980</f>
        <v>30980</v>
      </c>
      <c r="C262" s="86">
        <v>32576.870999999999</v>
      </c>
      <c r="D262" s="86">
        <v>-1596.8710000000001</v>
      </c>
      <c r="E262" s="92">
        <f t="shared" si="43"/>
        <v>-1.7801534446784224</v>
      </c>
      <c r="F262" s="86">
        <f t="shared" si="44"/>
        <v>541.10000000000673</v>
      </c>
      <c r="G262" s="86">
        <v>88648.35</v>
      </c>
      <c r="H262" s="6"/>
      <c r="I262" s="1" t="s">
        <v>50</v>
      </c>
      <c r="J262" s="1" t="s">
        <v>51</v>
      </c>
      <c r="K262" s="1" t="s">
        <v>31</v>
      </c>
      <c r="M262" s="6"/>
    </row>
    <row r="263" spans="1:13" hidden="1" outlineLevel="1" x14ac:dyDescent="0.2">
      <c r="A263" s="93">
        <v>36800</v>
      </c>
      <c r="B263" s="86">
        <f>31811</f>
        <v>31811</v>
      </c>
      <c r="C263" s="86">
        <v>32943.150999999998</v>
      </c>
      <c r="D263" s="86">
        <v>-1132.1510000000001</v>
      </c>
      <c r="E263" s="92">
        <f t="shared" si="43"/>
        <v>-1.2771258573904647</v>
      </c>
      <c r="F263" s="86">
        <f t="shared" si="44"/>
        <v>506.32799999999611</v>
      </c>
      <c r="G263" s="86">
        <v>88022.527000000002</v>
      </c>
      <c r="H263" s="6"/>
      <c r="I263" s="1" t="s">
        <v>50</v>
      </c>
      <c r="J263" s="1" t="s">
        <v>51</v>
      </c>
      <c r="K263" s="1" t="s">
        <v>31</v>
      </c>
      <c r="M263" s="6"/>
    </row>
    <row r="264" spans="1:13" hidden="1" outlineLevel="1" x14ac:dyDescent="0.2">
      <c r="A264" s="93">
        <v>36831</v>
      </c>
      <c r="B264" s="86">
        <f>38298</f>
        <v>38298</v>
      </c>
      <c r="C264" s="86">
        <v>38252.561999999998</v>
      </c>
      <c r="D264" s="86">
        <v>45.438000000000002</v>
      </c>
      <c r="E264" s="92">
        <f t="shared" si="43"/>
        <v>5.1620876551294652E-2</v>
      </c>
      <c r="F264" s="86">
        <f t="shared" si="44"/>
        <v>519.90499999999349</v>
      </c>
      <c r="G264" s="86">
        <v>88587.87</v>
      </c>
      <c r="H264" s="6"/>
      <c r="I264" s="1" t="s">
        <v>50</v>
      </c>
      <c r="J264" s="1" t="s">
        <v>51</v>
      </c>
      <c r="K264" s="1" t="s">
        <v>31</v>
      </c>
      <c r="M264" s="6"/>
    </row>
    <row r="265" spans="1:13" hidden="1" outlineLevel="1" x14ac:dyDescent="0.2">
      <c r="A265" s="93">
        <v>36861</v>
      </c>
      <c r="B265" s="86">
        <f>37597</f>
        <v>37597</v>
      </c>
      <c r="C265" s="86">
        <v>35303.760999999999</v>
      </c>
      <c r="D265" s="86">
        <v>2293.239</v>
      </c>
      <c r="E265" s="92">
        <f t="shared" si="43"/>
        <v>2.5886602759497435</v>
      </c>
      <c r="F265" s="86">
        <f t="shared" si="44"/>
        <v>549.34100000000171</v>
      </c>
      <c r="G265" s="86">
        <v>91430.45</v>
      </c>
      <c r="H265" s="6"/>
      <c r="I265" s="1" t="s">
        <v>50</v>
      </c>
      <c r="J265" s="1" t="s">
        <v>51</v>
      </c>
      <c r="K265" s="1" t="s">
        <v>31</v>
      </c>
      <c r="M265" s="6"/>
    </row>
    <row r="266" spans="1:13" hidden="1" collapsed="1" x14ac:dyDescent="0.2">
      <c r="A266" s="83" t="s">
        <v>58</v>
      </c>
      <c r="B266" s="84">
        <f>SUM(B254:B265)</f>
        <v>402136.96799999999</v>
      </c>
      <c r="C266" s="84">
        <f>SUM(C254:C265)</f>
        <v>408492.93199999997</v>
      </c>
      <c r="D266" s="84">
        <f>SUM(D254:D265)</f>
        <v>-6355.9639999999999</v>
      </c>
      <c r="E266" s="91">
        <f>(D266/G253*100)</f>
        <v>-7.0279995939748154</v>
      </c>
      <c r="F266" s="84">
        <f>SUM(F254:F265)</f>
        <v>7348.6739999999918</v>
      </c>
      <c r="G266" s="85">
        <f>G265</f>
        <v>91430.45</v>
      </c>
      <c r="I266" s="1" t="s">
        <v>50</v>
      </c>
      <c r="J266" s="1" t="s">
        <v>51</v>
      </c>
      <c r="K266" s="1" t="s">
        <v>31</v>
      </c>
    </row>
    <row r="267" spans="1:13" ht="20.100000000000001" hidden="1" customHeight="1" outlineLevel="1" x14ac:dyDescent="0.2">
      <c r="A267" s="93">
        <v>36892</v>
      </c>
      <c r="B267" s="86">
        <f>34190</f>
        <v>34190</v>
      </c>
      <c r="C267" s="86">
        <v>34688.358</v>
      </c>
      <c r="D267" s="86">
        <v>-498.358</v>
      </c>
      <c r="E267" s="92">
        <f t="shared" ref="E267:E278" si="45">D267/G266*100</f>
        <v>-0.54506786305875121</v>
      </c>
      <c r="F267" s="86">
        <f>(G267-G265)-D267</f>
        <v>518.06400000000554</v>
      </c>
      <c r="G267" s="86">
        <v>91450.156000000003</v>
      </c>
      <c r="H267" s="6"/>
      <c r="I267" s="1" t="s">
        <v>50</v>
      </c>
      <c r="J267" s="1" t="s">
        <v>51</v>
      </c>
      <c r="K267" s="1" t="s">
        <v>31</v>
      </c>
      <c r="M267" s="6"/>
    </row>
    <row r="268" spans="1:13" hidden="1" outlineLevel="1" x14ac:dyDescent="0.2">
      <c r="A268" s="93">
        <v>36923</v>
      </c>
      <c r="B268" s="86">
        <v>27918</v>
      </c>
      <c r="C268" s="86">
        <v>28207.544000000002</v>
      </c>
      <c r="D268" s="86">
        <v>-289.54399999999998</v>
      </c>
      <c r="E268" s="92">
        <f t="shared" si="45"/>
        <v>-0.31661400337031681</v>
      </c>
      <c r="F268" s="86">
        <f t="shared" ref="F268:F278" si="46">(G268-G267-D268)</f>
        <v>546.95000000000266</v>
      </c>
      <c r="G268" s="86">
        <v>91707.562000000005</v>
      </c>
      <c r="H268" s="6"/>
      <c r="I268" s="1" t="s">
        <v>50</v>
      </c>
      <c r="J268" s="1" t="s">
        <v>51</v>
      </c>
      <c r="K268" s="1" t="s">
        <v>31</v>
      </c>
      <c r="M268" s="6"/>
    </row>
    <row r="269" spans="1:13" hidden="1" outlineLevel="1" x14ac:dyDescent="0.2">
      <c r="A269" s="93">
        <v>36951</v>
      </c>
      <c r="B269" s="86">
        <v>30922</v>
      </c>
      <c r="C269" s="86">
        <v>32033.683000000001</v>
      </c>
      <c r="D269" s="86">
        <v>-1111.683</v>
      </c>
      <c r="E269" s="92">
        <f t="shared" si="45"/>
        <v>-1.2122042891075875</v>
      </c>
      <c r="F269" s="86">
        <f t="shared" si="46"/>
        <v>471.53699999999208</v>
      </c>
      <c r="G269" s="86">
        <v>91067.415999999997</v>
      </c>
      <c r="H269" s="6"/>
      <c r="I269" s="1" t="s">
        <v>50</v>
      </c>
      <c r="J269" s="1" t="s">
        <v>51</v>
      </c>
      <c r="K269" s="1" t="s">
        <v>31</v>
      </c>
      <c r="M269" s="6"/>
    </row>
    <row r="270" spans="1:13" hidden="1" outlineLevel="1" x14ac:dyDescent="0.2">
      <c r="A270" s="93">
        <v>36982</v>
      </c>
      <c r="B270" s="86">
        <v>31200</v>
      </c>
      <c r="C270" s="86">
        <v>31824.127</v>
      </c>
      <c r="D270" s="86">
        <v>-624.12699999999995</v>
      </c>
      <c r="E270" s="92">
        <f t="shared" si="45"/>
        <v>-0.68534611764980791</v>
      </c>
      <c r="F270" s="86">
        <f t="shared" si="46"/>
        <v>439.8430000000003</v>
      </c>
      <c r="G270" s="86">
        <v>90883.131999999998</v>
      </c>
      <c r="H270" s="6"/>
      <c r="I270" s="1" t="s">
        <v>50</v>
      </c>
      <c r="J270" s="1" t="s">
        <v>51</v>
      </c>
      <c r="K270" s="1" t="s">
        <v>31</v>
      </c>
      <c r="M270" s="6"/>
    </row>
    <row r="271" spans="1:13" hidden="1" outlineLevel="1" x14ac:dyDescent="0.2">
      <c r="A271" s="93">
        <v>37012</v>
      </c>
      <c r="B271" s="86">
        <v>33282</v>
      </c>
      <c r="C271" s="86">
        <v>33039.281999999999</v>
      </c>
      <c r="D271" s="86">
        <v>242.71799999999999</v>
      </c>
      <c r="E271" s="92">
        <f t="shared" si="45"/>
        <v>0.26706606017935208</v>
      </c>
      <c r="F271" s="86">
        <f t="shared" si="46"/>
        <v>570.53899999999783</v>
      </c>
      <c r="G271" s="86">
        <v>91696.388999999996</v>
      </c>
      <c r="H271" s="6"/>
      <c r="I271" s="1" t="s">
        <v>50</v>
      </c>
      <c r="J271" s="1" t="s">
        <v>51</v>
      </c>
      <c r="K271" s="1" t="s">
        <v>31</v>
      </c>
      <c r="M271" s="6"/>
    </row>
    <row r="272" spans="1:13" hidden="1" outlineLevel="1" x14ac:dyDescent="0.2">
      <c r="A272" s="93">
        <v>37043</v>
      </c>
      <c r="B272" s="86">
        <v>32632</v>
      </c>
      <c r="C272" s="86">
        <v>32368.66</v>
      </c>
      <c r="D272" s="86">
        <v>263.33999999999997</v>
      </c>
      <c r="E272" s="92">
        <f t="shared" si="45"/>
        <v>0.28718688148123256</v>
      </c>
      <c r="F272" s="86">
        <f t="shared" si="46"/>
        <v>618.10800000000404</v>
      </c>
      <c r="G272" s="86">
        <v>92577.837</v>
      </c>
      <c r="H272" s="6"/>
      <c r="I272" s="1" t="s">
        <v>50</v>
      </c>
      <c r="J272" s="1" t="s">
        <v>51</v>
      </c>
      <c r="K272" s="1" t="s">
        <v>31</v>
      </c>
      <c r="M272" s="6"/>
    </row>
    <row r="273" spans="1:13" hidden="1" outlineLevel="1" x14ac:dyDescent="0.2">
      <c r="A273" s="93">
        <v>37073</v>
      </c>
      <c r="B273" s="86">
        <v>35087</v>
      </c>
      <c r="C273" s="86">
        <v>35454.936999999998</v>
      </c>
      <c r="D273" s="86">
        <v>-367.93700000000001</v>
      </c>
      <c r="E273" s="92">
        <f t="shared" si="45"/>
        <v>-0.39743529544765666</v>
      </c>
      <c r="F273" s="86">
        <f t="shared" si="46"/>
        <v>568.67700000000525</v>
      </c>
      <c r="G273" s="86">
        <v>92778.577000000005</v>
      </c>
      <c r="H273" s="6"/>
      <c r="I273" s="1" t="s">
        <v>50</v>
      </c>
      <c r="J273" s="1" t="s">
        <v>51</v>
      </c>
      <c r="K273" s="1" t="s">
        <v>31</v>
      </c>
      <c r="M273" s="6"/>
    </row>
    <row r="274" spans="1:13" hidden="1" outlineLevel="1" x14ac:dyDescent="0.2">
      <c r="A274" s="93">
        <v>37104</v>
      </c>
      <c r="B274" s="86">
        <v>34843</v>
      </c>
      <c r="C274" s="86">
        <v>35347.392</v>
      </c>
      <c r="D274" s="86">
        <v>-504.392</v>
      </c>
      <c r="E274" s="92">
        <f t="shared" si="45"/>
        <v>-0.54365136468950159</v>
      </c>
      <c r="F274" s="86">
        <f t="shared" si="46"/>
        <v>694.35499999998888</v>
      </c>
      <c r="G274" s="86">
        <v>92968.54</v>
      </c>
      <c r="H274" s="6"/>
      <c r="I274" s="1" t="s">
        <v>50</v>
      </c>
      <c r="J274" s="1" t="s">
        <v>51</v>
      </c>
      <c r="K274" s="1" t="s">
        <v>31</v>
      </c>
      <c r="M274" s="6"/>
    </row>
    <row r="275" spans="1:13" hidden="1" outlineLevel="1" x14ac:dyDescent="0.2">
      <c r="A275" s="93">
        <v>37135</v>
      </c>
      <c r="B275" s="86">
        <v>31530</v>
      </c>
      <c r="C275" s="86">
        <v>31833.545999999998</v>
      </c>
      <c r="D275" s="86">
        <v>-303.54599999999999</v>
      </c>
      <c r="E275" s="92">
        <f t="shared" si="45"/>
        <v>-0.32650399801911489</v>
      </c>
      <c r="F275" s="86">
        <f t="shared" si="46"/>
        <v>689.79300000000308</v>
      </c>
      <c r="G275" s="86">
        <v>93354.786999999997</v>
      </c>
      <c r="H275" s="6"/>
      <c r="I275" s="1" t="s">
        <v>50</v>
      </c>
      <c r="J275" s="1" t="s">
        <v>51</v>
      </c>
      <c r="K275" s="1" t="s">
        <v>31</v>
      </c>
      <c r="M275" s="6"/>
    </row>
    <row r="276" spans="1:13" hidden="1" outlineLevel="1" x14ac:dyDescent="0.2">
      <c r="A276" s="93">
        <v>37165</v>
      </c>
      <c r="B276" s="86">
        <v>35852</v>
      </c>
      <c r="C276" s="86">
        <v>36097.413999999997</v>
      </c>
      <c r="D276" s="86">
        <v>-245.41399999999999</v>
      </c>
      <c r="E276" s="92">
        <f t="shared" si="45"/>
        <v>-0.2628831449211062</v>
      </c>
      <c r="F276" s="86">
        <f t="shared" si="46"/>
        <v>625.10299999999847</v>
      </c>
      <c r="G276" s="86">
        <v>93734.475999999995</v>
      </c>
      <c r="H276" s="6"/>
      <c r="I276" s="1" t="s">
        <v>50</v>
      </c>
      <c r="J276" s="1" t="s">
        <v>51</v>
      </c>
      <c r="K276" s="1" t="s">
        <v>31</v>
      </c>
      <c r="M276" s="6"/>
    </row>
    <row r="277" spans="1:13" hidden="1" outlineLevel="1" x14ac:dyDescent="0.2">
      <c r="A277" s="93">
        <v>37196</v>
      </c>
      <c r="B277" s="86">
        <v>35801.421999999999</v>
      </c>
      <c r="C277" s="86">
        <v>35128.203000000001</v>
      </c>
      <c r="D277" s="86">
        <v>673.21900000000005</v>
      </c>
      <c r="E277" s="92">
        <f t="shared" si="45"/>
        <v>0.71821919610453688</v>
      </c>
      <c r="F277" s="86">
        <f t="shared" si="46"/>
        <v>656.13699999999972</v>
      </c>
      <c r="G277" s="86">
        <v>95063.831999999995</v>
      </c>
      <c r="H277" s="6"/>
      <c r="I277" s="1" t="s">
        <v>50</v>
      </c>
      <c r="J277" s="1" t="s">
        <v>51</v>
      </c>
      <c r="K277" s="1" t="s">
        <v>31</v>
      </c>
      <c r="M277" s="6"/>
    </row>
    <row r="278" spans="1:13" hidden="1" outlineLevel="1" x14ac:dyDescent="0.2">
      <c r="A278" s="93">
        <v>37226</v>
      </c>
      <c r="B278" s="86">
        <v>42930.474000000002</v>
      </c>
      <c r="C278" s="86">
        <v>41484.131000000001</v>
      </c>
      <c r="D278" s="86">
        <v>1446.3430000000001</v>
      </c>
      <c r="E278" s="92">
        <f t="shared" si="45"/>
        <v>1.5214440335205508</v>
      </c>
      <c r="F278" s="86">
        <f t="shared" si="46"/>
        <v>636.07500000000505</v>
      </c>
      <c r="G278" s="86">
        <v>97146.25</v>
      </c>
      <c r="H278" s="6"/>
      <c r="I278" s="1" t="s">
        <v>50</v>
      </c>
      <c r="J278" s="1" t="s">
        <v>51</v>
      </c>
      <c r="K278" s="1" t="s">
        <v>31</v>
      </c>
      <c r="M278" s="6"/>
    </row>
    <row r="279" spans="1:13" hidden="1" collapsed="1" x14ac:dyDescent="0.2">
      <c r="A279" s="83" t="s">
        <v>59</v>
      </c>
      <c r="B279" s="84">
        <f>SUM(B267:B278)</f>
        <v>406187.89600000001</v>
      </c>
      <c r="C279" s="84">
        <f>SUM(C267:C278)</f>
        <v>407507.27699999994</v>
      </c>
      <c r="D279" s="84">
        <f>SUM(D267:D278)</f>
        <v>-1319.3810000000001</v>
      </c>
      <c r="E279" s="91">
        <f>(D279/G266*100)</f>
        <v>-1.4430433187193108</v>
      </c>
      <c r="F279" s="84">
        <f>SUM(F267:F278)</f>
        <v>7035.1810000000032</v>
      </c>
      <c r="G279" s="85">
        <f>G278</f>
        <v>97146.25</v>
      </c>
      <c r="I279" s="1" t="s">
        <v>50</v>
      </c>
      <c r="J279" s="1" t="s">
        <v>51</v>
      </c>
      <c r="K279" s="1" t="s">
        <v>31</v>
      </c>
    </row>
    <row r="280" spans="1:13" ht="20.100000000000001" hidden="1" customHeight="1" outlineLevel="1" x14ac:dyDescent="0.2">
      <c r="A280" s="93">
        <v>37257</v>
      </c>
      <c r="B280" s="86">
        <v>38795.783000000003</v>
      </c>
      <c r="C280" s="86">
        <v>39733.161</v>
      </c>
      <c r="D280" s="86">
        <v>-937.37800000000004</v>
      </c>
      <c r="E280" s="92">
        <f t="shared" ref="E280:E291" si="47">D280/G279*100</f>
        <v>-0.9649142401276426</v>
      </c>
      <c r="F280" s="86">
        <f>(G280-G278)-D280</f>
        <v>638.11400000000447</v>
      </c>
      <c r="G280" s="86">
        <v>96846.986000000004</v>
      </c>
      <c r="H280" s="6"/>
      <c r="I280" s="1" t="s">
        <v>50</v>
      </c>
      <c r="J280" s="1" t="s">
        <v>51</v>
      </c>
      <c r="K280" s="1" t="s">
        <v>31</v>
      </c>
      <c r="M280" s="6"/>
    </row>
    <row r="281" spans="1:13" hidden="1" outlineLevel="1" x14ac:dyDescent="0.2">
      <c r="A281" s="93">
        <v>37288</v>
      </c>
      <c r="B281" s="86">
        <v>33976.796000000002</v>
      </c>
      <c r="C281" s="86">
        <v>34118.173000000003</v>
      </c>
      <c r="D281" s="86">
        <v>-141.37700000000001</v>
      </c>
      <c r="E281" s="92">
        <f t="shared" si="47"/>
        <v>-0.14597976234386892</v>
      </c>
      <c r="F281" s="86">
        <f t="shared" ref="F281:F291" si="48">(G281-G280-D281)</f>
        <v>656.13500000000158</v>
      </c>
      <c r="G281" s="86">
        <v>97361.744000000006</v>
      </c>
      <c r="H281" s="6"/>
      <c r="I281" s="1" t="s">
        <v>50</v>
      </c>
      <c r="J281" s="1" t="s">
        <v>51</v>
      </c>
      <c r="K281" s="1" t="s">
        <v>31</v>
      </c>
      <c r="M281" s="6"/>
    </row>
    <row r="282" spans="1:13" hidden="1" outlineLevel="1" x14ac:dyDescent="0.2">
      <c r="A282" s="93">
        <v>37316</v>
      </c>
      <c r="B282" s="86">
        <v>35304.817999999999</v>
      </c>
      <c r="C282" s="86">
        <v>35697.910000000003</v>
      </c>
      <c r="D282" s="86">
        <v>-393.09199999999998</v>
      </c>
      <c r="E282" s="92">
        <f t="shared" si="47"/>
        <v>-0.40374379489340284</v>
      </c>
      <c r="F282" s="86">
        <f t="shared" si="48"/>
        <v>594.78799999999626</v>
      </c>
      <c r="G282" s="86">
        <v>97563.44</v>
      </c>
      <c r="H282" s="6"/>
      <c r="I282" s="1" t="s">
        <v>50</v>
      </c>
      <c r="J282" s="1" t="s">
        <v>51</v>
      </c>
      <c r="K282" s="1" t="s">
        <v>31</v>
      </c>
      <c r="M282" s="6"/>
    </row>
    <row r="283" spans="1:13" hidden="1" outlineLevel="1" x14ac:dyDescent="0.2">
      <c r="A283" s="93">
        <v>37347</v>
      </c>
      <c r="B283" s="86">
        <v>37753.654999999999</v>
      </c>
      <c r="C283" s="86">
        <v>38725.851999999999</v>
      </c>
      <c r="D283" s="86">
        <v>-972.197</v>
      </c>
      <c r="E283" s="92">
        <f t="shared" si="47"/>
        <v>-0.99647675399719393</v>
      </c>
      <c r="F283" s="86">
        <f t="shared" si="48"/>
        <v>629.3899999999993</v>
      </c>
      <c r="G283" s="86">
        <v>97220.633000000002</v>
      </c>
      <c r="H283" s="6"/>
      <c r="I283" s="1" t="s">
        <v>50</v>
      </c>
      <c r="J283" s="1" t="s">
        <v>51</v>
      </c>
      <c r="K283" s="1" t="s">
        <v>31</v>
      </c>
      <c r="M283" s="6"/>
    </row>
    <row r="284" spans="1:13" hidden="1" outlineLevel="1" x14ac:dyDescent="0.2">
      <c r="A284" s="93">
        <v>37377</v>
      </c>
      <c r="B284" s="86">
        <v>37375.417000000001</v>
      </c>
      <c r="C284" s="86">
        <v>37538.434000000001</v>
      </c>
      <c r="D284" s="86">
        <v>-163.017</v>
      </c>
      <c r="E284" s="92">
        <f t="shared" si="47"/>
        <v>-0.1676773694736178</v>
      </c>
      <c r="F284" s="86">
        <f t="shared" si="48"/>
        <v>638.85900000000424</v>
      </c>
      <c r="G284" s="86">
        <v>97696.475000000006</v>
      </c>
      <c r="H284" s="6"/>
      <c r="I284" s="1" t="s">
        <v>50</v>
      </c>
      <c r="J284" s="1" t="s">
        <v>51</v>
      </c>
      <c r="K284" s="1" t="s">
        <v>31</v>
      </c>
      <c r="M284" s="6"/>
    </row>
    <row r="285" spans="1:13" hidden="1" outlineLevel="1" x14ac:dyDescent="0.2">
      <c r="A285" s="93">
        <v>37408</v>
      </c>
      <c r="B285" s="86">
        <v>39885.163</v>
      </c>
      <c r="C285" s="86">
        <v>35456.578999999998</v>
      </c>
      <c r="D285" s="86">
        <v>4428.5839999999998</v>
      </c>
      <c r="E285" s="92">
        <f t="shared" si="47"/>
        <v>4.5330028539924285</v>
      </c>
      <c r="F285" s="86">
        <f t="shared" si="48"/>
        <v>607.47899999999481</v>
      </c>
      <c r="G285" s="86">
        <v>102732.538</v>
      </c>
      <c r="H285" s="6"/>
      <c r="I285" s="1" t="s">
        <v>50</v>
      </c>
      <c r="J285" s="1" t="s">
        <v>51</v>
      </c>
      <c r="K285" s="1" t="s">
        <v>31</v>
      </c>
      <c r="M285" s="6"/>
    </row>
    <row r="286" spans="1:13" hidden="1" outlineLevel="1" x14ac:dyDescent="0.2">
      <c r="A286" s="93">
        <v>37438</v>
      </c>
      <c r="B286" s="86">
        <v>42979.249000000003</v>
      </c>
      <c r="C286" s="86">
        <v>40440.038</v>
      </c>
      <c r="D286" s="86">
        <v>2539.2109999999998</v>
      </c>
      <c r="E286" s="92">
        <f t="shared" si="47"/>
        <v>2.4716716333825994</v>
      </c>
      <c r="F286" s="86">
        <f t="shared" si="48"/>
        <v>662.95099999999684</v>
      </c>
      <c r="G286" s="86">
        <v>105934.7</v>
      </c>
      <c r="H286" s="6"/>
      <c r="I286" s="1" t="s">
        <v>50</v>
      </c>
      <c r="J286" s="1" t="s">
        <v>51</v>
      </c>
      <c r="K286" s="1" t="s">
        <v>31</v>
      </c>
      <c r="M286" s="6"/>
    </row>
    <row r="287" spans="1:13" hidden="1" outlineLevel="1" x14ac:dyDescent="0.2">
      <c r="A287" s="93">
        <v>37469</v>
      </c>
      <c r="B287" s="86">
        <v>42015.11</v>
      </c>
      <c r="C287" s="86">
        <v>39437.980000000003</v>
      </c>
      <c r="D287" s="86">
        <v>2577.13</v>
      </c>
      <c r="E287" s="92">
        <f t="shared" si="47"/>
        <v>2.4327533848682257</v>
      </c>
      <c r="F287" s="86">
        <f t="shared" si="48"/>
        <v>744.7840000000042</v>
      </c>
      <c r="G287" s="86">
        <v>109256.614</v>
      </c>
      <c r="H287" s="6"/>
      <c r="I287" s="1" t="s">
        <v>50</v>
      </c>
      <c r="J287" s="1" t="s">
        <v>51</v>
      </c>
      <c r="K287" s="1" t="s">
        <v>31</v>
      </c>
      <c r="M287" s="6"/>
    </row>
    <row r="288" spans="1:13" hidden="1" outlineLevel="1" x14ac:dyDescent="0.2">
      <c r="A288" s="93">
        <v>37500</v>
      </c>
      <c r="B288" s="86">
        <v>40641.315000000002</v>
      </c>
      <c r="C288" s="86">
        <v>39830.51</v>
      </c>
      <c r="D288" s="86">
        <v>810.80499999999995</v>
      </c>
      <c r="E288" s="92">
        <f t="shared" si="47"/>
        <v>0.74211067899285243</v>
      </c>
      <c r="F288" s="86">
        <f t="shared" si="48"/>
        <v>741.59000000000412</v>
      </c>
      <c r="G288" s="86">
        <v>110809.00900000001</v>
      </c>
      <c r="H288" s="6"/>
      <c r="I288" s="1" t="s">
        <v>50</v>
      </c>
      <c r="J288" s="1" t="s">
        <v>51</v>
      </c>
      <c r="K288" s="1" t="s">
        <v>31</v>
      </c>
      <c r="M288" s="6"/>
    </row>
    <row r="289" spans="1:13" hidden="1" outlineLevel="1" x14ac:dyDescent="0.2">
      <c r="A289" s="93">
        <v>37530</v>
      </c>
      <c r="B289" s="86">
        <v>42626.517999999996</v>
      </c>
      <c r="C289" s="86">
        <v>42962.676999999996</v>
      </c>
      <c r="D289" s="86">
        <v>-336.15899999999999</v>
      </c>
      <c r="E289" s="92">
        <f t="shared" si="47"/>
        <v>-0.30336793283658009</v>
      </c>
      <c r="F289" s="86">
        <f t="shared" si="48"/>
        <v>729.69599999999662</v>
      </c>
      <c r="G289" s="86">
        <v>111202.546</v>
      </c>
      <c r="H289" s="6"/>
      <c r="I289" s="1" t="s">
        <v>50</v>
      </c>
      <c r="J289" s="1" t="s">
        <v>51</v>
      </c>
      <c r="K289" s="1" t="s">
        <v>31</v>
      </c>
      <c r="M289" s="6"/>
    </row>
    <row r="290" spans="1:13" hidden="1" outlineLevel="1" x14ac:dyDescent="0.2">
      <c r="A290" s="93">
        <v>37561</v>
      </c>
      <c r="B290" s="86">
        <v>40335.173999999999</v>
      </c>
      <c r="C290" s="86">
        <v>40409.627</v>
      </c>
      <c r="D290" s="86">
        <v>-74.453000000000003</v>
      </c>
      <c r="E290" s="92">
        <f t="shared" si="47"/>
        <v>-6.6952603765025306E-2</v>
      </c>
      <c r="F290" s="86">
        <f t="shared" si="48"/>
        <v>804.99399999999741</v>
      </c>
      <c r="G290" s="86">
        <v>111933.087</v>
      </c>
      <c r="H290" s="6"/>
      <c r="I290" s="1" t="s">
        <v>50</v>
      </c>
      <c r="J290" s="1" t="s">
        <v>51</v>
      </c>
      <c r="K290" s="1" t="s">
        <v>31</v>
      </c>
      <c r="M290" s="6"/>
    </row>
    <row r="291" spans="1:13" hidden="1" outlineLevel="1" x14ac:dyDescent="0.2">
      <c r="A291" s="93">
        <v>37591</v>
      </c>
      <c r="B291" s="86">
        <v>50270.436999999998</v>
      </c>
      <c r="C291" s="86">
        <v>50600.212</v>
      </c>
      <c r="D291" s="86">
        <v>-329.77499999999998</v>
      </c>
      <c r="E291" s="92">
        <f t="shared" si="47"/>
        <v>-0.29461798011520934</v>
      </c>
      <c r="F291" s="86">
        <f t="shared" si="48"/>
        <v>820.13200000000359</v>
      </c>
      <c r="G291" s="86">
        <v>112423.444</v>
      </c>
      <c r="H291" s="6"/>
      <c r="I291" s="1" t="s">
        <v>50</v>
      </c>
      <c r="J291" s="1" t="s">
        <v>51</v>
      </c>
      <c r="K291" s="1" t="s">
        <v>31</v>
      </c>
      <c r="M291" s="6"/>
    </row>
    <row r="292" spans="1:13" hidden="1" collapsed="1" x14ac:dyDescent="0.2">
      <c r="A292" s="83" t="s">
        <v>60</v>
      </c>
      <c r="B292" s="84">
        <f>SUM(B280:B291)</f>
        <v>481959.43499999994</v>
      </c>
      <c r="C292" s="84">
        <f>SUM(C280:C291)</f>
        <v>474951.15299999999</v>
      </c>
      <c r="D292" s="84">
        <f>SUM(D280:D291)</f>
        <v>7008.2820000000002</v>
      </c>
      <c r="E292" s="91">
        <f>(D292/G279*100)</f>
        <v>7.2141559761699501</v>
      </c>
      <c r="F292" s="84">
        <f>SUM(F280:F291)</f>
        <v>8268.9120000000039</v>
      </c>
      <c r="G292" s="85">
        <f>G291</f>
        <v>112423.444</v>
      </c>
      <c r="I292" s="1" t="s">
        <v>50</v>
      </c>
      <c r="J292" s="1" t="s">
        <v>51</v>
      </c>
      <c r="K292" s="1" t="s">
        <v>31</v>
      </c>
    </row>
    <row r="293" spans="1:13" ht="20.100000000000001" hidden="1" customHeight="1" outlineLevel="1" x14ac:dyDescent="0.2">
      <c r="A293" s="93">
        <v>37622</v>
      </c>
      <c r="B293" s="86">
        <v>42350</v>
      </c>
      <c r="C293" s="86">
        <f t="shared" ref="C293:C304" si="49">B293-D293</f>
        <v>43353.438000000002</v>
      </c>
      <c r="D293" s="86">
        <v>-1003.438</v>
      </c>
      <c r="E293" s="92">
        <f t="shared" ref="E293:E304" si="50">D293/G292*100</f>
        <v>-0.89255226872430626</v>
      </c>
      <c r="F293" s="86">
        <f>(G293-G291-D293)</f>
        <v>897.27499999999952</v>
      </c>
      <c r="G293" s="86">
        <v>112317.281</v>
      </c>
      <c r="H293" s="6"/>
      <c r="I293" s="1" t="s">
        <v>50</v>
      </c>
      <c r="J293" s="1" t="s">
        <v>51</v>
      </c>
      <c r="K293" s="1" t="s">
        <v>31</v>
      </c>
      <c r="M293" s="6"/>
    </row>
    <row r="294" spans="1:13" hidden="1" outlineLevel="1" x14ac:dyDescent="0.2">
      <c r="A294" s="93">
        <v>37653</v>
      </c>
      <c r="B294" s="86">
        <v>40250</v>
      </c>
      <c r="C294" s="86">
        <f t="shared" si="49"/>
        <v>41415.648000000001</v>
      </c>
      <c r="D294" s="86">
        <v>-1165.6479999999999</v>
      </c>
      <c r="E294" s="92">
        <f t="shared" si="50"/>
        <v>-1.0378171458762431</v>
      </c>
      <c r="F294" s="86">
        <f t="shared" ref="F294:F304" si="51">(G294-G293-D294)</f>
        <v>1015.3809999999928</v>
      </c>
      <c r="G294" s="86">
        <v>112167.014</v>
      </c>
      <c r="H294" s="6"/>
      <c r="I294" s="1" t="s">
        <v>50</v>
      </c>
      <c r="J294" s="1" t="s">
        <v>51</v>
      </c>
      <c r="K294" s="1" t="s">
        <v>31</v>
      </c>
      <c r="M294" s="6"/>
    </row>
    <row r="295" spans="1:13" hidden="1" outlineLevel="1" x14ac:dyDescent="0.2">
      <c r="A295" s="93">
        <v>37681</v>
      </c>
      <c r="B295" s="86">
        <v>38188.510999999999</v>
      </c>
      <c r="C295" s="86">
        <f t="shared" si="49"/>
        <v>40108.902000000002</v>
      </c>
      <c r="D295" s="86">
        <v>-1920.3910000000001</v>
      </c>
      <c r="E295" s="92">
        <f t="shared" si="50"/>
        <v>-1.7120817712059269</v>
      </c>
      <c r="F295" s="86">
        <f t="shared" si="51"/>
        <v>893.93700000000217</v>
      </c>
      <c r="G295" s="86">
        <v>111140.56</v>
      </c>
      <c r="H295" s="6"/>
      <c r="I295" s="1" t="s">
        <v>50</v>
      </c>
      <c r="J295" s="1" t="s">
        <v>51</v>
      </c>
      <c r="K295" s="1" t="s">
        <v>31</v>
      </c>
      <c r="M295" s="6"/>
    </row>
    <row r="296" spans="1:13" hidden="1" outlineLevel="1" x14ac:dyDescent="0.2">
      <c r="A296" s="93">
        <v>37712</v>
      </c>
      <c r="B296" s="86">
        <v>39626</v>
      </c>
      <c r="C296" s="86">
        <f t="shared" si="49"/>
        <v>41426.322999999997</v>
      </c>
      <c r="D296" s="86">
        <v>-1800.3230000000001</v>
      </c>
      <c r="E296" s="92">
        <f t="shared" si="50"/>
        <v>-1.6198613719419805</v>
      </c>
      <c r="F296" s="86">
        <f t="shared" si="51"/>
        <v>1012.2070000000056</v>
      </c>
      <c r="G296" s="86">
        <v>110352.444</v>
      </c>
      <c r="H296" s="6"/>
      <c r="I296" s="1" t="s">
        <v>50</v>
      </c>
      <c r="J296" s="1" t="s">
        <v>51</v>
      </c>
      <c r="K296" s="1" t="s">
        <v>31</v>
      </c>
      <c r="M296" s="6"/>
    </row>
    <row r="297" spans="1:13" hidden="1" outlineLevel="1" x14ac:dyDescent="0.2">
      <c r="A297" s="93">
        <v>37742</v>
      </c>
      <c r="B297" s="86">
        <v>41674</v>
      </c>
      <c r="C297" s="86">
        <f t="shared" si="49"/>
        <v>42900.597000000002</v>
      </c>
      <c r="D297" s="86">
        <v>-1226.597</v>
      </c>
      <c r="E297" s="92">
        <f t="shared" si="50"/>
        <v>-1.1115268095013826</v>
      </c>
      <c r="F297" s="86">
        <f t="shared" si="51"/>
        <v>906.32100000000196</v>
      </c>
      <c r="G297" s="86">
        <v>110032.16800000001</v>
      </c>
      <c r="H297" s="6"/>
      <c r="I297" s="1" t="s">
        <v>50</v>
      </c>
      <c r="J297" s="1" t="s">
        <v>51</v>
      </c>
      <c r="K297" s="1" t="s">
        <v>31</v>
      </c>
      <c r="M297" s="6"/>
    </row>
    <row r="298" spans="1:13" hidden="1" outlineLevel="1" x14ac:dyDescent="0.2">
      <c r="A298" s="93">
        <v>37773</v>
      </c>
      <c r="B298" s="86">
        <v>41233</v>
      </c>
      <c r="C298" s="86">
        <f t="shared" si="49"/>
        <v>42245.622000000003</v>
      </c>
      <c r="D298" s="86">
        <v>-1012.622</v>
      </c>
      <c r="E298" s="92">
        <f t="shared" si="50"/>
        <v>-0.92029632643428405</v>
      </c>
      <c r="F298" s="86">
        <f t="shared" si="51"/>
        <v>1012.4019999999988</v>
      </c>
      <c r="G298" s="86">
        <v>110031.948</v>
      </c>
      <c r="H298" s="6"/>
      <c r="I298" s="1" t="s">
        <v>50</v>
      </c>
      <c r="J298" s="1" t="s">
        <v>51</v>
      </c>
      <c r="K298" s="1" t="s">
        <v>31</v>
      </c>
      <c r="M298" s="6"/>
    </row>
    <row r="299" spans="1:13" hidden="1" outlineLevel="1" x14ac:dyDescent="0.2">
      <c r="A299" s="93">
        <v>37803</v>
      </c>
      <c r="B299" s="86">
        <v>44316</v>
      </c>
      <c r="C299" s="86">
        <f t="shared" si="49"/>
        <v>44816.427000000003</v>
      </c>
      <c r="D299" s="86">
        <v>-500.42700000000002</v>
      </c>
      <c r="E299" s="92">
        <f t="shared" si="50"/>
        <v>-0.45480154545659779</v>
      </c>
      <c r="F299" s="86">
        <f t="shared" si="51"/>
        <v>983.41099999999676</v>
      </c>
      <c r="G299" s="86">
        <v>110514.932</v>
      </c>
      <c r="H299" s="6"/>
      <c r="I299" s="1" t="s">
        <v>50</v>
      </c>
      <c r="J299" s="1" t="s">
        <v>51</v>
      </c>
      <c r="K299" s="1" t="s">
        <v>31</v>
      </c>
      <c r="M299" s="6"/>
    </row>
    <row r="300" spans="1:13" hidden="1" outlineLevel="1" x14ac:dyDescent="0.2">
      <c r="A300" s="93">
        <v>37834</v>
      </c>
      <c r="B300" s="86">
        <v>41120</v>
      </c>
      <c r="C300" s="86">
        <f t="shared" si="49"/>
        <v>41581.872000000003</v>
      </c>
      <c r="D300" s="86">
        <v>-461.87200000000001</v>
      </c>
      <c r="E300" s="92">
        <f t="shared" si="50"/>
        <v>-0.41792723538933185</v>
      </c>
      <c r="F300" s="86">
        <f t="shared" si="51"/>
        <v>1013.1940000000002</v>
      </c>
      <c r="G300" s="86">
        <v>111066.254</v>
      </c>
      <c r="H300" s="6"/>
      <c r="I300" s="1" t="s">
        <v>50</v>
      </c>
      <c r="J300" s="1" t="s">
        <v>51</v>
      </c>
      <c r="K300" s="1" t="s">
        <v>31</v>
      </c>
      <c r="M300" s="6"/>
    </row>
    <row r="301" spans="1:13" hidden="1" outlineLevel="1" x14ac:dyDescent="0.2">
      <c r="A301" s="93">
        <v>37865</v>
      </c>
      <c r="B301" s="86">
        <v>43133.201000000001</v>
      </c>
      <c r="C301" s="86">
        <f t="shared" si="49"/>
        <v>44172.652000000002</v>
      </c>
      <c r="D301" s="86">
        <v>-1039.451</v>
      </c>
      <c r="E301" s="92">
        <f t="shared" si="50"/>
        <v>-0.93588372936391651</v>
      </c>
      <c r="F301" s="86">
        <f t="shared" si="51"/>
        <v>919.16299999999956</v>
      </c>
      <c r="G301" s="86">
        <v>110945.966</v>
      </c>
      <c r="H301" s="6"/>
      <c r="I301" s="1" t="s">
        <v>50</v>
      </c>
      <c r="J301" s="1" t="s">
        <v>51</v>
      </c>
      <c r="K301" s="1" t="s">
        <v>31</v>
      </c>
      <c r="M301" s="6"/>
    </row>
    <row r="302" spans="1:13" hidden="1" outlineLevel="1" x14ac:dyDescent="0.2">
      <c r="A302" s="93">
        <v>37895</v>
      </c>
      <c r="B302" s="86">
        <v>43945.514999999999</v>
      </c>
      <c r="C302" s="86">
        <f t="shared" si="49"/>
        <v>44834.432999999997</v>
      </c>
      <c r="D302" s="86">
        <v>-888.91800000000001</v>
      </c>
      <c r="E302" s="92">
        <f t="shared" si="50"/>
        <v>-0.80121705371423779</v>
      </c>
      <c r="F302" s="86">
        <f t="shared" si="51"/>
        <v>840.81799999999419</v>
      </c>
      <c r="G302" s="86">
        <v>110897.86599999999</v>
      </c>
      <c r="H302" s="6"/>
      <c r="I302" s="1" t="s">
        <v>50</v>
      </c>
      <c r="J302" s="1" t="s">
        <v>51</v>
      </c>
      <c r="K302" s="1" t="s">
        <v>31</v>
      </c>
      <c r="M302" s="6"/>
    </row>
    <row r="303" spans="1:13" hidden="1" outlineLevel="1" x14ac:dyDescent="0.2">
      <c r="A303" s="93">
        <v>37926</v>
      </c>
      <c r="B303" s="86">
        <v>42978.633000000002</v>
      </c>
      <c r="C303" s="86">
        <f t="shared" si="49"/>
        <v>42048.582000000002</v>
      </c>
      <c r="D303" s="86">
        <v>930.05100000000004</v>
      </c>
      <c r="E303" s="92">
        <f t="shared" si="50"/>
        <v>0.83865545257651775</v>
      </c>
      <c r="F303" s="86">
        <f t="shared" si="51"/>
        <v>803.58300000000543</v>
      </c>
      <c r="G303" s="86">
        <v>112631.5</v>
      </c>
      <c r="H303" s="6"/>
      <c r="I303" s="1" t="s">
        <v>50</v>
      </c>
      <c r="J303" s="1" t="s">
        <v>51</v>
      </c>
      <c r="K303" s="1" t="s">
        <v>31</v>
      </c>
      <c r="M303" s="6"/>
    </row>
    <row r="304" spans="1:13" hidden="1" outlineLevel="1" x14ac:dyDescent="0.2">
      <c r="A304" s="93">
        <v>37956</v>
      </c>
      <c r="B304" s="86">
        <v>57010.502999999997</v>
      </c>
      <c r="C304" s="86">
        <f t="shared" si="49"/>
        <v>55099.752999999997</v>
      </c>
      <c r="D304" s="86">
        <v>1910.75</v>
      </c>
      <c r="E304" s="92">
        <f t="shared" si="50"/>
        <v>1.6964614694823386</v>
      </c>
      <c r="F304" s="86">
        <f t="shared" si="51"/>
        <v>715.77099999999336</v>
      </c>
      <c r="G304" s="86">
        <v>115258.02099999999</v>
      </c>
      <c r="H304" s="6"/>
      <c r="I304" s="1" t="s">
        <v>50</v>
      </c>
      <c r="J304" s="1" t="s">
        <v>51</v>
      </c>
      <c r="K304" s="1" t="s">
        <v>31</v>
      </c>
      <c r="M304" s="6"/>
    </row>
    <row r="305" spans="1:13" hidden="1" collapsed="1" x14ac:dyDescent="0.2">
      <c r="A305" s="83" t="s">
        <v>61</v>
      </c>
      <c r="B305" s="84">
        <f>SUM(B293:B304)</f>
        <v>515825.36300000001</v>
      </c>
      <c r="C305" s="84">
        <f>SUM(C293:C304)</f>
        <v>524004.24900000007</v>
      </c>
      <c r="D305" s="84">
        <f>SUM(D293:D304)</f>
        <v>-8178.8860000000004</v>
      </c>
      <c r="E305" s="91">
        <f>(D305/G292*100)</f>
        <v>-7.2750715589179071</v>
      </c>
      <c r="F305" s="84">
        <f>SUM(F293:F304)</f>
        <v>11013.462999999991</v>
      </c>
      <c r="G305" s="85">
        <f>G304</f>
        <v>115258.02099999999</v>
      </c>
      <c r="I305" s="1" t="s">
        <v>50</v>
      </c>
      <c r="J305" s="1" t="s">
        <v>51</v>
      </c>
      <c r="K305" s="1" t="s">
        <v>31</v>
      </c>
    </row>
    <row r="306" spans="1:13" ht="20.100000000000001" hidden="1" customHeight="1" outlineLevel="1" x14ac:dyDescent="0.2">
      <c r="A306" s="93">
        <v>37987</v>
      </c>
      <c r="B306" s="86">
        <v>45415.510999999999</v>
      </c>
      <c r="C306" s="86">
        <v>46053.038999999997</v>
      </c>
      <c r="D306" s="86">
        <v>-637.52800000000002</v>
      </c>
      <c r="E306" s="92">
        <f t="shared" ref="E306:E317" si="52">D306/G305*100</f>
        <v>-0.55313113522919155</v>
      </c>
      <c r="F306" s="86">
        <f>(G306-G304-D306)</f>
        <v>685.76200000001131</v>
      </c>
      <c r="G306" s="86">
        <v>115306.255</v>
      </c>
      <c r="H306" s="6"/>
      <c r="I306" s="1" t="s">
        <v>50</v>
      </c>
      <c r="J306" s="1" t="s">
        <v>51</v>
      </c>
      <c r="K306" s="1" t="s">
        <v>31</v>
      </c>
      <c r="M306" s="6"/>
    </row>
    <row r="307" spans="1:13" hidden="1" outlineLevel="1" x14ac:dyDescent="0.2">
      <c r="A307" s="93">
        <v>38018</v>
      </c>
      <c r="B307" s="86">
        <v>42275.872000000003</v>
      </c>
      <c r="C307" s="86">
        <v>42620.72</v>
      </c>
      <c r="D307" s="86">
        <v>-344.84800000000001</v>
      </c>
      <c r="E307" s="92">
        <f t="shared" si="52"/>
        <v>-0.29907137301441278</v>
      </c>
      <c r="F307" s="86">
        <f t="shared" ref="F307:F317" si="53">(G307-G306-D307)</f>
        <v>670.62899999998808</v>
      </c>
      <c r="G307" s="86">
        <v>115632.03599999999</v>
      </c>
      <c r="H307" s="6"/>
      <c r="I307" s="1" t="s">
        <v>50</v>
      </c>
      <c r="J307" s="1" t="s">
        <v>51</v>
      </c>
      <c r="K307" s="1" t="s">
        <v>31</v>
      </c>
      <c r="M307" s="6"/>
    </row>
    <row r="308" spans="1:13" hidden="1" outlineLevel="1" x14ac:dyDescent="0.2">
      <c r="A308" s="93">
        <v>38047</v>
      </c>
      <c r="B308" s="86">
        <v>48392.857000000004</v>
      </c>
      <c r="C308" s="86">
        <v>49622.455000000002</v>
      </c>
      <c r="D308" s="86">
        <v>-1229.598</v>
      </c>
      <c r="E308" s="92">
        <f t="shared" si="52"/>
        <v>-1.0633713999466377</v>
      </c>
      <c r="F308" s="86">
        <f t="shared" si="53"/>
        <v>613.30200000001241</v>
      </c>
      <c r="G308" s="86">
        <v>115015.74</v>
      </c>
      <c r="H308" s="6"/>
      <c r="I308" s="1" t="s">
        <v>50</v>
      </c>
      <c r="J308" s="1" t="s">
        <v>51</v>
      </c>
      <c r="K308" s="1" t="s">
        <v>31</v>
      </c>
      <c r="M308" s="6"/>
    </row>
    <row r="309" spans="1:13" hidden="1" outlineLevel="1" x14ac:dyDescent="0.2">
      <c r="A309" s="93">
        <v>38078</v>
      </c>
      <c r="B309" s="86">
        <v>45356.252999999997</v>
      </c>
      <c r="C309" s="86">
        <v>45839.267999999996</v>
      </c>
      <c r="D309" s="86">
        <v>-483.01499999999999</v>
      </c>
      <c r="E309" s="92">
        <f t="shared" si="52"/>
        <v>-0.4199555643427586</v>
      </c>
      <c r="F309" s="86">
        <f t="shared" si="53"/>
        <v>694.13599999999917</v>
      </c>
      <c r="G309" s="86">
        <v>115226.861</v>
      </c>
      <c r="H309" s="6"/>
      <c r="I309" s="1" t="s">
        <v>50</v>
      </c>
      <c r="J309" s="1" t="s">
        <v>51</v>
      </c>
      <c r="K309" s="1" t="s">
        <v>31</v>
      </c>
      <c r="M309" s="6"/>
    </row>
    <row r="310" spans="1:13" hidden="1" outlineLevel="1" x14ac:dyDescent="0.2">
      <c r="A310" s="93">
        <v>38108</v>
      </c>
      <c r="B310" s="86">
        <v>49815.184000000001</v>
      </c>
      <c r="C310" s="86">
        <v>48490.148999999998</v>
      </c>
      <c r="D310" s="86">
        <v>1325.0350000000001</v>
      </c>
      <c r="E310" s="92">
        <f t="shared" si="52"/>
        <v>1.149935864346769</v>
      </c>
      <c r="F310" s="86">
        <f t="shared" si="53"/>
        <v>656.74799999999573</v>
      </c>
      <c r="G310" s="86">
        <v>117208.644</v>
      </c>
      <c r="H310" s="6"/>
      <c r="I310" s="1" t="s">
        <v>50</v>
      </c>
      <c r="J310" s="1" t="s">
        <v>51</v>
      </c>
      <c r="K310" s="1" t="s">
        <v>31</v>
      </c>
      <c r="M310" s="6"/>
    </row>
    <row r="311" spans="1:13" hidden="1" outlineLevel="1" x14ac:dyDescent="0.2">
      <c r="A311" s="93">
        <v>38139</v>
      </c>
      <c r="B311" s="86">
        <v>48824.389000000003</v>
      </c>
      <c r="C311" s="86">
        <v>48179.278000000006</v>
      </c>
      <c r="D311" s="86">
        <v>645.11099999999999</v>
      </c>
      <c r="E311" s="92">
        <f t="shared" si="52"/>
        <v>0.55039541281614013</v>
      </c>
      <c r="F311" s="86">
        <f t="shared" si="53"/>
        <v>739.43100000000129</v>
      </c>
      <c r="G311" s="86">
        <v>118593.186</v>
      </c>
      <c r="H311" s="6"/>
      <c r="I311" s="1" t="s">
        <v>50</v>
      </c>
      <c r="J311" s="1" t="s">
        <v>51</v>
      </c>
      <c r="K311" s="1" t="s">
        <v>31</v>
      </c>
      <c r="M311" s="6"/>
    </row>
    <row r="312" spans="1:13" hidden="1" outlineLevel="1" x14ac:dyDescent="0.2">
      <c r="A312" s="93">
        <v>38169</v>
      </c>
      <c r="B312" s="86">
        <v>50444.976000000002</v>
      </c>
      <c r="C312" s="86">
        <v>49580.401000000005</v>
      </c>
      <c r="D312" s="86">
        <v>864.57500000000005</v>
      </c>
      <c r="E312" s="92">
        <f t="shared" si="52"/>
        <v>0.72902586494303312</v>
      </c>
      <c r="F312" s="86">
        <f t="shared" si="53"/>
        <v>753.18199999999774</v>
      </c>
      <c r="G312" s="86">
        <v>120210.943</v>
      </c>
      <c r="H312" s="6"/>
      <c r="I312" s="1" t="s">
        <v>50</v>
      </c>
      <c r="J312" s="1" t="s">
        <v>51</v>
      </c>
      <c r="K312" s="1" t="s">
        <v>31</v>
      </c>
      <c r="M312" s="6"/>
    </row>
    <row r="313" spans="1:13" hidden="1" outlineLevel="1" x14ac:dyDescent="0.2">
      <c r="A313" s="93">
        <v>38200</v>
      </c>
      <c r="B313" s="86">
        <v>50260.955999999998</v>
      </c>
      <c r="C313" s="86">
        <v>50507.296999999999</v>
      </c>
      <c r="D313" s="86">
        <v>-246.34100000000001</v>
      </c>
      <c r="E313" s="92">
        <f t="shared" si="52"/>
        <v>-0.20492393941207165</v>
      </c>
      <c r="F313" s="86">
        <f t="shared" si="53"/>
        <v>764.02400000000455</v>
      </c>
      <c r="G313" s="86">
        <v>120728.626</v>
      </c>
      <c r="H313" s="6"/>
      <c r="I313" s="1" t="s">
        <v>50</v>
      </c>
      <c r="J313" s="1" t="s">
        <v>51</v>
      </c>
      <c r="K313" s="1" t="s">
        <v>31</v>
      </c>
      <c r="M313" s="6"/>
    </row>
    <row r="314" spans="1:13" hidden="1" outlineLevel="1" x14ac:dyDescent="0.2">
      <c r="A314" s="93">
        <v>38231</v>
      </c>
      <c r="B314" s="86">
        <v>46889.705000000002</v>
      </c>
      <c r="C314" s="86">
        <v>47219.556000000004</v>
      </c>
      <c r="D314" s="86">
        <v>-329.851</v>
      </c>
      <c r="E314" s="92">
        <f t="shared" si="52"/>
        <v>-0.27321689223896245</v>
      </c>
      <c r="F314" s="86">
        <f t="shared" si="53"/>
        <v>779.32399999999814</v>
      </c>
      <c r="G314" s="86">
        <v>121178.099</v>
      </c>
      <c r="H314" s="6"/>
      <c r="I314" s="1" t="s">
        <v>50</v>
      </c>
      <c r="J314" s="1" t="s">
        <v>51</v>
      </c>
      <c r="K314" s="1" t="s">
        <v>31</v>
      </c>
      <c r="M314" s="6"/>
    </row>
    <row r="315" spans="1:13" hidden="1" outlineLevel="1" x14ac:dyDescent="0.2">
      <c r="A315" s="93">
        <v>38261</v>
      </c>
      <c r="B315" s="86">
        <v>48996.612999999998</v>
      </c>
      <c r="C315" s="86">
        <v>49064.864999999998</v>
      </c>
      <c r="D315" s="86">
        <v>-68.251999999999995</v>
      </c>
      <c r="E315" s="92">
        <f t="shared" si="52"/>
        <v>-5.6323709121728335E-2</v>
      </c>
      <c r="F315" s="86">
        <f t="shared" si="53"/>
        <v>743.22799999999506</v>
      </c>
      <c r="G315" s="86">
        <v>121853.075</v>
      </c>
      <c r="H315" s="6"/>
      <c r="I315" s="1" t="s">
        <v>50</v>
      </c>
      <c r="J315" s="1" t="s">
        <v>51</v>
      </c>
      <c r="K315" s="1" t="s">
        <v>31</v>
      </c>
      <c r="M315" s="6"/>
    </row>
    <row r="316" spans="1:13" hidden="1" outlineLevel="1" x14ac:dyDescent="0.2">
      <c r="A316" s="93">
        <v>38292</v>
      </c>
      <c r="B316" s="86">
        <v>53049.735000000001</v>
      </c>
      <c r="C316" s="86">
        <v>52399.714</v>
      </c>
      <c r="D316" s="86">
        <v>650.02099999999996</v>
      </c>
      <c r="E316" s="92">
        <f t="shared" si="52"/>
        <v>0.53344652976545726</v>
      </c>
      <c r="F316" s="86">
        <f t="shared" si="53"/>
        <v>680.57400000000121</v>
      </c>
      <c r="G316" s="86">
        <v>123183.67</v>
      </c>
      <c r="H316" s="6"/>
      <c r="I316" s="1" t="s">
        <v>50</v>
      </c>
      <c r="J316" s="1" t="s">
        <v>51</v>
      </c>
      <c r="K316" s="1" t="s">
        <v>31</v>
      </c>
      <c r="M316" s="6"/>
    </row>
    <row r="317" spans="1:13" hidden="1" outlineLevel="1" x14ac:dyDescent="0.2">
      <c r="A317" s="93">
        <v>38322</v>
      </c>
      <c r="B317" s="86">
        <v>65781.737999999998</v>
      </c>
      <c r="C317" s="86">
        <v>62869.748</v>
      </c>
      <c r="D317" s="86">
        <v>2911.99</v>
      </c>
      <c r="E317" s="92">
        <f t="shared" si="52"/>
        <v>2.3639415841401701</v>
      </c>
      <c r="F317" s="86">
        <f t="shared" si="53"/>
        <v>757.55700000000616</v>
      </c>
      <c r="G317" s="86">
        <v>126853.217</v>
      </c>
      <c r="H317" s="6"/>
      <c r="I317" s="1" t="s">
        <v>50</v>
      </c>
      <c r="J317" s="1" t="s">
        <v>51</v>
      </c>
      <c r="K317" s="1" t="s">
        <v>31</v>
      </c>
      <c r="M317" s="6"/>
    </row>
    <row r="318" spans="1:13" hidden="1" collapsed="1" x14ac:dyDescent="0.2">
      <c r="A318" s="83" t="s">
        <v>62</v>
      </c>
      <c r="B318" s="84">
        <f>SUM(B306:B317)</f>
        <v>595503.78900000011</v>
      </c>
      <c r="C318" s="84">
        <f>SUM(C306:C317)</f>
        <v>592446.49</v>
      </c>
      <c r="D318" s="84">
        <f>SUM(D306:D317)</f>
        <v>3057.299</v>
      </c>
      <c r="E318" s="91">
        <f>(D318/G305*100)</f>
        <v>2.652569403391023</v>
      </c>
      <c r="F318" s="84">
        <f>SUM(F306:F317)</f>
        <v>8537.8970000000118</v>
      </c>
      <c r="G318" s="85">
        <f>G317</f>
        <v>126853.217</v>
      </c>
      <c r="I318" s="1" t="s">
        <v>50</v>
      </c>
      <c r="J318" s="1" t="s">
        <v>51</v>
      </c>
      <c r="K318" s="1" t="s">
        <v>31</v>
      </c>
    </row>
    <row r="319" spans="1:13" ht="20.100000000000001" hidden="1" customHeight="1" outlineLevel="1" x14ac:dyDescent="0.2">
      <c r="A319" s="93">
        <v>38353</v>
      </c>
      <c r="B319" s="86">
        <v>50839.38</v>
      </c>
      <c r="C319" s="86">
        <v>51654.850999999995</v>
      </c>
      <c r="D319" s="86">
        <v>-815.471</v>
      </c>
      <c r="E319" s="92">
        <f t="shared" ref="E319:E330" si="54">D319/G318*100</f>
        <v>-0.64284613294434623</v>
      </c>
      <c r="F319" s="86">
        <f>(G319-G317-D319)</f>
        <v>841.37999999999965</v>
      </c>
      <c r="G319" s="86">
        <v>126879.126</v>
      </c>
      <c r="H319" s="6"/>
      <c r="I319" s="1" t="s">
        <v>50</v>
      </c>
      <c r="J319" s="1" t="s">
        <v>51</v>
      </c>
      <c r="K319" s="1" t="s">
        <v>31</v>
      </c>
      <c r="M319" s="6"/>
    </row>
    <row r="320" spans="1:13" hidden="1" outlineLevel="1" x14ac:dyDescent="0.2">
      <c r="A320" s="93">
        <v>38384</v>
      </c>
      <c r="B320" s="86">
        <v>47843.430999999997</v>
      </c>
      <c r="C320" s="86">
        <v>48478.042999999998</v>
      </c>
      <c r="D320" s="86">
        <v>-634.61199999999997</v>
      </c>
      <c r="E320" s="92">
        <f t="shared" si="54"/>
        <v>-0.50017053238528764</v>
      </c>
      <c r="F320" s="86">
        <f t="shared" ref="F320:F330" si="55">(G320-G319-D320)</f>
        <v>815.65400000000125</v>
      </c>
      <c r="G320" s="86">
        <v>127060.16800000001</v>
      </c>
      <c r="H320" s="6"/>
      <c r="I320" s="1" t="s">
        <v>50</v>
      </c>
      <c r="J320" s="1" t="s">
        <v>51</v>
      </c>
      <c r="K320" s="1" t="s">
        <v>31</v>
      </c>
      <c r="M320" s="6"/>
    </row>
    <row r="321" spans="1:13" hidden="1" outlineLevel="1" x14ac:dyDescent="0.2">
      <c r="A321" s="93">
        <v>38412</v>
      </c>
      <c r="B321" s="86">
        <v>53006.26</v>
      </c>
      <c r="C321" s="86">
        <v>54427.584999999999</v>
      </c>
      <c r="D321" s="86">
        <v>-1421.325</v>
      </c>
      <c r="E321" s="92">
        <f t="shared" si="54"/>
        <v>-1.1186235799719704</v>
      </c>
      <c r="F321" s="86">
        <f t="shared" si="55"/>
        <v>774.40399999999795</v>
      </c>
      <c r="G321" s="86">
        <v>126413.247</v>
      </c>
      <c r="H321" s="6"/>
      <c r="I321" s="1" t="s">
        <v>50</v>
      </c>
      <c r="J321" s="1" t="s">
        <v>51</v>
      </c>
      <c r="K321" s="1" t="s">
        <v>31</v>
      </c>
      <c r="M321" s="6"/>
    </row>
    <row r="322" spans="1:13" hidden="1" outlineLevel="1" x14ac:dyDescent="0.2">
      <c r="A322" s="93">
        <v>38443</v>
      </c>
      <c r="B322" s="86">
        <v>50197.021999999997</v>
      </c>
      <c r="C322" s="86">
        <v>50629.313999999998</v>
      </c>
      <c r="D322" s="86">
        <v>-432.29200000000128</v>
      </c>
      <c r="E322" s="92">
        <f t="shared" si="54"/>
        <v>-0.34196732562371512</v>
      </c>
      <c r="F322" s="86">
        <f t="shared" si="55"/>
        <v>867.99599999999919</v>
      </c>
      <c r="G322" s="86">
        <v>126848.951</v>
      </c>
      <c r="H322" s="6"/>
      <c r="I322" s="1" t="s">
        <v>50</v>
      </c>
      <c r="J322" s="1" t="s">
        <v>51</v>
      </c>
      <c r="K322" s="1" t="s">
        <v>31</v>
      </c>
      <c r="M322" s="6"/>
    </row>
    <row r="323" spans="1:13" hidden="1" outlineLevel="1" x14ac:dyDescent="0.2">
      <c r="A323" s="93">
        <v>38473</v>
      </c>
      <c r="B323" s="86">
        <v>52207.877</v>
      </c>
      <c r="C323" s="86">
        <v>53497.32</v>
      </c>
      <c r="D323" s="86">
        <v>-1289.443</v>
      </c>
      <c r="E323" s="92">
        <f t="shared" si="54"/>
        <v>-1.0165184574525965</v>
      </c>
      <c r="F323" s="86">
        <f t="shared" si="55"/>
        <v>846.75900000000615</v>
      </c>
      <c r="G323" s="86">
        <v>126406.26700000001</v>
      </c>
      <c r="H323" s="6"/>
      <c r="I323" s="1" t="s">
        <v>50</v>
      </c>
      <c r="J323" s="1" t="s">
        <v>51</v>
      </c>
      <c r="K323" s="1" t="s">
        <v>31</v>
      </c>
      <c r="M323" s="6"/>
    </row>
    <row r="324" spans="1:13" hidden="1" outlineLevel="1" x14ac:dyDescent="0.2">
      <c r="A324" s="93">
        <v>38504</v>
      </c>
      <c r="B324" s="86">
        <v>52953.39</v>
      </c>
      <c r="C324" s="86">
        <v>53195.618999999999</v>
      </c>
      <c r="D324" s="86">
        <v>-242.22900000000001</v>
      </c>
      <c r="E324" s="92">
        <f t="shared" si="54"/>
        <v>-0.19162736607038636</v>
      </c>
      <c r="F324" s="86">
        <f t="shared" si="55"/>
        <v>901.10199999999236</v>
      </c>
      <c r="G324" s="86">
        <v>127065.14</v>
      </c>
      <c r="H324" s="6"/>
      <c r="I324" s="1" t="s">
        <v>50</v>
      </c>
      <c r="J324" s="1" t="s">
        <v>51</v>
      </c>
      <c r="K324" s="1" t="s">
        <v>31</v>
      </c>
      <c r="M324" s="6"/>
    </row>
    <row r="325" spans="1:13" hidden="1" outlineLevel="1" x14ac:dyDescent="0.2">
      <c r="A325" s="93">
        <v>38534</v>
      </c>
      <c r="B325" s="86">
        <v>52564.080999999998</v>
      </c>
      <c r="C325" s="86">
        <v>52087.353999999999</v>
      </c>
      <c r="D325" s="86">
        <v>476.72699999999998</v>
      </c>
      <c r="E325" s="92">
        <f t="shared" si="54"/>
        <v>0.37518315408931197</v>
      </c>
      <c r="F325" s="86">
        <f t="shared" si="55"/>
        <v>915.79000000000713</v>
      </c>
      <c r="G325" s="86">
        <v>128457.65700000001</v>
      </c>
      <c r="H325" s="6"/>
      <c r="I325" s="1" t="s">
        <v>50</v>
      </c>
      <c r="J325" s="1" t="s">
        <v>51</v>
      </c>
      <c r="K325" s="1" t="s">
        <v>31</v>
      </c>
      <c r="M325" s="6"/>
    </row>
    <row r="326" spans="1:13" hidden="1" outlineLevel="1" x14ac:dyDescent="0.2">
      <c r="A326" s="93">
        <v>38565</v>
      </c>
      <c r="B326" s="86">
        <v>54839.11</v>
      </c>
      <c r="C326" s="86">
        <v>55874.955000000002</v>
      </c>
      <c r="D326" s="86">
        <v>-1035.845</v>
      </c>
      <c r="E326" s="92">
        <f t="shared" si="54"/>
        <v>-0.80637077165435134</v>
      </c>
      <c r="F326" s="86">
        <f t="shared" si="55"/>
        <v>928.01399999999444</v>
      </c>
      <c r="G326" s="86">
        <v>128349.826</v>
      </c>
      <c r="H326" s="6"/>
      <c r="I326" s="1" t="s">
        <v>50</v>
      </c>
      <c r="J326" s="1" t="s">
        <v>51</v>
      </c>
      <c r="K326" s="1" t="s">
        <v>31</v>
      </c>
      <c r="M326" s="6"/>
    </row>
    <row r="327" spans="1:13" hidden="1" outlineLevel="1" x14ac:dyDescent="0.2">
      <c r="A327" s="93">
        <v>38596</v>
      </c>
      <c r="B327" s="86">
        <v>52724.790999999997</v>
      </c>
      <c r="C327" s="86">
        <v>53208.204999999994</v>
      </c>
      <c r="D327" s="86">
        <v>-483.41399999999999</v>
      </c>
      <c r="E327" s="92">
        <f t="shared" si="54"/>
        <v>-0.37663783042448373</v>
      </c>
      <c r="F327" s="86">
        <f t="shared" si="55"/>
        <v>951.25299999999265</v>
      </c>
      <c r="G327" s="86">
        <v>128817.66499999999</v>
      </c>
      <c r="H327" s="6"/>
      <c r="I327" s="1" t="s">
        <v>50</v>
      </c>
      <c r="J327" s="1" t="s">
        <v>51</v>
      </c>
      <c r="K327" s="1" t="s">
        <v>31</v>
      </c>
      <c r="M327" s="6"/>
    </row>
    <row r="328" spans="1:13" hidden="1" outlineLevel="1" x14ac:dyDescent="0.2">
      <c r="A328" s="93">
        <v>38626</v>
      </c>
      <c r="B328" s="86">
        <v>52576.932999999997</v>
      </c>
      <c r="C328" s="86">
        <v>52841.894999999997</v>
      </c>
      <c r="D328" s="86">
        <v>-264.96199999999999</v>
      </c>
      <c r="E328" s="92">
        <f t="shared" si="54"/>
        <v>-0.20568762832333595</v>
      </c>
      <c r="F328" s="86">
        <f t="shared" si="55"/>
        <v>882.59800000001314</v>
      </c>
      <c r="G328" s="86">
        <v>129435.30100000001</v>
      </c>
      <c r="H328" s="6"/>
      <c r="I328" s="1" t="s">
        <v>50</v>
      </c>
      <c r="J328" s="1" t="s">
        <v>51</v>
      </c>
      <c r="K328" s="1" t="s">
        <v>31</v>
      </c>
      <c r="M328" s="6"/>
    </row>
    <row r="329" spans="1:13" hidden="1" outlineLevel="1" x14ac:dyDescent="0.2">
      <c r="A329" s="93">
        <v>38657</v>
      </c>
      <c r="B329" s="86">
        <v>55189.614000000001</v>
      </c>
      <c r="C329" s="86">
        <v>54662.107000000004</v>
      </c>
      <c r="D329" s="86">
        <v>527.50699999999995</v>
      </c>
      <c r="E329" s="92">
        <f t="shared" si="54"/>
        <v>0.40754492470334647</v>
      </c>
      <c r="F329" s="86">
        <f t="shared" si="55"/>
        <v>855.03399999999749</v>
      </c>
      <c r="G329" s="86">
        <v>130817.842</v>
      </c>
      <c r="H329" s="6"/>
      <c r="I329" s="1" t="s">
        <v>50</v>
      </c>
      <c r="J329" s="1" t="s">
        <v>51</v>
      </c>
      <c r="K329" s="1" t="s">
        <v>31</v>
      </c>
      <c r="M329" s="6"/>
    </row>
    <row r="330" spans="1:13" hidden="1" outlineLevel="1" x14ac:dyDescent="0.2">
      <c r="A330" s="93">
        <v>38687</v>
      </c>
      <c r="B330" s="86">
        <v>70401.774000000005</v>
      </c>
      <c r="C330" s="86">
        <v>66655.946000000011</v>
      </c>
      <c r="D330" s="86">
        <v>3745.828</v>
      </c>
      <c r="E330" s="92">
        <f t="shared" si="54"/>
        <v>2.8633922886451524</v>
      </c>
      <c r="F330" s="86">
        <f t="shared" si="55"/>
        <v>848.01100000000724</v>
      </c>
      <c r="G330" s="86">
        <v>135411.68100000001</v>
      </c>
      <c r="H330" s="6"/>
      <c r="I330" s="1" t="s">
        <v>50</v>
      </c>
      <c r="J330" s="1" t="s">
        <v>51</v>
      </c>
      <c r="K330" s="1" t="s">
        <v>31</v>
      </c>
      <c r="M330" s="6"/>
    </row>
    <row r="331" spans="1:13" hidden="1" collapsed="1" x14ac:dyDescent="0.2">
      <c r="A331" s="83" t="s">
        <v>63</v>
      </c>
      <c r="B331" s="84">
        <f>SUM(B319:B330)</f>
        <v>645343.66299999994</v>
      </c>
      <c r="C331" s="84">
        <f>SUM(C319:C330)</f>
        <v>647213.19400000002</v>
      </c>
      <c r="D331" s="84">
        <f>SUM(D319:D330)</f>
        <v>-1869.5310000000022</v>
      </c>
      <c r="E331" s="91">
        <f>(D331/G318*100)</f>
        <v>-1.4737750009130648</v>
      </c>
      <c r="F331" s="84">
        <f>SUM(F319:F330)</f>
        <v>10427.99500000001</v>
      </c>
      <c r="G331" s="85">
        <f>G330</f>
        <v>135411.68100000001</v>
      </c>
      <c r="I331" s="1" t="s">
        <v>50</v>
      </c>
      <c r="J331" s="1" t="s">
        <v>51</v>
      </c>
      <c r="K331" s="1" t="s">
        <v>31</v>
      </c>
    </row>
    <row r="332" spans="1:13" ht="20.100000000000001" hidden="1" customHeight="1" outlineLevel="1" x14ac:dyDescent="0.2">
      <c r="A332" s="93">
        <v>38718</v>
      </c>
      <c r="B332" s="86">
        <v>56319.351999999999</v>
      </c>
      <c r="C332" s="86">
        <v>58335.820999999996</v>
      </c>
      <c r="D332" s="86">
        <v>-2016.4690000000001</v>
      </c>
      <c r="E332" s="92">
        <f t="shared" ref="E332:E343" si="56">D332/G331*100</f>
        <v>-1.489139625997258</v>
      </c>
      <c r="F332" s="86">
        <f>(G332-G330-D332)</f>
        <v>897.97599999998329</v>
      </c>
      <c r="G332" s="86">
        <v>134293.18799999999</v>
      </c>
      <c r="H332" s="6"/>
      <c r="I332" s="1" t="s">
        <v>50</v>
      </c>
      <c r="J332" s="1" t="s">
        <v>51</v>
      </c>
      <c r="K332" s="1" t="s">
        <v>31</v>
      </c>
      <c r="M332" s="6"/>
    </row>
    <row r="333" spans="1:13" hidden="1" outlineLevel="1" x14ac:dyDescent="0.2">
      <c r="A333" s="93">
        <v>38749</v>
      </c>
      <c r="B333" s="86">
        <v>51015.129000000001</v>
      </c>
      <c r="C333" s="86">
        <v>50633.557000000001</v>
      </c>
      <c r="D333" s="86">
        <v>381.572</v>
      </c>
      <c r="E333" s="92">
        <f t="shared" si="56"/>
        <v>0.28413354815882397</v>
      </c>
      <c r="F333" s="86">
        <f t="shared" ref="F333:F343" si="57">(G333-G332-D333)</f>
        <v>808.63499999999487</v>
      </c>
      <c r="G333" s="86">
        <v>135483.39499999999</v>
      </c>
      <c r="H333" s="6"/>
      <c r="I333" s="1" t="s">
        <v>50</v>
      </c>
      <c r="J333" s="1" t="s">
        <v>51</v>
      </c>
      <c r="K333" s="1" t="s">
        <v>31</v>
      </c>
      <c r="M333" s="6"/>
    </row>
    <row r="334" spans="1:13" hidden="1" outlineLevel="1" x14ac:dyDescent="0.2">
      <c r="A334" s="93">
        <v>38777</v>
      </c>
      <c r="B334" s="86">
        <v>58511.989000000001</v>
      </c>
      <c r="C334" s="86">
        <v>61901.076000000001</v>
      </c>
      <c r="D334" s="86">
        <v>-3389.087</v>
      </c>
      <c r="E334" s="92">
        <f t="shared" si="56"/>
        <v>-2.5014777641200978</v>
      </c>
      <c r="F334" s="86">
        <f t="shared" si="57"/>
        <v>798.23700000002327</v>
      </c>
      <c r="G334" s="86">
        <v>132892.54500000001</v>
      </c>
      <c r="H334" s="6"/>
      <c r="I334" s="1" t="s">
        <v>50</v>
      </c>
      <c r="J334" s="1" t="s">
        <v>51</v>
      </c>
      <c r="K334" s="1" t="s">
        <v>31</v>
      </c>
      <c r="M334" s="6"/>
    </row>
    <row r="335" spans="1:13" hidden="1" outlineLevel="1" x14ac:dyDescent="0.2">
      <c r="A335" s="93">
        <v>38808</v>
      </c>
      <c r="B335" s="86">
        <v>51123.837</v>
      </c>
      <c r="C335" s="86">
        <v>52399.955000000002</v>
      </c>
      <c r="D335" s="86">
        <v>-1276.1179999999999</v>
      </c>
      <c r="E335" s="92">
        <f t="shared" si="56"/>
        <v>-0.96026304560575604</v>
      </c>
      <c r="F335" s="86">
        <f t="shared" si="57"/>
        <v>808.16599999998061</v>
      </c>
      <c r="G335" s="86">
        <v>132424.59299999999</v>
      </c>
      <c r="H335" s="6"/>
      <c r="I335" s="1" t="s">
        <v>50</v>
      </c>
      <c r="J335" s="1" t="s">
        <v>51</v>
      </c>
      <c r="K335" s="1" t="s">
        <v>31</v>
      </c>
      <c r="M335" s="6"/>
    </row>
    <row r="336" spans="1:13" hidden="1" outlineLevel="1" x14ac:dyDescent="0.2">
      <c r="A336" s="93">
        <v>38838</v>
      </c>
      <c r="B336" s="86">
        <v>57845.203000000001</v>
      </c>
      <c r="C336" s="86">
        <v>59241.599000000002</v>
      </c>
      <c r="D336" s="86">
        <v>-1396.396</v>
      </c>
      <c r="E336" s="92">
        <f t="shared" si="56"/>
        <v>-1.054483890314845</v>
      </c>
      <c r="F336" s="86">
        <f t="shared" si="57"/>
        <v>728.87300000001346</v>
      </c>
      <c r="G336" s="86">
        <v>131757.07</v>
      </c>
      <c r="H336" s="6"/>
      <c r="I336" s="1" t="s">
        <v>50</v>
      </c>
      <c r="J336" s="1" t="s">
        <v>51</v>
      </c>
      <c r="K336" s="1" t="s">
        <v>31</v>
      </c>
      <c r="M336" s="6"/>
    </row>
    <row r="337" spans="1:13" hidden="1" outlineLevel="1" x14ac:dyDescent="0.2">
      <c r="A337" s="93">
        <v>38869</v>
      </c>
      <c r="B337" s="86">
        <v>55355.284</v>
      </c>
      <c r="C337" s="86">
        <v>54970.201999999997</v>
      </c>
      <c r="D337" s="86">
        <v>385.08199999999999</v>
      </c>
      <c r="E337" s="92">
        <f t="shared" si="56"/>
        <v>0.29226666925729294</v>
      </c>
      <c r="F337" s="86">
        <f t="shared" si="57"/>
        <v>858.21299999998371</v>
      </c>
      <c r="G337" s="86">
        <v>133000.36499999999</v>
      </c>
      <c r="H337" s="6"/>
      <c r="I337" s="1" t="s">
        <v>50</v>
      </c>
      <c r="J337" s="1" t="s">
        <v>51</v>
      </c>
      <c r="K337" s="1" t="s">
        <v>31</v>
      </c>
      <c r="M337" s="6"/>
    </row>
    <row r="338" spans="1:13" hidden="1" outlineLevel="1" x14ac:dyDescent="0.2">
      <c r="A338" s="93">
        <v>38899</v>
      </c>
      <c r="B338" s="86">
        <v>57879.892</v>
      </c>
      <c r="C338" s="86">
        <v>56695.21</v>
      </c>
      <c r="D338" s="86">
        <v>1184.682</v>
      </c>
      <c r="E338" s="92">
        <f t="shared" si="56"/>
        <v>0.89073590136387981</v>
      </c>
      <c r="F338" s="86">
        <f t="shared" si="57"/>
        <v>839.84100000001558</v>
      </c>
      <c r="G338" s="86">
        <v>135024.88800000001</v>
      </c>
      <c r="H338" s="6"/>
      <c r="I338" s="1" t="s">
        <v>50</v>
      </c>
      <c r="J338" s="1" t="s">
        <v>51</v>
      </c>
      <c r="K338" s="1" t="s">
        <v>31</v>
      </c>
      <c r="M338" s="6"/>
    </row>
    <row r="339" spans="1:13" hidden="1" outlineLevel="1" x14ac:dyDescent="0.2">
      <c r="A339" s="93">
        <v>38930</v>
      </c>
      <c r="B339" s="86">
        <v>63110.080000000002</v>
      </c>
      <c r="C339" s="86">
        <v>63426.976999999999</v>
      </c>
      <c r="D339" s="86">
        <v>-316.89699999999999</v>
      </c>
      <c r="E339" s="92">
        <f t="shared" si="56"/>
        <v>-0.23469525114510739</v>
      </c>
      <c r="F339" s="86">
        <f t="shared" si="57"/>
        <v>883.74099999998271</v>
      </c>
      <c r="G339" s="86">
        <v>135591.73199999999</v>
      </c>
      <c r="H339" s="6"/>
      <c r="I339" s="1" t="s">
        <v>50</v>
      </c>
      <c r="J339" s="1" t="s">
        <v>51</v>
      </c>
      <c r="K339" s="1" t="s">
        <v>31</v>
      </c>
      <c r="M339" s="6"/>
    </row>
    <row r="340" spans="1:13" hidden="1" outlineLevel="1" x14ac:dyDescent="0.2">
      <c r="A340" s="93">
        <v>38961</v>
      </c>
      <c r="B340" s="86">
        <v>57395.805</v>
      </c>
      <c r="C340" s="86">
        <v>55565</v>
      </c>
      <c r="D340" s="86">
        <v>1830.8050000000001</v>
      </c>
      <c r="E340" s="92">
        <f t="shared" si="56"/>
        <v>1.3502335083381045</v>
      </c>
      <c r="F340" s="86">
        <f t="shared" si="57"/>
        <v>859.50000000002206</v>
      </c>
      <c r="G340" s="86">
        <v>138282.03700000001</v>
      </c>
      <c r="H340" s="6"/>
      <c r="I340" s="1" t="s">
        <v>50</v>
      </c>
      <c r="J340" s="1" t="s">
        <v>51</v>
      </c>
      <c r="K340" s="1" t="s">
        <v>31</v>
      </c>
      <c r="M340" s="6"/>
    </row>
    <row r="341" spans="1:13" hidden="1" outlineLevel="1" x14ac:dyDescent="0.2">
      <c r="A341" s="93">
        <v>38991</v>
      </c>
      <c r="B341" s="86">
        <v>59724.617000000013</v>
      </c>
      <c r="C341" s="86">
        <v>58726.589000000014</v>
      </c>
      <c r="D341" s="86">
        <v>998.02800000000002</v>
      </c>
      <c r="E341" s="92">
        <f t="shared" si="56"/>
        <v>0.72173365510952081</v>
      </c>
      <c r="F341" s="86">
        <f t="shared" si="57"/>
        <v>846.72199999999998</v>
      </c>
      <c r="G341" s="86">
        <v>140126.78700000001</v>
      </c>
      <c r="H341" s="6"/>
      <c r="I341" s="1" t="s">
        <v>50</v>
      </c>
      <c r="J341" s="1" t="s">
        <v>51</v>
      </c>
      <c r="K341" s="1" t="s">
        <v>31</v>
      </c>
      <c r="M341" s="6"/>
    </row>
    <row r="342" spans="1:13" hidden="1" outlineLevel="1" x14ac:dyDescent="0.2">
      <c r="A342" s="93">
        <v>39022</v>
      </c>
      <c r="B342" s="86">
        <v>63830.214999999997</v>
      </c>
      <c r="C342" s="86">
        <v>61550.185999999994</v>
      </c>
      <c r="D342" s="86">
        <v>2280.029</v>
      </c>
      <c r="E342" s="92">
        <f t="shared" si="56"/>
        <v>1.6271185893957589</v>
      </c>
      <c r="F342" s="86">
        <f t="shared" si="57"/>
        <v>854.89499999999907</v>
      </c>
      <c r="G342" s="86">
        <v>143261.71100000001</v>
      </c>
      <c r="H342" s="6"/>
      <c r="I342" s="1" t="s">
        <v>50</v>
      </c>
      <c r="J342" s="1" t="s">
        <v>51</v>
      </c>
      <c r="K342" s="1" t="s">
        <v>31</v>
      </c>
      <c r="M342" s="6"/>
    </row>
    <row r="343" spans="1:13" hidden="1" outlineLevel="1" x14ac:dyDescent="0.2">
      <c r="A343" s="93">
        <v>39052</v>
      </c>
      <c r="B343" s="86">
        <v>81335</v>
      </c>
      <c r="C343" s="86">
        <v>75036.494999999995</v>
      </c>
      <c r="D343" s="86">
        <v>6298.5050000000001</v>
      </c>
      <c r="E343" s="92">
        <f t="shared" si="56"/>
        <v>4.3965027054577055</v>
      </c>
      <c r="F343" s="86">
        <f t="shared" si="57"/>
        <v>852.32999999999174</v>
      </c>
      <c r="G343" s="86">
        <v>150412.546</v>
      </c>
      <c r="H343" s="6"/>
      <c r="I343" s="1" t="s">
        <v>50</v>
      </c>
      <c r="J343" s="1" t="s">
        <v>51</v>
      </c>
      <c r="K343" s="1" t="s">
        <v>31</v>
      </c>
      <c r="M343" s="6"/>
    </row>
    <row r="344" spans="1:13" hidden="1" collapsed="1" x14ac:dyDescent="0.2">
      <c r="A344" s="83" t="s">
        <v>64</v>
      </c>
      <c r="B344" s="84">
        <f>SUM(B332:B343)</f>
        <v>713446.40299999993</v>
      </c>
      <c r="C344" s="84">
        <f>SUM(C332:C343)</f>
        <v>708482.66700000002</v>
      </c>
      <c r="D344" s="84">
        <f>SUM(D332:D343)</f>
        <v>4963.7360000000008</v>
      </c>
      <c r="E344" s="91">
        <f>(D344/G331*100)</f>
        <v>3.6656630826405592</v>
      </c>
      <c r="F344" s="84">
        <f>SUM(F332:F343)</f>
        <v>10037.12899999999</v>
      </c>
      <c r="G344" s="85">
        <f>G343</f>
        <v>150412.546</v>
      </c>
      <c r="I344" s="1" t="s">
        <v>50</v>
      </c>
      <c r="J344" s="1" t="s">
        <v>51</v>
      </c>
      <c r="K344" s="1" t="s">
        <v>31</v>
      </c>
    </row>
    <row r="345" spans="1:13" ht="20.100000000000001" hidden="1" customHeight="1" outlineLevel="1" x14ac:dyDescent="0.2">
      <c r="A345" s="93">
        <v>39083</v>
      </c>
      <c r="B345" s="86">
        <v>71990.616999999998</v>
      </c>
      <c r="C345" s="86">
        <v>72594.395999999993</v>
      </c>
      <c r="D345" s="86">
        <v>-603.779</v>
      </c>
      <c r="E345" s="92">
        <f t="shared" ref="E345:E356" si="58">D345/G344*100</f>
        <v>-0.4014153181078392</v>
      </c>
      <c r="F345" s="86">
        <f>(G345-G343-D345)</f>
        <v>872.72900000001164</v>
      </c>
      <c r="G345" s="86">
        <v>150681.49600000001</v>
      </c>
      <c r="H345" s="6"/>
      <c r="I345" s="1" t="s">
        <v>50</v>
      </c>
      <c r="J345" s="1" t="s">
        <v>51</v>
      </c>
      <c r="K345" s="1" t="s">
        <v>31</v>
      </c>
      <c r="M345" s="6"/>
    </row>
    <row r="346" spans="1:13" hidden="1" outlineLevel="1" x14ac:dyDescent="0.2">
      <c r="A346" s="93">
        <v>39114</v>
      </c>
      <c r="B346" s="86">
        <v>65164.237999999998</v>
      </c>
      <c r="C346" s="86">
        <v>64277.97</v>
      </c>
      <c r="D346" s="86">
        <v>886.26800000000003</v>
      </c>
      <c r="E346" s="92">
        <f t="shared" si="58"/>
        <v>0.58817308264579482</v>
      </c>
      <c r="F346" s="86">
        <f t="shared" ref="F346:F356" si="59">(G346-G345-D346)</f>
        <v>970.40799999997762</v>
      </c>
      <c r="G346" s="86">
        <v>152538.17199999999</v>
      </c>
      <c r="H346" s="6"/>
      <c r="I346" s="1" t="s">
        <v>50</v>
      </c>
      <c r="J346" s="1" t="s">
        <v>51</v>
      </c>
      <c r="K346" s="1" t="s">
        <v>31</v>
      </c>
      <c r="M346" s="6"/>
    </row>
    <row r="347" spans="1:13" hidden="1" outlineLevel="1" x14ac:dyDescent="0.2">
      <c r="A347" s="93">
        <v>39142</v>
      </c>
      <c r="B347" s="86">
        <v>73418.024999999994</v>
      </c>
      <c r="C347" s="86">
        <v>72298.376999999993</v>
      </c>
      <c r="D347" s="86">
        <v>1119.6479999999999</v>
      </c>
      <c r="E347" s="92">
        <f t="shared" si="58"/>
        <v>0.73401168069589817</v>
      </c>
      <c r="F347" s="86">
        <f t="shared" si="59"/>
        <v>815.62600000000498</v>
      </c>
      <c r="G347" s="86">
        <v>154473.446</v>
      </c>
      <c r="H347" s="6"/>
      <c r="I347" s="1" t="s">
        <v>50</v>
      </c>
      <c r="J347" s="1" t="s">
        <v>51</v>
      </c>
      <c r="K347" s="1" t="s">
        <v>31</v>
      </c>
      <c r="M347" s="6"/>
    </row>
    <row r="348" spans="1:13" hidden="1" outlineLevel="1" x14ac:dyDescent="0.2">
      <c r="A348" s="93">
        <v>39173</v>
      </c>
      <c r="B348" s="86">
        <v>73330.038</v>
      </c>
      <c r="C348" s="86">
        <v>71638.581000000006</v>
      </c>
      <c r="D348" s="86">
        <v>1691.4570000000001</v>
      </c>
      <c r="E348" s="92">
        <f t="shared" si="58"/>
        <v>1.0949823699796275</v>
      </c>
      <c r="F348" s="86">
        <f t="shared" si="59"/>
        <v>927.67000000000758</v>
      </c>
      <c r="G348" s="86">
        <v>157092.573</v>
      </c>
      <c r="H348" s="6"/>
      <c r="I348" s="1" t="s">
        <v>50</v>
      </c>
      <c r="J348" s="1" t="s">
        <v>51</v>
      </c>
      <c r="K348" s="1" t="s">
        <v>31</v>
      </c>
      <c r="M348" s="6"/>
    </row>
    <row r="349" spans="1:13" hidden="1" outlineLevel="1" x14ac:dyDescent="0.2">
      <c r="A349" s="93">
        <v>39203</v>
      </c>
      <c r="B349" s="86">
        <v>78155.11</v>
      </c>
      <c r="C349" s="86">
        <v>77119.202999999994</v>
      </c>
      <c r="D349" s="86">
        <v>1035.9069999999999</v>
      </c>
      <c r="E349" s="92">
        <f t="shared" si="58"/>
        <v>0.65942455471780959</v>
      </c>
      <c r="F349" s="86">
        <f t="shared" si="59"/>
        <v>905.19000000000892</v>
      </c>
      <c r="G349" s="86">
        <v>159033.67000000001</v>
      </c>
      <c r="H349" s="6"/>
      <c r="I349" s="1" t="s">
        <v>50</v>
      </c>
      <c r="J349" s="1" t="s">
        <v>51</v>
      </c>
      <c r="K349" s="1" t="s">
        <v>31</v>
      </c>
      <c r="M349" s="6"/>
    </row>
    <row r="350" spans="1:13" hidden="1" outlineLevel="1" x14ac:dyDescent="0.2">
      <c r="A350" s="93">
        <v>39234</v>
      </c>
      <c r="B350" s="86">
        <v>74737.952000000005</v>
      </c>
      <c r="C350" s="86">
        <v>72892.932000000001</v>
      </c>
      <c r="D350" s="86">
        <v>1845.02</v>
      </c>
      <c r="E350" s="92">
        <f t="shared" si="58"/>
        <v>1.1601442637901771</v>
      </c>
      <c r="F350" s="86">
        <f t="shared" si="59"/>
        <v>935.64999999998372</v>
      </c>
      <c r="G350" s="86">
        <v>161814.34</v>
      </c>
      <c r="H350" s="6"/>
      <c r="I350" s="1" t="s">
        <v>50</v>
      </c>
      <c r="J350" s="1" t="s">
        <v>51</v>
      </c>
      <c r="K350" s="1" t="s">
        <v>31</v>
      </c>
      <c r="M350" s="6"/>
    </row>
    <row r="351" spans="1:13" hidden="1" outlineLevel="1" x14ac:dyDescent="0.2">
      <c r="A351" s="93">
        <v>39264</v>
      </c>
      <c r="B351" s="86">
        <v>82057.676999999996</v>
      </c>
      <c r="C351" s="86">
        <v>79362.493999999992</v>
      </c>
      <c r="D351" s="86">
        <v>2695.183</v>
      </c>
      <c r="E351" s="92">
        <f t="shared" si="58"/>
        <v>1.6656020721031277</v>
      </c>
      <c r="F351" s="86">
        <f t="shared" si="59"/>
        <v>911.13100000001305</v>
      </c>
      <c r="G351" s="86">
        <v>165420.65400000001</v>
      </c>
      <c r="H351" s="6"/>
      <c r="I351" s="1" t="s">
        <v>50</v>
      </c>
      <c r="J351" s="1" t="s">
        <v>51</v>
      </c>
      <c r="K351" s="1" t="s">
        <v>31</v>
      </c>
      <c r="M351" s="6"/>
    </row>
    <row r="352" spans="1:13" hidden="1" outlineLevel="1" x14ac:dyDescent="0.2">
      <c r="A352" s="93">
        <v>39295</v>
      </c>
      <c r="B352" s="86">
        <v>85440.428</v>
      </c>
      <c r="C352" s="86">
        <v>83062.62</v>
      </c>
      <c r="D352" s="86">
        <v>2377.808</v>
      </c>
      <c r="E352" s="92">
        <f t="shared" si="58"/>
        <v>1.4374311444809063</v>
      </c>
      <c r="F352" s="86">
        <f t="shared" si="59"/>
        <v>946.48499999997603</v>
      </c>
      <c r="G352" s="86">
        <v>168744.94699999999</v>
      </c>
      <c r="H352" s="6"/>
      <c r="I352" s="1" t="s">
        <v>50</v>
      </c>
      <c r="J352" s="1" t="s">
        <v>51</v>
      </c>
      <c r="K352" s="1" t="s">
        <v>31</v>
      </c>
      <c r="M352" s="6"/>
    </row>
    <row r="353" spans="1:13" hidden="1" outlineLevel="1" x14ac:dyDescent="0.2">
      <c r="A353" s="93">
        <v>39326</v>
      </c>
      <c r="B353" s="86">
        <v>76052.525999999998</v>
      </c>
      <c r="C353" s="86">
        <v>72620.690999999992</v>
      </c>
      <c r="D353" s="86">
        <v>3431.835</v>
      </c>
      <c r="E353" s="92">
        <f t="shared" si="58"/>
        <v>2.0337408977348521</v>
      </c>
      <c r="F353" s="86">
        <f t="shared" si="59"/>
        <v>925.34200000002511</v>
      </c>
      <c r="G353" s="86">
        <v>173102.12400000001</v>
      </c>
      <c r="H353" s="6"/>
      <c r="I353" s="1" t="s">
        <v>50</v>
      </c>
      <c r="J353" s="1" t="s">
        <v>51</v>
      </c>
      <c r="K353" s="1" t="s">
        <v>31</v>
      </c>
      <c r="M353" s="6"/>
    </row>
    <row r="354" spans="1:13" hidden="1" outlineLevel="1" x14ac:dyDescent="0.2">
      <c r="A354" s="93">
        <v>39356</v>
      </c>
      <c r="B354" s="86">
        <v>85126.934999999998</v>
      </c>
      <c r="C354" s="86">
        <v>83651.600000000006</v>
      </c>
      <c r="D354" s="86">
        <v>1475.335</v>
      </c>
      <c r="E354" s="92">
        <f t="shared" si="58"/>
        <v>0.85229167956367768</v>
      </c>
      <c r="F354" s="86">
        <f t="shared" si="59"/>
        <v>902.8879999999981</v>
      </c>
      <c r="G354" s="86">
        <v>175480.34700000001</v>
      </c>
      <c r="H354" s="6"/>
      <c r="I354" s="1" t="s">
        <v>50</v>
      </c>
      <c r="J354" s="1" t="s">
        <v>51</v>
      </c>
      <c r="K354" s="1" t="s">
        <v>31</v>
      </c>
      <c r="M354" s="6"/>
    </row>
    <row r="355" spans="1:13" hidden="1" outlineLevel="1" x14ac:dyDescent="0.2">
      <c r="A355" s="93">
        <v>39387</v>
      </c>
      <c r="B355" s="86">
        <v>82816.528999999995</v>
      </c>
      <c r="C355" s="86">
        <v>80411.943999999989</v>
      </c>
      <c r="D355" s="86">
        <v>2404.585</v>
      </c>
      <c r="E355" s="92">
        <f t="shared" si="58"/>
        <v>1.3702873518935998</v>
      </c>
      <c r="F355" s="86">
        <f t="shared" si="59"/>
        <v>893.69099999998343</v>
      </c>
      <c r="G355" s="86">
        <v>178778.62299999999</v>
      </c>
      <c r="H355" s="6"/>
      <c r="I355" s="1" t="s">
        <v>50</v>
      </c>
      <c r="J355" s="1" t="s">
        <v>51</v>
      </c>
      <c r="K355" s="1" t="s">
        <v>31</v>
      </c>
      <c r="M355" s="6"/>
    </row>
    <row r="356" spans="1:13" hidden="1" outlineLevel="1" x14ac:dyDescent="0.2">
      <c r="A356" s="93">
        <v>39417</v>
      </c>
      <c r="B356" s="86">
        <v>100226.96400000001</v>
      </c>
      <c r="C356" s="86">
        <v>92092.631000000008</v>
      </c>
      <c r="D356" s="86">
        <v>8134.3329999999996</v>
      </c>
      <c r="E356" s="92">
        <f t="shared" si="58"/>
        <v>4.5499472271916979</v>
      </c>
      <c r="F356" s="86">
        <f t="shared" si="59"/>
        <v>914.30800000000363</v>
      </c>
      <c r="G356" s="86">
        <v>187827.264</v>
      </c>
      <c r="H356" s="6"/>
      <c r="I356" s="1" t="s">
        <v>50</v>
      </c>
      <c r="J356" s="1" t="s">
        <v>51</v>
      </c>
      <c r="K356" s="1" t="s">
        <v>31</v>
      </c>
      <c r="M356" s="6"/>
    </row>
    <row r="357" spans="1:13" hidden="1" collapsed="1" x14ac:dyDescent="0.2">
      <c r="A357" s="83" t="s">
        <v>65</v>
      </c>
      <c r="B357" s="84">
        <f>SUM(B345:B356)</f>
        <v>948517.03899999987</v>
      </c>
      <c r="C357" s="84">
        <f>SUM(C345:C356)</f>
        <v>922023.4389999999</v>
      </c>
      <c r="D357" s="84">
        <f>SUM(D345:D356)</f>
        <v>26493.599999999999</v>
      </c>
      <c r="E357" s="91">
        <f>(D357/G344*100)</f>
        <v>17.613956218785098</v>
      </c>
      <c r="F357" s="84">
        <f>SUM(F345:F356)</f>
        <v>10921.117999999995</v>
      </c>
      <c r="G357" s="85">
        <f>G356</f>
        <v>187827.264</v>
      </c>
      <c r="I357" s="1" t="s">
        <v>50</v>
      </c>
      <c r="J357" s="1" t="s">
        <v>51</v>
      </c>
      <c r="K357" s="1" t="s">
        <v>31</v>
      </c>
    </row>
    <row r="358" spans="1:13" ht="20.100000000000001" hidden="1" customHeight="1" outlineLevel="1" x14ac:dyDescent="0.2">
      <c r="A358" s="93">
        <v>39448</v>
      </c>
      <c r="B358" s="86">
        <v>93799.671000000002</v>
      </c>
      <c r="C358" s="86">
        <v>93773.854999999996</v>
      </c>
      <c r="D358" s="86">
        <v>25.815999999999999</v>
      </c>
      <c r="E358" s="92">
        <f t="shared" ref="E358:E369" si="60">D358/G357*100</f>
        <v>1.3744543497157046E-2</v>
      </c>
      <c r="F358" s="86">
        <f>(G358-G356-D358)</f>
        <v>952.72900000001277</v>
      </c>
      <c r="G358" s="86">
        <v>188805.80900000001</v>
      </c>
      <c r="H358" s="6"/>
      <c r="I358" s="1" t="s">
        <v>50</v>
      </c>
      <c r="J358" s="1" t="s">
        <v>51</v>
      </c>
      <c r="K358" s="1" t="s">
        <v>31</v>
      </c>
      <c r="M358" s="6"/>
    </row>
    <row r="359" spans="1:13" hidden="1" outlineLevel="1" x14ac:dyDescent="0.2">
      <c r="A359" s="93">
        <v>39479</v>
      </c>
      <c r="B359" s="86">
        <v>84517.081000000006</v>
      </c>
      <c r="C359" s="86">
        <v>83395.476999999999</v>
      </c>
      <c r="D359" s="86">
        <v>1121.604</v>
      </c>
      <c r="E359" s="92">
        <f t="shared" si="60"/>
        <v>0.59405163746842127</v>
      </c>
      <c r="F359" s="86">
        <f t="shared" ref="F359:F369" si="61">(G359-G358-D359)</f>
        <v>963.67599999999879</v>
      </c>
      <c r="G359" s="86">
        <v>190891.08900000001</v>
      </c>
      <c r="H359" s="6"/>
      <c r="I359" s="1" t="s">
        <v>50</v>
      </c>
      <c r="J359" s="1" t="s">
        <v>51</v>
      </c>
      <c r="K359" s="1" t="s">
        <v>31</v>
      </c>
      <c r="M359" s="6"/>
    </row>
    <row r="360" spans="1:13" hidden="1" outlineLevel="1" x14ac:dyDescent="0.2">
      <c r="A360" s="93">
        <v>39508</v>
      </c>
      <c r="B360" s="86">
        <v>90046.629000000001</v>
      </c>
      <c r="C360" s="86">
        <v>89062.891000000003</v>
      </c>
      <c r="D360" s="86">
        <v>983.73800000000006</v>
      </c>
      <c r="E360" s="92">
        <f t="shared" si="60"/>
        <v>0.51533992767991388</v>
      </c>
      <c r="F360" s="86">
        <f t="shared" si="61"/>
        <v>960.56600000000367</v>
      </c>
      <c r="G360" s="86">
        <v>192835.39300000001</v>
      </c>
      <c r="H360" s="6"/>
      <c r="I360" s="1" t="s">
        <v>50</v>
      </c>
      <c r="J360" s="1" t="s">
        <v>51</v>
      </c>
      <c r="K360" s="1" t="s">
        <v>31</v>
      </c>
      <c r="M360" s="6"/>
    </row>
    <row r="361" spans="1:13" hidden="1" outlineLevel="1" x14ac:dyDescent="0.2">
      <c r="A361" s="93">
        <v>39539</v>
      </c>
      <c r="B361" s="86">
        <v>95837.111999999994</v>
      </c>
      <c r="C361" s="86">
        <v>97850.382999999987</v>
      </c>
      <c r="D361" s="86">
        <v>-2013.271</v>
      </c>
      <c r="E361" s="92">
        <f t="shared" si="60"/>
        <v>-1.0440360395874009</v>
      </c>
      <c r="F361" s="86">
        <f t="shared" si="61"/>
        <v>1016.7300000000025</v>
      </c>
      <c r="G361" s="86">
        <v>191838.85200000001</v>
      </c>
      <c r="H361" s="6"/>
      <c r="I361" s="1" t="s">
        <v>50</v>
      </c>
      <c r="J361" s="1" t="s">
        <v>51</v>
      </c>
      <c r="K361" s="1" t="s">
        <v>31</v>
      </c>
      <c r="M361" s="6"/>
    </row>
    <row r="362" spans="1:13" hidden="1" outlineLevel="1" x14ac:dyDescent="0.2">
      <c r="A362" s="93">
        <v>39569</v>
      </c>
      <c r="B362" s="86">
        <v>88911.63</v>
      </c>
      <c r="C362" s="86">
        <v>87753.324000000008</v>
      </c>
      <c r="D362" s="86">
        <v>1158.306</v>
      </c>
      <c r="E362" s="92">
        <f t="shared" si="60"/>
        <v>0.60379114445493032</v>
      </c>
      <c r="F362" s="86">
        <f t="shared" si="61"/>
        <v>987.99799999997458</v>
      </c>
      <c r="G362" s="86">
        <v>193985.15599999999</v>
      </c>
      <c r="H362" s="6"/>
      <c r="I362" s="1" t="s">
        <v>50</v>
      </c>
      <c r="J362" s="1" t="s">
        <v>51</v>
      </c>
      <c r="K362" s="1" t="s">
        <v>31</v>
      </c>
      <c r="M362" s="6"/>
    </row>
    <row r="363" spans="1:13" hidden="1" outlineLevel="1" x14ac:dyDescent="0.2">
      <c r="A363" s="93">
        <v>39600</v>
      </c>
      <c r="B363" s="86">
        <v>91867.442999999999</v>
      </c>
      <c r="C363" s="86">
        <v>90528.959000000003</v>
      </c>
      <c r="D363" s="86">
        <v>1338.4839999999999</v>
      </c>
      <c r="E363" s="92">
        <f t="shared" si="60"/>
        <v>0.68999300132016284</v>
      </c>
      <c r="F363" s="86">
        <f t="shared" si="61"/>
        <v>1097.726000000021</v>
      </c>
      <c r="G363" s="86">
        <v>196421.36600000001</v>
      </c>
      <c r="H363" s="6"/>
      <c r="I363" s="1" t="s">
        <v>50</v>
      </c>
      <c r="J363" s="1" t="s">
        <v>51</v>
      </c>
      <c r="K363" s="1" t="s">
        <v>31</v>
      </c>
      <c r="M363" s="6"/>
    </row>
    <row r="364" spans="1:13" hidden="1" outlineLevel="1" x14ac:dyDescent="0.2">
      <c r="A364" s="93">
        <v>39630</v>
      </c>
      <c r="B364" s="86">
        <v>92089.070999999996</v>
      </c>
      <c r="C364" s="86">
        <v>90463.641000000003</v>
      </c>
      <c r="D364" s="86">
        <v>1625.43</v>
      </c>
      <c r="E364" s="92">
        <f t="shared" si="60"/>
        <v>0.82752199167579354</v>
      </c>
      <c r="F364" s="86">
        <f t="shared" si="61"/>
        <v>1156.8189999999815</v>
      </c>
      <c r="G364" s="86">
        <v>199203.61499999999</v>
      </c>
      <c r="H364" s="6"/>
      <c r="I364" s="1" t="s">
        <v>50</v>
      </c>
      <c r="J364" s="1" t="s">
        <v>51</v>
      </c>
      <c r="K364" s="1" t="s">
        <v>31</v>
      </c>
      <c r="M364" s="6"/>
    </row>
    <row r="365" spans="1:13" hidden="1" outlineLevel="1" x14ac:dyDescent="0.2">
      <c r="A365" s="93">
        <v>39661</v>
      </c>
      <c r="B365" s="86">
        <v>82192.100999999995</v>
      </c>
      <c r="C365" s="86">
        <v>80445.870999999999</v>
      </c>
      <c r="D365" s="86">
        <v>1746.23</v>
      </c>
      <c r="E365" s="92">
        <f t="shared" si="60"/>
        <v>0.87660557766484315</v>
      </c>
      <c r="F365" s="86">
        <f t="shared" si="61"/>
        <v>1252.3880000000167</v>
      </c>
      <c r="G365" s="86">
        <v>202202.23300000001</v>
      </c>
      <c r="H365" s="6"/>
      <c r="I365" s="1" t="s">
        <v>50</v>
      </c>
      <c r="J365" s="1" t="s">
        <v>51</v>
      </c>
      <c r="K365" s="1" t="s">
        <v>31</v>
      </c>
      <c r="M365" s="6"/>
    </row>
    <row r="366" spans="1:13" hidden="1" outlineLevel="1" x14ac:dyDescent="0.2">
      <c r="A366" s="93">
        <v>39692</v>
      </c>
      <c r="B366" s="86">
        <v>86615.925000000003</v>
      </c>
      <c r="C366" s="86">
        <v>84833.775000000009</v>
      </c>
      <c r="D366" s="86">
        <v>1782.15</v>
      </c>
      <c r="E366" s="92">
        <f t="shared" si="60"/>
        <v>0.881370088529141</v>
      </c>
      <c r="F366" s="86">
        <f t="shared" si="61"/>
        <v>1315.271000000002</v>
      </c>
      <c r="G366" s="86">
        <v>205299.65400000001</v>
      </c>
      <c r="H366" s="6"/>
      <c r="I366" s="1" t="s">
        <v>50</v>
      </c>
      <c r="J366" s="1" t="s">
        <v>51</v>
      </c>
      <c r="K366" s="1" t="s">
        <v>31</v>
      </c>
      <c r="M366" s="6"/>
    </row>
    <row r="367" spans="1:13" hidden="1" outlineLevel="1" x14ac:dyDescent="0.2">
      <c r="A367" s="93">
        <v>39722</v>
      </c>
      <c r="B367" s="86">
        <v>78777.501000000004</v>
      </c>
      <c r="C367" s="86">
        <v>79173.11</v>
      </c>
      <c r="D367" s="86">
        <v>-395.60899999999998</v>
      </c>
      <c r="E367" s="92">
        <f t="shared" si="60"/>
        <v>-0.19269832768446848</v>
      </c>
      <c r="F367" s="86">
        <f t="shared" si="61"/>
        <v>1297.3109999999901</v>
      </c>
      <c r="G367" s="86">
        <v>206201.356</v>
      </c>
      <c r="H367" s="6"/>
      <c r="I367" s="1" t="s">
        <v>50</v>
      </c>
      <c r="J367" s="1" t="s">
        <v>51</v>
      </c>
      <c r="K367" s="1" t="s">
        <v>31</v>
      </c>
      <c r="M367" s="6"/>
    </row>
    <row r="368" spans="1:13" hidden="1" outlineLevel="1" x14ac:dyDescent="0.2">
      <c r="A368" s="93">
        <v>39753</v>
      </c>
      <c r="B368" s="86">
        <v>72872.639999999999</v>
      </c>
      <c r="C368" s="86">
        <v>70690.17</v>
      </c>
      <c r="D368" s="86">
        <v>2182.4699999999998</v>
      </c>
      <c r="E368" s="92">
        <f t="shared" si="60"/>
        <v>1.0584169000324128</v>
      </c>
      <c r="F368" s="86">
        <f t="shared" si="61"/>
        <v>1351.9890000000028</v>
      </c>
      <c r="G368" s="86">
        <v>209735.815</v>
      </c>
      <c r="H368" s="6"/>
      <c r="I368" s="1" t="s">
        <v>50</v>
      </c>
      <c r="J368" s="1" t="s">
        <v>51</v>
      </c>
      <c r="K368" s="1" t="s">
        <v>31</v>
      </c>
      <c r="M368" s="6"/>
    </row>
    <row r="369" spans="1:13" hidden="1" outlineLevel="1" x14ac:dyDescent="0.2">
      <c r="A369" s="93">
        <v>39783</v>
      </c>
      <c r="B369" s="86">
        <v>90037.27</v>
      </c>
      <c r="C369" s="86">
        <v>85691.90800000001</v>
      </c>
      <c r="D369" s="86">
        <v>4345.3620000000001</v>
      </c>
      <c r="E369" s="92">
        <f t="shared" si="60"/>
        <v>2.0718264069491421</v>
      </c>
      <c r="F369" s="86">
        <f t="shared" si="61"/>
        <v>1319.1050000000041</v>
      </c>
      <c r="G369" s="86">
        <v>215400.28200000001</v>
      </c>
      <c r="H369" s="6"/>
      <c r="I369" s="1" t="s">
        <v>50</v>
      </c>
      <c r="J369" s="1" t="s">
        <v>51</v>
      </c>
      <c r="K369" s="1" t="s">
        <v>31</v>
      </c>
      <c r="M369" s="6"/>
    </row>
    <row r="370" spans="1:13" hidden="1" collapsed="1" x14ac:dyDescent="0.2">
      <c r="A370" s="83" t="s">
        <v>66</v>
      </c>
      <c r="B370" s="84">
        <f>SUM(B358:B369)</f>
        <v>1047564.0740000001</v>
      </c>
      <c r="C370" s="84">
        <f>SUM(C358:C369)</f>
        <v>1033663.3640000002</v>
      </c>
      <c r="D370" s="84">
        <f>SUM(D358:D369)</f>
        <v>13900.71</v>
      </c>
      <c r="E370" s="91">
        <f>(D370/G357*100)</f>
        <v>7.4007945939094339</v>
      </c>
      <c r="F370" s="84">
        <f>SUM(F358:F369)</f>
        <v>13672.308000000012</v>
      </c>
      <c r="G370" s="85">
        <f>G369</f>
        <v>215400.28200000001</v>
      </c>
      <c r="I370" s="1" t="s">
        <v>50</v>
      </c>
      <c r="J370" s="1" t="s">
        <v>51</v>
      </c>
      <c r="K370" s="1" t="s">
        <v>31</v>
      </c>
    </row>
    <row r="371" spans="1:13" hidden="1" outlineLevel="1" x14ac:dyDescent="0.2">
      <c r="A371" s="93">
        <v>39814</v>
      </c>
      <c r="B371" s="86">
        <v>67070.463999999993</v>
      </c>
      <c r="C371" s="86">
        <v>67968.884999999995</v>
      </c>
      <c r="D371" s="86">
        <v>-898.42100000000005</v>
      </c>
      <c r="E371" s="92">
        <f t="shared" ref="E371:E382" si="62">D371/G370*100</f>
        <v>-0.41709369721252265</v>
      </c>
      <c r="F371" s="86">
        <f>(G371-G369-D371)</f>
        <v>1316.0179999999798</v>
      </c>
      <c r="G371" s="86">
        <v>215817.87899999999</v>
      </c>
      <c r="H371" s="6"/>
      <c r="I371" s="1" t="s">
        <v>50</v>
      </c>
      <c r="J371" s="1" t="s">
        <v>51</v>
      </c>
      <c r="K371" s="1" t="s">
        <v>31</v>
      </c>
      <c r="M371" s="6"/>
    </row>
    <row r="372" spans="1:13" hidden="1" outlineLevel="1" x14ac:dyDescent="0.2">
      <c r="A372" s="93">
        <v>39845</v>
      </c>
      <c r="B372" s="86">
        <v>70288.935000000012</v>
      </c>
      <c r="C372" s="86">
        <v>69379.647000000012</v>
      </c>
      <c r="D372" s="86">
        <v>909.28800000000001</v>
      </c>
      <c r="E372" s="92">
        <f t="shared" si="62"/>
        <v>0.42132190540154463</v>
      </c>
      <c r="F372" s="86">
        <f t="shared" ref="F372:F381" si="63">(G372-G371-D372)</f>
        <v>1310.5489999999995</v>
      </c>
      <c r="G372" s="86">
        <v>218037.71599999999</v>
      </c>
      <c r="H372" s="6"/>
      <c r="I372" s="1" t="s">
        <v>50</v>
      </c>
      <c r="J372" s="1" t="s">
        <v>51</v>
      </c>
      <c r="K372" s="1" t="s">
        <v>31</v>
      </c>
      <c r="M372" s="6"/>
    </row>
    <row r="373" spans="1:13" hidden="1" outlineLevel="1" x14ac:dyDescent="0.2">
      <c r="A373" s="93">
        <v>39873</v>
      </c>
      <c r="B373" s="86">
        <v>71397.091000000015</v>
      </c>
      <c r="C373" s="86">
        <v>72283.750000000015</v>
      </c>
      <c r="D373" s="86">
        <v>-886.65899999999999</v>
      </c>
      <c r="E373" s="92">
        <f t="shared" si="62"/>
        <v>-0.40665395706126373</v>
      </c>
      <c r="F373" s="86">
        <f t="shared" si="63"/>
        <v>1185.7840000000001</v>
      </c>
      <c r="G373" s="86">
        <v>218336.84099999999</v>
      </c>
      <c r="H373" s="6"/>
      <c r="I373" s="1" t="s">
        <v>50</v>
      </c>
      <c r="J373" s="1" t="s">
        <v>51</v>
      </c>
      <c r="K373" s="1" t="s">
        <v>31</v>
      </c>
      <c r="M373" s="6"/>
    </row>
    <row r="374" spans="1:13" hidden="1" outlineLevel="1" x14ac:dyDescent="0.2">
      <c r="A374" s="93">
        <v>39904</v>
      </c>
      <c r="B374" s="86">
        <v>80004.606999999989</v>
      </c>
      <c r="C374" s="86">
        <v>80525.318999999989</v>
      </c>
      <c r="D374" s="86">
        <v>-520.71199999999999</v>
      </c>
      <c r="E374" s="92">
        <f t="shared" si="62"/>
        <v>-0.23849021430148842</v>
      </c>
      <c r="F374" s="86">
        <f t="shared" si="63"/>
        <v>1240.2590000000205</v>
      </c>
      <c r="G374" s="86">
        <v>219056.38800000001</v>
      </c>
      <c r="H374" s="6"/>
      <c r="I374" s="1" t="s">
        <v>50</v>
      </c>
      <c r="J374" s="1" t="s">
        <v>51</v>
      </c>
      <c r="K374" s="1" t="s">
        <v>31</v>
      </c>
      <c r="M374" s="6"/>
    </row>
    <row r="375" spans="1:13" hidden="1" outlineLevel="1" x14ac:dyDescent="0.2">
      <c r="A375" s="93">
        <v>39934</v>
      </c>
      <c r="B375" s="86">
        <v>68000.274999999994</v>
      </c>
      <c r="C375" s="86">
        <v>66624.618000000002</v>
      </c>
      <c r="D375" s="86">
        <v>1375.6569999999999</v>
      </c>
      <c r="E375" s="92">
        <f t="shared" si="62"/>
        <v>0.62799218619454278</v>
      </c>
      <c r="F375" s="86">
        <f t="shared" si="63"/>
        <v>1083.9950000000019</v>
      </c>
      <c r="G375" s="86">
        <v>221516.04</v>
      </c>
      <c r="H375" s="6"/>
      <c r="I375" s="1" t="s">
        <v>50</v>
      </c>
      <c r="J375" s="1" t="s">
        <v>51</v>
      </c>
      <c r="K375" s="1" t="s">
        <v>31</v>
      </c>
      <c r="M375" s="6"/>
    </row>
    <row r="376" spans="1:13" hidden="1" outlineLevel="1" x14ac:dyDescent="0.2">
      <c r="A376" s="93">
        <v>39965</v>
      </c>
      <c r="B376" s="86">
        <v>71712.103000000003</v>
      </c>
      <c r="C376" s="86">
        <v>69921.294999999998</v>
      </c>
      <c r="D376" s="86">
        <v>1790.808</v>
      </c>
      <c r="E376" s="92">
        <f t="shared" si="62"/>
        <v>0.80843265345480164</v>
      </c>
      <c r="F376" s="86">
        <f t="shared" si="63"/>
        <v>1210.7009999999909</v>
      </c>
      <c r="G376" s="86">
        <v>224517.549</v>
      </c>
      <c r="H376" s="6"/>
      <c r="I376" s="1" t="s">
        <v>50</v>
      </c>
      <c r="J376" s="1" t="s">
        <v>51</v>
      </c>
      <c r="K376" s="1" t="s">
        <v>31</v>
      </c>
      <c r="M376" s="6"/>
    </row>
    <row r="377" spans="1:13" hidden="1" outlineLevel="1" x14ac:dyDescent="0.2">
      <c r="A377" s="93">
        <v>39995</v>
      </c>
      <c r="B377" s="86">
        <v>77476.566999999995</v>
      </c>
      <c r="C377" s="86">
        <v>72378.263999999996</v>
      </c>
      <c r="D377" s="86">
        <v>5098.3029999999999</v>
      </c>
      <c r="E377" s="92">
        <f t="shared" si="62"/>
        <v>2.2707815147224859</v>
      </c>
      <c r="F377" s="86">
        <f t="shared" si="63"/>
        <v>1164.846000000005</v>
      </c>
      <c r="G377" s="86">
        <v>230780.698</v>
      </c>
      <c r="H377" s="6"/>
      <c r="I377" s="1" t="s">
        <v>50</v>
      </c>
      <c r="J377" s="1" t="s">
        <v>51</v>
      </c>
      <c r="K377" s="1" t="s">
        <v>31</v>
      </c>
      <c r="M377" s="6"/>
    </row>
    <row r="378" spans="1:13" hidden="1" outlineLevel="1" x14ac:dyDescent="0.2">
      <c r="A378" s="93">
        <v>40026</v>
      </c>
      <c r="B378" s="86">
        <v>71440.225999999995</v>
      </c>
      <c r="C378" s="86">
        <v>69923.816999999995</v>
      </c>
      <c r="D378" s="86">
        <v>1516.4090000000001</v>
      </c>
      <c r="E378" s="92">
        <f t="shared" si="62"/>
        <v>0.65707791558893724</v>
      </c>
      <c r="F378" s="86">
        <f t="shared" si="63"/>
        <v>1194.752999999982</v>
      </c>
      <c r="G378" s="86">
        <v>233491.86</v>
      </c>
      <c r="H378" s="6"/>
      <c r="I378" s="1" t="s">
        <v>50</v>
      </c>
      <c r="J378" s="1" t="s">
        <v>51</v>
      </c>
      <c r="K378" s="1" t="s">
        <v>31</v>
      </c>
      <c r="M378" s="6"/>
    </row>
    <row r="379" spans="1:13" hidden="1" outlineLevel="1" x14ac:dyDescent="0.2">
      <c r="A379" s="93">
        <v>40057</v>
      </c>
      <c r="B379" s="86">
        <v>73326.270999999993</v>
      </c>
      <c r="C379" s="86">
        <v>69797.659</v>
      </c>
      <c r="D379" s="86">
        <v>3528.6120000000001</v>
      </c>
      <c r="E379" s="92">
        <f t="shared" si="62"/>
        <v>1.5112355522800669</v>
      </c>
      <c r="F379" s="86">
        <f t="shared" si="63"/>
        <v>1153.1390000000183</v>
      </c>
      <c r="G379" s="86">
        <v>238173.611</v>
      </c>
      <c r="H379" s="6"/>
      <c r="I379" s="1" t="s">
        <v>50</v>
      </c>
      <c r="J379" s="1" t="s">
        <v>51</v>
      </c>
      <c r="K379" s="1" t="s">
        <v>31</v>
      </c>
      <c r="M379" s="6"/>
    </row>
    <row r="380" spans="1:13" hidden="1" outlineLevel="1" x14ac:dyDescent="0.2">
      <c r="A380" s="93">
        <v>40087</v>
      </c>
      <c r="B380" s="86">
        <v>71497.248000000007</v>
      </c>
      <c r="C380" s="86">
        <v>70821.597999999998</v>
      </c>
      <c r="D380" s="86">
        <v>675.65</v>
      </c>
      <c r="E380" s="92">
        <f t="shared" si="62"/>
        <v>0.28367962225672433</v>
      </c>
      <c r="F380" s="86">
        <f t="shared" si="63"/>
        <v>1172.1329999999957</v>
      </c>
      <c r="G380" s="86">
        <v>240021.394</v>
      </c>
      <c r="H380" s="6"/>
      <c r="I380" s="1" t="s">
        <v>50</v>
      </c>
      <c r="J380" s="1" t="s">
        <v>51</v>
      </c>
      <c r="K380" s="1" t="s">
        <v>31</v>
      </c>
      <c r="M380" s="6"/>
    </row>
    <row r="381" spans="1:13" hidden="1" outlineLevel="1" x14ac:dyDescent="0.2">
      <c r="A381" s="93">
        <v>40118</v>
      </c>
      <c r="B381" s="86">
        <v>87579.657999999996</v>
      </c>
      <c r="C381" s="86">
        <v>83525.05</v>
      </c>
      <c r="D381" s="86">
        <v>4054.6080000000002</v>
      </c>
      <c r="E381" s="92">
        <f t="shared" si="62"/>
        <v>1.6892694157088348</v>
      </c>
      <c r="F381" s="86">
        <f t="shared" si="63"/>
        <v>1203.9439999999959</v>
      </c>
      <c r="G381" s="86">
        <v>245279.946</v>
      </c>
      <c r="H381" s="6"/>
      <c r="I381" s="1" t="s">
        <v>50</v>
      </c>
      <c r="J381" s="1" t="s">
        <v>51</v>
      </c>
      <c r="K381" s="1" t="s">
        <v>31</v>
      </c>
      <c r="M381" s="6"/>
    </row>
    <row r="382" spans="1:13" hidden="1" outlineLevel="1" x14ac:dyDescent="0.2">
      <c r="A382" s="93">
        <v>40148</v>
      </c>
      <c r="B382" s="86">
        <v>96799.563999999998</v>
      </c>
      <c r="C382" s="86">
        <v>89630.073999999993</v>
      </c>
      <c r="D382" s="86">
        <v>7169.49</v>
      </c>
      <c r="E382" s="92">
        <f t="shared" si="62"/>
        <v>2.9229825417525164</v>
      </c>
      <c r="F382" s="86">
        <f>(G382-G381-D382)</f>
        <v>1155.5440000000144</v>
      </c>
      <c r="G382" s="86">
        <v>253604.98</v>
      </c>
      <c r="H382" s="6"/>
      <c r="I382" s="1" t="s">
        <v>50</v>
      </c>
      <c r="J382" s="1" t="s">
        <v>51</v>
      </c>
      <c r="K382" s="1" t="s">
        <v>31</v>
      </c>
      <c r="M382" s="6"/>
    </row>
    <row r="383" spans="1:13" hidden="1" collapsed="1" x14ac:dyDescent="0.2">
      <c r="A383" s="83" t="s">
        <v>67</v>
      </c>
      <c r="B383" s="84">
        <f>SUM(B371:B382)</f>
        <v>906593.00899999985</v>
      </c>
      <c r="C383" s="84">
        <f>SUM(C371:C382)</f>
        <v>882779.97600000014</v>
      </c>
      <c r="D383" s="84">
        <f>SUM(D371:D382)</f>
        <v>23813.032999999996</v>
      </c>
      <c r="E383" s="91">
        <f>(D383/G370*100)</f>
        <v>11.055246900744537</v>
      </c>
      <c r="F383" s="84">
        <f>SUM(F371:F382)</f>
        <v>14391.665000000005</v>
      </c>
      <c r="G383" s="85">
        <f>G382</f>
        <v>253604.98</v>
      </c>
      <c r="I383" s="1" t="s">
        <v>50</v>
      </c>
      <c r="J383" s="1" t="s">
        <v>51</v>
      </c>
      <c r="K383" s="1" t="s">
        <v>31</v>
      </c>
      <c r="M383" s="6"/>
    </row>
    <row r="384" spans="1:13" hidden="1" outlineLevel="1" x14ac:dyDescent="0.2">
      <c r="A384" s="93">
        <v>40179</v>
      </c>
      <c r="B384" s="86">
        <v>74497.370999999999</v>
      </c>
      <c r="C384" s="86">
        <v>72657.630999999994</v>
      </c>
      <c r="D384" s="86">
        <v>1839.74</v>
      </c>
      <c r="E384" s="92">
        <f t="shared" ref="E384:E395" si="64">D384/G383*100</f>
        <v>0.72543528127878243</v>
      </c>
      <c r="F384" s="86">
        <f>(G384-G382-D384)</f>
        <v>1214.939999999993</v>
      </c>
      <c r="G384" s="86">
        <v>256659.66</v>
      </c>
      <c r="H384" s="6"/>
      <c r="I384" s="1" t="s">
        <v>50</v>
      </c>
      <c r="J384" s="1" t="s">
        <v>51</v>
      </c>
      <c r="K384" s="1" t="s">
        <v>31</v>
      </c>
      <c r="M384" s="6"/>
    </row>
    <row r="385" spans="1:13" hidden="1" outlineLevel="1" x14ac:dyDescent="0.2">
      <c r="A385" s="93">
        <v>40210</v>
      </c>
      <c r="B385" s="86">
        <v>69242.394</v>
      </c>
      <c r="C385" s="86">
        <v>68623.150999999998</v>
      </c>
      <c r="D385" s="86">
        <v>619.24300000000005</v>
      </c>
      <c r="E385" s="92">
        <f t="shared" si="64"/>
        <v>0.24127009285370363</v>
      </c>
      <c r="F385" s="86">
        <f t="shared" ref="F385:F395" si="65">(G385-G384-D385)</f>
        <v>1157.4010000000003</v>
      </c>
      <c r="G385" s="86">
        <v>258436.304</v>
      </c>
      <c r="H385" s="6"/>
      <c r="I385" s="1" t="s">
        <v>50</v>
      </c>
      <c r="J385" s="1" t="s">
        <v>51</v>
      </c>
      <c r="K385" s="1" t="s">
        <v>31</v>
      </c>
      <c r="M385" s="6"/>
    </row>
    <row r="386" spans="1:13" hidden="1" outlineLevel="1" x14ac:dyDescent="0.2">
      <c r="A386" s="93">
        <v>40238</v>
      </c>
      <c r="B386" s="86">
        <v>82446.619000000006</v>
      </c>
      <c r="C386" s="86">
        <v>82373.620999999999</v>
      </c>
      <c r="D386" s="86">
        <v>72.998000000000005</v>
      </c>
      <c r="E386" s="92">
        <f t="shared" si="64"/>
        <v>2.8246031563738817E-2</v>
      </c>
      <c r="F386" s="86">
        <f t="shared" si="65"/>
        <v>1330.3000000000097</v>
      </c>
      <c r="G386" s="86">
        <v>259839.60200000001</v>
      </c>
      <c r="H386" s="6"/>
      <c r="I386" s="1" t="s">
        <v>50</v>
      </c>
      <c r="J386" s="1" t="s">
        <v>51</v>
      </c>
      <c r="K386" s="1" t="s">
        <v>31</v>
      </c>
      <c r="M386" s="6"/>
    </row>
    <row r="387" spans="1:13" hidden="1" outlineLevel="1" x14ac:dyDescent="0.2">
      <c r="A387" s="93">
        <v>40269</v>
      </c>
      <c r="B387" s="86">
        <v>76065.125999999989</v>
      </c>
      <c r="C387" s="86">
        <v>74891.324999999983</v>
      </c>
      <c r="D387" s="86">
        <v>1173.8009999999999</v>
      </c>
      <c r="E387" s="92">
        <f t="shared" si="64"/>
        <v>0.45174060880835237</v>
      </c>
      <c r="F387" s="86">
        <f t="shared" si="65"/>
        <v>1292.3070000000075</v>
      </c>
      <c r="G387" s="86">
        <v>262305.71000000002</v>
      </c>
      <c r="H387" s="6"/>
      <c r="I387" s="1" t="s">
        <v>50</v>
      </c>
      <c r="J387" s="1" t="s">
        <v>51</v>
      </c>
      <c r="K387" s="1" t="s">
        <v>31</v>
      </c>
      <c r="M387" s="6"/>
    </row>
    <row r="388" spans="1:13" hidden="1" outlineLevel="1" x14ac:dyDescent="0.2">
      <c r="A388" s="93">
        <v>40299</v>
      </c>
      <c r="B388" s="86">
        <v>77368.099999999991</v>
      </c>
      <c r="C388" s="86">
        <v>75804.640999999989</v>
      </c>
      <c r="D388" s="86">
        <v>1563.4590000000001</v>
      </c>
      <c r="E388" s="92">
        <f t="shared" si="64"/>
        <v>0.596044592395644</v>
      </c>
      <c r="F388" s="86">
        <f t="shared" si="65"/>
        <v>1276.5429999999785</v>
      </c>
      <c r="G388" s="86">
        <v>265145.712</v>
      </c>
      <c r="H388" s="6"/>
      <c r="I388" s="1" t="s">
        <v>50</v>
      </c>
      <c r="J388" s="1" t="s">
        <v>51</v>
      </c>
      <c r="K388" s="1" t="s">
        <v>31</v>
      </c>
      <c r="M388" s="6"/>
    </row>
    <row r="389" spans="1:13" hidden="1" outlineLevel="1" x14ac:dyDescent="0.2">
      <c r="A389" s="93">
        <v>40330</v>
      </c>
      <c r="B389" s="86">
        <v>79447.483000000007</v>
      </c>
      <c r="C389" s="86">
        <v>75867.078000000009</v>
      </c>
      <c r="D389" s="86">
        <v>3580.4050000000002</v>
      </c>
      <c r="E389" s="92">
        <f t="shared" si="64"/>
        <v>1.3503537255016971</v>
      </c>
      <c r="F389" s="86">
        <f t="shared" si="65"/>
        <v>1412.4539999999965</v>
      </c>
      <c r="G389" s="86">
        <v>270138.571</v>
      </c>
      <c r="H389" s="6"/>
      <c r="I389" s="1" t="s">
        <v>50</v>
      </c>
      <c r="J389" s="1" t="s">
        <v>51</v>
      </c>
      <c r="K389" s="1" t="s">
        <v>31</v>
      </c>
      <c r="M389" s="6"/>
    </row>
    <row r="390" spans="1:13" hidden="1" outlineLevel="1" x14ac:dyDescent="0.2">
      <c r="A390" s="93">
        <v>40360</v>
      </c>
      <c r="B390" s="86">
        <v>86049.188999999998</v>
      </c>
      <c r="C390" s="86">
        <v>80716.411999999997</v>
      </c>
      <c r="D390" s="86">
        <v>5332.777</v>
      </c>
      <c r="E390" s="92">
        <f t="shared" si="64"/>
        <v>1.9740894387125487</v>
      </c>
      <c r="F390" s="86">
        <f t="shared" si="65"/>
        <v>1469.4099999999762</v>
      </c>
      <c r="G390" s="86">
        <v>276940.75799999997</v>
      </c>
      <c r="H390" s="6"/>
      <c r="I390" s="1" t="s">
        <v>50</v>
      </c>
      <c r="J390" s="1" t="s">
        <v>51</v>
      </c>
      <c r="K390" s="1" t="s">
        <v>31</v>
      </c>
      <c r="M390" s="6"/>
    </row>
    <row r="391" spans="1:13" hidden="1" outlineLevel="1" x14ac:dyDescent="0.2">
      <c r="A391" s="93">
        <v>40391</v>
      </c>
      <c r="B391" s="86">
        <v>85344.691000000006</v>
      </c>
      <c r="C391" s="86">
        <v>84159.725000000006</v>
      </c>
      <c r="D391" s="86">
        <v>1184.9659999999999</v>
      </c>
      <c r="E391" s="92">
        <f t="shared" si="64"/>
        <v>0.42787706965112016</v>
      </c>
      <c r="F391" s="86">
        <f t="shared" si="65"/>
        <v>1555.6380000000504</v>
      </c>
      <c r="G391" s="86">
        <v>279681.36200000002</v>
      </c>
      <c r="H391" s="6"/>
      <c r="I391" s="1" t="s">
        <v>50</v>
      </c>
      <c r="J391" s="1" t="s">
        <v>51</v>
      </c>
      <c r="K391" s="1" t="s">
        <v>31</v>
      </c>
      <c r="M391" s="6"/>
    </row>
    <row r="392" spans="1:13" hidden="1" outlineLevel="1" x14ac:dyDescent="0.2">
      <c r="A392" s="93">
        <v>40422</v>
      </c>
      <c r="B392" s="86">
        <v>84492.753999999986</v>
      </c>
      <c r="C392" s="86">
        <v>80730.537999999986</v>
      </c>
      <c r="D392" s="86">
        <v>3762.2159999999999</v>
      </c>
      <c r="E392" s="92">
        <f t="shared" si="64"/>
        <v>1.3451793759499782</v>
      </c>
      <c r="F392" s="86">
        <f t="shared" si="65"/>
        <v>1521.5749999999684</v>
      </c>
      <c r="G392" s="86">
        <v>284965.15299999999</v>
      </c>
      <c r="H392" s="6"/>
      <c r="I392" s="1" t="s">
        <v>50</v>
      </c>
      <c r="J392" s="1" t="s">
        <v>51</v>
      </c>
      <c r="K392" s="1" t="s">
        <v>31</v>
      </c>
      <c r="M392" s="6"/>
    </row>
    <row r="393" spans="1:13" hidden="1" outlineLevel="1" x14ac:dyDescent="0.2">
      <c r="A393" s="93">
        <v>40452</v>
      </c>
      <c r="B393" s="86">
        <v>81262.871000000014</v>
      </c>
      <c r="C393" s="86">
        <v>79090.588000000018</v>
      </c>
      <c r="D393" s="86">
        <v>2172.2829999999999</v>
      </c>
      <c r="E393" s="92">
        <f t="shared" si="64"/>
        <v>0.76229776768530011</v>
      </c>
      <c r="F393" s="86">
        <f t="shared" si="65"/>
        <v>1519.6950000000029</v>
      </c>
      <c r="G393" s="86">
        <v>288657.13099999999</v>
      </c>
      <c r="H393" s="6"/>
      <c r="I393" s="1" t="s">
        <v>50</v>
      </c>
      <c r="J393" s="1" t="s">
        <v>51</v>
      </c>
      <c r="K393" s="1" t="s">
        <v>31</v>
      </c>
      <c r="M393" s="6"/>
    </row>
    <row r="394" spans="1:13" hidden="1" outlineLevel="1" x14ac:dyDescent="0.2">
      <c r="A394" s="93">
        <v>40483</v>
      </c>
      <c r="B394" s="86">
        <v>85960.483999999997</v>
      </c>
      <c r="C394" s="86">
        <v>82550.558999999994</v>
      </c>
      <c r="D394" s="86">
        <v>3409.9250000000002</v>
      </c>
      <c r="E394" s="92">
        <f t="shared" si="64"/>
        <v>1.1813063436842655</v>
      </c>
      <c r="F394" s="86">
        <f t="shared" si="65"/>
        <v>1493.4029999999793</v>
      </c>
      <c r="G394" s="86">
        <v>293560.45899999997</v>
      </c>
      <c r="H394" s="6"/>
      <c r="I394" s="1" t="s">
        <v>50</v>
      </c>
      <c r="J394" s="1" t="s">
        <v>51</v>
      </c>
      <c r="K394" s="1" t="s">
        <v>31</v>
      </c>
      <c r="M394" s="6"/>
    </row>
    <row r="395" spans="1:13" hidden="1" outlineLevel="1" x14ac:dyDescent="0.2">
      <c r="A395" s="93">
        <v>40513</v>
      </c>
      <c r="B395" s="86">
        <v>102277.29299999998</v>
      </c>
      <c r="C395" s="86">
        <v>97475.633999999976</v>
      </c>
      <c r="D395" s="86">
        <v>4801.6589999999997</v>
      </c>
      <c r="E395" s="92">
        <f t="shared" si="64"/>
        <v>1.6356627239092851</v>
      </c>
      <c r="F395" s="86">
        <f t="shared" si="65"/>
        <v>1516.0990000000311</v>
      </c>
      <c r="G395" s="86">
        <v>299878.217</v>
      </c>
      <c r="H395" s="6"/>
      <c r="I395" s="1" t="s">
        <v>50</v>
      </c>
      <c r="J395" s="1" t="s">
        <v>51</v>
      </c>
      <c r="K395" s="1" t="s">
        <v>31</v>
      </c>
      <c r="M395" s="6"/>
    </row>
    <row r="396" spans="1:13" hidden="1" collapsed="1" x14ac:dyDescent="0.2">
      <c r="A396" s="83" t="s">
        <v>68</v>
      </c>
      <c r="B396" s="84">
        <f>SUM(B384:B395)</f>
        <v>984454.37499999988</v>
      </c>
      <c r="C396" s="84">
        <f>SUM(C384:C395)</f>
        <v>954940.90299999993</v>
      </c>
      <c r="D396" s="84">
        <f>SUM(D384:D395)</f>
        <v>29513.471999999998</v>
      </c>
      <c r="E396" s="91">
        <f>(D396/G383*100)</f>
        <v>11.637575886719572</v>
      </c>
      <c r="F396" s="84">
        <f>SUM(F384:F395)</f>
        <v>16759.764999999992</v>
      </c>
      <c r="G396" s="85">
        <f>INDEX($G$384:$G$395,COUNTA($G$384:$G$395))</f>
        <v>299878.217</v>
      </c>
      <c r="I396" s="1" t="s">
        <v>50</v>
      </c>
      <c r="J396" s="1" t="s">
        <v>51</v>
      </c>
      <c r="K396" s="1" t="s">
        <v>31</v>
      </c>
      <c r="M396" s="6"/>
    </row>
    <row r="397" spans="1:13" hidden="1" outlineLevel="1" x14ac:dyDescent="0.2">
      <c r="A397" s="93">
        <v>40544</v>
      </c>
      <c r="B397" s="86">
        <v>82396.622000000018</v>
      </c>
      <c r="C397" s="86">
        <v>82590.934000000023</v>
      </c>
      <c r="D397" s="86">
        <f t="shared" ref="D397:D402" si="66">B397-C397</f>
        <v>-194.31200000000536</v>
      </c>
      <c r="E397" s="92">
        <f t="shared" ref="E397:E408" si="67">D397/G396*100</f>
        <v>-6.4796970564889464E-2</v>
      </c>
      <c r="F397" s="86">
        <f>(G397-G395-D397)</f>
        <v>1706.4860000000044</v>
      </c>
      <c r="G397" s="86">
        <v>301390.391</v>
      </c>
      <c r="H397" s="6"/>
      <c r="I397" s="1" t="s">
        <v>50</v>
      </c>
      <c r="J397" s="1" t="s">
        <v>51</v>
      </c>
      <c r="K397" s="1" t="s">
        <v>31</v>
      </c>
      <c r="M397" s="6"/>
    </row>
    <row r="398" spans="1:13" hidden="1" outlineLevel="1" x14ac:dyDescent="0.2">
      <c r="A398" s="93">
        <v>40575</v>
      </c>
      <c r="B398" s="86">
        <v>81092.376999999993</v>
      </c>
      <c r="C398" s="86">
        <v>81451.725999999995</v>
      </c>
      <c r="D398" s="86">
        <f t="shared" si="66"/>
        <v>-359.34900000000198</v>
      </c>
      <c r="E398" s="92">
        <f t="shared" si="67"/>
        <v>-0.11923041036832589</v>
      </c>
      <c r="F398" s="86">
        <f t="shared" ref="F398:F406" si="68">(G398-G397-D398)</f>
        <v>1683.208999999988</v>
      </c>
      <c r="G398" s="86">
        <v>302714.25099999999</v>
      </c>
      <c r="H398" s="6"/>
      <c r="I398" s="1" t="s">
        <v>50</v>
      </c>
      <c r="J398" s="1" t="s">
        <v>51</v>
      </c>
      <c r="K398" s="1" t="s">
        <v>31</v>
      </c>
      <c r="M398" s="6"/>
    </row>
    <row r="399" spans="1:13" hidden="1" outlineLevel="1" x14ac:dyDescent="0.2">
      <c r="A399" s="93">
        <v>40603</v>
      </c>
      <c r="B399" s="86">
        <v>86517.888999999996</v>
      </c>
      <c r="C399" s="86">
        <v>86054.409</v>
      </c>
      <c r="D399" s="86">
        <f t="shared" si="66"/>
        <v>463.47999999999593</v>
      </c>
      <c r="E399" s="92">
        <f t="shared" si="67"/>
        <v>0.15310808740220028</v>
      </c>
      <c r="F399" s="86">
        <f t="shared" si="68"/>
        <v>1531.3419999999896</v>
      </c>
      <c r="G399" s="86">
        <v>304709.07299999997</v>
      </c>
      <c r="H399" s="6"/>
      <c r="I399" s="1" t="s">
        <v>50</v>
      </c>
      <c r="J399" s="1" t="s">
        <v>51</v>
      </c>
      <c r="K399" s="1" t="s">
        <v>31</v>
      </c>
      <c r="M399" s="6"/>
    </row>
    <row r="400" spans="1:13" hidden="1" outlineLevel="1" x14ac:dyDescent="0.2">
      <c r="A400" s="93">
        <v>40634</v>
      </c>
      <c r="B400" s="86">
        <v>82648.375999999989</v>
      </c>
      <c r="C400" s="86">
        <v>83253.271999999983</v>
      </c>
      <c r="D400" s="86">
        <f t="shared" si="66"/>
        <v>-604.89599999999336</v>
      </c>
      <c r="E400" s="92">
        <f t="shared" si="67"/>
        <v>-0.19851591357110443</v>
      </c>
      <c r="F400" s="86">
        <f t="shared" si="68"/>
        <v>1763.6180000000022</v>
      </c>
      <c r="G400" s="86">
        <v>305867.79499999998</v>
      </c>
      <c r="H400" s="6"/>
      <c r="I400" s="1" t="s">
        <v>50</v>
      </c>
      <c r="J400" s="1" t="s">
        <v>51</v>
      </c>
      <c r="K400" s="1" t="s">
        <v>31</v>
      </c>
      <c r="M400" s="6"/>
    </row>
    <row r="401" spans="1:13" hidden="1" outlineLevel="1" x14ac:dyDescent="0.2">
      <c r="A401" s="93">
        <v>40664</v>
      </c>
      <c r="B401" s="86">
        <v>91527.744000000006</v>
      </c>
      <c r="C401" s="86">
        <v>92173.739000000001</v>
      </c>
      <c r="D401" s="86">
        <f t="shared" si="66"/>
        <v>-645.99499999999534</v>
      </c>
      <c r="E401" s="92">
        <f t="shared" si="67"/>
        <v>-0.2112007248098792</v>
      </c>
      <c r="F401" s="86">
        <f t="shared" si="68"/>
        <v>1637.0130000000354</v>
      </c>
      <c r="G401" s="86">
        <v>306858.81300000002</v>
      </c>
      <c r="H401" s="6"/>
      <c r="I401" s="1" t="s">
        <v>50</v>
      </c>
      <c r="J401" s="1" t="s">
        <v>51</v>
      </c>
      <c r="K401" s="1" t="s">
        <v>31</v>
      </c>
      <c r="M401" s="6"/>
    </row>
    <row r="402" spans="1:13" hidden="1" outlineLevel="1" x14ac:dyDescent="0.2">
      <c r="A402" s="93">
        <v>40695</v>
      </c>
      <c r="B402" s="86">
        <v>89043.767999999996</v>
      </c>
      <c r="C402" s="86">
        <v>87849.641999999993</v>
      </c>
      <c r="D402" s="86">
        <f t="shared" si="66"/>
        <v>1194.1260000000038</v>
      </c>
      <c r="E402" s="92">
        <f t="shared" si="67"/>
        <v>0.38914508868937187</v>
      </c>
      <c r="F402" s="86">
        <f t="shared" si="68"/>
        <v>1864.5489999999845</v>
      </c>
      <c r="G402" s="86">
        <v>309917.48800000001</v>
      </c>
      <c r="H402" s="6"/>
      <c r="I402" s="1" t="s">
        <v>50</v>
      </c>
      <c r="J402" s="1" t="s">
        <v>51</v>
      </c>
      <c r="K402" s="1" t="s">
        <v>31</v>
      </c>
      <c r="M402" s="6"/>
    </row>
    <row r="403" spans="1:13" hidden="1" outlineLevel="1" x14ac:dyDescent="0.2">
      <c r="A403" s="93">
        <v>40725</v>
      </c>
      <c r="B403" s="86">
        <v>94145.678000000014</v>
      </c>
      <c r="C403" s="86">
        <v>90012.834000000017</v>
      </c>
      <c r="D403" s="86">
        <f t="shared" ref="D403:D408" si="69">B403-C403</f>
        <v>4132.8439999999973</v>
      </c>
      <c r="E403" s="92">
        <f t="shared" si="67"/>
        <v>1.3335304266534314</v>
      </c>
      <c r="F403" s="86">
        <f t="shared" si="68"/>
        <v>1790.4499999999971</v>
      </c>
      <c r="G403" s="86">
        <v>315840.78200000001</v>
      </c>
      <c r="H403" s="6"/>
      <c r="I403" s="1" t="s">
        <v>50</v>
      </c>
      <c r="J403" s="1" t="s">
        <v>51</v>
      </c>
      <c r="K403" s="1" t="s">
        <v>31</v>
      </c>
      <c r="M403" s="6"/>
    </row>
    <row r="404" spans="1:13" hidden="1" outlineLevel="1" x14ac:dyDescent="0.2">
      <c r="A404" s="93">
        <v>40756</v>
      </c>
      <c r="B404" s="86">
        <v>97483.280000000013</v>
      </c>
      <c r="C404" s="86">
        <v>96571.577000000019</v>
      </c>
      <c r="D404" s="86">
        <f t="shared" si="69"/>
        <v>911.70299999999406</v>
      </c>
      <c r="E404" s="92">
        <f t="shared" si="67"/>
        <v>0.28865904973601353</v>
      </c>
      <c r="F404" s="86">
        <f t="shared" si="68"/>
        <v>1937.2740000000194</v>
      </c>
      <c r="G404" s="86">
        <v>318689.75900000002</v>
      </c>
      <c r="H404" s="6"/>
      <c r="I404" s="1" t="s">
        <v>50</v>
      </c>
      <c r="J404" s="1" t="s">
        <v>51</v>
      </c>
      <c r="K404" s="1" t="s">
        <v>31</v>
      </c>
      <c r="M404" s="6"/>
    </row>
    <row r="405" spans="1:13" hidden="1" outlineLevel="1" x14ac:dyDescent="0.2">
      <c r="A405" s="93">
        <v>40787</v>
      </c>
      <c r="B405" s="86">
        <v>92838.084000000003</v>
      </c>
      <c r="C405" s="86">
        <v>90031.854000000007</v>
      </c>
      <c r="D405" s="86">
        <f t="shared" si="69"/>
        <v>2806.2299999999959</v>
      </c>
      <c r="E405" s="92">
        <f t="shared" si="67"/>
        <v>0.88055229914055566</v>
      </c>
      <c r="F405" s="86">
        <f t="shared" si="68"/>
        <v>1972.0879999999743</v>
      </c>
      <c r="G405" s="86">
        <v>323468.07699999999</v>
      </c>
      <c r="H405" s="6"/>
      <c r="I405" s="1" t="s">
        <v>50</v>
      </c>
      <c r="J405" s="1" t="s">
        <v>51</v>
      </c>
      <c r="K405" s="1" t="s">
        <v>31</v>
      </c>
      <c r="M405" s="6"/>
    </row>
    <row r="406" spans="1:13" hidden="1" outlineLevel="1" x14ac:dyDescent="0.2">
      <c r="A406" s="93">
        <v>40817</v>
      </c>
      <c r="B406" s="86">
        <v>88979.442999999985</v>
      </c>
      <c r="C406" s="86">
        <v>88497.802999999985</v>
      </c>
      <c r="D406" s="86">
        <f t="shared" si="69"/>
        <v>481.63999999999942</v>
      </c>
      <c r="E406" s="92">
        <f t="shared" si="67"/>
        <v>0.14889877371113794</v>
      </c>
      <c r="F406" s="86">
        <f t="shared" si="68"/>
        <v>1865.9639999999927</v>
      </c>
      <c r="G406" s="86">
        <v>325815.68099999998</v>
      </c>
      <c r="H406" s="6"/>
      <c r="I406" s="1" t="s">
        <v>50</v>
      </c>
      <c r="J406" s="1" t="s">
        <v>51</v>
      </c>
      <c r="K406" s="1" t="s">
        <v>31</v>
      </c>
      <c r="M406" s="6"/>
    </row>
    <row r="407" spans="1:13" hidden="1" outlineLevel="1" x14ac:dyDescent="0.2">
      <c r="A407" s="93">
        <v>40848</v>
      </c>
      <c r="B407" s="86">
        <v>90211.209000000003</v>
      </c>
      <c r="C407" s="86">
        <v>90233.201000000001</v>
      </c>
      <c r="D407" s="86">
        <f t="shared" si="69"/>
        <v>-21.99199999999837</v>
      </c>
      <c r="E407" s="92">
        <f t="shared" si="67"/>
        <v>-6.749828594038226E-3</v>
      </c>
      <c r="F407" s="86">
        <f>(G407-G406-D407)</f>
        <v>1782.7149999999965</v>
      </c>
      <c r="G407" s="86">
        <v>327576.40399999998</v>
      </c>
      <c r="H407" s="6"/>
      <c r="I407" s="1" t="s">
        <v>50</v>
      </c>
      <c r="J407" s="1" t="s">
        <v>51</v>
      </c>
      <c r="K407" s="1" t="s">
        <v>31</v>
      </c>
      <c r="M407" s="6"/>
    </row>
    <row r="408" spans="1:13" hidden="1" outlineLevel="1" x14ac:dyDescent="0.2">
      <c r="A408" s="93">
        <v>40878</v>
      </c>
      <c r="B408" s="86">
        <v>90838.325000000012</v>
      </c>
      <c r="C408" s="86">
        <v>89618.871999999988</v>
      </c>
      <c r="D408" s="86">
        <f t="shared" si="69"/>
        <v>1219.4530000000232</v>
      </c>
      <c r="E408" s="92">
        <f t="shared" si="67"/>
        <v>0.37226521358358378</v>
      </c>
      <c r="F408" s="86">
        <f>(G408-G407-D408)</f>
        <v>1773.4149999999936</v>
      </c>
      <c r="G408" s="86">
        <v>330569.272</v>
      </c>
      <c r="H408" s="6"/>
      <c r="I408" s="1" t="s">
        <v>50</v>
      </c>
      <c r="J408" s="1" t="s">
        <v>51</v>
      </c>
      <c r="K408" s="1" t="s">
        <v>31</v>
      </c>
      <c r="M408" s="6"/>
    </row>
    <row r="409" spans="1:13" hidden="1" collapsed="1" x14ac:dyDescent="0.2">
      <c r="A409" s="83" t="s">
        <v>69</v>
      </c>
      <c r="B409" s="84">
        <f>SUM(B397:B408)</f>
        <v>1067722.7949999999</v>
      </c>
      <c r="C409" s="84">
        <f>SUM(C397:C408)</f>
        <v>1058339.8630000001</v>
      </c>
      <c r="D409" s="84">
        <f>SUM(D397:D408)</f>
        <v>9382.9320000000153</v>
      </c>
      <c r="E409" s="91">
        <f>(D409/G396*100)</f>
        <v>3.1289141618445782</v>
      </c>
      <c r="F409" s="84">
        <f>SUM(F397:F408)</f>
        <v>21308.122999999978</v>
      </c>
      <c r="G409" s="85">
        <f>INDEX($G$397:$G$408,COUNTA($G$397:$G$408))</f>
        <v>330569.272</v>
      </c>
      <c r="I409" s="1" t="s">
        <v>50</v>
      </c>
      <c r="J409" s="1" t="s">
        <v>51</v>
      </c>
      <c r="K409" s="1" t="s">
        <v>31</v>
      </c>
      <c r="M409" s="6"/>
    </row>
    <row r="410" spans="1:13" hidden="1" outlineLevel="1" x14ac:dyDescent="0.2">
      <c r="A410" s="93">
        <v>40909</v>
      </c>
      <c r="B410" s="86">
        <v>80217.96699999999</v>
      </c>
      <c r="C410" s="86">
        <v>80625.282999999996</v>
      </c>
      <c r="D410" s="86">
        <f t="shared" ref="D410:D421" si="70">B410-C410</f>
        <v>-407.31600000000617</v>
      </c>
      <c r="E410" s="92">
        <f t="shared" ref="E410:E421" si="71">D410/G409*100</f>
        <v>-0.12321653417320839</v>
      </c>
      <c r="F410" s="86">
        <f>(G410-G408-D410)</f>
        <v>1877.9639999999927</v>
      </c>
      <c r="G410" s="86">
        <v>332039.92</v>
      </c>
      <c r="H410" s="6"/>
      <c r="I410" s="1" t="s">
        <v>50</v>
      </c>
      <c r="J410" s="1" t="s">
        <v>51</v>
      </c>
      <c r="K410" s="1" t="s">
        <v>31</v>
      </c>
      <c r="M410" s="6"/>
    </row>
    <row r="411" spans="1:13" hidden="1" outlineLevel="1" x14ac:dyDescent="0.2">
      <c r="A411" s="93">
        <v>40940</v>
      </c>
      <c r="B411" s="86">
        <v>71593.036999999997</v>
      </c>
      <c r="C411" s="86">
        <v>71802.702999999994</v>
      </c>
      <c r="D411" s="86">
        <f t="shared" si="70"/>
        <v>-209.66599999999744</v>
      </c>
      <c r="E411" s="92">
        <f t="shared" si="71"/>
        <v>-6.3144817044889501E-2</v>
      </c>
      <c r="F411" s="86">
        <v>1841.075</v>
      </c>
      <c r="G411" s="86">
        <v>333671.34000000003</v>
      </c>
      <c r="H411" s="6"/>
      <c r="I411" s="1" t="s">
        <v>50</v>
      </c>
      <c r="J411" s="1" t="s">
        <v>51</v>
      </c>
      <c r="K411" s="1" t="s">
        <v>31</v>
      </c>
      <c r="M411" s="6"/>
    </row>
    <row r="412" spans="1:13" hidden="1" outlineLevel="1" x14ac:dyDescent="0.2">
      <c r="A412" s="93">
        <v>40969</v>
      </c>
      <c r="B412" s="86">
        <v>80234.645000000019</v>
      </c>
      <c r="C412" s="86">
        <v>77707.395000000019</v>
      </c>
      <c r="D412" s="86">
        <f t="shared" si="70"/>
        <v>2527.25</v>
      </c>
      <c r="E412" s="92">
        <f t="shared" si="71"/>
        <v>0.75740697418004188</v>
      </c>
      <c r="F412" s="86">
        <f t="shared" ref="F412:F420" si="72">(G412-G411-D412)</f>
        <v>1664.4400000000023</v>
      </c>
      <c r="G412" s="86">
        <v>337863.03</v>
      </c>
      <c r="H412" s="6"/>
      <c r="I412" s="1" t="s">
        <v>50</v>
      </c>
      <c r="J412" s="1" t="s">
        <v>51</v>
      </c>
      <c r="K412" s="1" t="s">
        <v>31</v>
      </c>
      <c r="M412" s="6"/>
    </row>
    <row r="413" spans="1:13" hidden="1" outlineLevel="1" x14ac:dyDescent="0.2">
      <c r="A413" s="93">
        <v>41000</v>
      </c>
      <c r="B413" s="86">
        <v>77591.947</v>
      </c>
      <c r="C413" s="86">
        <v>76049.83</v>
      </c>
      <c r="D413" s="86">
        <f t="shared" si="70"/>
        <v>1542.1169999999984</v>
      </c>
      <c r="E413" s="92">
        <f t="shared" si="71"/>
        <v>0.45643259636900735</v>
      </c>
      <c r="F413" s="86">
        <f t="shared" si="72"/>
        <v>1841.8229999999458</v>
      </c>
      <c r="G413" s="86">
        <v>341246.97</v>
      </c>
      <c r="H413" s="6"/>
      <c r="I413" s="1" t="s">
        <v>50</v>
      </c>
      <c r="J413" s="1" t="s">
        <v>51</v>
      </c>
      <c r="K413" s="1" t="s">
        <v>31</v>
      </c>
      <c r="M413" s="6"/>
    </row>
    <row r="414" spans="1:13" hidden="1" outlineLevel="1" x14ac:dyDescent="0.2">
      <c r="A414" s="93">
        <v>41030</v>
      </c>
      <c r="B414" s="86">
        <v>85421.017999999996</v>
      </c>
      <c r="C414" s="86">
        <v>80501.267000000007</v>
      </c>
      <c r="D414" s="86">
        <f t="shared" si="70"/>
        <v>4919.7509999999893</v>
      </c>
      <c r="E414" s="92">
        <f t="shared" si="71"/>
        <v>1.4416980757367575</v>
      </c>
      <c r="F414" s="86">
        <f t="shared" si="72"/>
        <v>1679.9160000000265</v>
      </c>
      <c r="G414" s="86">
        <v>347846.63699999999</v>
      </c>
      <c r="H414" s="6"/>
      <c r="I414" s="1" t="s">
        <v>50</v>
      </c>
      <c r="J414" s="1" t="s">
        <v>51</v>
      </c>
      <c r="K414" s="1" t="s">
        <v>31</v>
      </c>
      <c r="M414" s="6"/>
    </row>
    <row r="415" spans="1:13" hidden="1" outlineLevel="1" x14ac:dyDescent="0.2">
      <c r="A415" s="93">
        <v>41061</v>
      </c>
      <c r="B415" s="86">
        <v>80800.357000000004</v>
      </c>
      <c r="C415" s="86">
        <v>76705.315000000002</v>
      </c>
      <c r="D415" s="86">
        <f t="shared" si="70"/>
        <v>4095.0420000000013</v>
      </c>
      <c r="E415" s="92">
        <f t="shared" si="71"/>
        <v>1.1772550211546249</v>
      </c>
      <c r="F415" s="86">
        <f t="shared" si="72"/>
        <v>1731.3939999999857</v>
      </c>
      <c r="G415" s="86">
        <v>353673.07299999997</v>
      </c>
      <c r="H415" s="6"/>
      <c r="I415" s="1" t="s">
        <v>50</v>
      </c>
      <c r="J415" s="1" t="s">
        <v>51</v>
      </c>
      <c r="K415" s="1" t="s">
        <v>31</v>
      </c>
      <c r="M415" s="6"/>
    </row>
    <row r="416" spans="1:13" hidden="1" outlineLevel="1" x14ac:dyDescent="0.2">
      <c r="A416" s="93">
        <v>41091</v>
      </c>
      <c r="B416" s="86">
        <v>89037.513999999996</v>
      </c>
      <c r="C416" s="86">
        <v>82988.923999999999</v>
      </c>
      <c r="D416" s="86">
        <f t="shared" si="70"/>
        <v>6048.5899999999965</v>
      </c>
      <c r="E416" s="92">
        <f t="shared" si="71"/>
        <v>1.7102206703759992</v>
      </c>
      <c r="F416" s="86">
        <f t="shared" si="72"/>
        <v>1687.3220000000147</v>
      </c>
      <c r="G416" s="86">
        <v>361408.98499999999</v>
      </c>
      <c r="H416" s="6"/>
      <c r="I416" s="1" t="s">
        <v>50</v>
      </c>
      <c r="J416" s="1" t="s">
        <v>51</v>
      </c>
      <c r="K416" s="1" t="s">
        <v>31</v>
      </c>
      <c r="M416" s="6"/>
    </row>
    <row r="417" spans="1:13" hidden="1" outlineLevel="1" x14ac:dyDescent="0.2">
      <c r="A417" s="93">
        <v>41122</v>
      </c>
      <c r="B417" s="86">
        <v>87894.865999999995</v>
      </c>
      <c r="C417" s="86">
        <v>85784.334000000003</v>
      </c>
      <c r="D417" s="86">
        <f t="shared" si="70"/>
        <v>2110.531999999992</v>
      </c>
      <c r="E417" s="92">
        <f t="shared" si="71"/>
        <v>0.58397330658505686</v>
      </c>
      <c r="F417" s="86">
        <f t="shared" si="72"/>
        <v>1721.0399999999936</v>
      </c>
      <c r="G417" s="86">
        <v>365240.55699999997</v>
      </c>
      <c r="H417" s="6"/>
      <c r="I417" s="1" t="s">
        <v>50</v>
      </c>
      <c r="J417" s="1" t="s">
        <v>51</v>
      </c>
      <c r="K417" s="1" t="s">
        <v>31</v>
      </c>
      <c r="M417" s="6"/>
    </row>
    <row r="418" spans="1:13" hidden="1" outlineLevel="1" x14ac:dyDescent="0.2">
      <c r="A418" s="93">
        <v>41153</v>
      </c>
      <c r="B418" s="86">
        <v>76162.705000000002</v>
      </c>
      <c r="C418" s="86">
        <v>71894.350000000006</v>
      </c>
      <c r="D418" s="86">
        <f t="shared" si="70"/>
        <v>4268.3549999999959</v>
      </c>
      <c r="E418" s="92">
        <f t="shared" si="71"/>
        <v>1.1686421231692505</v>
      </c>
      <c r="F418" s="86">
        <f t="shared" si="72"/>
        <v>1704.5830000000278</v>
      </c>
      <c r="G418" s="86">
        <v>371213.495</v>
      </c>
      <c r="H418" s="6"/>
      <c r="I418" s="1" t="s">
        <v>50</v>
      </c>
      <c r="J418" s="1" t="s">
        <v>51</v>
      </c>
      <c r="K418" s="1" t="s">
        <v>31</v>
      </c>
      <c r="M418" s="6"/>
    </row>
    <row r="419" spans="1:13" hidden="1" outlineLevel="1" x14ac:dyDescent="0.2">
      <c r="A419" s="93">
        <v>41183</v>
      </c>
      <c r="B419" s="86">
        <v>89229.396999999997</v>
      </c>
      <c r="C419" s="86">
        <v>87044.346000000005</v>
      </c>
      <c r="D419" s="86">
        <f t="shared" si="70"/>
        <v>2185.0509999999922</v>
      </c>
      <c r="E419" s="92">
        <f t="shared" si="71"/>
        <v>0.58862380528487857</v>
      </c>
      <c r="F419" s="86">
        <f t="shared" si="72"/>
        <v>1687.0770000000339</v>
      </c>
      <c r="G419" s="86">
        <v>375085.62300000002</v>
      </c>
      <c r="H419" s="6"/>
      <c r="I419" s="1" t="s">
        <v>50</v>
      </c>
      <c r="J419" s="1" t="s">
        <v>51</v>
      </c>
      <c r="K419" s="1" t="s">
        <v>31</v>
      </c>
      <c r="M419" s="6"/>
    </row>
    <row r="420" spans="1:13" hidden="1" outlineLevel="1" x14ac:dyDescent="0.2">
      <c r="A420" s="93">
        <v>41214</v>
      </c>
      <c r="B420" s="86">
        <v>85709.687999999995</v>
      </c>
      <c r="C420" s="86">
        <v>82423.792000000001</v>
      </c>
      <c r="D420" s="86">
        <f t="shared" si="70"/>
        <v>3285.8959999999934</v>
      </c>
      <c r="E420" s="92">
        <f t="shared" si="71"/>
        <v>0.87603890912128968</v>
      </c>
      <c r="F420" s="86">
        <f t="shared" si="72"/>
        <v>1696.5969999999652</v>
      </c>
      <c r="G420" s="86">
        <v>380068.11599999998</v>
      </c>
      <c r="H420" s="6"/>
      <c r="I420" s="1" t="s">
        <v>50</v>
      </c>
      <c r="J420" s="1" t="s">
        <v>51</v>
      </c>
      <c r="K420" s="1" t="s">
        <v>31</v>
      </c>
      <c r="M420" s="6"/>
    </row>
    <row r="421" spans="1:13" hidden="1" outlineLevel="1" x14ac:dyDescent="0.2">
      <c r="A421" s="93">
        <v>41244</v>
      </c>
      <c r="B421" s="86">
        <v>98262.316999999995</v>
      </c>
      <c r="C421" s="86">
        <v>91388.343999999997</v>
      </c>
      <c r="D421" s="86">
        <f t="shared" si="70"/>
        <v>6873.9729999999981</v>
      </c>
      <c r="E421" s="92">
        <f t="shared" si="71"/>
        <v>1.8086160639689117</v>
      </c>
      <c r="F421" s="86">
        <f>(G421-G420-D421)</f>
        <v>1699.5730000000331</v>
      </c>
      <c r="G421" s="86">
        <v>388641.66200000001</v>
      </c>
      <c r="H421" s="6"/>
      <c r="I421" s="1" t="s">
        <v>50</v>
      </c>
      <c r="J421" s="1" t="s">
        <v>51</v>
      </c>
      <c r="K421" s="1" t="s">
        <v>31</v>
      </c>
      <c r="M421" s="6"/>
    </row>
    <row r="422" spans="1:13" hidden="1" collapsed="1" x14ac:dyDescent="0.2">
      <c r="A422" s="83" t="s">
        <v>70</v>
      </c>
      <c r="B422" s="84">
        <f>SUM(B410:B421)</f>
        <v>1002155.458</v>
      </c>
      <c r="C422" s="84">
        <f>SUM(C410:C421)</f>
        <v>964915.88300000003</v>
      </c>
      <c r="D422" s="84">
        <f>SUM(D410:D421)</f>
        <v>37239.574999999953</v>
      </c>
      <c r="E422" s="91">
        <f>(D422/G409*100)</f>
        <v>11.265286327036456</v>
      </c>
      <c r="F422" s="84">
        <f>SUM(F410:F421)</f>
        <v>20832.804000000022</v>
      </c>
      <c r="G422" s="85">
        <f>INDEX($G$410:$G$421,COUNTA($G$410:$G$421))</f>
        <v>388641.66200000001</v>
      </c>
      <c r="I422" s="1" t="s">
        <v>50</v>
      </c>
      <c r="J422" s="1" t="s">
        <v>51</v>
      </c>
      <c r="K422" s="1" t="s">
        <v>31</v>
      </c>
      <c r="M422" s="6"/>
    </row>
    <row r="423" spans="1:13" hidden="1" outlineLevel="1" x14ac:dyDescent="0.2">
      <c r="A423" s="93">
        <v>41275</v>
      </c>
      <c r="B423" s="86">
        <v>90177.175000000003</v>
      </c>
      <c r="C423" s="86">
        <v>89193.18</v>
      </c>
      <c r="D423" s="86">
        <f t="shared" ref="D423:D429" si="73">B423-C423</f>
        <v>983.9950000000099</v>
      </c>
      <c r="E423" s="92">
        <f t="shared" ref="E423:E434" si="74">D423/G422*100</f>
        <v>0.25318824413631957</v>
      </c>
      <c r="F423" s="86">
        <f t="shared" ref="F423:F429" si="75">(G423-G422-D423)</f>
        <v>1745.1290000000008</v>
      </c>
      <c r="G423" s="86">
        <v>391370.78600000002</v>
      </c>
      <c r="H423" s="6"/>
      <c r="I423" s="1" t="s">
        <v>50</v>
      </c>
      <c r="J423" s="1" t="s">
        <v>51</v>
      </c>
      <c r="K423" s="1" t="s">
        <v>31</v>
      </c>
      <c r="M423" s="6"/>
    </row>
    <row r="424" spans="1:13" hidden="1" outlineLevel="1" x14ac:dyDescent="0.2">
      <c r="A424" s="93">
        <v>41306</v>
      </c>
      <c r="B424" s="86">
        <v>79417.877999999997</v>
      </c>
      <c r="C424" s="86">
        <v>77666.907999999996</v>
      </c>
      <c r="D424" s="86">
        <f t="shared" si="73"/>
        <v>1750.9700000000012</v>
      </c>
      <c r="E424" s="92">
        <f t="shared" si="74"/>
        <v>0.44739414964917718</v>
      </c>
      <c r="F424" s="86">
        <f t="shared" si="75"/>
        <v>1954.698000000004</v>
      </c>
      <c r="G424" s="86">
        <v>395076.45400000003</v>
      </c>
      <c r="H424" s="6"/>
      <c r="I424" s="1" t="s">
        <v>50</v>
      </c>
      <c r="J424" s="1" t="s">
        <v>51</v>
      </c>
      <c r="K424" s="1" t="s">
        <v>31</v>
      </c>
      <c r="M424" s="6"/>
    </row>
    <row r="425" spans="1:13" hidden="1" outlineLevel="1" x14ac:dyDescent="0.2">
      <c r="A425" s="93">
        <v>41334</v>
      </c>
      <c r="B425" s="86">
        <v>87557.320999999996</v>
      </c>
      <c r="C425" s="86">
        <v>83033.782999999996</v>
      </c>
      <c r="D425" s="86">
        <f t="shared" si="73"/>
        <v>4523.5380000000005</v>
      </c>
      <c r="E425" s="92">
        <f t="shared" si="74"/>
        <v>1.1449778781298874</v>
      </c>
      <c r="F425" s="86">
        <f t="shared" si="75"/>
        <v>1766.9069999999483</v>
      </c>
      <c r="G425" s="86">
        <v>401366.89899999998</v>
      </c>
      <c r="H425" s="6"/>
      <c r="I425" s="1" t="s">
        <v>50</v>
      </c>
      <c r="J425" s="1" t="s">
        <v>51</v>
      </c>
      <c r="K425" s="1" t="s">
        <v>31</v>
      </c>
      <c r="M425" s="6"/>
    </row>
    <row r="426" spans="1:13" hidden="1" outlineLevel="1" x14ac:dyDescent="0.2">
      <c r="A426" s="93">
        <v>41365</v>
      </c>
      <c r="B426" s="86">
        <v>94103.627999999997</v>
      </c>
      <c r="C426" s="86">
        <v>92312.058999999994</v>
      </c>
      <c r="D426" s="86">
        <f t="shared" si="73"/>
        <v>1791.5690000000031</v>
      </c>
      <c r="E426" s="92">
        <f t="shared" si="74"/>
        <v>0.44636690381386018</v>
      </c>
      <c r="F426" s="86">
        <f t="shared" si="75"/>
        <v>1777.172000000035</v>
      </c>
      <c r="G426" s="86">
        <v>404935.64</v>
      </c>
      <c r="H426" s="6"/>
      <c r="I426" s="1" t="s">
        <v>50</v>
      </c>
      <c r="J426" s="1" t="s">
        <v>51</v>
      </c>
      <c r="K426" s="1" t="s">
        <v>31</v>
      </c>
      <c r="M426" s="6"/>
    </row>
    <row r="427" spans="1:13" hidden="1" outlineLevel="1" x14ac:dyDescent="0.2">
      <c r="A427" s="93">
        <v>41395</v>
      </c>
      <c r="B427" s="86">
        <v>95162.672000000006</v>
      </c>
      <c r="C427" s="86">
        <v>90957.447</v>
      </c>
      <c r="D427" s="86">
        <f t="shared" si="73"/>
        <v>4205.2250000000058</v>
      </c>
      <c r="E427" s="92">
        <f t="shared" si="74"/>
        <v>1.0384921910059597</v>
      </c>
      <c r="F427" s="86">
        <f t="shared" si="75"/>
        <v>1789.0319999999774</v>
      </c>
      <c r="G427" s="86">
        <v>410929.897</v>
      </c>
      <c r="H427" s="6"/>
      <c r="I427" s="1" t="s">
        <v>50</v>
      </c>
      <c r="J427" s="1" t="s">
        <v>51</v>
      </c>
      <c r="K427" s="1" t="s">
        <v>31</v>
      </c>
      <c r="M427" s="6"/>
    </row>
    <row r="428" spans="1:13" hidden="1" outlineLevel="1" x14ac:dyDescent="0.2">
      <c r="A428" s="93">
        <v>41426</v>
      </c>
      <c r="B428" s="86">
        <v>91499.326000000001</v>
      </c>
      <c r="C428" s="86">
        <v>84788.008000000002</v>
      </c>
      <c r="D428" s="86">
        <f t="shared" si="73"/>
        <v>6711.3179999999993</v>
      </c>
      <c r="E428" s="92">
        <f t="shared" si="74"/>
        <v>1.6332026579219665</v>
      </c>
      <c r="F428" s="86">
        <f t="shared" si="75"/>
        <v>1826.30799999999</v>
      </c>
      <c r="G428" s="86">
        <v>419467.52299999999</v>
      </c>
      <c r="H428" s="6"/>
      <c r="I428" s="1" t="s">
        <v>50</v>
      </c>
      <c r="J428" s="1" t="s">
        <v>51</v>
      </c>
      <c r="K428" s="1" t="s">
        <v>31</v>
      </c>
      <c r="M428" s="6"/>
    </row>
    <row r="429" spans="1:13" hidden="1" outlineLevel="1" x14ac:dyDescent="0.2">
      <c r="A429" s="93">
        <v>41456</v>
      </c>
      <c r="B429" s="86">
        <v>105550.928</v>
      </c>
      <c r="C429" s="86">
        <v>97663.998000000007</v>
      </c>
      <c r="D429" s="86">
        <f t="shared" si="73"/>
        <v>7886.929999999993</v>
      </c>
      <c r="E429" s="92">
        <f t="shared" si="74"/>
        <v>1.8802242289446551</v>
      </c>
      <c r="F429" s="86">
        <f t="shared" si="75"/>
        <v>1888.5310000000172</v>
      </c>
      <c r="G429" s="86">
        <v>429242.984</v>
      </c>
      <c r="H429" s="6"/>
      <c r="I429" s="1" t="s">
        <v>50</v>
      </c>
      <c r="J429" s="1" t="s">
        <v>51</v>
      </c>
      <c r="K429" s="1" t="s">
        <v>31</v>
      </c>
      <c r="M429" s="6"/>
    </row>
    <row r="430" spans="1:13" hidden="1" outlineLevel="1" x14ac:dyDescent="0.2">
      <c r="A430" s="93">
        <v>41487</v>
      </c>
      <c r="B430" s="86">
        <v>98393.873999999996</v>
      </c>
      <c r="C430" s="86">
        <v>94452.25</v>
      </c>
      <c r="D430" s="86">
        <f>B430-C430</f>
        <v>3941.6239999999962</v>
      </c>
      <c r="E430" s="92">
        <f t="shared" si="74"/>
        <v>0.91827336658343517</v>
      </c>
      <c r="F430" s="86">
        <f>(G430-G429-D430)</f>
        <v>2036.4489999999787</v>
      </c>
      <c r="G430" s="86">
        <v>435221.05699999997</v>
      </c>
      <c r="H430" s="6"/>
      <c r="I430" s="1" t="s">
        <v>50</v>
      </c>
      <c r="J430" s="1" t="s">
        <v>51</v>
      </c>
      <c r="K430" s="1" t="s">
        <v>31</v>
      </c>
      <c r="M430" s="6"/>
    </row>
    <row r="431" spans="1:13" hidden="1" outlineLevel="1" x14ac:dyDescent="0.2">
      <c r="A431" s="93">
        <v>41518</v>
      </c>
      <c r="B431" s="86">
        <v>93360.899000000005</v>
      </c>
      <c r="C431" s="86">
        <v>88251.641000000003</v>
      </c>
      <c r="D431" s="86">
        <f>B431-C431</f>
        <v>5109.2580000000016</v>
      </c>
      <c r="E431" s="92">
        <f t="shared" si="74"/>
        <v>1.1739454968512708</v>
      </c>
      <c r="F431" s="86">
        <f>(G431-G430-D431)</f>
        <v>2104.1470000000263</v>
      </c>
      <c r="G431" s="86">
        <v>442434.462</v>
      </c>
      <c r="H431" s="6"/>
      <c r="I431" s="1" t="s">
        <v>50</v>
      </c>
      <c r="J431" s="1" t="s">
        <v>51</v>
      </c>
      <c r="K431" s="1" t="s">
        <v>31</v>
      </c>
      <c r="M431" s="6"/>
    </row>
    <row r="432" spans="1:13" hidden="1" outlineLevel="1" x14ac:dyDescent="0.2">
      <c r="A432" s="93">
        <v>41548</v>
      </c>
      <c r="B432" s="86">
        <v>102074.22900000001</v>
      </c>
      <c r="C432" s="86">
        <v>98337.967999999993</v>
      </c>
      <c r="D432" s="86">
        <f>B432-C432</f>
        <v>3736.2610000000132</v>
      </c>
      <c r="E432" s="92">
        <f t="shared" si="74"/>
        <v>0.84447784268667869</v>
      </c>
      <c r="F432" s="86">
        <f>(G432-G431-D432)</f>
        <v>2224.9779999999882</v>
      </c>
      <c r="G432" s="86">
        <v>448395.701</v>
      </c>
      <c r="H432" s="6"/>
      <c r="I432" s="1" t="s">
        <v>50</v>
      </c>
      <c r="J432" s="1" t="s">
        <v>51</v>
      </c>
      <c r="K432" s="1" t="s">
        <v>31</v>
      </c>
      <c r="M432" s="6"/>
    </row>
    <row r="433" spans="1:18" hidden="1" outlineLevel="1" x14ac:dyDescent="0.2">
      <c r="A433" s="93">
        <v>41579</v>
      </c>
      <c r="B433" s="86">
        <v>97801.854000000007</v>
      </c>
      <c r="C433" s="86">
        <v>92413.384000000005</v>
      </c>
      <c r="D433" s="86">
        <f>B433-C433</f>
        <v>5388.4700000000012</v>
      </c>
      <c r="E433" s="92">
        <f t="shared" si="74"/>
        <v>1.2017220477321215</v>
      </c>
      <c r="F433" s="86">
        <f>(G433-G432-D433)</f>
        <v>2408.9279999999853</v>
      </c>
      <c r="G433" s="86">
        <v>456193.09899999999</v>
      </c>
      <c r="H433" s="6"/>
      <c r="I433" s="1" t="s">
        <v>50</v>
      </c>
      <c r="J433" s="1" t="s">
        <v>51</v>
      </c>
      <c r="K433" s="1" t="s">
        <v>31</v>
      </c>
      <c r="M433" s="6"/>
    </row>
    <row r="434" spans="1:18" hidden="1" outlineLevel="1" x14ac:dyDescent="0.2">
      <c r="A434" s="93">
        <v>41609</v>
      </c>
      <c r="B434" s="86">
        <v>118060.141</v>
      </c>
      <c r="C434" s="86">
        <v>109808.55</v>
      </c>
      <c r="D434" s="86">
        <f>B434-C434</f>
        <v>8251.5910000000003</v>
      </c>
      <c r="E434" s="92">
        <f t="shared" si="74"/>
        <v>1.8087934732217421</v>
      </c>
      <c r="F434" s="86">
        <f>(G434-G433-D434)</f>
        <v>2343.9539999999834</v>
      </c>
      <c r="G434" s="86">
        <v>466788.64399999997</v>
      </c>
      <c r="H434" s="6"/>
      <c r="I434" s="1" t="s">
        <v>50</v>
      </c>
      <c r="J434" s="1" t="s">
        <v>51</v>
      </c>
      <c r="K434" s="1" t="s">
        <v>31</v>
      </c>
      <c r="M434" s="6"/>
    </row>
    <row r="435" spans="1:18" hidden="1" collapsed="1" x14ac:dyDescent="0.2">
      <c r="A435" s="83" t="s">
        <v>71</v>
      </c>
      <c r="B435" s="84">
        <f>SUM(B423:B434)</f>
        <v>1153159.925</v>
      </c>
      <c r="C435" s="84">
        <f>SUM(C423:C434)</f>
        <v>1098879.176</v>
      </c>
      <c r="D435" s="84">
        <f>SUM(D423:D434)</f>
        <v>54280.749000000025</v>
      </c>
      <c r="E435" s="91">
        <f>(D435/G422*100)</f>
        <v>13.966785938662444</v>
      </c>
      <c r="F435" s="84">
        <f>SUM(F423:F434)</f>
        <v>23866.232999999935</v>
      </c>
      <c r="G435" s="85">
        <f>INDEX($G$423:$G$434,COUNTA($G$423:$G$434))</f>
        <v>466788.64399999997</v>
      </c>
      <c r="I435" s="1" t="s">
        <v>50</v>
      </c>
      <c r="J435" s="1" t="s">
        <v>51</v>
      </c>
      <c r="K435" s="1" t="s">
        <v>31</v>
      </c>
      <c r="M435" s="6"/>
    </row>
    <row r="436" spans="1:18" hidden="1" outlineLevel="1" x14ac:dyDescent="0.2">
      <c r="A436" s="93">
        <v>41640</v>
      </c>
      <c r="B436" s="86">
        <v>102223.71</v>
      </c>
      <c r="C436" s="86">
        <v>101513.06600000001</v>
      </c>
      <c r="D436" s="86">
        <f t="shared" ref="D436:D442" si="76">B436-C436</f>
        <v>710.64400000000023</v>
      </c>
      <c r="E436" s="92">
        <f t="shared" ref="E436:E447" si="77">D436/G435*100</f>
        <v>0.15224106437345125</v>
      </c>
      <c r="F436" s="86">
        <f>IF(G436="",0,(G436-G435-D436))</f>
        <v>2422.7890000000189</v>
      </c>
      <c r="G436" s="86">
        <v>469922.07699999999</v>
      </c>
      <c r="H436" s="6"/>
      <c r="I436" s="1" t="s">
        <v>50</v>
      </c>
      <c r="J436" s="1" t="s">
        <v>51</v>
      </c>
      <c r="K436" s="1" t="s">
        <v>31</v>
      </c>
      <c r="M436" s="6"/>
    </row>
    <row r="437" spans="1:18" hidden="1" outlineLevel="1" x14ac:dyDescent="0.2">
      <c r="A437" s="93">
        <v>41671</v>
      </c>
      <c r="B437" s="86">
        <v>99140.269</v>
      </c>
      <c r="C437" s="86">
        <v>97215.539000000004</v>
      </c>
      <c r="D437" s="86">
        <f t="shared" si="76"/>
        <v>1924.7299999999959</v>
      </c>
      <c r="E437" s="92">
        <f t="shared" si="77"/>
        <v>0.40958492784325939</v>
      </c>
      <c r="F437" s="86">
        <f t="shared" ref="F437:F447" si="78">IF(G437="",0,(G437-G436-D437))</f>
        <v>2686.9609999999957</v>
      </c>
      <c r="G437" s="86">
        <v>474533.76799999998</v>
      </c>
      <c r="H437" s="6"/>
      <c r="I437" s="1" t="s">
        <v>50</v>
      </c>
      <c r="J437" s="1" t="s">
        <v>51</v>
      </c>
      <c r="K437" s="1" t="s">
        <v>31</v>
      </c>
      <c r="M437" s="6"/>
    </row>
    <row r="438" spans="1:18" hidden="1" outlineLevel="1" x14ac:dyDescent="0.2">
      <c r="A438" s="93">
        <v>41699</v>
      </c>
      <c r="B438" s="86">
        <v>95627.576000000001</v>
      </c>
      <c r="C438" s="86">
        <v>93918.74</v>
      </c>
      <c r="D438" s="86">
        <f t="shared" si="76"/>
        <v>1708.8359999999957</v>
      </c>
      <c r="E438" s="92">
        <f t="shared" si="77"/>
        <v>0.36010840855481452</v>
      </c>
      <c r="F438" s="86">
        <f t="shared" si="78"/>
        <v>2348.5310000000318</v>
      </c>
      <c r="G438" s="86">
        <v>478591.13500000001</v>
      </c>
      <c r="H438" s="6"/>
      <c r="I438" s="1" t="s">
        <v>50</v>
      </c>
      <c r="J438" s="1" t="s">
        <v>51</v>
      </c>
      <c r="K438" s="1" t="s">
        <v>31</v>
      </c>
      <c r="M438" s="6"/>
    </row>
    <row r="439" spans="1:18" hidden="1" outlineLevel="1" x14ac:dyDescent="0.2">
      <c r="A439" s="93">
        <v>41730</v>
      </c>
      <c r="B439" s="86">
        <v>99107.432000000001</v>
      </c>
      <c r="C439" s="86">
        <v>99843.107000000004</v>
      </c>
      <c r="D439" s="86">
        <f t="shared" si="76"/>
        <v>-735.67500000000291</v>
      </c>
      <c r="E439" s="92">
        <f t="shared" si="77"/>
        <v>-0.15371680463742873</v>
      </c>
      <c r="F439" s="86">
        <f t="shared" si="78"/>
        <v>2609.4560000000201</v>
      </c>
      <c r="G439" s="86">
        <v>480464.91600000003</v>
      </c>
      <c r="H439" s="6"/>
      <c r="I439" s="1" t="s">
        <v>50</v>
      </c>
      <c r="J439" s="1" t="s">
        <v>51</v>
      </c>
      <c r="K439" s="1" t="s">
        <v>31</v>
      </c>
      <c r="M439" s="6"/>
    </row>
    <row r="440" spans="1:18" hidden="1" outlineLevel="1" x14ac:dyDescent="0.2">
      <c r="A440" s="93">
        <v>41760</v>
      </c>
      <c r="B440" s="86">
        <v>105446.33100000001</v>
      </c>
      <c r="C440" s="86">
        <v>103268.24099999999</v>
      </c>
      <c r="D440" s="86">
        <f t="shared" si="76"/>
        <v>2178.0900000000111</v>
      </c>
      <c r="E440" s="92">
        <f t="shared" si="77"/>
        <v>0.45332966621854465</v>
      </c>
      <c r="F440" s="86">
        <f t="shared" si="78"/>
        <v>2394.1539999999368</v>
      </c>
      <c r="G440" s="86">
        <v>485037.16</v>
      </c>
      <c r="H440" s="6"/>
      <c r="I440" s="1" t="s">
        <v>50</v>
      </c>
      <c r="J440" s="1" t="s">
        <v>51</v>
      </c>
      <c r="K440" s="1" t="s">
        <v>31</v>
      </c>
      <c r="M440" s="6"/>
    </row>
    <row r="441" spans="1:18" hidden="1" outlineLevel="1" x14ac:dyDescent="0.2">
      <c r="A441" s="93">
        <v>41791</v>
      </c>
      <c r="B441" s="86">
        <v>105748.035</v>
      </c>
      <c r="C441" s="86">
        <v>103208.515</v>
      </c>
      <c r="D441" s="86">
        <f t="shared" si="76"/>
        <v>2539.5200000000041</v>
      </c>
      <c r="E441" s="92">
        <f t="shared" si="77"/>
        <v>0.52357225578345468</v>
      </c>
      <c r="F441" s="86">
        <f t="shared" si="78"/>
        <v>2664.4100000000471</v>
      </c>
      <c r="G441" s="86">
        <v>490241.09</v>
      </c>
      <c r="H441" s="6"/>
      <c r="I441" s="1" t="s">
        <v>50</v>
      </c>
      <c r="J441" s="1" t="s">
        <v>51</v>
      </c>
      <c r="K441" s="1" t="s">
        <v>31</v>
      </c>
      <c r="M441" s="6"/>
    </row>
    <row r="442" spans="1:18" hidden="1" outlineLevel="1" x14ac:dyDescent="0.2">
      <c r="A442" s="93">
        <v>41821</v>
      </c>
      <c r="B442" s="86">
        <v>115878.872</v>
      </c>
      <c r="C442" s="86">
        <v>113011.077</v>
      </c>
      <c r="D442" s="86">
        <f t="shared" si="76"/>
        <v>2867.7949999999983</v>
      </c>
      <c r="E442" s="92">
        <f t="shared" si="77"/>
        <v>0.58497646535503545</v>
      </c>
      <c r="F442" s="86">
        <f t="shared" si="78"/>
        <v>2616.9879999999976</v>
      </c>
      <c r="G442" s="86">
        <v>495725.87300000002</v>
      </c>
      <c r="H442" s="6"/>
      <c r="I442" s="1" t="s">
        <v>50</v>
      </c>
      <c r="J442" s="1" t="s">
        <v>51</v>
      </c>
      <c r="K442" s="1" t="s">
        <v>31</v>
      </c>
      <c r="M442" s="6"/>
    </row>
    <row r="443" spans="1:18" hidden="1" outlineLevel="1" x14ac:dyDescent="0.2">
      <c r="A443" s="93">
        <v>41852</v>
      </c>
      <c r="B443" s="86">
        <v>109801.261</v>
      </c>
      <c r="C443" s="86">
        <v>108855.72900000001</v>
      </c>
      <c r="D443" s="86">
        <f>B443-C443</f>
        <v>945.53199999999197</v>
      </c>
      <c r="E443" s="92">
        <f t="shared" si="77"/>
        <v>0.19073686718788468</v>
      </c>
      <c r="F443" s="86">
        <f t="shared" si="78"/>
        <v>2809.4240000000136</v>
      </c>
      <c r="G443" s="86">
        <v>499480.82900000003</v>
      </c>
      <c r="H443" s="6"/>
      <c r="I443" s="1" t="s">
        <v>50</v>
      </c>
      <c r="J443" s="1" t="s">
        <v>51</v>
      </c>
      <c r="K443" s="1" t="s">
        <v>31</v>
      </c>
      <c r="M443" s="6"/>
    </row>
    <row r="444" spans="1:18" hidden="1" outlineLevel="1" x14ac:dyDescent="0.2">
      <c r="A444" s="93">
        <v>41883</v>
      </c>
      <c r="B444" s="86">
        <v>117875.42200000001</v>
      </c>
      <c r="C444" s="86">
        <v>116181.219</v>
      </c>
      <c r="D444" s="86">
        <f>B444-C444</f>
        <v>1694.2030000000086</v>
      </c>
      <c r="E444" s="92">
        <f t="shared" si="77"/>
        <v>0.33919279812839592</v>
      </c>
      <c r="F444" s="86">
        <f t="shared" si="78"/>
        <v>2777.8749999999709</v>
      </c>
      <c r="G444" s="86">
        <v>503952.90700000001</v>
      </c>
      <c r="H444" s="6"/>
      <c r="I444" s="1" t="s">
        <v>50</v>
      </c>
      <c r="J444" s="1" t="s">
        <v>51</v>
      </c>
      <c r="K444" s="1" t="s">
        <v>31</v>
      </c>
      <c r="M444" s="6"/>
    </row>
    <row r="445" spans="1:18" hidden="1" outlineLevel="1" x14ac:dyDescent="0.2">
      <c r="A445" s="93">
        <v>41913</v>
      </c>
      <c r="B445" s="86">
        <v>117485.077</v>
      </c>
      <c r="C445" s="86">
        <v>115943.171</v>
      </c>
      <c r="D445" s="86">
        <f>B445-C445</f>
        <v>1541.9060000000027</v>
      </c>
      <c r="E445" s="92">
        <f t="shared" si="77"/>
        <v>0.30596231881642916</v>
      </c>
      <c r="F445" s="86">
        <f t="shared" si="78"/>
        <v>2776.9579999999987</v>
      </c>
      <c r="G445" s="86">
        <v>508271.77100000001</v>
      </c>
      <c r="H445" s="6"/>
      <c r="I445" s="1" t="s">
        <v>50</v>
      </c>
      <c r="J445" s="1" t="s">
        <v>51</v>
      </c>
      <c r="K445" s="1" t="s">
        <v>31</v>
      </c>
      <c r="M445" s="6"/>
    </row>
    <row r="446" spans="1:18" hidden="1" outlineLevel="1" x14ac:dyDescent="0.2">
      <c r="A446" s="93">
        <v>41944</v>
      </c>
      <c r="B446" s="86">
        <v>113771.32399999999</v>
      </c>
      <c r="C446" s="86">
        <v>110163.48</v>
      </c>
      <c r="D446" s="86">
        <f>B446-C446</f>
        <v>3607.8439999999973</v>
      </c>
      <c r="E446" s="92">
        <f t="shared" si="77"/>
        <v>0.7098257676010099</v>
      </c>
      <c r="F446" s="86">
        <f t="shared" si="78"/>
        <v>2891.9270000000106</v>
      </c>
      <c r="G446" s="86">
        <v>514771.54200000002</v>
      </c>
      <c r="H446" s="6"/>
      <c r="I446" s="1" t="s">
        <v>50</v>
      </c>
      <c r="J446" s="1" t="s">
        <v>51</v>
      </c>
      <c r="K446" s="1" t="s">
        <v>31</v>
      </c>
      <c r="M446" s="6"/>
    </row>
    <row r="447" spans="1:18" hidden="1" outlineLevel="1" x14ac:dyDescent="0.2">
      <c r="A447" s="93">
        <v>41974</v>
      </c>
      <c r="B447" s="86">
        <v>145875.79300000001</v>
      </c>
      <c r="C447" s="86">
        <v>141100.66</v>
      </c>
      <c r="D447" s="86">
        <f>B447-C447</f>
        <v>4775.1330000000016</v>
      </c>
      <c r="E447" s="92">
        <f t="shared" si="77"/>
        <v>0.92762179149367219</v>
      </c>
      <c r="F447" s="86">
        <f t="shared" si="78"/>
        <v>2796.8259999999718</v>
      </c>
      <c r="G447" s="86">
        <v>522343.50099999999</v>
      </c>
      <c r="H447" s="6"/>
      <c r="I447" s="1" t="s">
        <v>50</v>
      </c>
      <c r="J447" s="1" t="s">
        <v>51</v>
      </c>
      <c r="K447" s="1" t="s">
        <v>31</v>
      </c>
      <c r="M447" s="6"/>
    </row>
    <row r="448" spans="1:18" hidden="1" collapsed="1" x14ac:dyDescent="0.2">
      <c r="A448" s="83" t="s">
        <v>72</v>
      </c>
      <c r="B448" s="84">
        <f>SUM(B436:B447)</f>
        <v>1327981.1020000002</v>
      </c>
      <c r="C448" s="84">
        <f>SUM(C436:C447)</f>
        <v>1304222.544</v>
      </c>
      <c r="D448" s="84">
        <f>SUM(D436:D447)</f>
        <v>23758.558000000005</v>
      </c>
      <c r="E448" s="91">
        <f>(D448/G435*100)</f>
        <v>5.0897892023268687</v>
      </c>
      <c r="F448" s="84">
        <f>SUM(F436:F447)</f>
        <v>31796.299000000014</v>
      </c>
      <c r="G448" s="85">
        <f>INDEX($G$436:$G$447,COUNTA($G$436:$G$447))</f>
        <v>522343.50099999999</v>
      </c>
      <c r="I448" s="1" t="s">
        <v>50</v>
      </c>
      <c r="J448" s="1" t="s">
        <v>51</v>
      </c>
      <c r="K448" s="1" t="s">
        <v>31</v>
      </c>
      <c r="M448" s="81"/>
      <c r="O448" s="75"/>
      <c r="P448" s="75"/>
      <c r="R448" s="75"/>
    </row>
    <row r="449" spans="1:13" hidden="1" outlineLevel="1" x14ac:dyDescent="0.2">
      <c r="A449" s="93">
        <v>42005</v>
      </c>
      <c r="B449" s="86">
        <v>121289.568</v>
      </c>
      <c r="C449" s="86">
        <v>125743.254</v>
      </c>
      <c r="D449" s="86">
        <f t="shared" ref="D449:D455" si="79">B449-C449</f>
        <v>-4453.6860000000015</v>
      </c>
      <c r="E449" s="92">
        <f t="shared" ref="E449:E460" si="80">D449/G448*100</f>
        <v>-0.85263547674540741</v>
      </c>
      <c r="F449" s="86">
        <f>IF(G449="",0,(G449-G448-D449))</f>
        <v>2812.5179999999964</v>
      </c>
      <c r="G449" s="86">
        <v>520702.33299999998</v>
      </c>
      <c r="H449" s="6"/>
      <c r="I449" s="1" t="s">
        <v>50</v>
      </c>
      <c r="J449" s="1" t="s">
        <v>51</v>
      </c>
      <c r="K449" s="1" t="s">
        <v>31</v>
      </c>
      <c r="M449" s="6"/>
    </row>
    <row r="450" spans="1:13" hidden="1" outlineLevel="1" x14ac:dyDescent="0.2">
      <c r="A450" s="93">
        <v>42036</v>
      </c>
      <c r="B450" s="86">
        <v>112900.341</v>
      </c>
      <c r="C450" s="86">
        <v>117771.88</v>
      </c>
      <c r="D450" s="86">
        <f t="shared" si="79"/>
        <v>-4871.5390000000043</v>
      </c>
      <c r="E450" s="92">
        <f t="shared" si="80"/>
        <v>-0.9355708033672292</v>
      </c>
      <c r="F450" s="86">
        <f t="shared" ref="F450:F460" si="81">IF(G450="",0,(G450-G449-D450))</f>
        <v>2888.4570000000094</v>
      </c>
      <c r="G450" s="86">
        <v>518719.25099999999</v>
      </c>
      <c r="H450" s="6"/>
      <c r="I450" s="1" t="s">
        <v>50</v>
      </c>
      <c r="J450" s="1" t="s">
        <v>51</v>
      </c>
      <c r="K450" s="1" t="s">
        <v>31</v>
      </c>
      <c r="M450" s="6"/>
    </row>
    <row r="451" spans="1:13" hidden="1" outlineLevel="1" x14ac:dyDescent="0.2">
      <c r="A451" s="93">
        <v>42064</v>
      </c>
      <c r="B451" s="86">
        <v>132288.15900000001</v>
      </c>
      <c r="C451" s="86">
        <v>141489.56</v>
      </c>
      <c r="D451" s="86">
        <f t="shared" si="79"/>
        <v>-9201.4009999999835</v>
      </c>
      <c r="E451" s="92">
        <f t="shared" si="80"/>
        <v>-1.7738691946098573</v>
      </c>
      <c r="F451" s="86">
        <f t="shared" si="81"/>
        <v>2784.0199999999895</v>
      </c>
      <c r="G451" s="86">
        <v>512301.87</v>
      </c>
      <c r="H451" s="6"/>
      <c r="I451" s="1" t="s">
        <v>50</v>
      </c>
      <c r="J451" s="1" t="s">
        <v>51</v>
      </c>
      <c r="K451" s="1" t="s">
        <v>31</v>
      </c>
      <c r="M451" s="6"/>
    </row>
    <row r="452" spans="1:13" hidden="1" outlineLevel="1" x14ac:dyDescent="0.2">
      <c r="A452" s="93">
        <v>42095</v>
      </c>
      <c r="B452" s="86">
        <v>124143.484</v>
      </c>
      <c r="C452" s="86">
        <v>129369.773</v>
      </c>
      <c r="D452" s="86">
        <f t="shared" si="79"/>
        <v>-5226.2890000000043</v>
      </c>
      <c r="E452" s="92">
        <f t="shared" si="80"/>
        <v>-1.0201580954603982</v>
      </c>
      <c r="F452" s="86">
        <f t="shared" si="81"/>
        <v>3040.4799999999959</v>
      </c>
      <c r="G452" s="86">
        <v>510116.06099999999</v>
      </c>
      <c r="H452" s="6"/>
      <c r="I452" s="1" t="s">
        <v>50</v>
      </c>
      <c r="J452" s="1" t="s">
        <v>51</v>
      </c>
      <c r="K452" s="1" t="s">
        <v>31</v>
      </c>
      <c r="M452" s="6"/>
    </row>
    <row r="453" spans="1:13" hidden="1" outlineLevel="1" x14ac:dyDescent="0.2">
      <c r="A453" s="93">
        <v>42125</v>
      </c>
      <c r="B453" s="86">
        <v>124352.549</v>
      </c>
      <c r="C453" s="86">
        <v>129639.77899999999</v>
      </c>
      <c r="D453" s="86">
        <f t="shared" si="79"/>
        <v>-5287.2299999999959</v>
      </c>
      <c r="E453" s="92">
        <f t="shared" si="80"/>
        <v>-1.0364758932771567</v>
      </c>
      <c r="F453" s="86">
        <f t="shared" si="81"/>
        <v>2874.7720000000118</v>
      </c>
      <c r="G453" s="86">
        <v>507703.603</v>
      </c>
      <c r="H453" s="6"/>
      <c r="I453" s="1" t="s">
        <v>50</v>
      </c>
      <c r="J453" s="1" t="s">
        <v>51</v>
      </c>
      <c r="K453" s="1" t="s">
        <v>31</v>
      </c>
      <c r="M453" s="6"/>
    </row>
    <row r="454" spans="1:13" hidden="1" outlineLevel="1" x14ac:dyDescent="0.2">
      <c r="A454" s="93">
        <v>42156</v>
      </c>
      <c r="B454" s="86">
        <v>132846.77600000001</v>
      </c>
      <c r="C454" s="86">
        <v>139961.79199999999</v>
      </c>
      <c r="D454" s="86">
        <f t="shared" si="79"/>
        <v>-7115.0159999999742</v>
      </c>
      <c r="E454" s="92">
        <f t="shared" si="80"/>
        <v>-1.401411366387324</v>
      </c>
      <c r="F454" s="86">
        <f t="shared" si="81"/>
        <v>3168.5549999999639</v>
      </c>
      <c r="G454" s="86">
        <v>503757.14199999999</v>
      </c>
      <c r="H454" s="6"/>
      <c r="I454" s="1" t="s">
        <v>50</v>
      </c>
      <c r="J454" s="1" t="s">
        <v>51</v>
      </c>
      <c r="K454" s="1" t="s">
        <v>31</v>
      </c>
      <c r="M454" s="6"/>
    </row>
    <row r="455" spans="1:13" hidden="1" outlineLevel="1" x14ac:dyDescent="0.2">
      <c r="A455" s="93">
        <v>42186</v>
      </c>
      <c r="B455" s="86">
        <v>137543.91</v>
      </c>
      <c r="C455" s="86">
        <v>139916.51999999999</v>
      </c>
      <c r="D455" s="86">
        <f t="shared" si="79"/>
        <v>-2372.609999999986</v>
      </c>
      <c r="E455" s="92">
        <f t="shared" si="80"/>
        <v>-0.47098290072480725</v>
      </c>
      <c r="F455" s="86">
        <f t="shared" si="81"/>
        <v>3225.335000000021</v>
      </c>
      <c r="G455" s="86">
        <v>504609.86700000003</v>
      </c>
      <c r="H455" s="6"/>
      <c r="I455" s="1" t="s">
        <v>50</v>
      </c>
      <c r="J455" s="1" t="s">
        <v>51</v>
      </c>
      <c r="K455" s="1" t="s">
        <v>31</v>
      </c>
      <c r="M455" s="6"/>
    </row>
    <row r="456" spans="1:13" hidden="1" outlineLevel="1" x14ac:dyDescent="0.2">
      <c r="A456" s="93">
        <v>42217</v>
      </c>
      <c r="B456" s="86">
        <v>127760.08900000001</v>
      </c>
      <c r="C456" s="86">
        <v>134991.85</v>
      </c>
      <c r="D456" s="86">
        <f>B456-C456</f>
        <v>-7231.7609999999986</v>
      </c>
      <c r="E456" s="92">
        <f t="shared" si="80"/>
        <v>-1.433139039272888</v>
      </c>
      <c r="F456" s="86">
        <f t="shared" si="81"/>
        <v>3403.3289999999688</v>
      </c>
      <c r="G456" s="86">
        <v>500781.435</v>
      </c>
      <c r="H456" s="6"/>
      <c r="I456" s="1" t="s">
        <v>50</v>
      </c>
      <c r="J456" s="1" t="s">
        <v>51</v>
      </c>
      <c r="K456" s="1" t="s">
        <v>31</v>
      </c>
      <c r="M456" s="6"/>
    </row>
    <row r="457" spans="1:13" hidden="1" outlineLevel="1" x14ac:dyDescent="0.2">
      <c r="A457" s="93">
        <v>42248</v>
      </c>
      <c r="B457" s="86">
        <v>128545.84</v>
      </c>
      <c r="C457" s="86">
        <v>133922.59299999999</v>
      </c>
      <c r="D457" s="86">
        <f>B457-C457</f>
        <v>-5376.752999999997</v>
      </c>
      <c r="E457" s="92">
        <f t="shared" si="80"/>
        <v>-1.0736725893203283</v>
      </c>
      <c r="F457" s="86">
        <f t="shared" si="81"/>
        <v>3281.2549999999756</v>
      </c>
      <c r="G457" s="86">
        <v>498685.93699999998</v>
      </c>
      <c r="H457" s="6"/>
      <c r="I457" s="1" t="s">
        <v>50</v>
      </c>
      <c r="J457" s="1" t="s">
        <v>51</v>
      </c>
      <c r="K457" s="1" t="s">
        <v>31</v>
      </c>
      <c r="M457" s="6"/>
    </row>
    <row r="458" spans="1:13" hidden="1" outlineLevel="1" x14ac:dyDescent="0.2">
      <c r="A458" s="93">
        <v>42278</v>
      </c>
      <c r="B458" s="86">
        <v>124742.166</v>
      </c>
      <c r="C458" s="86">
        <v>127584.03200000001</v>
      </c>
      <c r="D458" s="86">
        <f>B458-C458</f>
        <v>-2841.8660000000091</v>
      </c>
      <c r="E458" s="92">
        <f t="shared" si="80"/>
        <v>-0.56987089250924861</v>
      </c>
      <c r="F458" s="86">
        <f t="shared" si="81"/>
        <v>3148.8430000000226</v>
      </c>
      <c r="G458" s="86">
        <v>498992.91399999999</v>
      </c>
      <c r="H458" s="6"/>
      <c r="I458" s="1" t="s">
        <v>50</v>
      </c>
      <c r="J458" s="1" t="s">
        <v>51</v>
      </c>
      <c r="K458" s="1" t="s">
        <v>31</v>
      </c>
      <c r="M458" s="6"/>
    </row>
    <row r="459" spans="1:13" hidden="1" outlineLevel="1" x14ac:dyDescent="0.2">
      <c r="A459" s="93">
        <v>42309</v>
      </c>
      <c r="B459" s="86">
        <v>135942.677</v>
      </c>
      <c r="C459" s="86">
        <v>136904.43400000001</v>
      </c>
      <c r="D459" s="86">
        <f>B459-C459</f>
        <v>-961.75700000001234</v>
      </c>
      <c r="E459" s="92">
        <f t="shared" si="80"/>
        <v>-0.19273961072722015</v>
      </c>
      <c r="F459" s="86">
        <f t="shared" si="81"/>
        <v>3160.262000000017</v>
      </c>
      <c r="G459" s="86">
        <v>501191.41899999999</v>
      </c>
      <c r="H459" s="6"/>
      <c r="I459" s="1" t="s">
        <v>50</v>
      </c>
      <c r="J459" s="1" t="s">
        <v>51</v>
      </c>
      <c r="K459" s="1" t="s">
        <v>31</v>
      </c>
      <c r="M459" s="6"/>
    </row>
    <row r="460" spans="1:13" hidden="1" outlineLevel="1" x14ac:dyDescent="0.2">
      <c r="A460" s="93">
        <v>42339</v>
      </c>
      <c r="B460" s="86">
        <v>162722.72700000001</v>
      </c>
      <c r="C460" s="86">
        <v>157932.182</v>
      </c>
      <c r="D460" s="86">
        <f>B460-C460</f>
        <v>4790.5450000000128</v>
      </c>
      <c r="E460" s="92">
        <f t="shared" si="80"/>
        <v>0.95583140859800164</v>
      </c>
      <c r="F460" s="86">
        <f t="shared" si="81"/>
        <v>3241.0799999999872</v>
      </c>
      <c r="G460" s="86">
        <v>509223.04399999999</v>
      </c>
      <c r="H460" s="6"/>
      <c r="I460" s="1" t="s">
        <v>50</v>
      </c>
      <c r="J460" s="1" t="s">
        <v>51</v>
      </c>
      <c r="K460" s="1" t="s">
        <v>31</v>
      </c>
      <c r="M460" s="6"/>
    </row>
    <row r="461" spans="1:13" hidden="1" collapsed="1" x14ac:dyDescent="0.2">
      <c r="A461" s="83" t="s">
        <v>73</v>
      </c>
      <c r="B461" s="84">
        <f>SUM(B449:B460)</f>
        <v>1565078.2860000001</v>
      </c>
      <c r="C461" s="84">
        <f>SUM(C449:C460)</f>
        <v>1615227.6490000002</v>
      </c>
      <c r="D461" s="84">
        <f>SUM(D449:D460)</f>
        <v>-50149.362999999954</v>
      </c>
      <c r="E461" s="91">
        <f>(D461/G448*100)</f>
        <v>-9.6008398504033376</v>
      </c>
      <c r="F461" s="84">
        <f>SUM(F449:F460)</f>
        <v>37028.905999999959</v>
      </c>
      <c r="G461" s="85">
        <f>INDEX($G$449:$G$460,COUNTA($G$449:$G$460))</f>
        <v>509223.04399999999</v>
      </c>
    </row>
    <row r="462" spans="1:13" hidden="1" outlineLevel="1" x14ac:dyDescent="0.2">
      <c r="A462" s="93">
        <v>42370</v>
      </c>
      <c r="B462" s="86">
        <v>124047.951</v>
      </c>
      <c r="C462" s="86">
        <v>133569.807</v>
      </c>
      <c r="D462" s="86">
        <f t="shared" ref="D462:D468" si="82">B462-C462</f>
        <v>-9521.8559999999998</v>
      </c>
      <c r="E462" s="92">
        <f t="shared" ref="E462:E473" si="83">D462/G461*100</f>
        <v>-1.8698792429354394</v>
      </c>
      <c r="F462" s="86">
        <f>IF(G462="",0,(G462-G461-D462))</f>
        <v>3162.0180000000109</v>
      </c>
      <c r="G462" s="86">
        <v>502863.20600000001</v>
      </c>
      <c r="H462" s="6"/>
      <c r="I462" s="1" t="s">
        <v>50</v>
      </c>
      <c r="J462" s="1" t="s">
        <v>51</v>
      </c>
      <c r="K462" s="1" t="s">
        <v>31</v>
      </c>
      <c r="M462" s="6"/>
    </row>
    <row r="463" spans="1:13" hidden="1" outlineLevel="1" x14ac:dyDescent="0.2">
      <c r="A463" s="93">
        <v>42401</v>
      </c>
      <c r="B463" s="86">
        <v>125242.071</v>
      </c>
      <c r="C463" s="86">
        <v>131976.57699999999</v>
      </c>
      <c r="D463" s="86">
        <f t="shared" si="82"/>
        <v>-6734.5059999999939</v>
      </c>
      <c r="E463" s="92">
        <f t="shared" si="83"/>
        <v>-1.3392322046326042</v>
      </c>
      <c r="F463" s="86">
        <f t="shared" ref="F463:F473" si="84">IF(G463="",0,(G463-G462-D463))</f>
        <v>3162.3250000000116</v>
      </c>
      <c r="G463" s="86">
        <v>499291.02500000002</v>
      </c>
      <c r="H463" s="6"/>
      <c r="I463" s="1" t="s">
        <v>50</v>
      </c>
      <c r="J463" s="1" t="s">
        <v>51</v>
      </c>
      <c r="K463" s="1" t="s">
        <v>31</v>
      </c>
      <c r="M463" s="6"/>
    </row>
    <row r="464" spans="1:13" hidden="1" outlineLevel="1" x14ac:dyDescent="0.2">
      <c r="A464" s="93">
        <v>42430</v>
      </c>
      <c r="B464" s="86">
        <v>133702.823</v>
      </c>
      <c r="C464" s="86">
        <v>138887.29999999999</v>
      </c>
      <c r="D464" s="86">
        <f t="shared" si="82"/>
        <v>-5184.4769999999844</v>
      </c>
      <c r="E464" s="92">
        <f t="shared" si="83"/>
        <v>-1.0383677535561517</v>
      </c>
      <c r="F464" s="86">
        <f t="shared" si="84"/>
        <v>3016.3819999999541</v>
      </c>
      <c r="G464" s="86">
        <v>497122.93</v>
      </c>
      <c r="H464" s="6"/>
      <c r="I464" s="1" t="s">
        <v>50</v>
      </c>
      <c r="J464" s="1" t="s">
        <v>51</v>
      </c>
      <c r="K464" s="1" t="s">
        <v>31</v>
      </c>
      <c r="M464" s="6"/>
    </row>
    <row r="465" spans="1:13" hidden="1" outlineLevel="1" x14ac:dyDescent="0.2">
      <c r="A465" s="93">
        <v>42461</v>
      </c>
      <c r="B465" s="86">
        <v>124176.999</v>
      </c>
      <c r="C465" s="86">
        <v>130481.643</v>
      </c>
      <c r="D465" s="86">
        <f t="shared" si="82"/>
        <v>-6304.6440000000002</v>
      </c>
      <c r="E465" s="92">
        <f t="shared" si="83"/>
        <v>-1.268226351980988</v>
      </c>
      <c r="F465" s="86">
        <f t="shared" si="84"/>
        <v>3186.9549999999872</v>
      </c>
      <c r="G465" s="86">
        <v>494005.24099999998</v>
      </c>
      <c r="H465" s="6"/>
      <c r="I465" s="1" t="s">
        <v>50</v>
      </c>
      <c r="J465" s="1" t="s">
        <v>51</v>
      </c>
      <c r="K465" s="1" t="s">
        <v>31</v>
      </c>
      <c r="M465" s="6"/>
    </row>
    <row r="466" spans="1:13" hidden="1" outlineLevel="1" x14ac:dyDescent="0.2">
      <c r="A466" s="93">
        <v>42491</v>
      </c>
      <c r="B466" s="86">
        <v>131254.709</v>
      </c>
      <c r="C466" s="86">
        <v>135432.535</v>
      </c>
      <c r="D466" s="86">
        <f t="shared" si="82"/>
        <v>-4177.8260000000009</v>
      </c>
      <c r="E466" s="92">
        <f t="shared" si="83"/>
        <v>-0.84570479283639854</v>
      </c>
      <c r="F466" s="86">
        <f t="shared" si="84"/>
        <v>3066.1940000000177</v>
      </c>
      <c r="G466" s="86">
        <v>492893.609</v>
      </c>
      <c r="H466" s="6"/>
      <c r="I466" s="1" t="s">
        <v>50</v>
      </c>
      <c r="J466" s="1" t="s">
        <v>51</v>
      </c>
      <c r="K466" s="1" t="s">
        <v>31</v>
      </c>
      <c r="M466" s="6"/>
    </row>
    <row r="467" spans="1:13" hidden="1" outlineLevel="1" x14ac:dyDescent="0.2">
      <c r="A467" s="93">
        <v>42522</v>
      </c>
      <c r="B467" s="86">
        <v>130912.75599999999</v>
      </c>
      <c r="C467" s="86">
        <v>133701.78200000001</v>
      </c>
      <c r="D467" s="86">
        <f t="shared" si="82"/>
        <v>-2789.0260000000126</v>
      </c>
      <c r="E467" s="92">
        <f t="shared" si="83"/>
        <v>-0.56584746668930985</v>
      </c>
      <c r="F467" s="86">
        <f t="shared" si="84"/>
        <v>3151.1570000000065</v>
      </c>
      <c r="G467" s="86">
        <v>493255.74</v>
      </c>
      <c r="H467" s="6"/>
      <c r="I467" s="1" t="s">
        <v>50</v>
      </c>
      <c r="J467" s="1" t="s">
        <v>51</v>
      </c>
      <c r="K467" s="1" t="s">
        <v>31</v>
      </c>
      <c r="M467" s="6"/>
    </row>
    <row r="468" spans="1:13" hidden="1" outlineLevel="1" x14ac:dyDescent="0.2">
      <c r="A468" s="93">
        <v>42552</v>
      </c>
      <c r="B468" s="86">
        <v>130682.166</v>
      </c>
      <c r="C468" s="86">
        <v>131593.448</v>
      </c>
      <c r="D468" s="86">
        <f t="shared" si="82"/>
        <v>-911.28200000000652</v>
      </c>
      <c r="E468" s="92">
        <f t="shared" si="83"/>
        <v>-0.1847483822489337</v>
      </c>
      <c r="F468" s="86">
        <f t="shared" si="84"/>
        <v>3234.3470000000088</v>
      </c>
      <c r="G468" s="86">
        <v>495578.80499999999</v>
      </c>
      <c r="H468" s="6"/>
      <c r="I468" s="1" t="s">
        <v>50</v>
      </c>
      <c r="J468" s="1" t="s">
        <v>51</v>
      </c>
      <c r="K468" s="1" t="s">
        <v>31</v>
      </c>
      <c r="M468" s="6"/>
    </row>
    <row r="469" spans="1:13" hidden="1" outlineLevel="1" x14ac:dyDescent="0.2">
      <c r="A469" s="93">
        <v>42583</v>
      </c>
      <c r="B469" s="86">
        <v>136900.742</v>
      </c>
      <c r="C469" s="86">
        <v>140417.03099999999</v>
      </c>
      <c r="D469" s="86">
        <f>B469-C469</f>
        <v>-3516.2889999999898</v>
      </c>
      <c r="E469" s="92">
        <f t="shared" si="83"/>
        <v>-0.70953175650843048</v>
      </c>
      <c r="F469" s="86">
        <f>IF(G469="",0,(G469-G468-D469))</f>
        <v>3317.8779999999679</v>
      </c>
      <c r="G469" s="86">
        <v>495380.39399999997</v>
      </c>
      <c r="H469" s="6"/>
      <c r="I469" s="1" t="s">
        <v>50</v>
      </c>
      <c r="J469" s="1" t="s">
        <v>51</v>
      </c>
      <c r="K469" s="1" t="s">
        <v>31</v>
      </c>
      <c r="M469" s="6"/>
    </row>
    <row r="470" spans="1:13" hidden="1" outlineLevel="1" x14ac:dyDescent="0.2">
      <c r="A470" s="93">
        <v>42614</v>
      </c>
      <c r="B470" s="86">
        <v>120813.709</v>
      </c>
      <c r="C470" s="86">
        <v>122727.364</v>
      </c>
      <c r="D470" s="86">
        <f>B470-C470</f>
        <v>-1913.6549999999988</v>
      </c>
      <c r="E470" s="92">
        <f t="shared" si="83"/>
        <v>-0.38630010859896868</v>
      </c>
      <c r="F470" s="86">
        <f>IF(G470="",0,(G470-G469-D470))</f>
        <v>3255.652000000031</v>
      </c>
      <c r="G470" s="86">
        <v>496722.391</v>
      </c>
      <c r="H470" s="6"/>
      <c r="I470" s="1" t="s">
        <v>50</v>
      </c>
      <c r="J470" s="1" t="s">
        <v>51</v>
      </c>
      <c r="K470" s="1" t="s">
        <v>31</v>
      </c>
      <c r="M470" s="6"/>
    </row>
    <row r="471" spans="1:13" hidden="1" outlineLevel="1" x14ac:dyDescent="0.2">
      <c r="A471" s="93">
        <v>42644</v>
      </c>
      <c r="B471" s="86">
        <v>134695.326</v>
      </c>
      <c r="C471" s="86">
        <v>136465.78200000001</v>
      </c>
      <c r="D471" s="86">
        <f>B471-C471</f>
        <v>-1770.4560000000056</v>
      </c>
      <c r="E471" s="92">
        <f t="shared" si="83"/>
        <v>-0.35642766101921214</v>
      </c>
      <c r="F471" s="86">
        <f t="shared" si="84"/>
        <v>3136.1780000000144</v>
      </c>
      <c r="G471" s="86">
        <v>498088.11300000001</v>
      </c>
      <c r="H471" s="6"/>
      <c r="I471" s="1" t="s">
        <v>50</v>
      </c>
      <c r="J471" s="1" t="s">
        <v>51</v>
      </c>
      <c r="K471" s="1" t="s">
        <v>31</v>
      </c>
      <c r="M471" s="6"/>
    </row>
    <row r="472" spans="1:13" hidden="1" outlineLevel="1" x14ac:dyDescent="0.2">
      <c r="A472" s="93">
        <v>42675</v>
      </c>
      <c r="B472" s="86">
        <v>140367.057</v>
      </c>
      <c r="C472" s="86">
        <v>137766.77799999999</v>
      </c>
      <c r="D472" s="86">
        <f>B472-C472</f>
        <v>2600.2790000000095</v>
      </c>
      <c r="E472" s="92">
        <f t="shared" si="83"/>
        <v>0.52205200889827497</v>
      </c>
      <c r="F472" s="86">
        <f t="shared" si="84"/>
        <v>3121.4909999999509</v>
      </c>
      <c r="G472" s="86">
        <v>503809.88299999997</v>
      </c>
      <c r="H472" s="6"/>
      <c r="I472" s="1" t="s">
        <v>50</v>
      </c>
      <c r="J472" s="1" t="s">
        <v>51</v>
      </c>
      <c r="K472" s="1" t="s">
        <v>31</v>
      </c>
      <c r="M472" s="6"/>
    </row>
    <row r="473" spans="1:13" hidden="1" outlineLevel="1" x14ac:dyDescent="0.2">
      <c r="A473" s="93">
        <v>42705</v>
      </c>
      <c r="B473" s="86">
        <v>165603.90900000001</v>
      </c>
      <c r="C473" s="86">
        <v>156602.717</v>
      </c>
      <c r="D473" s="86">
        <f>B473-C473</f>
        <v>9001.19200000001</v>
      </c>
      <c r="E473" s="92">
        <f t="shared" si="83"/>
        <v>1.786624737569908</v>
      </c>
      <c r="F473" s="86">
        <f t="shared" si="84"/>
        <v>3144.3550000000105</v>
      </c>
      <c r="G473" s="86">
        <v>515955.43</v>
      </c>
      <c r="H473" s="6"/>
      <c r="I473" s="1" t="s">
        <v>50</v>
      </c>
      <c r="J473" s="1" t="s">
        <v>51</v>
      </c>
      <c r="K473" s="1" t="s">
        <v>31</v>
      </c>
      <c r="M473" s="6"/>
    </row>
    <row r="474" spans="1:13" hidden="1" collapsed="1" x14ac:dyDescent="0.2">
      <c r="A474" s="83" t="s">
        <v>74</v>
      </c>
      <c r="B474" s="84">
        <f>SUM(B462:B473)</f>
        <v>1598400.2179999999</v>
      </c>
      <c r="C474" s="84">
        <f>SUM(C462:C473)</f>
        <v>1629622.7639999997</v>
      </c>
      <c r="D474" s="84">
        <f>SUM(D462:D473)</f>
        <v>-31222.545999999973</v>
      </c>
      <c r="E474" s="91">
        <f>(D474/G461*100)</f>
        <v>-6.1314086956363223</v>
      </c>
      <c r="F474" s="84">
        <f>SUM(F462:F473)</f>
        <v>37954.931999999972</v>
      </c>
      <c r="G474" s="85">
        <f>INDEX($G$462:$G$473,COUNTA($G$462:$G$473))</f>
        <v>515955.43</v>
      </c>
    </row>
    <row r="475" spans="1:13" hidden="1" outlineLevel="1" x14ac:dyDescent="0.2">
      <c r="A475" s="93">
        <v>42736</v>
      </c>
      <c r="B475" s="86">
        <v>136975.11600000001</v>
      </c>
      <c r="C475" s="86">
        <v>145690.802</v>
      </c>
      <c r="D475" s="86">
        <f t="shared" ref="D475:D480" si="85">B475-C475</f>
        <v>-8715.685999999987</v>
      </c>
      <c r="E475" s="92">
        <f t="shared" ref="E475:E486" si="86">D475/G474*100</f>
        <v>-1.6892323431890204</v>
      </c>
      <c r="F475" s="86">
        <f>IF(G475="",0,(G475-G474-D475))</f>
        <v>3380.6830000000191</v>
      </c>
      <c r="G475" s="86">
        <v>510620.42700000003</v>
      </c>
      <c r="H475" s="6"/>
      <c r="I475" s="1" t="s">
        <v>50</v>
      </c>
      <c r="J475" s="1" t="s">
        <v>51</v>
      </c>
      <c r="K475" s="1" t="s">
        <v>31</v>
      </c>
      <c r="M475" s="6"/>
    </row>
    <row r="476" spans="1:13" hidden="1" outlineLevel="1" x14ac:dyDescent="0.2">
      <c r="A476" s="93">
        <v>42767</v>
      </c>
      <c r="B476" s="86">
        <v>121767.379</v>
      </c>
      <c r="C476" s="86">
        <v>122254.363</v>
      </c>
      <c r="D476" s="86">
        <f t="shared" si="85"/>
        <v>-486.98399999999674</v>
      </c>
      <c r="E476" s="92">
        <f t="shared" si="86"/>
        <v>-9.5371037712127543E-2</v>
      </c>
      <c r="F476" s="86">
        <f t="shared" ref="F476:F481" si="87">IF(G476="",0,(G476-G475-D476))</f>
        <v>2906.4569999999949</v>
      </c>
      <c r="G476" s="86">
        <v>513039.9</v>
      </c>
      <c r="H476" s="6"/>
      <c r="I476" s="1" t="s">
        <v>50</v>
      </c>
      <c r="J476" s="1" t="s">
        <v>51</v>
      </c>
      <c r="K476" s="1" t="s">
        <v>31</v>
      </c>
      <c r="M476" s="6"/>
    </row>
    <row r="477" spans="1:13" hidden="1" outlineLevel="1" x14ac:dyDescent="0.2">
      <c r="A477" s="93">
        <v>42795</v>
      </c>
      <c r="B477" s="86">
        <v>149956.70300000001</v>
      </c>
      <c r="C477" s="86">
        <v>153499.56</v>
      </c>
      <c r="D477" s="86">
        <f t="shared" si="85"/>
        <v>-3542.8569999999891</v>
      </c>
      <c r="E477" s="92">
        <f t="shared" si="86"/>
        <v>-0.69056168925652539</v>
      </c>
      <c r="F477" s="86">
        <f t="shared" si="87"/>
        <v>2907.8319999999658</v>
      </c>
      <c r="G477" s="86">
        <v>512404.875</v>
      </c>
      <c r="H477" s="6"/>
      <c r="I477" s="1" t="s">
        <v>50</v>
      </c>
      <c r="J477" s="1" t="s">
        <v>51</v>
      </c>
      <c r="K477" s="1" t="s">
        <v>31</v>
      </c>
      <c r="M477" s="6"/>
    </row>
    <row r="478" spans="1:13" hidden="1" outlineLevel="1" x14ac:dyDescent="0.2">
      <c r="A478" s="93">
        <v>42826</v>
      </c>
      <c r="B478" s="86">
        <v>128155.815</v>
      </c>
      <c r="C478" s="86">
        <v>128646.984</v>
      </c>
      <c r="D478" s="86">
        <f t="shared" si="85"/>
        <v>-491.16899999999441</v>
      </c>
      <c r="E478" s="92">
        <f t="shared" si="86"/>
        <v>-9.5855645401499032E-2</v>
      </c>
      <c r="F478" s="86">
        <f>IF(G478="",0,(G478-G477-D478))</f>
        <v>2929.6780000000144</v>
      </c>
      <c r="G478" s="86">
        <v>514843.38400000002</v>
      </c>
      <c r="H478" s="6"/>
      <c r="I478" s="1" t="s">
        <v>50</v>
      </c>
      <c r="J478" s="1" t="s">
        <v>51</v>
      </c>
      <c r="K478" s="1" t="s">
        <v>31</v>
      </c>
      <c r="M478" s="6"/>
    </row>
    <row r="479" spans="1:13" hidden="1" outlineLevel="1" x14ac:dyDescent="0.2">
      <c r="A479" s="93">
        <v>42856</v>
      </c>
      <c r="B479" s="86">
        <v>148354.685</v>
      </c>
      <c r="C479" s="86">
        <v>148182.11499999999</v>
      </c>
      <c r="D479" s="86">
        <f t="shared" si="85"/>
        <v>172.57000000000698</v>
      </c>
      <c r="E479" s="92">
        <f t="shared" si="86"/>
        <v>3.3518931263960258E-2</v>
      </c>
      <c r="F479" s="86">
        <f t="shared" si="87"/>
        <v>2566.0469999999623</v>
      </c>
      <c r="G479" s="86">
        <v>517582.00099999999</v>
      </c>
      <c r="H479" s="6"/>
      <c r="I479" s="1" t="s">
        <v>50</v>
      </c>
      <c r="J479" s="1" t="s">
        <v>51</v>
      </c>
      <c r="K479" s="1" t="s">
        <v>31</v>
      </c>
      <c r="M479" s="6"/>
    </row>
    <row r="480" spans="1:13" hidden="1" outlineLevel="1" x14ac:dyDescent="0.2">
      <c r="A480" s="93">
        <v>42887</v>
      </c>
      <c r="B480" s="86">
        <v>143911.87700000001</v>
      </c>
      <c r="C480" s="86">
        <v>139039.91800000001</v>
      </c>
      <c r="D480" s="86">
        <f t="shared" si="85"/>
        <v>4871.9590000000026</v>
      </c>
      <c r="E480" s="92">
        <f t="shared" si="86"/>
        <v>0.94129219922390661</v>
      </c>
      <c r="F480" s="86">
        <f t="shared" si="87"/>
        <v>2920.3329999999551</v>
      </c>
      <c r="G480" s="86">
        <v>525374.29299999995</v>
      </c>
      <c r="H480" s="6"/>
      <c r="I480" s="1" t="s">
        <v>50</v>
      </c>
      <c r="J480" s="1" t="s">
        <v>51</v>
      </c>
      <c r="K480" s="1" t="s">
        <v>31</v>
      </c>
      <c r="M480" s="6"/>
    </row>
    <row r="481" spans="1:13" hidden="1" outlineLevel="1" x14ac:dyDescent="0.2">
      <c r="A481" s="93">
        <v>42917</v>
      </c>
      <c r="B481" s="86">
        <v>144541.56700000001</v>
      </c>
      <c r="C481" s="86">
        <v>143437.67600000001</v>
      </c>
      <c r="D481" s="86">
        <f t="shared" ref="D481:D486" si="88">B481-C481</f>
        <v>1103.8910000000033</v>
      </c>
      <c r="E481" s="92">
        <f t="shared" si="86"/>
        <v>0.21011515308382314</v>
      </c>
      <c r="F481" s="86">
        <f t="shared" si="87"/>
        <v>2739.2200000000303</v>
      </c>
      <c r="G481" s="86">
        <v>529217.40399999998</v>
      </c>
      <c r="H481" s="6"/>
      <c r="I481" s="1" t="s">
        <v>50</v>
      </c>
      <c r="J481" s="1" t="s">
        <v>51</v>
      </c>
      <c r="K481" s="1" t="s">
        <v>31</v>
      </c>
      <c r="M481" s="6"/>
    </row>
    <row r="482" spans="1:13" hidden="1" outlineLevel="1" x14ac:dyDescent="0.2">
      <c r="A482" s="93">
        <v>42948</v>
      </c>
      <c r="B482" s="86">
        <v>148514.84299999999</v>
      </c>
      <c r="C482" s="86">
        <v>146869.74799999999</v>
      </c>
      <c r="D482" s="86">
        <f t="shared" si="88"/>
        <v>1645.0950000000012</v>
      </c>
      <c r="E482" s="92">
        <f t="shared" si="86"/>
        <v>0.31085428928939779</v>
      </c>
      <c r="F482" s="86">
        <f>IF(G482="",0,(G482-G481-D482))</f>
        <v>2830.896000000037</v>
      </c>
      <c r="G482" s="86">
        <v>533693.39500000002</v>
      </c>
      <c r="H482" s="6"/>
      <c r="I482" s="1" t="s">
        <v>50</v>
      </c>
      <c r="J482" s="1" t="s">
        <v>51</v>
      </c>
      <c r="K482" s="1" t="s">
        <v>31</v>
      </c>
      <c r="M482" s="6"/>
    </row>
    <row r="483" spans="1:13" hidden="1" outlineLevel="1" x14ac:dyDescent="0.2">
      <c r="A483" s="93">
        <v>42979</v>
      </c>
      <c r="B483" s="86">
        <v>143245.71100000001</v>
      </c>
      <c r="C483" s="86">
        <v>140080.315</v>
      </c>
      <c r="D483" s="86">
        <f t="shared" si="88"/>
        <v>3165.3960000000079</v>
      </c>
      <c r="E483" s="92">
        <f t="shared" si="86"/>
        <v>0.59311133127289462</v>
      </c>
      <c r="F483" s="86">
        <f>IF(G483="",0,(G483-G482-D483))</f>
        <v>2604.8109999999288</v>
      </c>
      <c r="G483" s="86">
        <v>539463.60199999996</v>
      </c>
      <c r="H483" s="6"/>
      <c r="I483" s="1" t="s">
        <v>50</v>
      </c>
      <c r="J483" s="1" t="s">
        <v>51</v>
      </c>
      <c r="K483" s="1" t="s">
        <v>31</v>
      </c>
      <c r="M483" s="6"/>
    </row>
    <row r="484" spans="1:13" hidden="1" outlineLevel="1" x14ac:dyDescent="0.2">
      <c r="A484" s="93">
        <v>43009</v>
      </c>
      <c r="B484" s="86">
        <v>143525.32699999999</v>
      </c>
      <c r="C484" s="86">
        <v>145192.93900000001</v>
      </c>
      <c r="D484" s="86">
        <f t="shared" si="88"/>
        <v>-1667.6120000000228</v>
      </c>
      <c r="E484" s="92">
        <f t="shared" si="86"/>
        <v>-0.30912409916397343</v>
      </c>
      <c r="F484" s="86">
        <f t="shared" ref="F484:F486" si="89">IF(G484="",0,(G484-G483-D484))</f>
        <v>2491.7140000000945</v>
      </c>
      <c r="G484" s="86">
        <v>540287.70400000003</v>
      </c>
      <c r="H484" s="6"/>
      <c r="I484" s="1" t="s">
        <v>50</v>
      </c>
      <c r="J484" s="1" t="s">
        <v>51</v>
      </c>
      <c r="K484" s="1" t="s">
        <v>31</v>
      </c>
      <c r="M484" s="6"/>
    </row>
    <row r="485" spans="1:13" hidden="1" outlineLevel="1" x14ac:dyDescent="0.2">
      <c r="A485" s="93">
        <v>43040</v>
      </c>
      <c r="B485" s="86">
        <v>146576.58900000001</v>
      </c>
      <c r="C485" s="86">
        <v>142814.87899999999</v>
      </c>
      <c r="D485" s="86">
        <f t="shared" si="88"/>
        <v>3761.710000000021</v>
      </c>
      <c r="E485" s="92">
        <f t="shared" si="86"/>
        <v>0.69624201553178799</v>
      </c>
      <c r="F485" s="86">
        <f t="shared" si="89"/>
        <v>2437.9130000000005</v>
      </c>
      <c r="G485" s="86">
        <v>546487.32700000005</v>
      </c>
      <c r="H485" s="6"/>
      <c r="I485" s="1" t="s">
        <v>50</v>
      </c>
      <c r="J485" s="1" t="s">
        <v>51</v>
      </c>
      <c r="K485" s="1" t="s">
        <v>31</v>
      </c>
      <c r="M485" s="6"/>
    </row>
    <row r="486" spans="1:13" hidden="1" outlineLevel="1" x14ac:dyDescent="0.2">
      <c r="A486" s="93">
        <v>43070</v>
      </c>
      <c r="B486" s="86">
        <v>173050.86300000001</v>
      </c>
      <c r="C486" s="86">
        <v>158092.37700000001</v>
      </c>
      <c r="D486" s="86">
        <f t="shared" si="88"/>
        <v>14958.486000000004</v>
      </c>
      <c r="E486" s="92">
        <f t="shared" si="86"/>
        <v>2.7372063835617553</v>
      </c>
      <c r="F486" s="86">
        <f t="shared" si="89"/>
        <v>2295.8619999999937</v>
      </c>
      <c r="G486" s="86">
        <v>563741.67500000005</v>
      </c>
      <c r="H486" s="6"/>
      <c r="I486" s="1" t="s">
        <v>50</v>
      </c>
      <c r="J486" s="1" t="s">
        <v>51</v>
      </c>
      <c r="K486" s="1" t="s">
        <v>31</v>
      </c>
      <c r="M486" s="6"/>
    </row>
    <row r="487" spans="1:13" hidden="1" collapsed="1" x14ac:dyDescent="0.2">
      <c r="A487" s="83" t="s">
        <v>75</v>
      </c>
      <c r="B487" s="84">
        <f>SUM(B475:B486)</f>
        <v>1728576.4750000001</v>
      </c>
      <c r="C487" s="84">
        <f>SUM(C475:C486)</f>
        <v>1713801.676</v>
      </c>
      <c r="D487" s="84">
        <f>SUM(D475:D486)</f>
        <v>14774.799000000057</v>
      </c>
      <c r="E487" s="91">
        <f>(D487/G474*100)</f>
        <v>2.863580484073994</v>
      </c>
      <c r="F487" s="84">
        <f>SUM(F475:F486)</f>
        <v>33011.445999999996</v>
      </c>
      <c r="G487" s="85">
        <f>INDEX($G$475:$G$486,COUNTA($G$475:$G$486))</f>
        <v>563741.67500000005</v>
      </c>
    </row>
    <row r="488" spans="1:13" hidden="1" outlineLevel="1" x14ac:dyDescent="0.2">
      <c r="A488" s="93">
        <v>43101</v>
      </c>
      <c r="B488" s="86">
        <v>150970.71400000001</v>
      </c>
      <c r="C488" s="86">
        <v>155945.495</v>
      </c>
      <c r="D488" s="86">
        <f t="shared" ref="D488:D497" si="90">B488-C488</f>
        <v>-4974.7809999999881</v>
      </c>
      <c r="E488" s="92">
        <f t="shared" ref="E488:E499" si="91">D488/G487*100</f>
        <v>-0.88245755469470788</v>
      </c>
      <c r="F488" s="86">
        <f>IF(G488="",0,(G488-G487-D488))</f>
        <v>2300.134999999922</v>
      </c>
      <c r="G488" s="86">
        <v>561067.02899999998</v>
      </c>
      <c r="H488" s="6"/>
      <c r="I488" s="1" t="s">
        <v>50</v>
      </c>
      <c r="J488" s="1" t="s">
        <v>51</v>
      </c>
      <c r="K488" s="1" t="s">
        <v>31</v>
      </c>
      <c r="M488" s="6"/>
    </row>
    <row r="489" spans="1:13" hidden="1" outlineLevel="1" x14ac:dyDescent="0.2">
      <c r="A489" s="93">
        <v>43132</v>
      </c>
      <c r="B489" s="86">
        <v>132843.05499999999</v>
      </c>
      <c r="C489" s="86">
        <v>133429.272</v>
      </c>
      <c r="D489" s="86">
        <f t="shared" si="90"/>
        <v>-586.21700000000419</v>
      </c>
      <c r="E489" s="92">
        <f t="shared" si="91"/>
        <v>-0.10448252520644982</v>
      </c>
      <c r="F489" s="86">
        <f t="shared" ref="F489:F490" si="92">IF(G489="",0,(G489-G488-D489))</f>
        <v>2245.5380000000005</v>
      </c>
      <c r="G489" s="86">
        <v>562726.35</v>
      </c>
      <c r="H489" s="6"/>
      <c r="I489" s="1" t="s">
        <v>50</v>
      </c>
      <c r="J489" s="1" t="s">
        <v>51</v>
      </c>
      <c r="K489" s="1" t="s">
        <v>31</v>
      </c>
      <c r="M489" s="6"/>
    </row>
    <row r="490" spans="1:13" hidden="1" outlineLevel="1" x14ac:dyDescent="0.2">
      <c r="A490" s="93">
        <v>43160</v>
      </c>
      <c r="B490" s="86">
        <v>150509.038</v>
      </c>
      <c r="C490" s="86">
        <v>147656.64199999999</v>
      </c>
      <c r="D490" s="86">
        <f t="shared" si="90"/>
        <v>2852.3960000000079</v>
      </c>
      <c r="E490" s="92">
        <f t="shared" si="91"/>
        <v>0.50688865022937135</v>
      </c>
      <c r="F490" s="86">
        <f t="shared" si="92"/>
        <v>2237.0680000000284</v>
      </c>
      <c r="G490" s="86">
        <v>567815.81400000001</v>
      </c>
      <c r="H490" s="6"/>
      <c r="I490" s="1" t="s">
        <v>50</v>
      </c>
      <c r="J490" s="1" t="s">
        <v>51</v>
      </c>
      <c r="K490" s="1" t="s">
        <v>31</v>
      </c>
      <c r="M490" s="6"/>
    </row>
    <row r="491" spans="1:13" hidden="1" outlineLevel="1" x14ac:dyDescent="0.2">
      <c r="A491" s="93">
        <v>43191</v>
      </c>
      <c r="B491" s="86">
        <v>150493.29399999999</v>
      </c>
      <c r="C491" s="86">
        <v>150428.03400000001</v>
      </c>
      <c r="D491" s="86">
        <f t="shared" si="90"/>
        <v>65.259999999980209</v>
      </c>
      <c r="E491" s="92">
        <f t="shared" si="91"/>
        <v>1.1493163520799758E-2</v>
      </c>
      <c r="F491" s="86">
        <f>IF(G491="",0,(G491-G490-D491))</f>
        <v>2150.0499999999593</v>
      </c>
      <c r="G491" s="86">
        <v>570031.12399999995</v>
      </c>
      <c r="H491" s="6"/>
      <c r="I491" s="1" t="s">
        <v>50</v>
      </c>
      <c r="J491" s="1" t="s">
        <v>51</v>
      </c>
      <c r="K491" s="1" t="s">
        <v>31</v>
      </c>
      <c r="M491" s="6"/>
    </row>
    <row r="492" spans="1:13" hidden="1" outlineLevel="1" x14ac:dyDescent="0.2">
      <c r="A492" s="93">
        <v>43221</v>
      </c>
      <c r="B492" s="86">
        <v>150484.473</v>
      </c>
      <c r="C492" s="86">
        <v>149239.42600000001</v>
      </c>
      <c r="D492" s="86">
        <f t="shared" si="90"/>
        <v>1245.0469999999914</v>
      </c>
      <c r="E492" s="92">
        <f t="shared" si="91"/>
        <v>0.21841737189073057</v>
      </c>
      <c r="F492" s="86">
        <f t="shared" ref="F492:F495" si="93">IF(G492="",0,(G492-G491-D492))</f>
        <v>2172.7700000000477</v>
      </c>
      <c r="G492" s="86">
        <v>573448.94099999999</v>
      </c>
      <c r="H492" s="6"/>
      <c r="I492" s="1" t="s">
        <v>50</v>
      </c>
      <c r="J492" s="1" t="s">
        <v>51</v>
      </c>
      <c r="K492" s="1" t="s">
        <v>31</v>
      </c>
      <c r="M492" s="6"/>
    </row>
    <row r="493" spans="1:13" hidden="1" outlineLevel="1" x14ac:dyDescent="0.2">
      <c r="A493" s="93">
        <v>43252</v>
      </c>
      <c r="B493" s="86">
        <v>148835.76300000001</v>
      </c>
      <c r="C493" s="86">
        <v>144933.24</v>
      </c>
      <c r="D493" s="86">
        <f t="shared" si="90"/>
        <v>3902.5230000000156</v>
      </c>
      <c r="E493" s="92">
        <f t="shared" si="91"/>
        <v>0.68053539225212656</v>
      </c>
      <c r="F493" s="86">
        <f t="shared" si="93"/>
        <v>2176.7700000000477</v>
      </c>
      <c r="G493" s="86">
        <v>579528.23400000005</v>
      </c>
      <c r="H493" s="6"/>
      <c r="I493" s="1" t="s">
        <v>50</v>
      </c>
      <c r="J493" s="1" t="s">
        <v>51</v>
      </c>
      <c r="K493" s="1" t="s">
        <v>31</v>
      </c>
      <c r="M493" s="6"/>
    </row>
    <row r="494" spans="1:13" hidden="1" outlineLevel="1" x14ac:dyDescent="0.2">
      <c r="A494" s="93">
        <v>43282</v>
      </c>
      <c r="B494" s="86">
        <v>156703.09700000001</v>
      </c>
      <c r="C494" s="86">
        <v>154635.807</v>
      </c>
      <c r="D494" s="86">
        <f t="shared" si="90"/>
        <v>2067.2900000000081</v>
      </c>
      <c r="E494" s="92">
        <f t="shared" si="91"/>
        <v>0.35671946226523416</v>
      </c>
      <c r="F494" s="86">
        <f t="shared" si="93"/>
        <v>2201.6759999998903</v>
      </c>
      <c r="G494" s="86">
        <v>583797.19999999995</v>
      </c>
      <c r="H494" s="6"/>
      <c r="I494" s="1" t="s">
        <v>50</v>
      </c>
      <c r="J494" s="1" t="s">
        <v>51</v>
      </c>
      <c r="K494" s="1" t="s">
        <v>31</v>
      </c>
      <c r="M494" s="6"/>
    </row>
    <row r="495" spans="1:13" hidden="1" outlineLevel="1" x14ac:dyDescent="0.2">
      <c r="A495" s="93">
        <v>43313</v>
      </c>
      <c r="B495" s="86">
        <v>164945.10500000001</v>
      </c>
      <c r="C495" s="86">
        <v>160540.022</v>
      </c>
      <c r="D495" s="86">
        <f t="shared" si="90"/>
        <v>4405.0830000000133</v>
      </c>
      <c r="E495" s="92">
        <f t="shared" si="91"/>
        <v>0.75455706193863448</v>
      </c>
      <c r="F495" s="86">
        <f t="shared" si="93"/>
        <v>2213.3770000000659</v>
      </c>
      <c r="G495" s="86">
        <v>590415.66</v>
      </c>
      <c r="H495" s="6"/>
      <c r="I495" s="1" t="s">
        <v>50</v>
      </c>
      <c r="J495" s="1" t="s">
        <v>51</v>
      </c>
      <c r="K495" s="1" t="s">
        <v>31</v>
      </c>
      <c r="M495" s="6"/>
    </row>
    <row r="496" spans="1:13" hidden="1" outlineLevel="1" x14ac:dyDescent="0.2">
      <c r="A496" s="93">
        <v>43344</v>
      </c>
      <c r="B496" s="86">
        <v>152127.84</v>
      </c>
      <c r="C496" s="86">
        <v>145348.6</v>
      </c>
      <c r="D496" s="86">
        <f t="shared" si="90"/>
        <v>6779.2399999999907</v>
      </c>
      <c r="E496" s="92">
        <f t="shared" si="91"/>
        <v>1.1482148017550873</v>
      </c>
      <c r="F496" s="86">
        <v>2168.9920000000002</v>
      </c>
      <c r="G496" s="86">
        <v>599363.90399999998</v>
      </c>
      <c r="H496" s="6"/>
      <c r="I496" s="1" t="s">
        <v>50</v>
      </c>
      <c r="J496" s="1" t="s">
        <v>51</v>
      </c>
      <c r="K496" s="1" t="s">
        <v>31</v>
      </c>
      <c r="M496" s="6"/>
    </row>
    <row r="497" spans="1:13" hidden="1" outlineLevel="1" x14ac:dyDescent="0.2">
      <c r="A497" s="93">
        <v>43374</v>
      </c>
      <c r="B497" s="86">
        <v>161081.54300000001</v>
      </c>
      <c r="C497" s="86">
        <v>163216.26800000001</v>
      </c>
      <c r="D497" s="86">
        <f t="shared" si="90"/>
        <v>-2134.7250000000058</v>
      </c>
      <c r="E497" s="92">
        <f t="shared" si="91"/>
        <v>-0.35616509198391866</v>
      </c>
      <c r="F497" s="86">
        <v>2279.6750000000002</v>
      </c>
      <c r="G497" s="86">
        <v>599508.86699999997</v>
      </c>
      <c r="H497" s="6"/>
      <c r="I497" s="1" t="s">
        <v>50</v>
      </c>
      <c r="J497" s="1" t="s">
        <v>51</v>
      </c>
      <c r="K497" s="1" t="s">
        <v>31</v>
      </c>
      <c r="M497" s="6"/>
    </row>
    <row r="498" spans="1:13" hidden="1" outlineLevel="1" x14ac:dyDescent="0.2">
      <c r="A498" s="93">
        <v>43405</v>
      </c>
      <c r="B498" s="86">
        <v>161014.519</v>
      </c>
      <c r="C498" s="86">
        <v>159064.41</v>
      </c>
      <c r="D498" s="86">
        <v>1950.1089999999999</v>
      </c>
      <c r="E498" s="92">
        <f t="shared" si="91"/>
        <v>0.32528442986315331</v>
      </c>
      <c r="F498" s="86">
        <v>2265.3040000000001</v>
      </c>
      <c r="G498" s="86">
        <v>603724.29</v>
      </c>
      <c r="H498" s="6"/>
      <c r="I498" s="1" t="s">
        <v>50</v>
      </c>
      <c r="J498" s="1" t="s">
        <v>51</v>
      </c>
      <c r="K498" s="1" t="s">
        <v>31</v>
      </c>
      <c r="M498" s="6"/>
    </row>
    <row r="499" spans="1:13" hidden="1" outlineLevel="1" x14ac:dyDescent="0.2">
      <c r="A499" s="93">
        <v>43435</v>
      </c>
      <c r="B499" s="86">
        <v>185920.413</v>
      </c>
      <c r="C499" s="86">
        <v>173700.56200000001</v>
      </c>
      <c r="D499" s="86">
        <f>B499-C499</f>
        <v>12219.850999999995</v>
      </c>
      <c r="E499" s="92">
        <f t="shared" si="91"/>
        <v>2.0240780770970792</v>
      </c>
      <c r="F499" s="86">
        <v>2201.913</v>
      </c>
      <c r="G499" s="86">
        <v>618146.06299999997</v>
      </c>
      <c r="H499" s="6"/>
      <c r="I499" s="1" t="s">
        <v>50</v>
      </c>
      <c r="J499" s="1" t="s">
        <v>51</v>
      </c>
      <c r="K499" s="1" t="s">
        <v>31</v>
      </c>
      <c r="M499" s="6"/>
    </row>
    <row r="500" spans="1:13" hidden="1" collapsed="1" x14ac:dyDescent="0.2">
      <c r="A500" s="83" t="s">
        <v>76</v>
      </c>
      <c r="B500" s="84">
        <f>SUM(B488:B499)</f>
        <v>1865928.8540000003</v>
      </c>
      <c r="C500" s="84">
        <f>SUM(C488:C499)</f>
        <v>1838137.7779999999</v>
      </c>
      <c r="D500" s="84">
        <f>SUM(D488:D499)</f>
        <v>27791.076000000005</v>
      </c>
      <c r="E500" s="91">
        <f>(D500/G487*100)</f>
        <v>4.9297536854978841</v>
      </c>
      <c r="F500" s="84">
        <f>SUM(F488:F499)</f>
        <v>26613.26799999996</v>
      </c>
      <c r="G500" s="85">
        <f>IFERROR(INDEX($G$488:$G$499,COUNTA($G$488:$G$499)),0)</f>
        <v>618146.06299999997</v>
      </c>
    </row>
    <row r="501" spans="1:13" hidden="1" outlineLevel="1" x14ac:dyDescent="0.2">
      <c r="A501" s="93">
        <v>43466</v>
      </c>
      <c r="B501" s="86">
        <v>163409.96100000001</v>
      </c>
      <c r="C501" s="86">
        <v>172815.70600000001</v>
      </c>
      <c r="D501" s="86">
        <f t="shared" ref="D501:D502" si="94">B501-C501</f>
        <v>-9405.7449999999953</v>
      </c>
      <c r="E501" s="92">
        <f t="shared" ref="E501:E512" si="95">D501/G500*100</f>
        <v>-1.5216055820774508</v>
      </c>
      <c r="F501" s="86">
        <v>2261.4520000000002</v>
      </c>
      <c r="G501" s="86">
        <v>611001.78</v>
      </c>
      <c r="I501" s="1" t="s">
        <v>50</v>
      </c>
      <c r="J501" s="1" t="s">
        <v>51</v>
      </c>
      <c r="K501" s="1" t="s">
        <v>31</v>
      </c>
      <c r="L501" s="94"/>
    </row>
    <row r="502" spans="1:13" hidden="1" outlineLevel="1" x14ac:dyDescent="0.2">
      <c r="A502" s="93">
        <v>43497</v>
      </c>
      <c r="B502" s="86">
        <v>153362.87400000001</v>
      </c>
      <c r="C502" s="86">
        <v>156197.008</v>
      </c>
      <c r="D502" s="86">
        <f t="shared" si="94"/>
        <v>-2834.1339999999909</v>
      </c>
      <c r="E502" s="92">
        <f t="shared" si="95"/>
        <v>-0.46385036717896155</v>
      </c>
      <c r="F502" s="86">
        <v>2297.3490000000002</v>
      </c>
      <c r="G502" s="86">
        <v>610465.00600000005</v>
      </c>
      <c r="I502" s="1" t="s">
        <v>50</v>
      </c>
      <c r="J502" s="1" t="s">
        <v>51</v>
      </c>
      <c r="K502" s="1" t="s">
        <v>31</v>
      </c>
    </row>
    <row r="503" spans="1:13" hidden="1" outlineLevel="1" x14ac:dyDescent="0.2">
      <c r="A503" s="93">
        <v>43525</v>
      </c>
      <c r="B503" s="86">
        <v>155820.18400000001</v>
      </c>
      <c r="C503" s="86">
        <v>154253.027</v>
      </c>
      <c r="D503" s="86">
        <f t="shared" ref="D503:D512" si="96">B503-C503</f>
        <v>1567.1570000000065</v>
      </c>
      <c r="E503" s="92">
        <f t="shared" si="95"/>
        <v>0.25671528827976858</v>
      </c>
      <c r="F503" s="86">
        <v>2326.3879999999999</v>
      </c>
      <c r="G503" s="86">
        <v>614358.56099999999</v>
      </c>
      <c r="I503" s="1" t="s">
        <v>50</v>
      </c>
      <c r="J503" s="1" t="s">
        <v>51</v>
      </c>
      <c r="K503" s="1" t="s">
        <v>31</v>
      </c>
    </row>
    <row r="504" spans="1:13" hidden="1" outlineLevel="1" x14ac:dyDescent="0.2">
      <c r="A504" s="93">
        <v>43556</v>
      </c>
      <c r="B504" s="86">
        <v>165821.579</v>
      </c>
      <c r="C504" s="86">
        <v>168647.31099999999</v>
      </c>
      <c r="D504" s="86">
        <f t="shared" si="96"/>
        <v>-2825.7319999999891</v>
      </c>
      <c r="E504" s="92">
        <f t="shared" si="95"/>
        <v>-0.45994833951699243</v>
      </c>
      <c r="F504" s="86">
        <v>2306.3229999999999</v>
      </c>
      <c r="G504" s="86">
        <v>613839.16299999994</v>
      </c>
      <c r="I504" s="1" t="s">
        <v>50</v>
      </c>
      <c r="J504" s="1" t="s">
        <v>51</v>
      </c>
      <c r="K504" s="1" t="s">
        <v>31</v>
      </c>
    </row>
    <row r="505" spans="1:13" hidden="1" outlineLevel="1" x14ac:dyDescent="0.2">
      <c r="A505" s="93">
        <v>43586</v>
      </c>
      <c r="B505" s="86">
        <v>170025.74100000001</v>
      </c>
      <c r="C505" s="86">
        <v>170489.617</v>
      </c>
      <c r="D505" s="86">
        <f t="shared" si="96"/>
        <v>-463.87599999998929</v>
      </c>
      <c r="E505" s="92">
        <f t="shared" si="95"/>
        <v>-7.5569632561875058E-2</v>
      </c>
      <c r="F505" s="86">
        <v>2312.0340000000001</v>
      </c>
      <c r="G505" s="86">
        <v>615687.33200000005</v>
      </c>
      <c r="I505" s="1" t="s">
        <v>50</v>
      </c>
      <c r="J505" s="1" t="s">
        <v>51</v>
      </c>
      <c r="K505" s="1" t="s">
        <v>31</v>
      </c>
    </row>
    <row r="506" spans="1:13" hidden="1" outlineLevel="1" x14ac:dyDescent="0.2">
      <c r="A506" s="93">
        <v>43617</v>
      </c>
      <c r="B506" s="86">
        <v>158228.614</v>
      </c>
      <c r="C506" s="86">
        <v>155458.43599999999</v>
      </c>
      <c r="D506" s="86">
        <f t="shared" si="96"/>
        <v>2770.1780000000144</v>
      </c>
      <c r="E506" s="92">
        <f t="shared" si="95"/>
        <v>0.44993259663169649</v>
      </c>
      <c r="F506" s="86">
        <v>2315.6570000000002</v>
      </c>
      <c r="G506" s="86">
        <v>620773.17599999998</v>
      </c>
      <c r="I506" s="1" t="s">
        <v>50</v>
      </c>
      <c r="J506" s="1" t="s">
        <v>51</v>
      </c>
      <c r="K506" s="1" t="s">
        <v>31</v>
      </c>
    </row>
    <row r="507" spans="1:13" hidden="1" outlineLevel="1" x14ac:dyDescent="0.2">
      <c r="A507" s="93">
        <v>43647</v>
      </c>
      <c r="B507" s="86">
        <v>177499.81299999999</v>
      </c>
      <c r="C507" s="86">
        <v>179335.929</v>
      </c>
      <c r="D507" s="86">
        <f t="shared" si="96"/>
        <v>-1836.1160000000091</v>
      </c>
      <c r="E507" s="92">
        <f t="shared" si="95"/>
        <v>-0.29577888848728368</v>
      </c>
      <c r="F507" s="86">
        <v>2340.3249999999998</v>
      </c>
      <c r="G507" s="86">
        <v>621277.39800000004</v>
      </c>
      <c r="I507" s="1" t="s">
        <v>50</v>
      </c>
      <c r="J507" s="1" t="s">
        <v>51</v>
      </c>
      <c r="K507" s="1" t="s">
        <v>31</v>
      </c>
    </row>
    <row r="508" spans="1:13" hidden="1" outlineLevel="1" x14ac:dyDescent="0.2">
      <c r="A508" s="93">
        <v>43678</v>
      </c>
      <c r="B508" s="86">
        <v>170952.894</v>
      </c>
      <c r="C508" s="86">
        <v>169923.427</v>
      </c>
      <c r="D508" s="86">
        <f t="shared" si="96"/>
        <v>1029.4670000000042</v>
      </c>
      <c r="E508" s="92">
        <f t="shared" si="95"/>
        <v>0.16570166616619847</v>
      </c>
      <c r="F508" s="86">
        <v>2330.4810000000002</v>
      </c>
      <c r="G508" s="86">
        <v>624637.35400000005</v>
      </c>
      <c r="I508" s="1" t="s">
        <v>50</v>
      </c>
      <c r="J508" s="1" t="s">
        <v>51</v>
      </c>
      <c r="K508" s="1" t="s">
        <v>31</v>
      </c>
    </row>
    <row r="509" spans="1:13" hidden="1" outlineLevel="1" x14ac:dyDescent="0.2">
      <c r="A509" s="93">
        <v>43709</v>
      </c>
      <c r="B509" s="86">
        <v>185044.91500000001</v>
      </c>
      <c r="C509" s="86">
        <v>176952.378</v>
      </c>
      <c r="D509" s="86">
        <f t="shared" si="96"/>
        <v>8092.5370000000112</v>
      </c>
      <c r="E509" s="92">
        <f t="shared" si="95"/>
        <v>1.2955576460769924</v>
      </c>
      <c r="F509" s="86">
        <v>2214.41</v>
      </c>
      <c r="G509" s="86">
        <v>634944.30799999996</v>
      </c>
      <c r="I509" s="1" t="s">
        <v>50</v>
      </c>
      <c r="J509" s="1" t="s">
        <v>51</v>
      </c>
      <c r="K509" s="1" t="s">
        <v>31</v>
      </c>
    </row>
    <row r="510" spans="1:13" hidden="1" outlineLevel="1" x14ac:dyDescent="0.2">
      <c r="A510" s="93">
        <v>43739</v>
      </c>
      <c r="B510" s="86">
        <v>184316.49600000001</v>
      </c>
      <c r="C510" s="86">
        <v>184667.10399999999</v>
      </c>
      <c r="D510" s="86">
        <f t="shared" si="96"/>
        <v>-350.60799999997835</v>
      </c>
      <c r="E510" s="92">
        <f t="shared" si="95"/>
        <v>-5.5218701165201778E-2</v>
      </c>
      <c r="F510" s="86">
        <v>2210.6529999999998</v>
      </c>
      <c r="G510" s="86">
        <v>636804.36399999994</v>
      </c>
      <c r="I510" s="1" t="s">
        <v>50</v>
      </c>
      <c r="J510" s="1" t="s">
        <v>51</v>
      </c>
      <c r="K510" s="1" t="s">
        <v>31</v>
      </c>
    </row>
    <row r="511" spans="1:13" hidden="1" outlineLevel="1" x14ac:dyDescent="0.2">
      <c r="A511" s="93">
        <v>43770</v>
      </c>
      <c r="B511" s="86">
        <v>175757.99</v>
      </c>
      <c r="C511" s="86">
        <v>172708.86600000001</v>
      </c>
      <c r="D511" s="86">
        <f t="shared" si="96"/>
        <v>3049.1239999999816</v>
      </c>
      <c r="E511" s="92">
        <f t="shared" si="95"/>
        <v>0.47881644228179032</v>
      </c>
      <c r="F511" s="86">
        <v>2114.3020000000001</v>
      </c>
      <c r="G511" s="86">
        <v>641967.80500000005</v>
      </c>
      <c r="I511" s="1" t="s">
        <v>50</v>
      </c>
      <c r="J511" s="1" t="s">
        <v>51</v>
      </c>
      <c r="K511" s="1" t="s">
        <v>31</v>
      </c>
    </row>
    <row r="512" spans="1:13" hidden="1" outlineLevel="1" x14ac:dyDescent="0.2">
      <c r="A512" s="93">
        <v>43800</v>
      </c>
      <c r="B512" s="86">
        <v>220879.02799999999</v>
      </c>
      <c r="C512" s="86">
        <v>207281.70499999999</v>
      </c>
      <c r="D512" s="86">
        <f t="shared" si="96"/>
        <v>13597.323000000004</v>
      </c>
      <c r="E512" s="92">
        <f t="shared" si="95"/>
        <v>2.1180693009986697</v>
      </c>
      <c r="F512" s="86">
        <v>1966.3019999999999</v>
      </c>
      <c r="G512" s="86">
        <v>657531.44200000004</v>
      </c>
      <c r="I512" s="1" t="s">
        <v>50</v>
      </c>
      <c r="J512" s="1" t="s">
        <v>51</v>
      </c>
      <c r="K512" s="1" t="s">
        <v>31</v>
      </c>
    </row>
    <row r="513" spans="1:12" hidden="1" collapsed="1" x14ac:dyDescent="0.2">
      <c r="A513" s="83" t="s">
        <v>77</v>
      </c>
      <c r="B513" s="84">
        <f>SUM(B501:B512)</f>
        <v>2081120.0890000002</v>
      </c>
      <c r="C513" s="84">
        <f>SUM(C501:C512)</f>
        <v>2068730.514</v>
      </c>
      <c r="D513" s="84">
        <f>SUM(D501:D512)</f>
        <v>12389.57500000007</v>
      </c>
      <c r="E513" s="91">
        <f>(D513/G500*100)</f>
        <v>2.004311883807965</v>
      </c>
      <c r="F513" s="84">
        <f>SUM(F501:F512)</f>
        <v>26995.675999999999</v>
      </c>
      <c r="G513" s="85">
        <f>IFERROR(INDEX($G$501:$G$512,COUNTA($G$501:$G$512)),0)</f>
        <v>657531.44200000004</v>
      </c>
    </row>
    <row r="514" spans="1:12" hidden="1" outlineLevel="1" x14ac:dyDescent="0.2">
      <c r="A514" s="93">
        <v>43831</v>
      </c>
      <c r="B514" s="86">
        <v>184815.03200000001</v>
      </c>
      <c r="C514" s="86">
        <v>194650.177</v>
      </c>
      <c r="D514" s="86">
        <f t="shared" ref="D514:D515" si="97">B514-C514</f>
        <v>-9835.1449999999895</v>
      </c>
      <c r="E514" s="92">
        <f t="shared" ref="E514:E525" si="98">D514/G513*100</f>
        <v>-1.4957680153035158</v>
      </c>
      <c r="F514" s="86">
        <v>1948.7329999999999</v>
      </c>
      <c r="G514" s="86">
        <v>649645.04</v>
      </c>
      <c r="I514" s="1" t="s">
        <v>50</v>
      </c>
      <c r="J514" s="1" t="s">
        <v>51</v>
      </c>
      <c r="K514" s="1" t="s">
        <v>31</v>
      </c>
      <c r="L514" s="94"/>
    </row>
    <row r="515" spans="1:12" hidden="1" outlineLevel="1" x14ac:dyDescent="0.2">
      <c r="A515" s="93">
        <v>43862</v>
      </c>
      <c r="B515" s="86">
        <v>165750.44500000001</v>
      </c>
      <c r="C515" s="86">
        <v>168021.02499999999</v>
      </c>
      <c r="D515" s="86">
        <f t="shared" si="97"/>
        <v>-2270.5799999999872</v>
      </c>
      <c r="E515" s="92">
        <f t="shared" si="98"/>
        <v>-0.34951086519493585</v>
      </c>
      <c r="F515" s="86">
        <v>1855.1610000000001</v>
      </c>
      <c r="G515" s="86">
        <v>649229.63</v>
      </c>
      <c r="I515" s="1" t="s">
        <v>50</v>
      </c>
      <c r="J515" s="1" t="s">
        <v>51</v>
      </c>
      <c r="K515" s="1" t="s">
        <v>31</v>
      </c>
    </row>
    <row r="516" spans="1:12" hidden="1" outlineLevel="1" x14ac:dyDescent="0.2">
      <c r="A516" s="93">
        <v>43891</v>
      </c>
      <c r="B516" s="86">
        <v>186749.97200000001</v>
      </c>
      <c r="C516" s="86">
        <v>178501.00200000001</v>
      </c>
      <c r="D516" s="86">
        <f t="shared" ref="D516:D525" si="99">B516-C516</f>
        <v>8248.9700000000012</v>
      </c>
      <c r="E516" s="92">
        <f t="shared" si="98"/>
        <v>1.2705781774008067</v>
      </c>
      <c r="F516" s="86">
        <v>1804.857</v>
      </c>
      <c r="G516" s="86">
        <v>659283.46900000004</v>
      </c>
      <c r="I516" s="1" t="s">
        <v>50</v>
      </c>
      <c r="J516" s="1" t="s">
        <v>51</v>
      </c>
      <c r="K516" s="1" t="s">
        <v>31</v>
      </c>
    </row>
    <row r="517" spans="1:12" hidden="1" outlineLevel="1" x14ac:dyDescent="0.2">
      <c r="A517" s="93">
        <v>43922</v>
      </c>
      <c r="B517" s="86">
        <v>182787.87400000001</v>
      </c>
      <c r="C517" s="86">
        <v>158173.359</v>
      </c>
      <c r="D517" s="86">
        <f t="shared" si="99"/>
        <v>24614.515000000014</v>
      </c>
      <c r="E517" s="92">
        <f t="shared" si="98"/>
        <v>3.7335252827338841</v>
      </c>
      <c r="F517" s="86">
        <v>1777.704</v>
      </c>
      <c r="G517" s="86">
        <v>685675.70200000005</v>
      </c>
      <c r="I517" s="1" t="s">
        <v>50</v>
      </c>
      <c r="J517" s="1" t="s">
        <v>51</v>
      </c>
      <c r="K517" s="1" t="s">
        <v>31</v>
      </c>
    </row>
    <row r="518" spans="1:12" hidden="1" outlineLevel="1" x14ac:dyDescent="0.2">
      <c r="A518" s="93">
        <v>43952</v>
      </c>
      <c r="B518" s="86">
        <v>200808.99299999999</v>
      </c>
      <c r="C518" s="86">
        <v>170507.83199999999</v>
      </c>
      <c r="D518" s="86">
        <f t="shared" si="99"/>
        <v>30301.160999999993</v>
      </c>
      <c r="E518" s="92">
        <f t="shared" si="98"/>
        <v>4.4191679698750637</v>
      </c>
      <c r="F518" s="86">
        <v>1714.0260000000001</v>
      </c>
      <c r="G518" s="86">
        <v>717690.89899999998</v>
      </c>
      <c r="I518" s="1" t="s">
        <v>50</v>
      </c>
      <c r="J518" s="1" t="s">
        <v>51</v>
      </c>
      <c r="K518" s="1" t="s">
        <v>31</v>
      </c>
    </row>
    <row r="519" spans="1:12" hidden="1" outlineLevel="1" x14ac:dyDescent="0.2">
      <c r="A519" s="93">
        <v>43983</v>
      </c>
      <c r="B519" s="86">
        <v>219318.93400000001</v>
      </c>
      <c r="C519" s="86">
        <v>204883.60699999999</v>
      </c>
      <c r="D519" s="86">
        <f t="shared" si="99"/>
        <v>14435.327000000019</v>
      </c>
      <c r="E519" s="92">
        <f t="shared" si="98"/>
        <v>2.0113571204697722</v>
      </c>
      <c r="F519" s="86">
        <v>1580.424</v>
      </c>
      <c r="G519" s="86">
        <v>733706.66099999996</v>
      </c>
      <c r="I519" s="1" t="s">
        <v>50</v>
      </c>
      <c r="J519" s="1" t="s">
        <v>51</v>
      </c>
      <c r="K519" s="1" t="s">
        <v>31</v>
      </c>
    </row>
    <row r="520" spans="1:12" hidden="1" outlineLevel="1" x14ac:dyDescent="0.2">
      <c r="A520" s="93">
        <v>44013</v>
      </c>
      <c r="B520" s="86">
        <v>249052.24400000001</v>
      </c>
      <c r="C520" s="86">
        <v>226689.057</v>
      </c>
      <c r="D520" s="86">
        <f t="shared" si="99"/>
        <v>22363.187000000005</v>
      </c>
      <c r="E520" s="92">
        <f t="shared" si="98"/>
        <v>3.0479738277856532</v>
      </c>
      <c r="F520" s="86">
        <v>1466.039</v>
      </c>
      <c r="G520" s="86">
        <v>757535.89800000004</v>
      </c>
      <c r="I520" s="1" t="s">
        <v>50</v>
      </c>
      <c r="J520" s="1" t="s">
        <v>51</v>
      </c>
      <c r="K520" s="1" t="s">
        <v>31</v>
      </c>
    </row>
    <row r="521" spans="1:12" hidden="1" outlineLevel="1" x14ac:dyDescent="0.2">
      <c r="A521" s="93">
        <v>44044</v>
      </c>
      <c r="B521" s="86">
        <v>243925.64199999999</v>
      </c>
      <c r="C521" s="86">
        <v>235977.68700000001</v>
      </c>
      <c r="D521" s="86">
        <f t="shared" si="99"/>
        <v>7947.9549999999872</v>
      </c>
      <c r="E521" s="92">
        <f t="shared" si="98"/>
        <v>1.0491852625048783</v>
      </c>
      <c r="F521" s="86">
        <v>1332.4269999999999</v>
      </c>
      <c r="G521" s="86">
        <v>766816.29</v>
      </c>
      <c r="I521" s="1" t="s">
        <v>50</v>
      </c>
      <c r="J521" s="1" t="s">
        <v>51</v>
      </c>
      <c r="K521" s="1" t="s">
        <v>31</v>
      </c>
    </row>
    <row r="522" spans="1:12" hidden="1" outlineLevel="1" x14ac:dyDescent="0.2">
      <c r="A522" s="93">
        <v>44075</v>
      </c>
      <c r="B522" s="86">
        <v>252037.109</v>
      </c>
      <c r="C522" s="86">
        <v>242062.66500000001</v>
      </c>
      <c r="D522" s="86">
        <f t="shared" si="99"/>
        <v>9974.4439999999886</v>
      </c>
      <c r="E522" s="92">
        <f t="shared" si="98"/>
        <v>1.3007605772172612</v>
      </c>
      <c r="F522" s="86">
        <v>1279.941</v>
      </c>
      <c r="G522" s="86">
        <v>778070.68599999999</v>
      </c>
      <c r="I522" s="1" t="s">
        <v>50</v>
      </c>
      <c r="J522" s="1" t="s">
        <v>51</v>
      </c>
      <c r="K522" s="1" t="s">
        <v>31</v>
      </c>
    </row>
    <row r="523" spans="1:12" hidden="1" outlineLevel="1" x14ac:dyDescent="0.2">
      <c r="A523" s="93">
        <v>44105</v>
      </c>
      <c r="B523" s="86">
        <v>237530.88800000001</v>
      </c>
      <c r="C523" s="86">
        <v>233470.79199999999</v>
      </c>
      <c r="D523" s="86">
        <f t="shared" si="99"/>
        <v>4060.0960000000196</v>
      </c>
      <c r="E523" s="92">
        <f t="shared" si="98"/>
        <v>0.52181582895413436</v>
      </c>
      <c r="F523" s="86">
        <v>1261.4880000000001</v>
      </c>
      <c r="G523" s="86">
        <v>783392.27800000005</v>
      </c>
      <c r="I523" s="1" t="s">
        <v>50</v>
      </c>
      <c r="J523" s="1" t="s">
        <v>51</v>
      </c>
      <c r="K523" s="1" t="s">
        <v>31</v>
      </c>
    </row>
    <row r="524" spans="1:12" hidden="1" outlineLevel="1" x14ac:dyDescent="0.2">
      <c r="A524" s="93">
        <v>44136</v>
      </c>
      <c r="B524" s="86">
        <v>255572.90900000001</v>
      </c>
      <c r="C524" s="86">
        <v>256015.82399999999</v>
      </c>
      <c r="D524" s="86">
        <f t="shared" si="99"/>
        <v>-442.91499999997905</v>
      </c>
      <c r="E524" s="92">
        <f t="shared" si="98"/>
        <v>-5.6538086018761979E-2</v>
      </c>
      <c r="F524" s="86">
        <v>1265.8499999999999</v>
      </c>
      <c r="G524" s="86">
        <v>784215.22499999998</v>
      </c>
      <c r="I524" s="1" t="s">
        <v>50</v>
      </c>
      <c r="J524" s="1" t="s">
        <v>51</v>
      </c>
      <c r="K524" s="1" t="s">
        <v>31</v>
      </c>
    </row>
    <row r="525" spans="1:12" hidden="1" outlineLevel="1" x14ac:dyDescent="0.2">
      <c r="A525" s="93">
        <v>44166</v>
      </c>
      <c r="B525" s="86">
        <v>290263.49</v>
      </c>
      <c r="C525" s="86">
        <v>274307.766</v>
      </c>
      <c r="D525" s="86">
        <f t="shared" si="99"/>
        <v>15955.723999999987</v>
      </c>
      <c r="E525" s="92">
        <f t="shared" si="98"/>
        <v>2.0346103328968126</v>
      </c>
      <c r="F525" s="86">
        <v>1267.0239999999999</v>
      </c>
      <c r="G525" s="86">
        <v>801437.98499999999</v>
      </c>
      <c r="I525" s="1" t="s">
        <v>50</v>
      </c>
      <c r="J525" s="1" t="s">
        <v>51</v>
      </c>
      <c r="K525" s="1" t="s">
        <v>31</v>
      </c>
    </row>
    <row r="526" spans="1:12" hidden="1" collapsed="1" x14ac:dyDescent="0.2">
      <c r="A526" s="83" t="s">
        <v>78</v>
      </c>
      <c r="B526" s="84">
        <f>SUM(B514:B525)</f>
        <v>2668613.5319999997</v>
      </c>
      <c r="C526" s="84">
        <f>SUM(C514:C525)</f>
        <v>2543260.7929999996</v>
      </c>
      <c r="D526" s="84">
        <f>SUM(D514:D525)</f>
        <v>125352.73900000006</v>
      </c>
      <c r="E526" s="91">
        <f>(D526/G513*100)</f>
        <v>19.064143703716613</v>
      </c>
      <c r="F526" s="84">
        <f>SUM(F514:F525)</f>
        <v>18553.673999999999</v>
      </c>
      <c r="G526" s="85">
        <f>IFERROR(INDEX($G$514:$G$525,COUNTA($G$514:$G$525)),0)</f>
        <v>801437.98499999999</v>
      </c>
    </row>
    <row r="527" spans="1:12" hidden="1" outlineLevel="1" x14ac:dyDescent="0.2">
      <c r="A527" s="93">
        <v>44197</v>
      </c>
      <c r="B527" s="86">
        <v>206044.26800000001</v>
      </c>
      <c r="C527" s="86">
        <v>222687.701</v>
      </c>
      <c r="D527" s="86">
        <f t="shared" ref="D527:D538" si="100">B527-C527</f>
        <v>-16643.43299999999</v>
      </c>
      <c r="E527" s="92">
        <f t="shared" ref="E527:E538" si="101">D527/G526*100</f>
        <v>-2.0766963023346081</v>
      </c>
      <c r="F527" s="86">
        <v>1284.7750000000001</v>
      </c>
      <c r="G527" s="86">
        <v>786079.33600000001</v>
      </c>
      <c r="I527" s="1" t="s">
        <v>50</v>
      </c>
      <c r="J527" s="1" t="s">
        <v>51</v>
      </c>
      <c r="K527" s="1" t="s">
        <v>31</v>
      </c>
      <c r="L527" s="94"/>
    </row>
    <row r="528" spans="1:12" hidden="1" outlineLevel="1" x14ac:dyDescent="0.2">
      <c r="A528" s="93">
        <v>44228</v>
      </c>
      <c r="B528" s="86">
        <v>203081.99100000001</v>
      </c>
      <c r="C528" s="86">
        <v>208087.36499999999</v>
      </c>
      <c r="D528" s="86">
        <f t="shared" si="100"/>
        <v>-5005.3739999999816</v>
      </c>
      <c r="E528" s="92">
        <f t="shared" si="101"/>
        <v>-0.63675175911251558</v>
      </c>
      <c r="F528" s="86">
        <v>1195.914</v>
      </c>
      <c r="G528" s="86">
        <v>782269.88300000003</v>
      </c>
      <c r="I528" s="1" t="s">
        <v>50</v>
      </c>
      <c r="J528" s="1" t="s">
        <v>51</v>
      </c>
      <c r="K528" s="1" t="s">
        <v>31</v>
      </c>
    </row>
    <row r="529" spans="1:12" hidden="1" outlineLevel="1" x14ac:dyDescent="0.2">
      <c r="A529" s="93">
        <v>44256</v>
      </c>
      <c r="B529" s="86">
        <v>271839.57900000003</v>
      </c>
      <c r="C529" s="86">
        <v>276688.87599999999</v>
      </c>
      <c r="D529" s="86">
        <f t="shared" si="100"/>
        <v>-4849.2969999999623</v>
      </c>
      <c r="E529" s="92">
        <f t="shared" si="101"/>
        <v>-0.61990076639572766</v>
      </c>
      <c r="F529" s="86">
        <v>1352.7049999999999</v>
      </c>
      <c r="G529" s="86">
        <v>778773.30200000003</v>
      </c>
      <c r="I529" s="1" t="s">
        <v>50</v>
      </c>
      <c r="J529" s="1" t="s">
        <v>51</v>
      </c>
      <c r="K529" s="1" t="s">
        <v>31</v>
      </c>
    </row>
    <row r="530" spans="1:12" hidden="1" outlineLevel="1" x14ac:dyDescent="0.2">
      <c r="A530" s="93">
        <v>44287</v>
      </c>
      <c r="B530" s="86">
        <v>223300.90400000001</v>
      </c>
      <c r="C530" s="86">
        <v>221263.56299999999</v>
      </c>
      <c r="D530" s="86">
        <f t="shared" si="100"/>
        <v>2037.3410000000149</v>
      </c>
      <c r="E530" s="92">
        <f t="shared" si="101"/>
        <v>0.26160899388407832</v>
      </c>
      <c r="F530" s="86">
        <v>1351.933</v>
      </c>
      <c r="G530" s="86">
        <v>782162.58400000003</v>
      </c>
      <c r="I530" s="1" t="s">
        <v>50</v>
      </c>
      <c r="J530" s="1" t="s">
        <v>51</v>
      </c>
      <c r="K530" s="1" t="s">
        <v>31</v>
      </c>
    </row>
    <row r="531" spans="1:12" hidden="1" outlineLevel="1" x14ac:dyDescent="0.2">
      <c r="A531" s="93">
        <v>44317</v>
      </c>
      <c r="B531" s="86">
        <v>235259.63099999999</v>
      </c>
      <c r="C531" s="86">
        <v>236442.88399999999</v>
      </c>
      <c r="D531" s="86">
        <f t="shared" si="100"/>
        <v>-1183.252999999997</v>
      </c>
      <c r="E531" s="92">
        <f t="shared" si="101"/>
        <v>-0.15127967307625609</v>
      </c>
      <c r="F531" s="86">
        <v>1537.4549999999999</v>
      </c>
      <c r="G531" s="86">
        <v>782516.79599999997</v>
      </c>
      <c r="I531" s="1" t="s">
        <v>50</v>
      </c>
      <c r="J531" s="1" t="s">
        <v>51</v>
      </c>
      <c r="K531" s="1" t="s">
        <v>31</v>
      </c>
      <c r="L531" s="102"/>
    </row>
    <row r="532" spans="1:12" hidden="1" outlineLevel="1" x14ac:dyDescent="0.2">
      <c r="A532" s="93">
        <v>44348</v>
      </c>
      <c r="B532" s="86">
        <v>249348.459</v>
      </c>
      <c r="C532" s="86">
        <v>244114.70499999999</v>
      </c>
      <c r="D532" s="86">
        <f t="shared" si="100"/>
        <v>5233.7540000000154</v>
      </c>
      <c r="E532" s="92">
        <f t="shared" si="101"/>
        <v>0.66883599518290926</v>
      </c>
      <c r="F532" s="86">
        <v>1727.085</v>
      </c>
      <c r="G532" s="86">
        <v>789477.64099999995</v>
      </c>
      <c r="I532" s="1" t="s">
        <v>50</v>
      </c>
      <c r="J532" s="1" t="s">
        <v>51</v>
      </c>
      <c r="K532" s="1" t="s">
        <v>31</v>
      </c>
    </row>
    <row r="533" spans="1:12" hidden="1" outlineLevel="1" x14ac:dyDescent="0.2">
      <c r="A533" s="93">
        <v>44378</v>
      </c>
      <c r="B533" s="86">
        <v>256371.954</v>
      </c>
      <c r="C533" s="86">
        <v>249897.11</v>
      </c>
      <c r="D533" s="86">
        <f t="shared" si="100"/>
        <v>6474.8440000000119</v>
      </c>
      <c r="E533" s="92">
        <f t="shared" si="101"/>
        <v>0.82014279616565</v>
      </c>
      <c r="F533" s="86">
        <v>1906.079</v>
      </c>
      <c r="G533" s="86">
        <v>797858.57299999997</v>
      </c>
      <c r="I533" s="1" t="s">
        <v>50</v>
      </c>
      <c r="J533" s="1" t="s">
        <v>51</v>
      </c>
      <c r="K533" s="1" t="s">
        <v>31</v>
      </c>
    </row>
    <row r="534" spans="1:12" hidden="1" outlineLevel="1" x14ac:dyDescent="0.2">
      <c r="A534" s="93">
        <v>44409</v>
      </c>
      <c r="B534" s="86">
        <v>255245.99900000001</v>
      </c>
      <c r="C534" s="86">
        <v>260644.55499999999</v>
      </c>
      <c r="D534" s="86">
        <f t="shared" si="100"/>
        <v>-5398.5559999999823</v>
      </c>
      <c r="E534" s="92">
        <f t="shared" si="101"/>
        <v>-0.67663069404657294</v>
      </c>
      <c r="F534" s="86">
        <v>2085.9989999999998</v>
      </c>
      <c r="G534" s="86">
        <v>794546.03099999996</v>
      </c>
      <c r="I534" s="1" t="s">
        <v>50</v>
      </c>
      <c r="J534" s="1" t="s">
        <v>51</v>
      </c>
      <c r="K534" s="1" t="s">
        <v>31</v>
      </c>
    </row>
    <row r="535" spans="1:12" hidden="1" outlineLevel="1" x14ac:dyDescent="0.2">
      <c r="A535" s="93">
        <v>44440</v>
      </c>
      <c r="B535" s="86">
        <v>244853.66899999999</v>
      </c>
      <c r="C535" s="86">
        <v>251190.073</v>
      </c>
      <c r="D535" s="86">
        <f t="shared" si="100"/>
        <v>-6336.4040000000095</v>
      </c>
      <c r="E535" s="92">
        <f t="shared" si="101"/>
        <v>-0.79748733903121216</v>
      </c>
      <c r="F535" s="86">
        <v>2366.884</v>
      </c>
      <c r="G535" s="86">
        <v>790576.52399999998</v>
      </c>
      <c r="I535" s="1" t="s">
        <v>50</v>
      </c>
      <c r="J535" s="1" t="s">
        <v>51</v>
      </c>
      <c r="K535" s="1" t="s">
        <v>31</v>
      </c>
    </row>
    <row r="536" spans="1:12" hidden="1" outlineLevel="1" x14ac:dyDescent="0.2">
      <c r="A536" s="93">
        <v>44470</v>
      </c>
      <c r="B536" s="86">
        <v>241329.53200000001</v>
      </c>
      <c r="C536" s="86">
        <v>247298.943</v>
      </c>
      <c r="D536" s="86">
        <f t="shared" si="100"/>
        <v>-5969.4109999999928</v>
      </c>
      <c r="E536" s="92">
        <f t="shared" si="101"/>
        <v>-0.7550706122409464</v>
      </c>
      <c r="F536" s="86">
        <v>2516.3649999999998</v>
      </c>
      <c r="G536" s="86">
        <v>787123.48699999996</v>
      </c>
      <c r="I536" s="1" t="s">
        <v>50</v>
      </c>
      <c r="J536" s="1" t="s">
        <v>51</v>
      </c>
      <c r="K536" s="1" t="s">
        <v>31</v>
      </c>
    </row>
    <row r="537" spans="1:12" hidden="1" outlineLevel="1" x14ac:dyDescent="0.2">
      <c r="A537" s="93">
        <v>44501</v>
      </c>
      <c r="B537" s="86">
        <v>244302.98300000001</v>
      </c>
      <c r="C537" s="86">
        <v>253557.16500000001</v>
      </c>
      <c r="D537" s="86">
        <f t="shared" si="100"/>
        <v>-9254.1820000000007</v>
      </c>
      <c r="E537" s="92">
        <f t="shared" si="101"/>
        <v>-1.1756963364504458</v>
      </c>
      <c r="F537" s="86">
        <v>2782.11</v>
      </c>
      <c r="G537" s="86">
        <v>780651.42200000002</v>
      </c>
      <c r="I537" s="1" t="s">
        <v>50</v>
      </c>
      <c r="J537" s="1" t="s">
        <v>51</v>
      </c>
      <c r="K537" s="1" t="s">
        <v>31</v>
      </c>
    </row>
    <row r="538" spans="1:12" hidden="1" outlineLevel="1" x14ac:dyDescent="0.2">
      <c r="A538" s="93">
        <v>44531</v>
      </c>
      <c r="B538" s="86">
        <v>280461.14600000001</v>
      </c>
      <c r="C538" s="86">
        <v>274322.67200000002</v>
      </c>
      <c r="D538" s="86">
        <f t="shared" si="100"/>
        <v>6138.4739999999874</v>
      </c>
      <c r="E538" s="92">
        <f t="shared" si="101"/>
        <v>0.78632714000231307</v>
      </c>
      <c r="F538" s="86">
        <v>3319.1109999999999</v>
      </c>
      <c r="G538" s="86">
        <v>790109.01300000004</v>
      </c>
      <c r="I538" s="1" t="s">
        <v>50</v>
      </c>
      <c r="J538" s="1" t="s">
        <v>51</v>
      </c>
      <c r="K538" s="1" t="s">
        <v>31</v>
      </c>
    </row>
    <row r="539" spans="1:12" collapsed="1" x14ac:dyDescent="0.2">
      <c r="A539" s="83" t="s">
        <v>79</v>
      </c>
      <c r="B539" s="84">
        <f>SUM(B527:B538)</f>
        <v>2911440.1150000002</v>
      </c>
      <c r="C539" s="84">
        <f>SUM(C527:C538)</f>
        <v>2946195.6119999997</v>
      </c>
      <c r="D539" s="84">
        <f>SUM(D527:D538)</f>
        <v>-34755.496999999887</v>
      </c>
      <c r="E539" s="91">
        <f>(D539/G526*100)</f>
        <v>-4.3366420921513837</v>
      </c>
      <c r="F539" s="84">
        <f>SUM(F527:F538)</f>
        <v>23426.415000000001</v>
      </c>
      <c r="G539" s="85">
        <f>IFERROR(INDEX($G$527:$G$538,COUNTA($G$527:$G$538)),0)</f>
        <v>790109.01300000004</v>
      </c>
    </row>
    <row r="540" spans="1:12" hidden="1" outlineLevel="1" x14ac:dyDescent="0.2">
      <c r="A540" s="93">
        <v>44562</v>
      </c>
      <c r="B540" s="86">
        <v>225525.22500000001</v>
      </c>
      <c r="C540" s="86">
        <v>241202.92199999999</v>
      </c>
      <c r="D540" s="86">
        <f t="shared" ref="D540:D551" si="102">B540-C540</f>
        <v>-15677.696999999986</v>
      </c>
      <c r="E540" s="92">
        <f t="shared" ref="E540:E551" si="103">D540/G539*100</f>
        <v>-1.9842447993945342</v>
      </c>
      <c r="F540" s="86">
        <v>4138.4440000000004</v>
      </c>
      <c r="G540" s="86">
        <v>778569.77</v>
      </c>
      <c r="I540" s="1" t="s">
        <v>50</v>
      </c>
      <c r="J540" s="1" t="s">
        <v>51</v>
      </c>
      <c r="K540" s="1" t="s">
        <v>31</v>
      </c>
      <c r="L540" s="94"/>
    </row>
    <row r="541" spans="1:12" hidden="1" outlineLevel="1" x14ac:dyDescent="0.2">
      <c r="A541" s="93">
        <v>44593</v>
      </c>
      <c r="B541" s="86">
        <v>226744.71</v>
      </c>
      <c r="C541" s="86">
        <v>229187.285</v>
      </c>
      <c r="D541" s="86">
        <f t="shared" si="102"/>
        <v>-2442.5750000000116</v>
      </c>
      <c r="E541" s="92">
        <f t="shared" si="103"/>
        <v>-0.31372589768030829</v>
      </c>
      <c r="F541" s="86">
        <v>3979.4740000000002</v>
      </c>
      <c r="G541" s="86">
        <v>780106.68099999998</v>
      </c>
      <c r="I541" s="1" t="s">
        <v>50</v>
      </c>
      <c r="J541" s="1" t="s">
        <v>51</v>
      </c>
      <c r="K541" s="1" t="s">
        <v>31</v>
      </c>
    </row>
    <row r="542" spans="1:12" hidden="1" outlineLevel="1" x14ac:dyDescent="0.2">
      <c r="A542" s="93">
        <v>44621</v>
      </c>
      <c r="B542" s="86">
        <v>270450.89799999999</v>
      </c>
      <c r="C542" s="86">
        <v>283047.74400000001</v>
      </c>
      <c r="D542" s="86">
        <f t="shared" si="102"/>
        <v>-12596.84600000002</v>
      </c>
      <c r="E542" s="92">
        <f t="shared" si="103"/>
        <v>-1.6147594049383638</v>
      </c>
      <c r="F542" s="86">
        <v>4067.0230000000001</v>
      </c>
      <c r="G542" s="86">
        <v>771576.87199999997</v>
      </c>
      <c r="I542" s="1" t="s">
        <v>50</v>
      </c>
      <c r="J542" s="1" t="s">
        <v>51</v>
      </c>
      <c r="K542" s="1" t="s">
        <v>31</v>
      </c>
    </row>
    <row r="543" spans="1:12" hidden="1" outlineLevel="1" x14ac:dyDescent="0.2">
      <c r="A543" s="93">
        <v>44652</v>
      </c>
      <c r="B543" s="86">
        <v>243106.997</v>
      </c>
      <c r="C543" s="86">
        <v>250849.34</v>
      </c>
      <c r="D543" s="86">
        <f t="shared" si="102"/>
        <v>-7742.3429999999935</v>
      </c>
      <c r="E543" s="92">
        <f t="shared" si="103"/>
        <v>-1.0034441519651971</v>
      </c>
      <c r="F543" s="86">
        <v>4373.6279999999997</v>
      </c>
      <c r="G543" s="86">
        <v>768208.16599999997</v>
      </c>
      <c r="I543" s="1" t="s">
        <v>50</v>
      </c>
      <c r="J543" s="1" t="s">
        <v>51</v>
      </c>
      <c r="K543" s="1" t="s">
        <v>31</v>
      </c>
    </row>
    <row r="544" spans="1:12" hidden="1" outlineLevel="1" x14ac:dyDescent="0.2">
      <c r="A544" s="93">
        <v>44682</v>
      </c>
      <c r="B544" s="86">
        <v>294458.049</v>
      </c>
      <c r="C544" s="86">
        <v>289234.04200000002</v>
      </c>
      <c r="D544" s="86">
        <f t="shared" si="102"/>
        <v>5224.0069999999832</v>
      </c>
      <c r="E544" s="92">
        <f t="shared" si="103"/>
        <v>0.68002492439008821</v>
      </c>
      <c r="F544" s="86">
        <v>4241.085</v>
      </c>
      <c r="G544" s="86">
        <v>777673.26800000004</v>
      </c>
      <c r="I544" s="1" t="s">
        <v>50</v>
      </c>
      <c r="J544" s="1" t="s">
        <v>51</v>
      </c>
      <c r="K544" s="1" t="s">
        <v>31</v>
      </c>
    </row>
    <row r="545" spans="1:12" hidden="1" outlineLevel="1" x14ac:dyDescent="0.2">
      <c r="A545" s="93">
        <v>44713</v>
      </c>
      <c r="B545" s="86">
        <v>267700.76299999998</v>
      </c>
      <c r="C545" s="86">
        <v>271034.06699999998</v>
      </c>
      <c r="D545" s="86">
        <f t="shared" si="102"/>
        <v>-3333.3040000000037</v>
      </c>
      <c r="E545" s="92">
        <f t="shared" si="103"/>
        <v>-0.42862525139542323</v>
      </c>
      <c r="F545" s="86">
        <v>4841.4560000000001</v>
      </c>
      <c r="G545" s="86">
        <v>779181.43200000003</v>
      </c>
      <c r="I545" s="1" t="s">
        <v>50</v>
      </c>
      <c r="J545" s="1" t="s">
        <v>51</v>
      </c>
      <c r="K545" s="1" t="s">
        <v>31</v>
      </c>
    </row>
    <row r="546" spans="1:12" hidden="1" outlineLevel="1" x14ac:dyDescent="0.2">
      <c r="A546" s="93">
        <v>44743</v>
      </c>
      <c r="B546" s="86">
        <v>249422.742</v>
      </c>
      <c r="C546" s="86">
        <v>261033.36499999999</v>
      </c>
      <c r="D546" s="86">
        <f t="shared" si="102"/>
        <v>-11610.622999999992</v>
      </c>
      <c r="E546" s="92">
        <f t="shared" si="103"/>
        <v>-1.4901051954225717</v>
      </c>
      <c r="F546" s="86">
        <v>4768.692</v>
      </c>
      <c r="G546" s="86">
        <v>772339.51</v>
      </c>
      <c r="I546" s="1" t="s">
        <v>50</v>
      </c>
      <c r="J546" s="1" t="s">
        <v>51</v>
      </c>
      <c r="K546" s="1" t="s">
        <v>31</v>
      </c>
    </row>
    <row r="547" spans="1:12" hidden="1" outlineLevel="1" x14ac:dyDescent="0.2">
      <c r="A547" s="93">
        <v>44774</v>
      </c>
      <c r="B547" s="86">
        <v>272255.245</v>
      </c>
      <c r="C547" s="86">
        <v>291952.685</v>
      </c>
      <c r="D547" s="86">
        <f t="shared" si="102"/>
        <v>-19697.440000000002</v>
      </c>
      <c r="E547" s="92">
        <f t="shared" si="103"/>
        <v>-2.5503602683747206</v>
      </c>
      <c r="F547" s="86">
        <v>5033.78</v>
      </c>
      <c r="G547" s="86">
        <v>757675.85699999996</v>
      </c>
      <c r="I547" s="1" t="s">
        <v>50</v>
      </c>
      <c r="J547" s="1" t="s">
        <v>51</v>
      </c>
      <c r="K547" s="1" t="s">
        <v>31</v>
      </c>
    </row>
    <row r="548" spans="1:12" hidden="1" outlineLevel="1" x14ac:dyDescent="0.2">
      <c r="A548" s="93">
        <v>44805</v>
      </c>
      <c r="B548" s="86">
        <v>266318.06900000002</v>
      </c>
      <c r="C548" s="86">
        <v>271273.29300000001</v>
      </c>
      <c r="D548" s="86">
        <f t="shared" si="102"/>
        <v>-4955.2239999999874</v>
      </c>
      <c r="E548" s="92">
        <f t="shared" si="103"/>
        <v>-0.6540031537523292</v>
      </c>
      <c r="F548" s="86">
        <v>4990.1120000000001</v>
      </c>
      <c r="G548" s="86">
        <v>757710.75300000003</v>
      </c>
      <c r="I548" s="1" t="s">
        <v>50</v>
      </c>
      <c r="J548" s="1" t="s">
        <v>51</v>
      </c>
      <c r="K548" s="1" t="s">
        <v>31</v>
      </c>
    </row>
    <row r="549" spans="1:12" hidden="1" outlineLevel="1" x14ac:dyDescent="0.2">
      <c r="A549" s="93">
        <v>44835</v>
      </c>
      <c r="B549" s="86">
        <v>262203.98499999999</v>
      </c>
      <c r="C549" s="86">
        <v>271630.29700000002</v>
      </c>
      <c r="D549" s="86">
        <f t="shared" si="102"/>
        <v>-9426.3120000000345</v>
      </c>
      <c r="E549" s="92">
        <f t="shared" si="103"/>
        <v>-1.2440515015365017</v>
      </c>
      <c r="F549" s="86">
        <v>4784.9139999999998</v>
      </c>
      <c r="G549" s="86">
        <v>753069.36100000003</v>
      </c>
      <c r="I549" s="1" t="s">
        <v>50</v>
      </c>
      <c r="J549" s="1" t="s">
        <v>51</v>
      </c>
      <c r="K549" s="1" t="s">
        <v>31</v>
      </c>
    </row>
    <row r="550" spans="1:12" hidden="1" outlineLevel="1" x14ac:dyDescent="0.2">
      <c r="A550" s="93">
        <v>44866</v>
      </c>
      <c r="B550" s="86">
        <v>265471.00300000003</v>
      </c>
      <c r="C550" s="86">
        <v>269825.89899999998</v>
      </c>
      <c r="D550" s="86">
        <f t="shared" si="102"/>
        <v>-4354.8959999999497</v>
      </c>
      <c r="E550" s="92">
        <f t="shared" si="103"/>
        <v>-0.57828617462501564</v>
      </c>
      <c r="F550" s="86">
        <v>4690.6270000000004</v>
      </c>
      <c r="G550" s="86">
        <v>753405.10100000002</v>
      </c>
      <c r="I550" s="1" t="s">
        <v>50</v>
      </c>
      <c r="J550" s="1" t="s">
        <v>51</v>
      </c>
      <c r="K550" s="1" t="s">
        <v>31</v>
      </c>
    </row>
    <row r="551" spans="1:12" hidden="1" outlineLevel="1" x14ac:dyDescent="0.2">
      <c r="A551" s="93">
        <v>44896</v>
      </c>
      <c r="B551" s="86">
        <v>302397.67099999997</v>
      </c>
      <c r="C551" s="86">
        <v>296728.90299999999</v>
      </c>
      <c r="D551" s="86">
        <f t="shared" si="102"/>
        <v>5668.7679999999818</v>
      </c>
      <c r="E551" s="92">
        <f t="shared" si="103"/>
        <v>0.75241964681096329</v>
      </c>
      <c r="F551" s="86">
        <v>4741.183</v>
      </c>
      <c r="G551" s="86">
        <v>763815.06599999999</v>
      </c>
      <c r="I551" s="1" t="s">
        <v>50</v>
      </c>
      <c r="J551" s="1" t="s">
        <v>51</v>
      </c>
      <c r="K551" s="1" t="s">
        <v>31</v>
      </c>
    </row>
    <row r="552" spans="1:12" collapsed="1" x14ac:dyDescent="0.2">
      <c r="A552" s="83" t="s">
        <v>80</v>
      </c>
      <c r="B552" s="84">
        <f>SUM(B540:B551)</f>
        <v>3146055.3570000003</v>
      </c>
      <c r="C552" s="84">
        <f>SUM(C540:C551)</f>
        <v>3226999.8420000002</v>
      </c>
      <c r="D552" s="84">
        <f>SUM(D540:D551)</f>
        <v>-80944.485000000015</v>
      </c>
      <c r="E552" s="91">
        <f>(D552/G539*100)</f>
        <v>-10.244723660683011</v>
      </c>
      <c r="F552" s="84">
        <f>SUM(F540:F551)</f>
        <v>54650.417999999998</v>
      </c>
      <c r="G552" s="85">
        <f>IFERROR(INDEX($G$540:$G$551,COUNTA($G$540:$G$551)),0)</f>
        <v>763815.06599999999</v>
      </c>
    </row>
    <row r="553" spans="1:12" hidden="1" outlineLevel="1" x14ac:dyDescent="0.2">
      <c r="A553" s="93">
        <v>44927</v>
      </c>
      <c r="B553" s="86">
        <v>260968.72200000001</v>
      </c>
      <c r="C553" s="86">
        <v>288185.54399999999</v>
      </c>
      <c r="D553" s="86">
        <f t="shared" ref="D553:D564" si="104">B553-C553</f>
        <v>-27216.821999999986</v>
      </c>
      <c r="E553" s="92">
        <f>D553/G552*100</f>
        <v>-3.5632737833427317</v>
      </c>
      <c r="F553" s="86">
        <v>5731.9440000000004</v>
      </c>
      <c r="G553" s="86">
        <v>742330.20200000005</v>
      </c>
      <c r="I553" s="1" t="s">
        <v>50</v>
      </c>
      <c r="J553" s="1" t="s">
        <v>51</v>
      </c>
      <c r="K553" s="1" t="s">
        <v>31</v>
      </c>
      <c r="L553" s="94"/>
    </row>
    <row r="554" spans="1:12" hidden="1" outlineLevel="1" x14ac:dyDescent="0.2">
      <c r="A554" s="93">
        <v>44958</v>
      </c>
      <c r="B554" s="86">
        <v>243781.42499999999</v>
      </c>
      <c r="C554" s="86">
        <v>252358.299</v>
      </c>
      <c r="D554" s="86">
        <f t="shared" si="104"/>
        <v>-8576.8740000000107</v>
      </c>
      <c r="E554" s="92">
        <f t="shared" ref="E554:E564" si="105">D554/G553*100</f>
        <v>-1.1553987668684413</v>
      </c>
      <c r="F554" s="86">
        <v>5386.1329999999998</v>
      </c>
      <c r="G554" s="86">
        <v>739139.47100000002</v>
      </c>
      <c r="I554" s="1" t="s">
        <v>50</v>
      </c>
      <c r="J554" s="1" t="s">
        <v>51</v>
      </c>
      <c r="K554" s="1" t="s">
        <v>31</v>
      </c>
    </row>
    <row r="555" spans="1:12" hidden="1" outlineLevel="1" x14ac:dyDescent="0.2">
      <c r="A555" s="93">
        <v>44986</v>
      </c>
      <c r="B555" s="86">
        <v>283185.82699999999</v>
      </c>
      <c r="C555" s="86">
        <v>288850.65500000003</v>
      </c>
      <c r="D555" s="86">
        <f t="shared" si="104"/>
        <v>-5664.8280000000377</v>
      </c>
      <c r="E555" s="92">
        <f t="shared" si="105"/>
        <v>-0.76640853617734039</v>
      </c>
      <c r="F555" s="86">
        <v>4202.4480000000003</v>
      </c>
      <c r="G555" s="86">
        <v>737677.10199999996</v>
      </c>
      <c r="I555" s="1" t="s">
        <v>50</v>
      </c>
      <c r="J555" s="1" t="s">
        <v>51</v>
      </c>
      <c r="K555" s="1" t="s">
        <v>31</v>
      </c>
    </row>
    <row r="556" spans="1:12" hidden="1" outlineLevel="1" x14ac:dyDescent="0.2">
      <c r="A556" s="93">
        <v>45017</v>
      </c>
      <c r="B556" s="86">
        <v>250617.666</v>
      </c>
      <c r="C556" s="86">
        <v>255693.106</v>
      </c>
      <c r="D556" s="86">
        <f t="shared" si="104"/>
        <v>-5075.4400000000023</v>
      </c>
      <c r="E556" s="92">
        <f t="shared" si="105"/>
        <v>-0.68803003187158751</v>
      </c>
      <c r="F556" s="86">
        <v>4780.2719999999999</v>
      </c>
      <c r="G556" s="86">
        <v>737381.94200000004</v>
      </c>
      <c r="I556" s="1" t="s">
        <v>50</v>
      </c>
      <c r="J556" s="1" t="s">
        <v>51</v>
      </c>
      <c r="K556" s="1" t="s">
        <v>31</v>
      </c>
    </row>
    <row r="557" spans="1:12" hidden="1" outlineLevel="1" x14ac:dyDescent="0.2">
      <c r="A557" s="93">
        <v>45047</v>
      </c>
      <c r="B557" s="86">
        <v>285084.44300000003</v>
      </c>
      <c r="C557" s="86">
        <v>295528.20699999999</v>
      </c>
      <c r="D557" s="86">
        <f t="shared" si="104"/>
        <v>-10443.763999999966</v>
      </c>
      <c r="E557" s="92">
        <f t="shared" si="105"/>
        <v>-1.4163303174571051</v>
      </c>
      <c r="F557" s="86">
        <v>4339.701</v>
      </c>
      <c r="G557" s="86">
        <v>731277.89</v>
      </c>
      <c r="I557" s="1" t="s">
        <v>50</v>
      </c>
      <c r="J557" s="1" t="s">
        <v>51</v>
      </c>
      <c r="K557" s="1" t="s">
        <v>31</v>
      </c>
    </row>
    <row r="558" spans="1:12" hidden="1" outlineLevel="1" x14ac:dyDescent="0.2">
      <c r="A558" s="93">
        <v>45078</v>
      </c>
      <c r="B558" s="86">
        <v>287540.45500000002</v>
      </c>
      <c r="C558" s="86">
        <v>285119.478</v>
      </c>
      <c r="D558" s="86">
        <f t="shared" si="104"/>
        <v>2420.9770000000135</v>
      </c>
      <c r="E558" s="92">
        <f t="shared" si="105"/>
        <v>0.33106115104888695</v>
      </c>
      <c r="F558" s="86">
        <v>4771.2460000000001</v>
      </c>
      <c r="G558" s="86">
        <v>738470.12300000002</v>
      </c>
      <c r="I558" s="1" t="s">
        <v>50</v>
      </c>
      <c r="J558" s="1" t="s">
        <v>51</v>
      </c>
      <c r="K558" s="1" t="s">
        <v>31</v>
      </c>
    </row>
    <row r="559" spans="1:12" hidden="1" outlineLevel="1" x14ac:dyDescent="0.2">
      <c r="A559" s="93">
        <v>45108</v>
      </c>
      <c r="B559" s="86">
        <v>281001.48300000001</v>
      </c>
      <c r="C559" s="86">
        <v>284703.84899999999</v>
      </c>
      <c r="D559" s="86">
        <f t="shared" si="104"/>
        <v>-3702.36599999998</v>
      </c>
      <c r="E559" s="92">
        <f t="shared" si="105"/>
        <v>-0.50135623428599829</v>
      </c>
      <c r="F559" s="86">
        <v>4691.5450000000001</v>
      </c>
      <c r="G559" s="86">
        <v>739459.30799999996</v>
      </c>
      <c r="I559" s="1" t="s">
        <v>50</v>
      </c>
      <c r="J559" s="1" t="s">
        <v>51</v>
      </c>
      <c r="K559" s="1" t="s">
        <v>31</v>
      </c>
    </row>
    <row r="560" spans="1:12" hidden="1" outlineLevel="1" x14ac:dyDescent="0.2">
      <c r="A560" s="93">
        <v>45139</v>
      </c>
      <c r="B560" s="86">
        <v>277197.80300000001</v>
      </c>
      <c r="C560" s="86">
        <v>285667.359</v>
      </c>
      <c r="D560" s="86">
        <f t="shared" si="104"/>
        <v>-8469.5559999999823</v>
      </c>
      <c r="E560" s="92">
        <f t="shared" si="105"/>
        <v>-1.1453714772902666</v>
      </c>
      <c r="F560" s="86">
        <v>4755.9750000000004</v>
      </c>
      <c r="G560" s="86">
        <v>735745.73899999994</v>
      </c>
      <c r="I560" s="1" t="s">
        <v>50</v>
      </c>
      <c r="J560" s="1" t="s">
        <v>51</v>
      </c>
      <c r="K560" s="1" t="s">
        <v>31</v>
      </c>
    </row>
    <row r="561" spans="1:12" hidden="1" outlineLevel="1" x14ac:dyDescent="0.2">
      <c r="A561" s="93">
        <v>45170</v>
      </c>
      <c r="B561" s="86">
        <v>263845.44900000002</v>
      </c>
      <c r="C561" s="86">
        <v>269408.027</v>
      </c>
      <c r="D561" s="86">
        <f t="shared" si="104"/>
        <v>-5562.5779999999795</v>
      </c>
      <c r="E561" s="92">
        <f t="shared" si="105"/>
        <v>-0.75604624058855474</v>
      </c>
      <c r="F561" s="86">
        <v>4642.8519999999999</v>
      </c>
      <c r="G561" s="86">
        <v>734776.66299999994</v>
      </c>
      <c r="I561" s="1" t="s">
        <v>50</v>
      </c>
      <c r="J561" s="1" t="s">
        <v>51</v>
      </c>
      <c r="K561" s="1" t="s">
        <v>31</v>
      </c>
    </row>
    <row r="562" spans="1:12" hidden="1" outlineLevel="1" x14ac:dyDescent="0.2">
      <c r="A562" s="93">
        <v>45200</v>
      </c>
      <c r="B562" s="86">
        <v>277633.90399999998</v>
      </c>
      <c r="C562" s="86">
        <v>286459.27500000002</v>
      </c>
      <c r="D562" s="86">
        <f t="shared" si="104"/>
        <v>-8825.3710000000428</v>
      </c>
      <c r="E562" s="92">
        <f t="shared" si="105"/>
        <v>-1.2010957130792876</v>
      </c>
      <c r="F562" s="86">
        <v>4248.0050000000001</v>
      </c>
      <c r="G562" s="86">
        <v>730193.66</v>
      </c>
      <c r="I562" s="1" t="s">
        <v>50</v>
      </c>
      <c r="J562" s="1" t="s">
        <v>51</v>
      </c>
      <c r="K562" s="1" t="s">
        <v>31</v>
      </c>
    </row>
    <row r="563" spans="1:12" hidden="1" outlineLevel="1" x14ac:dyDescent="0.2">
      <c r="A563" s="93">
        <v>45231</v>
      </c>
      <c r="B563" s="86">
        <v>283595.95899999997</v>
      </c>
      <c r="C563" s="86">
        <v>285397.25199999998</v>
      </c>
      <c r="D563" s="86">
        <f t="shared" si="104"/>
        <v>-1801.2930000000051</v>
      </c>
      <c r="E563" s="92">
        <f t="shared" si="105"/>
        <v>-0.24668702272764254</v>
      </c>
      <c r="F563" s="86">
        <v>4087.3829999999998</v>
      </c>
      <c r="G563" s="86">
        <v>732479.74899999995</v>
      </c>
      <c r="I563" s="1" t="s">
        <v>50</v>
      </c>
      <c r="J563" s="1" t="s">
        <v>51</v>
      </c>
      <c r="K563" s="1" t="s">
        <v>31</v>
      </c>
    </row>
    <row r="564" spans="1:12" hidden="1" outlineLevel="1" x14ac:dyDescent="0.2">
      <c r="A564" s="93">
        <v>45261</v>
      </c>
      <c r="B564" s="86">
        <v>314207.33299999998</v>
      </c>
      <c r="C564" s="86">
        <v>303683.32500000001</v>
      </c>
      <c r="D564" s="86">
        <f t="shared" si="104"/>
        <v>10524.007999999973</v>
      </c>
      <c r="E564" s="92">
        <f t="shared" si="105"/>
        <v>1.436764363024045</v>
      </c>
      <c r="F564" s="86">
        <v>4077.489</v>
      </c>
      <c r="G564" s="86">
        <v>747081.24699999997</v>
      </c>
      <c r="I564" s="1" t="s">
        <v>50</v>
      </c>
      <c r="J564" s="1" t="s">
        <v>51</v>
      </c>
      <c r="K564" s="1" t="s">
        <v>31</v>
      </c>
    </row>
    <row r="565" spans="1:12" collapsed="1" x14ac:dyDescent="0.2">
      <c r="A565" s="83" t="s">
        <v>81</v>
      </c>
      <c r="B565" s="84">
        <f>SUM(B553:B564)</f>
        <v>3308660.469</v>
      </c>
      <c r="C565" s="84">
        <f>SUM(C553:C564)</f>
        <v>3381054.3760000002</v>
      </c>
      <c r="D565" s="84">
        <f>SUM(D553:D564)</f>
        <v>-72393.907000000007</v>
      </c>
      <c r="E565" s="91">
        <f>(D565/G552*100)</f>
        <v>-9.4779365087831362</v>
      </c>
      <c r="F565" s="84">
        <f>SUM(F553:F564)</f>
        <v>55714.993000000002</v>
      </c>
      <c r="G565" s="85">
        <f>IFERROR(INDEX($G$553:$G$564,COUNTA($G$553:$G$564)),0)</f>
        <v>747081.24699999997</v>
      </c>
    </row>
    <row r="566" spans="1:12" outlineLevel="1" x14ac:dyDescent="0.2">
      <c r="A566" s="93">
        <v>45292</v>
      </c>
      <c r="B566" s="86">
        <v>286620.53999999998</v>
      </c>
      <c r="C566" s="86">
        <v>302893.14899999998</v>
      </c>
      <c r="D566" s="86">
        <f t="shared" ref="D566:D577" si="106">B566-C566</f>
        <v>-16272.608999999997</v>
      </c>
      <c r="E566" s="92">
        <f>IFERROR(D566/G564*100,"")</f>
        <v>-2.1781578731021201</v>
      </c>
      <c r="F566" s="86">
        <v>3909.848</v>
      </c>
      <c r="G566" s="86">
        <v>734718.48800000001</v>
      </c>
      <c r="I566" s="1" t="s">
        <v>50</v>
      </c>
      <c r="J566" s="1" t="s">
        <v>51</v>
      </c>
      <c r="K566" s="1" t="s">
        <v>31</v>
      </c>
      <c r="L566" s="94"/>
    </row>
    <row r="567" spans="1:12" outlineLevel="1" x14ac:dyDescent="0.2">
      <c r="A567" s="93">
        <v>45323</v>
      </c>
      <c r="B567" s="86">
        <v>269711.14899999998</v>
      </c>
      <c r="C567" s="86">
        <v>273063.30200000003</v>
      </c>
      <c r="D567" s="86">
        <f t="shared" si="106"/>
        <v>-3352.1530000000494</v>
      </c>
      <c r="E567" s="92">
        <f>IFERROR(D567/G566*100,"")</f>
        <v>-0.45624998618519175</v>
      </c>
      <c r="F567" s="86">
        <v>4035.0189999999998</v>
      </c>
      <c r="G567" s="86">
        <v>735403.25399999996</v>
      </c>
      <c r="I567" s="1" t="s">
        <v>50</v>
      </c>
      <c r="J567" s="1" t="s">
        <v>51</v>
      </c>
      <c r="K567" s="1" t="s">
        <v>31</v>
      </c>
    </row>
    <row r="568" spans="1:12" outlineLevel="1" x14ac:dyDescent="0.2">
      <c r="A568" s="93">
        <v>45352</v>
      </c>
      <c r="B568" s="86">
        <v>280385.45</v>
      </c>
      <c r="C568" s="86">
        <v>280044.37</v>
      </c>
      <c r="D568" s="86">
        <f t="shared" si="106"/>
        <v>341.0800000000163</v>
      </c>
      <c r="E568" s="92">
        <f>IFERROR(D568/G567*100,"")</f>
        <v>4.6379996028684464E-2</v>
      </c>
      <c r="F568" s="86">
        <v>3677.2080000000001</v>
      </c>
      <c r="G568" s="86">
        <v>739421.53799999994</v>
      </c>
      <c r="I568" s="1" t="s">
        <v>50</v>
      </c>
      <c r="J568" s="1" t="s">
        <v>51</v>
      </c>
      <c r="K568" s="1" t="s">
        <v>31</v>
      </c>
    </row>
    <row r="569" spans="1:12" outlineLevel="1" x14ac:dyDescent="0.2">
      <c r="A569" s="93">
        <v>45383</v>
      </c>
      <c r="B569" s="86">
        <v>303929.28499999997</v>
      </c>
      <c r="C569" s="86">
        <v>306957.98700000002</v>
      </c>
      <c r="D569" s="86">
        <f t="shared" si="106"/>
        <v>-3028.7020000000484</v>
      </c>
      <c r="E569" s="92">
        <f t="shared" ref="E569:E577" si="107">IFERROR(D569/G568*100,"")</f>
        <v>-0.40960424390559863</v>
      </c>
      <c r="F569" s="86">
        <v>3902.5610000000001</v>
      </c>
      <c r="G569" s="86">
        <v>740295.40099999995</v>
      </c>
      <c r="I569" s="1" t="s">
        <v>50</v>
      </c>
      <c r="J569" s="1" t="s">
        <v>51</v>
      </c>
      <c r="K569" s="1" t="s">
        <v>31</v>
      </c>
    </row>
    <row r="570" spans="1:12" outlineLevel="1" x14ac:dyDescent="0.2">
      <c r="A570" s="93">
        <v>45413</v>
      </c>
      <c r="B570" s="86">
        <v>311306.43099999998</v>
      </c>
      <c r="C570" s="86">
        <v>305964.76799999998</v>
      </c>
      <c r="D570" s="86">
        <f t="shared" si="106"/>
        <v>5341.6630000000005</v>
      </c>
      <c r="E570" s="92">
        <f t="shared" si="107"/>
        <v>0.72155831209871324</v>
      </c>
      <c r="F570" s="86">
        <v>3933.2460000000001</v>
      </c>
      <c r="G570" s="86">
        <v>749570.31200000003</v>
      </c>
      <c r="I570" s="1" t="s">
        <v>50</v>
      </c>
      <c r="J570" s="1" t="s">
        <v>51</v>
      </c>
      <c r="K570" s="1" t="s">
        <v>31</v>
      </c>
    </row>
    <row r="571" spans="1:12" outlineLevel="1" x14ac:dyDescent="0.2">
      <c r="A571" s="93">
        <v>45444</v>
      </c>
      <c r="B571" s="86">
        <v>298942.55800000002</v>
      </c>
      <c r="C571" s="86">
        <v>290060.353</v>
      </c>
      <c r="D571" s="86">
        <f t="shared" si="106"/>
        <v>8882.2050000000163</v>
      </c>
      <c r="E571" s="92">
        <f t="shared" si="107"/>
        <v>1.1849728915090778</v>
      </c>
      <c r="F571" s="86">
        <v>4072.8049999999998</v>
      </c>
      <c r="G571" s="86">
        <v>762525.31700000004</v>
      </c>
      <c r="I571" s="1" t="s">
        <v>50</v>
      </c>
      <c r="J571" s="1" t="s">
        <v>51</v>
      </c>
      <c r="K571" s="1" t="s">
        <v>31</v>
      </c>
    </row>
    <row r="572" spans="1:12" outlineLevel="1" x14ac:dyDescent="0.2">
      <c r="A572" s="93">
        <v>45474</v>
      </c>
      <c r="B572" s="86">
        <v>316466.42800000001</v>
      </c>
      <c r="C572" s="86">
        <v>319325.27600000001</v>
      </c>
      <c r="D572" s="86">
        <f t="shared" si="106"/>
        <v>-2858.8479999999981</v>
      </c>
      <c r="E572" s="92">
        <f t="shared" si="107"/>
        <v>-0.37491843697040134</v>
      </c>
      <c r="F572" s="86">
        <v>4025.8589999999999</v>
      </c>
      <c r="G572" s="86">
        <v>763692.32400000002</v>
      </c>
      <c r="I572" s="1" t="s">
        <v>50</v>
      </c>
      <c r="J572" s="1" t="s">
        <v>51</v>
      </c>
      <c r="K572" s="1" t="s">
        <v>31</v>
      </c>
    </row>
    <row r="573" spans="1:12" outlineLevel="1" x14ac:dyDescent="0.2">
      <c r="A573" s="93">
        <v>45505</v>
      </c>
      <c r="B573" s="86">
        <v>302365.11900000001</v>
      </c>
      <c r="C573" s="86">
        <v>303653.571</v>
      </c>
      <c r="D573" s="86">
        <f t="shared" si="106"/>
        <v>-1288.4519999999902</v>
      </c>
      <c r="E573" s="92">
        <f t="shared" si="107"/>
        <v>-0.16871349357702725</v>
      </c>
      <c r="F573" s="86">
        <v>4070.5309999999999</v>
      </c>
      <c r="G573" s="86">
        <v>766474.40300000005</v>
      </c>
      <c r="I573" s="1" t="s">
        <v>50</v>
      </c>
      <c r="J573" s="1" t="s">
        <v>51</v>
      </c>
      <c r="K573" s="1" t="s">
        <v>31</v>
      </c>
    </row>
    <row r="574" spans="1:12" outlineLevel="1" x14ac:dyDescent="0.2">
      <c r="A574" s="93">
        <v>45536</v>
      </c>
      <c r="B574" s="86">
        <v>296532.663</v>
      </c>
      <c r="C574" s="86">
        <v>302669.75699999998</v>
      </c>
      <c r="D574" s="86">
        <f t="shared" si="106"/>
        <v>-6137.0939999999828</v>
      </c>
      <c r="E574" s="92">
        <f t="shared" si="107"/>
        <v>-0.80069131806349214</v>
      </c>
      <c r="F574" s="86">
        <v>4089.2979999999998</v>
      </c>
      <c r="G574" s="86">
        <v>764426.60600000003</v>
      </c>
      <c r="I574" s="1" t="s">
        <v>50</v>
      </c>
      <c r="J574" s="1" t="s">
        <v>51</v>
      </c>
      <c r="K574" s="1" t="s">
        <v>31</v>
      </c>
    </row>
    <row r="575" spans="1:12" outlineLevel="1" x14ac:dyDescent="0.2">
      <c r="A575" s="93">
        <v>45566</v>
      </c>
      <c r="B575" s="86">
        <v>306822.01299999998</v>
      </c>
      <c r="C575" s="86">
        <v>311469.429</v>
      </c>
      <c r="D575" s="86">
        <f t="shared" si="106"/>
        <v>-4647.4160000000265</v>
      </c>
      <c r="E575" s="92">
        <f t="shared" si="107"/>
        <v>-0.60796104734219913</v>
      </c>
      <c r="F575" s="86">
        <v>4119.9799999999996</v>
      </c>
      <c r="G575" s="86">
        <v>763899.17</v>
      </c>
      <c r="I575" s="1" t="s">
        <v>50</v>
      </c>
      <c r="J575" s="1" t="s">
        <v>51</v>
      </c>
      <c r="K575" s="1" t="s">
        <v>31</v>
      </c>
    </row>
    <row r="576" spans="1:12" outlineLevel="1" x14ac:dyDescent="0.2">
      <c r="A576" s="93">
        <v>45597</v>
      </c>
      <c r="B576" s="86">
        <v>294182.04599999997</v>
      </c>
      <c r="C576" s="86">
        <v>295551.92700000003</v>
      </c>
      <c r="D576" s="86">
        <f t="shared" si="106"/>
        <v>-1369.8810000000522</v>
      </c>
      <c r="E576" s="92">
        <f t="shared" si="107"/>
        <v>-0.17932746281162371</v>
      </c>
      <c r="F576" s="86">
        <v>4202.1260000000002</v>
      </c>
      <c r="G576" s="86">
        <v>766731.41500000004</v>
      </c>
      <c r="I576" s="1" t="s">
        <v>50</v>
      </c>
      <c r="J576" s="1" t="s">
        <v>51</v>
      </c>
      <c r="K576" s="1" t="s">
        <v>31</v>
      </c>
    </row>
    <row r="577" spans="1:12" outlineLevel="1" x14ac:dyDescent="0.2">
      <c r="A577" s="93">
        <v>45627</v>
      </c>
      <c r="B577" s="86">
        <v>343248.48100000003</v>
      </c>
      <c r="C577" s="86">
        <v>340575.88199999998</v>
      </c>
      <c r="D577" s="86">
        <f t="shared" si="106"/>
        <v>2672.5990000000456</v>
      </c>
      <c r="E577" s="92">
        <f t="shared" si="107"/>
        <v>0.34857043127677839</v>
      </c>
      <c r="F577" s="86">
        <v>4077.201</v>
      </c>
      <c r="G577" s="86">
        <v>773481.21699999995</v>
      </c>
      <c r="I577" s="1" t="s">
        <v>50</v>
      </c>
      <c r="J577" s="1" t="s">
        <v>51</v>
      </c>
      <c r="K577" s="1" t="s">
        <v>31</v>
      </c>
    </row>
    <row r="578" spans="1:12" x14ac:dyDescent="0.2">
      <c r="A578" s="83" t="s">
        <v>132</v>
      </c>
      <c r="B578" s="84">
        <f>SUM(B566:B577)</f>
        <v>3610512.1630000002</v>
      </c>
      <c r="C578" s="84">
        <f>SUM(C566:C577)</f>
        <v>3632229.7709999997</v>
      </c>
      <c r="D578" s="84">
        <f>SUM(D566:D577)</f>
        <v>-21717.608000000066</v>
      </c>
      <c r="E578" s="91">
        <f>(D578/G565*100)</f>
        <v>-2.906994130452329</v>
      </c>
      <c r="F578" s="84">
        <f>SUM(F566:F577)</f>
        <v>48115.682000000001</v>
      </c>
      <c r="G578" s="85">
        <f>IFERROR(INDEX($G$566:$G$577,COUNTA($G$566:$G$577)),0)</f>
        <v>773481.21699999995</v>
      </c>
    </row>
    <row r="579" spans="1:12" x14ac:dyDescent="0.2">
      <c r="A579" s="49" t="s">
        <v>12</v>
      </c>
      <c r="B579" s="4"/>
      <c r="C579" s="4"/>
      <c r="D579" s="17"/>
      <c r="E579" s="5"/>
      <c r="F579" s="4"/>
      <c r="G579" s="4"/>
      <c r="L579" s="1"/>
    </row>
    <row r="580" spans="1:12" ht="5.25" customHeight="1" x14ac:dyDescent="0.2">
      <c r="A580" s="18"/>
      <c r="B580" s="4"/>
      <c r="C580" s="4"/>
      <c r="D580" s="17"/>
      <c r="E580" s="5"/>
      <c r="F580" s="4"/>
      <c r="G580" s="4"/>
      <c r="L580" s="1"/>
    </row>
    <row r="581" spans="1:12" x14ac:dyDescent="0.2">
      <c r="A581" s="60" t="s">
        <v>83</v>
      </c>
      <c r="B581" s="54"/>
      <c r="C581" s="54"/>
      <c r="D581" s="55"/>
      <c r="E581" s="56" t="s">
        <v>84</v>
      </c>
      <c r="F581" s="54"/>
      <c r="G581" s="54"/>
      <c r="L581" s="1"/>
    </row>
    <row r="582" spans="1:12" x14ac:dyDescent="0.2">
      <c r="A582" s="61" t="s">
        <v>85</v>
      </c>
      <c r="B582" s="53"/>
      <c r="C582" s="53"/>
      <c r="D582" s="53"/>
      <c r="E582" s="57" t="s">
        <v>86</v>
      </c>
      <c r="F582" s="53"/>
      <c r="G582" s="53"/>
      <c r="L582" s="1"/>
    </row>
    <row r="583" spans="1:12" x14ac:dyDescent="0.2">
      <c r="A583" s="62" t="s">
        <v>87</v>
      </c>
      <c r="B583" s="58"/>
      <c r="C583" s="58"/>
      <c r="D583" s="58"/>
      <c r="E583" s="59" t="s">
        <v>88</v>
      </c>
      <c r="F583" s="58"/>
      <c r="G583" s="58"/>
      <c r="L583" s="1"/>
    </row>
  </sheetData>
  <mergeCells count="2">
    <mergeCell ref="B3:G3"/>
    <mergeCell ref="D5:E5"/>
  </mergeCells>
  <phoneticPr fontId="0" type="noConversion"/>
  <printOptions horizontalCentered="1"/>
  <pageMargins left="0.25" right="0.25" top="0.75" bottom="0.75" header="0.3" footer="0.3"/>
  <pageSetup paperSize="9" scale="90" orientation="portrait" r:id="rId1"/>
  <headerFooter alignWithMargins="0"/>
  <ignoredErrors>
    <ignoredError sqref="B32:B201" formula="1"/>
    <ignoredError sqref="E32" formula="1" formulaRange="1"/>
    <ignoredError sqref="D150:D161 D162 D32:D149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2:H585"/>
  <sheetViews>
    <sheetView showGridLines="0" zoomScaleNormal="100" workbookViewId="0">
      <pane ySplit="6" topLeftCell="A539" activePane="bottomLeft" state="frozen"/>
      <selection activeCell="B491" sqref="B491:C491"/>
      <selection pane="bottomLeft" activeCell="J568" sqref="J568"/>
    </sheetView>
  </sheetViews>
  <sheetFormatPr defaultColWidth="9.140625" defaultRowHeight="12.75" outlineLevelRow="1" x14ac:dyDescent="0.2"/>
  <cols>
    <col min="1" max="1" width="10.5703125" style="1" customWidth="1"/>
    <col min="2" max="2" width="11.85546875" style="2" customWidth="1"/>
    <col min="3" max="4" width="12.42578125" style="2" customWidth="1"/>
    <col min="5" max="5" width="10.28515625" style="2" customWidth="1"/>
    <col min="6" max="6" width="12.42578125" style="1" customWidth="1"/>
    <col min="7" max="7" width="16.42578125" style="1" customWidth="1"/>
    <col min="8" max="8" width="4.28515625" style="1" bestFit="1" customWidth="1"/>
    <col min="9" max="10" width="13.5703125" style="1" bestFit="1" customWidth="1"/>
    <col min="11" max="11" width="14.5703125" style="1" bestFit="1" customWidth="1"/>
    <col min="12" max="12" width="8.85546875" style="1" bestFit="1" customWidth="1"/>
    <col min="13" max="13" width="10" style="1" bestFit="1" customWidth="1"/>
    <col min="14" max="14" width="9.85546875" style="1" bestFit="1" customWidth="1"/>
    <col min="15" max="15" width="9.140625" style="1"/>
    <col min="16" max="18" width="11.85546875" style="1" bestFit="1" customWidth="1"/>
    <col min="19" max="19" width="9.140625" style="1"/>
    <col min="20" max="20" width="11.85546875" style="1" bestFit="1" customWidth="1"/>
    <col min="21" max="16384" width="9.140625" style="1"/>
  </cols>
  <sheetData>
    <row r="2" spans="1:7" x14ac:dyDescent="0.2">
      <c r="B2" s="50" t="s">
        <v>0</v>
      </c>
      <c r="C2" s="51"/>
      <c r="D2" s="51"/>
      <c r="E2" s="51"/>
      <c r="F2" s="51"/>
      <c r="G2" s="51"/>
    </row>
    <row r="3" spans="1:7" x14ac:dyDescent="0.2">
      <c r="B3" s="51" t="s">
        <v>82</v>
      </c>
      <c r="C3" s="51"/>
      <c r="D3" s="51"/>
      <c r="E3" s="51"/>
      <c r="F3" s="51"/>
      <c r="G3" s="51"/>
    </row>
    <row r="4" spans="1:7" x14ac:dyDescent="0.2">
      <c r="B4" s="1"/>
      <c r="C4"/>
      <c r="D4"/>
      <c r="E4"/>
      <c r="F4"/>
      <c r="G4"/>
    </row>
    <row r="5" spans="1:7" ht="15" x14ac:dyDescent="0.25">
      <c r="A5" s="8" t="s">
        <v>4</v>
      </c>
      <c r="B5" s="9" t="s">
        <v>5</v>
      </c>
      <c r="C5" s="9" t="s">
        <v>6</v>
      </c>
      <c r="D5" s="160" t="s">
        <v>7</v>
      </c>
      <c r="E5" s="161"/>
      <c r="F5" s="9" t="s">
        <v>8</v>
      </c>
      <c r="G5" s="10" t="s">
        <v>9</v>
      </c>
    </row>
    <row r="6" spans="1:7" ht="15" x14ac:dyDescent="0.25">
      <c r="A6" s="8"/>
      <c r="B6" s="9" t="s">
        <v>16</v>
      </c>
      <c r="C6" s="9" t="s">
        <v>16</v>
      </c>
      <c r="D6" s="11" t="s">
        <v>10</v>
      </c>
      <c r="E6" s="11" t="s">
        <v>11</v>
      </c>
      <c r="F6" s="9" t="s">
        <v>16</v>
      </c>
      <c r="G6" s="10"/>
    </row>
    <row r="7" spans="1:7" hidden="1" x14ac:dyDescent="0.2">
      <c r="A7" s="3"/>
    </row>
    <row r="8" spans="1:7" hidden="1" x14ac:dyDescent="0.2">
      <c r="A8" s="16" t="s">
        <v>17</v>
      </c>
      <c r="B8" s="12"/>
      <c r="C8" s="12"/>
      <c r="D8" s="12"/>
      <c r="E8" s="13"/>
      <c r="F8" s="12"/>
      <c r="G8" s="14"/>
    </row>
    <row r="9" spans="1:7" hidden="1" x14ac:dyDescent="0.2">
      <c r="A9" s="16" t="s">
        <v>18</v>
      </c>
      <c r="B9" s="12"/>
      <c r="C9" s="12"/>
      <c r="D9" s="12"/>
      <c r="E9" s="13"/>
      <c r="F9" s="12"/>
      <c r="G9" s="14"/>
    </row>
    <row r="10" spans="1:7" hidden="1" x14ac:dyDescent="0.2">
      <c r="A10" s="16" t="s">
        <v>19</v>
      </c>
      <c r="B10" s="12"/>
      <c r="C10" s="12"/>
      <c r="D10" s="12"/>
      <c r="E10" s="13"/>
      <c r="F10" s="12"/>
      <c r="G10" s="14"/>
    </row>
    <row r="11" spans="1:7" hidden="1" x14ac:dyDescent="0.2">
      <c r="A11" s="16" t="s">
        <v>20</v>
      </c>
      <c r="B11" s="12"/>
      <c r="C11" s="12"/>
      <c r="D11" s="12"/>
      <c r="E11" s="13"/>
      <c r="F11" s="12"/>
      <c r="G11" s="14"/>
    </row>
    <row r="12" spans="1:7" hidden="1" x14ac:dyDescent="0.2">
      <c r="A12" s="16" t="s">
        <v>21</v>
      </c>
      <c r="B12" s="12"/>
      <c r="C12" s="12"/>
      <c r="D12" s="12"/>
      <c r="E12" s="13"/>
      <c r="F12" s="12"/>
      <c r="G12" s="14"/>
    </row>
    <row r="13" spans="1:7" hidden="1" x14ac:dyDescent="0.2">
      <c r="A13" s="16" t="s">
        <v>22</v>
      </c>
      <c r="B13" s="12"/>
      <c r="C13" s="12"/>
      <c r="D13" s="12"/>
      <c r="E13" s="13"/>
      <c r="F13" s="12"/>
      <c r="G13" s="14"/>
    </row>
    <row r="14" spans="1:7" hidden="1" x14ac:dyDescent="0.2">
      <c r="A14" s="16" t="s">
        <v>23</v>
      </c>
      <c r="B14" s="12"/>
      <c r="C14" s="12"/>
      <c r="D14" s="12"/>
      <c r="E14" s="13"/>
      <c r="F14" s="12"/>
      <c r="G14" s="14"/>
    </row>
    <row r="15" spans="1:7" hidden="1" x14ac:dyDescent="0.2">
      <c r="A15" s="16" t="s">
        <v>24</v>
      </c>
      <c r="B15" s="12"/>
      <c r="C15" s="12"/>
      <c r="D15" s="12"/>
      <c r="E15" s="13"/>
      <c r="F15" s="12"/>
      <c r="G15" s="14"/>
    </row>
    <row r="16" spans="1:7" hidden="1" x14ac:dyDescent="0.2">
      <c r="A16" s="16" t="s">
        <v>25</v>
      </c>
      <c r="B16" s="12"/>
      <c r="C16" s="12"/>
      <c r="D16" s="12"/>
      <c r="E16" s="13"/>
      <c r="F16" s="12"/>
      <c r="G16" s="14"/>
    </row>
    <row r="17" spans="1:8" hidden="1" x14ac:dyDescent="0.2">
      <c r="A17" s="16" t="s">
        <v>26</v>
      </c>
      <c r="B17" s="12"/>
      <c r="C17" s="12"/>
      <c r="D17" s="12"/>
      <c r="E17" s="13"/>
      <c r="F17" s="12"/>
      <c r="G17" s="14"/>
    </row>
    <row r="18" spans="1:8" hidden="1" x14ac:dyDescent="0.2">
      <c r="A18" s="16" t="s">
        <v>27</v>
      </c>
      <c r="B18" s="12"/>
      <c r="C18" s="12"/>
      <c r="D18" s="12"/>
      <c r="E18" s="13"/>
      <c r="F18" s="12"/>
      <c r="G18" s="14"/>
    </row>
    <row r="19" spans="1:8" hidden="1" x14ac:dyDescent="0.2">
      <c r="A19" s="16" t="s">
        <v>28</v>
      </c>
      <c r="B19" s="12"/>
      <c r="C19" s="12"/>
      <c r="D19" s="12"/>
      <c r="E19" s="13"/>
      <c r="F19" s="12"/>
      <c r="G19" s="14"/>
    </row>
    <row r="20" spans="1:8" ht="20.100000000000001" hidden="1" customHeight="1" outlineLevel="1" x14ac:dyDescent="0.2">
      <c r="A20" s="15">
        <v>29952</v>
      </c>
      <c r="B20" s="4"/>
      <c r="C20" s="4"/>
      <c r="D20" s="4"/>
      <c r="E20" s="5"/>
      <c r="F20" s="4"/>
      <c r="G20" s="4"/>
      <c r="H20" s="6"/>
    </row>
    <row r="21" spans="1:8" hidden="1" outlineLevel="1" x14ac:dyDescent="0.2">
      <c r="A21" s="15">
        <v>29983</v>
      </c>
      <c r="B21" s="4"/>
      <c r="C21" s="4"/>
      <c r="D21" s="4"/>
      <c r="E21" s="5"/>
      <c r="F21" s="4"/>
      <c r="G21" s="4"/>
      <c r="H21" s="6"/>
    </row>
    <row r="22" spans="1:8" hidden="1" outlineLevel="1" x14ac:dyDescent="0.2">
      <c r="A22" s="15">
        <v>30011</v>
      </c>
      <c r="B22" s="4"/>
      <c r="C22" s="4"/>
      <c r="D22" s="4"/>
      <c r="E22" s="5"/>
      <c r="F22" s="4"/>
      <c r="G22" s="4"/>
      <c r="H22" s="6"/>
    </row>
    <row r="23" spans="1:8" hidden="1" outlineLevel="1" x14ac:dyDescent="0.2">
      <c r="A23" s="15">
        <v>30042</v>
      </c>
      <c r="B23" s="4"/>
      <c r="C23" s="4"/>
      <c r="D23" s="4"/>
      <c r="E23" s="5"/>
      <c r="F23" s="4"/>
      <c r="G23" s="4"/>
      <c r="H23" s="6"/>
    </row>
    <row r="24" spans="1:8" hidden="1" outlineLevel="1" x14ac:dyDescent="0.2">
      <c r="A24" s="15">
        <v>30072</v>
      </c>
      <c r="B24" s="4"/>
      <c r="C24" s="4"/>
      <c r="D24" s="4"/>
      <c r="E24" s="5"/>
      <c r="F24" s="4"/>
      <c r="G24" s="4"/>
      <c r="H24" s="6"/>
    </row>
    <row r="25" spans="1:8" hidden="1" outlineLevel="1" x14ac:dyDescent="0.2">
      <c r="A25" s="15">
        <v>30103</v>
      </c>
      <c r="B25" s="4"/>
      <c r="C25" s="4"/>
      <c r="D25" s="4"/>
      <c r="E25" s="5"/>
      <c r="F25" s="4"/>
      <c r="G25" s="4"/>
      <c r="H25" s="6"/>
    </row>
    <row r="26" spans="1:8" hidden="1" outlineLevel="1" x14ac:dyDescent="0.2">
      <c r="A26" s="15">
        <v>30133</v>
      </c>
      <c r="B26" s="4"/>
      <c r="C26" s="4"/>
      <c r="D26" s="4"/>
      <c r="E26" s="5"/>
      <c r="F26" s="4"/>
      <c r="G26" s="4"/>
      <c r="H26" s="6"/>
    </row>
    <row r="27" spans="1:8" hidden="1" outlineLevel="1" x14ac:dyDescent="0.2">
      <c r="A27" s="15">
        <v>30164</v>
      </c>
      <c r="B27" s="4"/>
      <c r="C27" s="4"/>
      <c r="D27" s="4"/>
      <c r="E27" s="5"/>
      <c r="F27" s="4"/>
      <c r="G27" s="4"/>
      <c r="H27" s="6"/>
    </row>
    <row r="28" spans="1:8" hidden="1" outlineLevel="1" x14ac:dyDescent="0.2">
      <c r="A28" s="15">
        <v>30195</v>
      </c>
      <c r="B28" s="4"/>
      <c r="C28" s="4"/>
      <c r="D28" s="4"/>
      <c r="E28" s="5"/>
      <c r="F28" s="4"/>
      <c r="G28" s="4"/>
      <c r="H28" s="6"/>
    </row>
    <row r="29" spans="1:8" hidden="1" outlineLevel="1" x14ac:dyDescent="0.2">
      <c r="A29" s="15">
        <v>30225</v>
      </c>
      <c r="B29" s="4"/>
      <c r="C29" s="4"/>
      <c r="D29" s="4"/>
      <c r="E29" s="5"/>
      <c r="F29" s="4"/>
      <c r="G29" s="4"/>
      <c r="H29" s="6"/>
    </row>
    <row r="30" spans="1:8" hidden="1" outlineLevel="1" x14ac:dyDescent="0.2">
      <c r="A30" s="15">
        <v>30256</v>
      </c>
      <c r="B30" s="4"/>
      <c r="C30" s="4"/>
      <c r="D30" s="4"/>
      <c r="E30" s="5"/>
      <c r="F30" s="4"/>
      <c r="G30" s="4"/>
      <c r="H30" s="6"/>
    </row>
    <row r="31" spans="1:8" hidden="1" outlineLevel="1" x14ac:dyDescent="0.2">
      <c r="A31" s="15">
        <v>30286</v>
      </c>
      <c r="B31" s="4"/>
      <c r="C31" s="4"/>
      <c r="D31" s="4"/>
      <c r="E31" s="5"/>
      <c r="F31" s="4"/>
      <c r="G31" s="4"/>
      <c r="H31" s="6"/>
    </row>
    <row r="32" spans="1:8" hidden="1" collapsed="1" x14ac:dyDescent="0.2">
      <c r="A32" s="16" t="s">
        <v>32</v>
      </c>
      <c r="B32" s="12"/>
      <c r="C32" s="12"/>
      <c r="D32" s="12"/>
      <c r="E32" s="13"/>
      <c r="F32" s="12"/>
      <c r="G32" s="14"/>
    </row>
    <row r="33" spans="1:8" ht="20.100000000000001" hidden="1" customHeight="1" outlineLevel="1" x14ac:dyDescent="0.2">
      <c r="A33" s="15">
        <v>30317</v>
      </c>
      <c r="B33" s="4"/>
      <c r="C33" s="4"/>
      <c r="D33" s="4"/>
      <c r="E33" s="5"/>
      <c r="F33" s="4"/>
      <c r="G33" s="4"/>
      <c r="H33" s="6"/>
    </row>
    <row r="34" spans="1:8" hidden="1" outlineLevel="1" x14ac:dyDescent="0.2">
      <c r="A34" s="15">
        <v>30348</v>
      </c>
      <c r="B34" s="4"/>
      <c r="C34" s="4"/>
      <c r="D34" s="4"/>
      <c r="E34" s="5"/>
      <c r="F34" s="4"/>
      <c r="G34" s="4"/>
      <c r="H34" s="6"/>
    </row>
    <row r="35" spans="1:8" hidden="1" outlineLevel="1" x14ac:dyDescent="0.2">
      <c r="A35" s="15">
        <v>30376</v>
      </c>
      <c r="B35" s="4"/>
      <c r="C35" s="4"/>
      <c r="D35" s="4"/>
      <c r="E35" s="5"/>
      <c r="F35" s="4"/>
      <c r="G35" s="4"/>
      <c r="H35" s="6"/>
    </row>
    <row r="36" spans="1:8" hidden="1" outlineLevel="1" x14ac:dyDescent="0.2">
      <c r="A36" s="15">
        <v>30407</v>
      </c>
      <c r="B36" s="4"/>
      <c r="C36" s="4"/>
      <c r="D36" s="4"/>
      <c r="E36" s="5"/>
      <c r="F36" s="4"/>
      <c r="G36" s="4"/>
      <c r="H36" s="6"/>
    </row>
    <row r="37" spans="1:8" hidden="1" outlineLevel="1" x14ac:dyDescent="0.2">
      <c r="A37" s="15">
        <v>30437</v>
      </c>
      <c r="B37" s="4"/>
      <c r="C37" s="4"/>
      <c r="D37" s="4"/>
      <c r="E37" s="5"/>
      <c r="F37" s="4"/>
      <c r="G37" s="4"/>
      <c r="H37" s="6"/>
    </row>
    <row r="38" spans="1:8" hidden="1" outlineLevel="1" x14ac:dyDescent="0.2">
      <c r="A38" s="15">
        <v>30468</v>
      </c>
      <c r="B38" s="4"/>
      <c r="C38" s="4"/>
      <c r="D38" s="4"/>
      <c r="E38" s="5"/>
      <c r="F38" s="4"/>
      <c r="G38" s="4"/>
      <c r="H38" s="6"/>
    </row>
    <row r="39" spans="1:8" hidden="1" outlineLevel="1" x14ac:dyDescent="0.2">
      <c r="A39" s="15">
        <v>30498</v>
      </c>
      <c r="B39" s="4"/>
      <c r="C39" s="4"/>
      <c r="D39" s="4"/>
      <c r="E39" s="5"/>
      <c r="F39" s="4"/>
      <c r="G39" s="4"/>
      <c r="H39" s="6"/>
    </row>
    <row r="40" spans="1:8" hidden="1" outlineLevel="1" x14ac:dyDescent="0.2">
      <c r="A40" s="15">
        <v>30529</v>
      </c>
      <c r="B40" s="4"/>
      <c r="C40" s="4"/>
      <c r="D40" s="4"/>
      <c r="E40" s="5"/>
      <c r="F40" s="4"/>
      <c r="G40" s="4"/>
      <c r="H40" s="6"/>
    </row>
    <row r="41" spans="1:8" hidden="1" outlineLevel="1" x14ac:dyDescent="0.2">
      <c r="A41" s="15">
        <v>30560</v>
      </c>
      <c r="B41" s="4"/>
      <c r="C41" s="4"/>
      <c r="D41" s="4"/>
      <c r="E41" s="5"/>
      <c r="F41" s="4"/>
      <c r="G41" s="4"/>
      <c r="H41" s="6"/>
    </row>
    <row r="42" spans="1:8" hidden="1" outlineLevel="1" x14ac:dyDescent="0.2">
      <c r="A42" s="15">
        <v>30590</v>
      </c>
      <c r="B42" s="4"/>
      <c r="C42" s="4"/>
      <c r="D42" s="4"/>
      <c r="E42" s="5"/>
      <c r="F42" s="4"/>
      <c r="G42" s="4"/>
      <c r="H42" s="6"/>
    </row>
    <row r="43" spans="1:8" hidden="1" outlineLevel="1" x14ac:dyDescent="0.2">
      <c r="A43" s="15">
        <v>30621</v>
      </c>
      <c r="B43" s="4"/>
      <c r="C43" s="4"/>
      <c r="D43" s="4"/>
      <c r="E43" s="5"/>
      <c r="F43" s="4"/>
      <c r="G43" s="4"/>
      <c r="H43" s="6"/>
    </row>
    <row r="44" spans="1:8" hidden="1" outlineLevel="1" x14ac:dyDescent="0.2">
      <c r="A44" s="15">
        <v>30651</v>
      </c>
      <c r="B44" s="4"/>
      <c r="C44" s="4"/>
      <c r="D44" s="4"/>
      <c r="E44" s="5"/>
      <c r="F44" s="4"/>
      <c r="G44" s="4"/>
      <c r="H44" s="6"/>
    </row>
    <row r="45" spans="1:8" hidden="1" collapsed="1" x14ac:dyDescent="0.2">
      <c r="A45" s="16" t="s">
        <v>33</v>
      </c>
      <c r="B45" s="12"/>
      <c r="C45" s="12"/>
      <c r="D45" s="12"/>
      <c r="E45" s="13"/>
      <c r="F45" s="12"/>
      <c r="G45" s="14"/>
    </row>
    <row r="46" spans="1:8" ht="20.100000000000001" hidden="1" customHeight="1" outlineLevel="1" x14ac:dyDescent="0.2">
      <c r="A46" s="15">
        <v>30682</v>
      </c>
      <c r="B46" s="4"/>
      <c r="C46" s="4"/>
      <c r="D46" s="4"/>
      <c r="E46" s="5"/>
      <c r="F46" s="4"/>
      <c r="G46" s="4"/>
      <c r="H46" s="6"/>
    </row>
    <row r="47" spans="1:8" hidden="1" outlineLevel="1" x14ac:dyDescent="0.2">
      <c r="A47" s="15">
        <v>30713</v>
      </c>
      <c r="B47" s="4"/>
      <c r="C47" s="4"/>
      <c r="D47" s="4"/>
      <c r="E47" s="5"/>
      <c r="F47" s="4"/>
      <c r="G47" s="4"/>
      <c r="H47" s="6"/>
    </row>
    <row r="48" spans="1:8" hidden="1" outlineLevel="1" x14ac:dyDescent="0.2">
      <c r="A48" s="15">
        <v>30742</v>
      </c>
      <c r="B48" s="4"/>
      <c r="C48" s="4"/>
      <c r="D48" s="4"/>
      <c r="E48" s="5"/>
      <c r="F48" s="4"/>
      <c r="G48" s="4"/>
      <c r="H48" s="6"/>
    </row>
    <row r="49" spans="1:8" hidden="1" outlineLevel="1" x14ac:dyDescent="0.2">
      <c r="A49" s="15">
        <v>30773</v>
      </c>
      <c r="B49" s="4"/>
      <c r="C49" s="4"/>
      <c r="D49" s="4"/>
      <c r="E49" s="5"/>
      <c r="F49" s="4"/>
      <c r="G49" s="4"/>
      <c r="H49" s="6"/>
    </row>
    <row r="50" spans="1:8" hidden="1" outlineLevel="1" x14ac:dyDescent="0.2">
      <c r="A50" s="15">
        <v>30803</v>
      </c>
      <c r="B50" s="4"/>
      <c r="C50" s="4"/>
      <c r="D50" s="4"/>
      <c r="E50" s="5"/>
      <c r="F50" s="4"/>
      <c r="G50" s="4"/>
      <c r="H50" s="6"/>
    </row>
    <row r="51" spans="1:8" hidden="1" outlineLevel="1" x14ac:dyDescent="0.2">
      <c r="A51" s="15">
        <v>30834</v>
      </c>
      <c r="B51" s="4"/>
      <c r="C51" s="4"/>
      <c r="D51" s="4"/>
      <c r="E51" s="5"/>
      <c r="F51" s="4"/>
      <c r="G51" s="4"/>
      <c r="H51" s="6"/>
    </row>
    <row r="52" spans="1:8" hidden="1" outlineLevel="1" x14ac:dyDescent="0.2">
      <c r="A52" s="15">
        <v>30864</v>
      </c>
      <c r="B52" s="4"/>
      <c r="C52" s="4"/>
      <c r="D52" s="4"/>
      <c r="E52" s="5"/>
      <c r="F52" s="4"/>
      <c r="G52" s="4"/>
      <c r="H52" s="6"/>
    </row>
    <row r="53" spans="1:8" hidden="1" outlineLevel="1" x14ac:dyDescent="0.2">
      <c r="A53" s="15">
        <v>30895</v>
      </c>
      <c r="B53" s="4"/>
      <c r="C53" s="4"/>
      <c r="D53" s="4"/>
      <c r="E53" s="5"/>
      <c r="F53" s="4"/>
      <c r="G53" s="4"/>
      <c r="H53" s="6"/>
    </row>
    <row r="54" spans="1:8" hidden="1" outlineLevel="1" x14ac:dyDescent="0.2">
      <c r="A54" s="15">
        <v>30926</v>
      </c>
      <c r="B54" s="4"/>
      <c r="C54" s="4"/>
      <c r="D54" s="4"/>
      <c r="E54" s="5"/>
      <c r="F54" s="4"/>
      <c r="G54" s="4"/>
      <c r="H54" s="6"/>
    </row>
    <row r="55" spans="1:8" hidden="1" outlineLevel="1" x14ac:dyDescent="0.2">
      <c r="A55" s="15">
        <v>30956</v>
      </c>
      <c r="B55" s="4"/>
      <c r="C55" s="4"/>
      <c r="D55" s="4"/>
      <c r="E55" s="5"/>
      <c r="F55" s="4"/>
      <c r="G55" s="4"/>
      <c r="H55" s="6"/>
    </row>
    <row r="56" spans="1:8" hidden="1" outlineLevel="1" x14ac:dyDescent="0.2">
      <c r="A56" s="15">
        <v>30987</v>
      </c>
      <c r="B56" s="4"/>
      <c r="C56" s="4"/>
      <c r="D56" s="4"/>
      <c r="E56" s="5"/>
      <c r="F56" s="4"/>
      <c r="G56" s="4"/>
      <c r="H56" s="6"/>
    </row>
    <row r="57" spans="1:8" hidden="1" outlineLevel="1" x14ac:dyDescent="0.2">
      <c r="A57" s="15">
        <v>31017</v>
      </c>
      <c r="B57" s="4"/>
      <c r="C57" s="4"/>
      <c r="D57" s="4"/>
      <c r="E57" s="5"/>
      <c r="F57" s="4"/>
      <c r="G57" s="4"/>
      <c r="H57" s="6"/>
    </row>
    <row r="58" spans="1:8" hidden="1" collapsed="1" x14ac:dyDescent="0.2">
      <c r="A58" s="16" t="s">
        <v>34</v>
      </c>
      <c r="B58" s="12"/>
      <c r="C58" s="12"/>
      <c r="D58" s="12"/>
      <c r="E58" s="13"/>
      <c r="F58" s="12"/>
      <c r="G58" s="14"/>
    </row>
    <row r="59" spans="1:8" ht="20.100000000000001" hidden="1" customHeight="1" outlineLevel="1" x14ac:dyDescent="0.2">
      <c r="A59" s="15">
        <v>31048</v>
      </c>
      <c r="B59" s="4"/>
      <c r="C59" s="4"/>
      <c r="D59" s="4"/>
      <c r="E59" s="5"/>
      <c r="F59" s="4"/>
      <c r="G59" s="4"/>
      <c r="H59" s="6"/>
    </row>
    <row r="60" spans="1:8" hidden="1" outlineLevel="1" x14ac:dyDescent="0.2">
      <c r="A60" s="15">
        <v>31079</v>
      </c>
      <c r="B60" s="4"/>
      <c r="C60" s="4"/>
      <c r="D60" s="4"/>
      <c r="E60" s="5"/>
      <c r="F60" s="4"/>
      <c r="G60" s="4"/>
      <c r="H60" s="6"/>
    </row>
    <row r="61" spans="1:8" hidden="1" outlineLevel="1" x14ac:dyDescent="0.2">
      <c r="A61" s="15">
        <v>31107</v>
      </c>
      <c r="B61" s="4"/>
      <c r="C61" s="4"/>
      <c r="D61" s="4"/>
      <c r="E61" s="5"/>
      <c r="F61" s="4"/>
      <c r="G61" s="4"/>
      <c r="H61" s="6"/>
    </row>
    <row r="62" spans="1:8" hidden="1" outlineLevel="1" x14ac:dyDescent="0.2">
      <c r="A62" s="15">
        <v>31138</v>
      </c>
      <c r="B62" s="4"/>
      <c r="C62" s="4"/>
      <c r="D62" s="4"/>
      <c r="E62" s="5"/>
      <c r="F62" s="4"/>
      <c r="G62" s="4"/>
      <c r="H62" s="6"/>
    </row>
    <row r="63" spans="1:8" hidden="1" outlineLevel="1" x14ac:dyDescent="0.2">
      <c r="A63" s="15">
        <v>31168</v>
      </c>
      <c r="B63" s="4"/>
      <c r="C63" s="4"/>
      <c r="D63" s="4"/>
      <c r="E63" s="5"/>
      <c r="F63" s="4"/>
      <c r="G63" s="4"/>
      <c r="H63" s="6"/>
    </row>
    <row r="64" spans="1:8" hidden="1" outlineLevel="1" x14ac:dyDescent="0.2">
      <c r="A64" s="15">
        <v>31199</v>
      </c>
      <c r="B64" s="4"/>
      <c r="C64" s="4"/>
      <c r="D64" s="4"/>
      <c r="E64" s="5"/>
      <c r="F64" s="4"/>
      <c r="G64" s="4"/>
      <c r="H64" s="6"/>
    </row>
    <row r="65" spans="1:8" hidden="1" outlineLevel="1" x14ac:dyDescent="0.2">
      <c r="A65" s="15">
        <v>31229</v>
      </c>
      <c r="B65" s="4"/>
      <c r="C65" s="4"/>
      <c r="D65" s="4"/>
      <c r="E65" s="5"/>
      <c r="F65" s="4"/>
      <c r="G65" s="4"/>
      <c r="H65" s="6"/>
    </row>
    <row r="66" spans="1:8" hidden="1" outlineLevel="1" x14ac:dyDescent="0.2">
      <c r="A66" s="15">
        <v>31260</v>
      </c>
      <c r="B66" s="4"/>
      <c r="C66" s="4"/>
      <c r="D66" s="4"/>
      <c r="E66" s="5"/>
      <c r="F66" s="4"/>
      <c r="G66" s="4"/>
      <c r="H66" s="6"/>
    </row>
    <row r="67" spans="1:8" hidden="1" outlineLevel="1" x14ac:dyDescent="0.2">
      <c r="A67" s="15">
        <v>31291</v>
      </c>
      <c r="B67" s="4"/>
      <c r="C67" s="4"/>
      <c r="D67" s="4"/>
      <c r="E67" s="5"/>
      <c r="F67" s="4"/>
      <c r="G67" s="4"/>
      <c r="H67" s="6"/>
    </row>
    <row r="68" spans="1:8" hidden="1" outlineLevel="1" x14ac:dyDescent="0.2">
      <c r="A68" s="15">
        <v>31321</v>
      </c>
      <c r="B68" s="4"/>
      <c r="C68" s="4"/>
      <c r="D68" s="4"/>
      <c r="E68" s="5"/>
      <c r="F68" s="4"/>
      <c r="G68" s="4"/>
      <c r="H68" s="6"/>
    </row>
    <row r="69" spans="1:8" hidden="1" outlineLevel="1" x14ac:dyDescent="0.2">
      <c r="A69" s="15">
        <v>31352</v>
      </c>
      <c r="B69" s="4"/>
      <c r="C69" s="4"/>
      <c r="D69" s="4"/>
      <c r="E69" s="5"/>
      <c r="F69" s="4"/>
      <c r="G69" s="4"/>
      <c r="H69" s="6"/>
    </row>
    <row r="70" spans="1:8" hidden="1" outlineLevel="1" x14ac:dyDescent="0.2">
      <c r="A70" s="15">
        <v>31382</v>
      </c>
      <c r="B70" s="4"/>
      <c r="C70" s="4"/>
      <c r="D70" s="4"/>
      <c r="E70" s="5"/>
      <c r="F70" s="4"/>
      <c r="G70" s="4"/>
      <c r="H70" s="6"/>
    </row>
    <row r="71" spans="1:8" hidden="1" collapsed="1" x14ac:dyDescent="0.2">
      <c r="A71" s="16" t="s">
        <v>35</v>
      </c>
      <c r="B71" s="12"/>
      <c r="C71" s="12"/>
      <c r="D71" s="12"/>
      <c r="E71" s="13"/>
      <c r="F71" s="12"/>
      <c r="G71" s="14"/>
    </row>
    <row r="72" spans="1:8" ht="20.100000000000001" hidden="1" customHeight="1" outlineLevel="1" x14ac:dyDescent="0.2">
      <c r="A72" s="15">
        <v>31413</v>
      </c>
      <c r="B72" s="4"/>
      <c r="C72" s="4"/>
      <c r="D72" s="4"/>
      <c r="E72" s="5"/>
      <c r="F72" s="4"/>
      <c r="G72" s="4"/>
      <c r="H72" s="6"/>
    </row>
    <row r="73" spans="1:8" hidden="1" outlineLevel="1" x14ac:dyDescent="0.2">
      <c r="A73" s="15">
        <v>31444</v>
      </c>
      <c r="B73" s="4"/>
      <c r="C73" s="4"/>
      <c r="D73" s="4"/>
      <c r="E73" s="5"/>
      <c r="F73" s="4"/>
      <c r="G73" s="4"/>
      <c r="H73" s="6"/>
    </row>
    <row r="74" spans="1:8" hidden="1" outlineLevel="1" x14ac:dyDescent="0.2">
      <c r="A74" s="15">
        <v>31472</v>
      </c>
      <c r="B74" s="4"/>
      <c r="C74" s="4"/>
      <c r="D74" s="4"/>
      <c r="E74" s="5"/>
      <c r="F74" s="4"/>
      <c r="G74" s="4"/>
      <c r="H74" s="6"/>
    </row>
    <row r="75" spans="1:8" hidden="1" outlineLevel="1" x14ac:dyDescent="0.2">
      <c r="A75" s="15">
        <v>31503</v>
      </c>
      <c r="B75" s="4"/>
      <c r="C75" s="4"/>
      <c r="D75" s="4"/>
      <c r="E75" s="5"/>
      <c r="F75" s="4"/>
      <c r="G75" s="4"/>
      <c r="H75" s="6"/>
    </row>
    <row r="76" spans="1:8" hidden="1" outlineLevel="1" x14ac:dyDescent="0.2">
      <c r="A76" s="15">
        <v>31533</v>
      </c>
      <c r="B76" s="4"/>
      <c r="C76" s="4"/>
      <c r="D76" s="4"/>
      <c r="E76" s="5"/>
      <c r="F76" s="4"/>
      <c r="G76" s="4"/>
      <c r="H76" s="6"/>
    </row>
    <row r="77" spans="1:8" hidden="1" outlineLevel="1" x14ac:dyDescent="0.2">
      <c r="A77" s="15">
        <v>31564</v>
      </c>
      <c r="B77" s="4"/>
      <c r="C77" s="4"/>
      <c r="D77" s="4"/>
      <c r="E77" s="5"/>
      <c r="F77" s="4"/>
      <c r="G77" s="4"/>
      <c r="H77" s="6"/>
    </row>
    <row r="78" spans="1:8" hidden="1" outlineLevel="1" x14ac:dyDescent="0.2">
      <c r="A78" s="15">
        <v>31594</v>
      </c>
      <c r="B78" s="4"/>
      <c r="C78" s="4"/>
      <c r="D78" s="4"/>
      <c r="E78" s="5"/>
      <c r="F78" s="4"/>
      <c r="G78" s="4"/>
      <c r="H78" s="6"/>
    </row>
    <row r="79" spans="1:8" hidden="1" outlineLevel="1" x14ac:dyDescent="0.2">
      <c r="A79" s="15">
        <v>31625</v>
      </c>
      <c r="B79" s="4"/>
      <c r="C79" s="4"/>
      <c r="D79" s="4"/>
      <c r="E79" s="5"/>
      <c r="F79" s="4"/>
      <c r="G79" s="4"/>
      <c r="H79" s="6"/>
    </row>
    <row r="80" spans="1:8" hidden="1" outlineLevel="1" x14ac:dyDescent="0.2">
      <c r="A80" s="15">
        <v>31656</v>
      </c>
      <c r="B80" s="4"/>
      <c r="C80" s="4"/>
      <c r="D80" s="4"/>
      <c r="E80" s="5"/>
      <c r="F80" s="4"/>
      <c r="G80" s="4"/>
      <c r="H80" s="6"/>
    </row>
    <row r="81" spans="1:8" hidden="1" outlineLevel="1" x14ac:dyDescent="0.2">
      <c r="A81" s="15">
        <v>31686</v>
      </c>
      <c r="B81" s="4"/>
      <c r="C81" s="4"/>
      <c r="D81" s="4"/>
      <c r="E81" s="5"/>
      <c r="F81" s="4"/>
      <c r="G81" s="4"/>
      <c r="H81" s="6"/>
    </row>
    <row r="82" spans="1:8" hidden="1" outlineLevel="1" x14ac:dyDescent="0.2">
      <c r="A82" s="15">
        <v>31717</v>
      </c>
      <c r="B82" s="4"/>
      <c r="C82" s="4"/>
      <c r="D82" s="4"/>
      <c r="E82" s="5"/>
      <c r="F82" s="4"/>
      <c r="G82" s="4"/>
      <c r="H82" s="6"/>
    </row>
    <row r="83" spans="1:8" hidden="1" outlineLevel="1" x14ac:dyDescent="0.2">
      <c r="A83" s="15">
        <v>31747</v>
      </c>
      <c r="B83" s="4"/>
      <c r="C83" s="4"/>
      <c r="D83" s="4"/>
      <c r="E83" s="5"/>
      <c r="F83" s="4"/>
      <c r="G83" s="4"/>
      <c r="H83" s="6"/>
    </row>
    <row r="84" spans="1:8" hidden="1" collapsed="1" x14ac:dyDescent="0.2">
      <c r="A84" s="16" t="s">
        <v>38</v>
      </c>
      <c r="B84" s="12"/>
      <c r="C84" s="12"/>
      <c r="D84" s="12"/>
      <c r="E84" s="13"/>
      <c r="F84" s="12"/>
      <c r="G84" s="14"/>
    </row>
    <row r="85" spans="1:8" ht="20.100000000000001" hidden="1" customHeight="1" outlineLevel="1" x14ac:dyDescent="0.2">
      <c r="A85" s="15">
        <v>31778</v>
      </c>
      <c r="B85" s="4"/>
      <c r="C85" s="4"/>
      <c r="D85" s="4"/>
      <c r="E85" s="5"/>
      <c r="F85" s="4"/>
      <c r="G85" s="4"/>
      <c r="H85" s="6"/>
    </row>
    <row r="86" spans="1:8" hidden="1" outlineLevel="1" x14ac:dyDescent="0.2">
      <c r="A86" s="15">
        <v>31809</v>
      </c>
      <c r="B86" s="4"/>
      <c r="C86" s="4"/>
      <c r="D86" s="4"/>
      <c r="E86" s="5"/>
      <c r="F86" s="4"/>
      <c r="G86" s="4"/>
      <c r="H86" s="6"/>
    </row>
    <row r="87" spans="1:8" hidden="1" outlineLevel="1" x14ac:dyDescent="0.2">
      <c r="A87" s="15">
        <v>31837</v>
      </c>
      <c r="B87" s="4"/>
      <c r="C87" s="4"/>
      <c r="D87" s="4"/>
      <c r="E87" s="5"/>
      <c r="F87" s="4"/>
      <c r="G87" s="4"/>
      <c r="H87" s="6"/>
    </row>
    <row r="88" spans="1:8" hidden="1" outlineLevel="1" x14ac:dyDescent="0.2">
      <c r="A88" s="15">
        <v>31868</v>
      </c>
      <c r="B88" s="4"/>
      <c r="C88" s="4"/>
      <c r="D88" s="4"/>
      <c r="E88" s="5"/>
      <c r="F88" s="4"/>
      <c r="G88" s="4"/>
      <c r="H88" s="6"/>
    </row>
    <row r="89" spans="1:8" hidden="1" outlineLevel="1" x14ac:dyDescent="0.2">
      <c r="A89" s="15">
        <v>31898</v>
      </c>
      <c r="B89" s="4"/>
      <c r="C89" s="4"/>
      <c r="D89" s="4"/>
      <c r="E89" s="5"/>
      <c r="F89" s="4"/>
      <c r="G89" s="4"/>
      <c r="H89" s="6"/>
    </row>
    <row r="90" spans="1:8" hidden="1" outlineLevel="1" x14ac:dyDescent="0.2">
      <c r="A90" s="15">
        <v>31929</v>
      </c>
      <c r="B90" s="4"/>
      <c r="C90" s="4"/>
      <c r="D90" s="4"/>
      <c r="E90" s="5"/>
      <c r="F90" s="4"/>
      <c r="G90" s="4"/>
      <c r="H90" s="6"/>
    </row>
    <row r="91" spans="1:8" hidden="1" outlineLevel="1" x14ac:dyDescent="0.2">
      <c r="A91" s="15">
        <v>31959</v>
      </c>
      <c r="B91" s="4"/>
      <c r="C91" s="4"/>
      <c r="D91" s="4"/>
      <c r="E91" s="5"/>
      <c r="F91" s="4"/>
      <c r="G91" s="4"/>
      <c r="H91" s="6"/>
    </row>
    <row r="92" spans="1:8" hidden="1" outlineLevel="1" x14ac:dyDescent="0.2">
      <c r="A92" s="15">
        <v>31990</v>
      </c>
      <c r="B92" s="4"/>
      <c r="C92" s="4"/>
      <c r="D92" s="4"/>
      <c r="E92" s="5"/>
      <c r="F92" s="4"/>
      <c r="G92" s="4"/>
      <c r="H92" s="6"/>
    </row>
    <row r="93" spans="1:8" hidden="1" outlineLevel="1" x14ac:dyDescent="0.2">
      <c r="A93" s="15">
        <v>32021</v>
      </c>
      <c r="B93" s="4"/>
      <c r="C93" s="4"/>
      <c r="D93" s="4"/>
      <c r="E93" s="5"/>
      <c r="F93" s="4"/>
      <c r="G93" s="4"/>
      <c r="H93" s="6"/>
    </row>
    <row r="94" spans="1:8" hidden="1" outlineLevel="1" x14ac:dyDescent="0.2">
      <c r="A94" s="15">
        <v>32051</v>
      </c>
      <c r="B94" s="4"/>
      <c r="C94" s="4"/>
      <c r="D94" s="4"/>
      <c r="E94" s="5"/>
      <c r="F94" s="4"/>
      <c r="G94" s="4"/>
      <c r="H94" s="6"/>
    </row>
    <row r="95" spans="1:8" hidden="1" outlineLevel="1" x14ac:dyDescent="0.2">
      <c r="A95" s="15">
        <v>32082</v>
      </c>
      <c r="B95" s="4"/>
      <c r="C95" s="4"/>
      <c r="D95" s="4"/>
      <c r="E95" s="5"/>
      <c r="F95" s="4"/>
      <c r="G95" s="4"/>
      <c r="H95" s="6"/>
    </row>
    <row r="96" spans="1:8" hidden="1" outlineLevel="1" x14ac:dyDescent="0.2">
      <c r="A96" s="15">
        <v>32112</v>
      </c>
      <c r="B96" s="4"/>
      <c r="C96" s="4"/>
      <c r="D96" s="4"/>
      <c r="E96" s="5"/>
      <c r="F96" s="4"/>
      <c r="G96" s="4"/>
      <c r="H96" s="6"/>
    </row>
    <row r="97" spans="1:8" hidden="1" collapsed="1" x14ac:dyDescent="0.2">
      <c r="A97" s="16" t="s">
        <v>39</v>
      </c>
      <c r="B97" s="12"/>
      <c r="C97" s="12"/>
      <c r="D97" s="12"/>
      <c r="E97" s="13"/>
      <c r="F97" s="12"/>
      <c r="G97" s="14"/>
    </row>
    <row r="98" spans="1:8" ht="20.100000000000001" hidden="1" customHeight="1" outlineLevel="1" x14ac:dyDescent="0.2">
      <c r="A98" s="15">
        <v>32143</v>
      </c>
      <c r="B98" s="4"/>
      <c r="C98" s="4"/>
      <c r="D98" s="4"/>
      <c r="E98" s="5"/>
      <c r="F98" s="4"/>
      <c r="G98" s="4"/>
      <c r="H98" s="6"/>
    </row>
    <row r="99" spans="1:8" hidden="1" outlineLevel="1" x14ac:dyDescent="0.2">
      <c r="A99" s="15">
        <v>32174</v>
      </c>
      <c r="B99" s="4"/>
      <c r="C99" s="4"/>
      <c r="D99" s="4"/>
      <c r="E99" s="5"/>
      <c r="F99" s="4"/>
      <c r="G99" s="4"/>
      <c r="H99" s="6"/>
    </row>
    <row r="100" spans="1:8" hidden="1" outlineLevel="1" x14ac:dyDescent="0.2">
      <c r="A100" s="15">
        <v>32203</v>
      </c>
      <c r="B100" s="4"/>
      <c r="C100" s="4"/>
      <c r="D100" s="4"/>
      <c r="E100" s="5"/>
      <c r="F100" s="4"/>
      <c r="G100" s="4"/>
      <c r="H100" s="6"/>
    </row>
    <row r="101" spans="1:8" hidden="1" outlineLevel="1" x14ac:dyDescent="0.2">
      <c r="A101" s="15">
        <v>32234</v>
      </c>
      <c r="B101" s="4"/>
      <c r="C101" s="4"/>
      <c r="D101" s="4"/>
      <c r="E101" s="5"/>
      <c r="F101" s="4"/>
      <c r="G101" s="4"/>
      <c r="H101" s="6"/>
    </row>
    <row r="102" spans="1:8" hidden="1" outlineLevel="1" x14ac:dyDescent="0.2">
      <c r="A102" s="15">
        <v>32264</v>
      </c>
      <c r="B102" s="4"/>
      <c r="C102" s="4"/>
      <c r="D102" s="4"/>
      <c r="E102" s="5"/>
      <c r="F102" s="4"/>
      <c r="G102" s="4"/>
      <c r="H102" s="6"/>
    </row>
    <row r="103" spans="1:8" hidden="1" outlineLevel="1" x14ac:dyDescent="0.2">
      <c r="A103" s="15">
        <v>32295</v>
      </c>
      <c r="B103" s="4"/>
      <c r="C103" s="4"/>
      <c r="D103" s="4"/>
      <c r="E103" s="5"/>
      <c r="F103" s="4"/>
      <c r="G103" s="4"/>
      <c r="H103" s="6"/>
    </row>
    <row r="104" spans="1:8" hidden="1" outlineLevel="1" x14ac:dyDescent="0.2">
      <c r="A104" s="15">
        <v>32325</v>
      </c>
      <c r="B104" s="4"/>
      <c r="C104" s="4"/>
      <c r="D104" s="4"/>
      <c r="E104" s="5"/>
      <c r="F104" s="4"/>
      <c r="G104" s="4"/>
      <c r="H104" s="6"/>
    </row>
    <row r="105" spans="1:8" hidden="1" outlineLevel="1" x14ac:dyDescent="0.2">
      <c r="A105" s="15">
        <v>32356</v>
      </c>
      <c r="B105" s="4"/>
      <c r="C105" s="4"/>
      <c r="D105" s="4"/>
      <c r="E105" s="5"/>
      <c r="F105" s="4"/>
      <c r="G105" s="4"/>
      <c r="H105" s="6"/>
    </row>
    <row r="106" spans="1:8" hidden="1" outlineLevel="1" x14ac:dyDescent="0.2">
      <c r="A106" s="15">
        <v>32387</v>
      </c>
      <c r="B106" s="4"/>
      <c r="C106" s="4"/>
      <c r="D106" s="4"/>
      <c r="E106" s="5"/>
      <c r="F106" s="4"/>
      <c r="G106" s="4"/>
      <c r="H106" s="6"/>
    </row>
    <row r="107" spans="1:8" hidden="1" outlineLevel="1" x14ac:dyDescent="0.2">
      <c r="A107" s="15">
        <v>32417</v>
      </c>
      <c r="B107" s="4"/>
      <c r="C107" s="4"/>
      <c r="D107" s="4"/>
      <c r="E107" s="5"/>
      <c r="F107" s="4"/>
      <c r="G107" s="4"/>
      <c r="H107" s="6"/>
    </row>
    <row r="108" spans="1:8" hidden="1" outlineLevel="1" x14ac:dyDescent="0.2">
      <c r="A108" s="15">
        <v>32448</v>
      </c>
      <c r="B108" s="4"/>
      <c r="C108" s="4"/>
      <c r="D108" s="4"/>
      <c r="E108" s="5"/>
      <c r="F108" s="4"/>
      <c r="G108" s="4"/>
      <c r="H108" s="6"/>
    </row>
    <row r="109" spans="1:8" hidden="1" outlineLevel="1" x14ac:dyDescent="0.2">
      <c r="A109" s="15">
        <v>32478</v>
      </c>
      <c r="B109" s="4"/>
      <c r="C109" s="4"/>
      <c r="D109" s="4"/>
      <c r="E109" s="5"/>
      <c r="F109" s="4"/>
      <c r="G109" s="4"/>
      <c r="H109" s="6"/>
    </row>
    <row r="110" spans="1:8" hidden="1" collapsed="1" x14ac:dyDescent="0.2">
      <c r="A110" s="16" t="s">
        <v>40</v>
      </c>
      <c r="B110" s="12"/>
      <c r="C110" s="12"/>
      <c r="D110" s="12"/>
      <c r="E110" s="13"/>
      <c r="F110" s="12"/>
      <c r="G110" s="14"/>
    </row>
    <row r="111" spans="1:8" ht="20.100000000000001" hidden="1" customHeight="1" outlineLevel="1" x14ac:dyDescent="0.2">
      <c r="A111" s="15">
        <v>32509</v>
      </c>
      <c r="B111" s="4"/>
      <c r="C111" s="4"/>
      <c r="D111" s="4"/>
      <c r="E111" s="5"/>
      <c r="F111" s="4"/>
      <c r="G111" s="4"/>
      <c r="H111" s="6"/>
    </row>
    <row r="112" spans="1:8" hidden="1" outlineLevel="1" x14ac:dyDescent="0.2">
      <c r="A112" s="15">
        <v>32540</v>
      </c>
      <c r="B112" s="4"/>
      <c r="C112" s="4"/>
      <c r="D112" s="4"/>
      <c r="E112" s="5"/>
      <c r="F112" s="4"/>
      <c r="G112" s="4"/>
      <c r="H112" s="6"/>
    </row>
    <row r="113" spans="1:8" hidden="1" outlineLevel="1" x14ac:dyDescent="0.2">
      <c r="A113" s="15">
        <v>32568</v>
      </c>
      <c r="B113" s="4"/>
      <c r="C113" s="4"/>
      <c r="D113" s="4"/>
      <c r="E113" s="5"/>
      <c r="F113" s="4"/>
      <c r="G113" s="4"/>
      <c r="H113" s="6"/>
    </row>
    <row r="114" spans="1:8" hidden="1" outlineLevel="1" x14ac:dyDescent="0.2">
      <c r="A114" s="15">
        <v>32599</v>
      </c>
      <c r="B114" s="4"/>
      <c r="C114" s="4"/>
      <c r="D114" s="4"/>
      <c r="E114" s="5"/>
      <c r="F114" s="4"/>
      <c r="G114" s="4"/>
      <c r="H114" s="6"/>
    </row>
    <row r="115" spans="1:8" hidden="1" outlineLevel="1" x14ac:dyDescent="0.2">
      <c r="A115" s="15">
        <v>32629</v>
      </c>
      <c r="B115" s="4"/>
      <c r="C115" s="4"/>
      <c r="D115" s="4"/>
      <c r="E115" s="5"/>
      <c r="F115" s="4"/>
      <c r="G115" s="4"/>
      <c r="H115" s="6"/>
    </row>
    <row r="116" spans="1:8" hidden="1" outlineLevel="1" x14ac:dyDescent="0.2">
      <c r="A116" s="15">
        <v>32660</v>
      </c>
      <c r="B116" s="4"/>
      <c r="C116" s="4"/>
      <c r="D116" s="4"/>
      <c r="E116" s="5"/>
      <c r="F116" s="4"/>
      <c r="G116" s="4"/>
      <c r="H116" s="6"/>
    </row>
    <row r="117" spans="1:8" hidden="1" outlineLevel="1" x14ac:dyDescent="0.2">
      <c r="A117" s="15">
        <v>32690</v>
      </c>
      <c r="B117" s="4"/>
      <c r="C117" s="4"/>
      <c r="D117" s="4"/>
      <c r="E117" s="5"/>
      <c r="F117" s="4"/>
      <c r="G117" s="4"/>
      <c r="H117" s="6"/>
    </row>
    <row r="118" spans="1:8" hidden="1" outlineLevel="1" x14ac:dyDescent="0.2">
      <c r="A118" s="15">
        <v>32721</v>
      </c>
      <c r="B118" s="4"/>
      <c r="C118" s="4"/>
      <c r="D118" s="4"/>
      <c r="E118" s="5"/>
      <c r="F118" s="4"/>
      <c r="G118" s="4"/>
      <c r="H118" s="6"/>
    </row>
    <row r="119" spans="1:8" hidden="1" outlineLevel="1" x14ac:dyDescent="0.2">
      <c r="A119" s="15">
        <v>32752</v>
      </c>
      <c r="B119" s="4"/>
      <c r="C119" s="4"/>
      <c r="D119" s="4"/>
      <c r="E119" s="5"/>
      <c r="F119" s="4"/>
      <c r="G119" s="4"/>
      <c r="H119" s="6"/>
    </row>
    <row r="120" spans="1:8" hidden="1" outlineLevel="1" x14ac:dyDescent="0.2">
      <c r="A120" s="15">
        <v>32782</v>
      </c>
      <c r="B120" s="4"/>
      <c r="C120" s="4"/>
      <c r="D120" s="4"/>
      <c r="E120" s="5"/>
      <c r="F120" s="4"/>
      <c r="G120" s="4"/>
      <c r="H120" s="6"/>
    </row>
    <row r="121" spans="1:8" hidden="1" outlineLevel="1" x14ac:dyDescent="0.2">
      <c r="A121" s="15">
        <v>32813</v>
      </c>
      <c r="B121" s="4"/>
      <c r="C121" s="4"/>
      <c r="D121" s="4"/>
      <c r="E121" s="5"/>
      <c r="F121" s="4"/>
      <c r="G121" s="4"/>
      <c r="H121" s="6"/>
    </row>
    <row r="122" spans="1:8" hidden="1" outlineLevel="1" x14ac:dyDescent="0.2">
      <c r="A122" s="15">
        <v>32843</v>
      </c>
      <c r="B122" s="4"/>
      <c r="C122" s="4"/>
      <c r="D122" s="4"/>
      <c r="E122" s="5"/>
      <c r="F122" s="4"/>
      <c r="G122" s="4"/>
      <c r="H122" s="6"/>
    </row>
    <row r="123" spans="1:8" hidden="1" collapsed="1" x14ac:dyDescent="0.2">
      <c r="A123" s="16" t="s">
        <v>43</v>
      </c>
      <c r="B123" s="12"/>
      <c r="C123" s="12"/>
      <c r="D123" s="12"/>
      <c r="E123" s="13"/>
      <c r="F123" s="12"/>
      <c r="G123" s="14"/>
    </row>
    <row r="124" spans="1:8" ht="20.100000000000001" hidden="1" customHeight="1" outlineLevel="1" x14ac:dyDescent="0.2">
      <c r="A124" s="15">
        <v>32874</v>
      </c>
      <c r="B124" s="4"/>
      <c r="C124" s="4"/>
      <c r="D124" s="4"/>
      <c r="E124" s="5"/>
      <c r="F124" s="4"/>
      <c r="G124" s="4"/>
      <c r="H124" s="6"/>
    </row>
    <row r="125" spans="1:8" hidden="1" outlineLevel="1" x14ac:dyDescent="0.2">
      <c r="A125" s="15">
        <v>32905</v>
      </c>
      <c r="B125" s="4"/>
      <c r="C125" s="4"/>
      <c r="D125" s="4"/>
      <c r="E125" s="5"/>
      <c r="F125" s="4"/>
      <c r="G125" s="4"/>
      <c r="H125" s="6"/>
    </row>
    <row r="126" spans="1:8" hidden="1" outlineLevel="1" x14ac:dyDescent="0.2">
      <c r="A126" s="15">
        <v>32933</v>
      </c>
      <c r="B126" s="4"/>
      <c r="C126" s="4"/>
      <c r="D126" s="4"/>
      <c r="E126" s="5"/>
      <c r="F126" s="4"/>
      <c r="G126" s="4"/>
      <c r="H126" s="6"/>
    </row>
    <row r="127" spans="1:8" hidden="1" outlineLevel="1" x14ac:dyDescent="0.2">
      <c r="A127" s="15">
        <v>32964</v>
      </c>
      <c r="B127" s="4"/>
      <c r="C127" s="4"/>
      <c r="D127" s="4"/>
      <c r="E127" s="5"/>
      <c r="F127" s="4"/>
      <c r="G127" s="4"/>
      <c r="H127" s="6"/>
    </row>
    <row r="128" spans="1:8" hidden="1" outlineLevel="1" x14ac:dyDescent="0.2">
      <c r="A128" s="15">
        <v>32994</v>
      </c>
      <c r="B128" s="4"/>
      <c r="C128" s="4"/>
      <c r="D128" s="4"/>
      <c r="E128" s="5"/>
      <c r="F128" s="4"/>
      <c r="G128" s="4"/>
      <c r="H128" s="6"/>
    </row>
    <row r="129" spans="1:8" hidden="1" outlineLevel="1" x14ac:dyDescent="0.2">
      <c r="A129" s="15">
        <v>33025</v>
      </c>
      <c r="B129" s="4"/>
      <c r="C129" s="4"/>
      <c r="D129" s="4"/>
      <c r="E129" s="5"/>
      <c r="F129" s="4"/>
      <c r="G129" s="4"/>
      <c r="H129" s="6"/>
    </row>
    <row r="130" spans="1:8" hidden="1" outlineLevel="1" x14ac:dyDescent="0.2">
      <c r="A130" s="15">
        <v>33055</v>
      </c>
      <c r="B130" s="4"/>
      <c r="C130" s="4"/>
      <c r="D130" s="4"/>
      <c r="E130" s="5"/>
      <c r="F130" s="4"/>
      <c r="G130" s="4"/>
      <c r="H130" s="6"/>
    </row>
    <row r="131" spans="1:8" hidden="1" outlineLevel="1" x14ac:dyDescent="0.2">
      <c r="A131" s="15">
        <v>33086</v>
      </c>
      <c r="B131" s="4"/>
      <c r="C131" s="4"/>
      <c r="D131" s="4"/>
      <c r="E131" s="5"/>
      <c r="F131" s="4"/>
      <c r="G131" s="4"/>
      <c r="H131" s="6"/>
    </row>
    <row r="132" spans="1:8" hidden="1" outlineLevel="1" x14ac:dyDescent="0.2">
      <c r="A132" s="15">
        <v>33117</v>
      </c>
      <c r="B132" s="4"/>
      <c r="C132" s="4"/>
      <c r="D132" s="4"/>
      <c r="E132" s="5"/>
      <c r="F132" s="4"/>
      <c r="G132" s="4"/>
      <c r="H132" s="6"/>
    </row>
    <row r="133" spans="1:8" hidden="1" outlineLevel="1" x14ac:dyDescent="0.2">
      <c r="A133" s="15">
        <v>33147</v>
      </c>
      <c r="B133" s="4"/>
      <c r="C133" s="4"/>
      <c r="D133" s="4"/>
      <c r="E133" s="5"/>
      <c r="F133" s="4"/>
      <c r="G133" s="4"/>
      <c r="H133" s="6"/>
    </row>
    <row r="134" spans="1:8" hidden="1" outlineLevel="1" x14ac:dyDescent="0.2">
      <c r="A134" s="15">
        <v>33178</v>
      </c>
      <c r="B134" s="4"/>
      <c r="C134" s="4"/>
      <c r="D134" s="4"/>
      <c r="E134" s="5"/>
      <c r="F134" s="4"/>
      <c r="G134" s="4"/>
      <c r="H134" s="6"/>
    </row>
    <row r="135" spans="1:8" hidden="1" outlineLevel="1" x14ac:dyDescent="0.2">
      <c r="A135" s="15">
        <v>33208</v>
      </c>
      <c r="B135" s="4"/>
      <c r="C135" s="4"/>
      <c r="D135" s="4"/>
      <c r="E135" s="5"/>
      <c r="F135" s="4"/>
      <c r="G135" s="4"/>
      <c r="H135" s="6"/>
    </row>
    <row r="136" spans="1:8" hidden="1" collapsed="1" x14ac:dyDescent="0.2">
      <c r="A136" s="16" t="s">
        <v>44</v>
      </c>
      <c r="B136" s="12"/>
      <c r="C136" s="12"/>
      <c r="D136" s="12"/>
      <c r="E136" s="13"/>
      <c r="F136" s="12"/>
      <c r="G136" s="14"/>
    </row>
    <row r="137" spans="1:8" ht="20.100000000000001" hidden="1" customHeight="1" outlineLevel="1" x14ac:dyDescent="0.2">
      <c r="A137" s="15">
        <v>33239</v>
      </c>
      <c r="B137" s="4"/>
      <c r="C137" s="4"/>
      <c r="D137" s="4"/>
      <c r="E137" s="5"/>
      <c r="F137" s="4"/>
      <c r="G137" s="4"/>
      <c r="H137" s="6"/>
    </row>
    <row r="138" spans="1:8" hidden="1" outlineLevel="1" x14ac:dyDescent="0.2">
      <c r="A138" s="15">
        <v>33270</v>
      </c>
      <c r="B138" s="4"/>
      <c r="C138" s="4"/>
      <c r="D138" s="4"/>
      <c r="E138" s="5"/>
      <c r="F138" s="4"/>
      <c r="G138" s="4"/>
      <c r="H138" s="6"/>
    </row>
    <row r="139" spans="1:8" hidden="1" outlineLevel="1" x14ac:dyDescent="0.2">
      <c r="A139" s="15">
        <v>33298</v>
      </c>
      <c r="B139" s="4"/>
      <c r="C139" s="4"/>
      <c r="D139" s="4"/>
      <c r="E139" s="5"/>
      <c r="F139" s="4"/>
      <c r="G139" s="4"/>
      <c r="H139" s="6"/>
    </row>
    <row r="140" spans="1:8" hidden="1" outlineLevel="1" x14ac:dyDescent="0.2">
      <c r="A140" s="15">
        <v>33329</v>
      </c>
      <c r="B140" s="4"/>
      <c r="C140" s="4"/>
      <c r="D140" s="4"/>
      <c r="E140" s="5"/>
      <c r="F140" s="4"/>
      <c r="G140" s="4"/>
      <c r="H140" s="6"/>
    </row>
    <row r="141" spans="1:8" hidden="1" outlineLevel="1" x14ac:dyDescent="0.2">
      <c r="A141" s="15">
        <v>33359</v>
      </c>
      <c r="B141" s="4"/>
      <c r="C141" s="4"/>
      <c r="D141" s="4"/>
      <c r="E141" s="5"/>
      <c r="F141" s="4"/>
      <c r="G141" s="4"/>
      <c r="H141" s="6"/>
    </row>
    <row r="142" spans="1:8" hidden="1" outlineLevel="1" x14ac:dyDescent="0.2">
      <c r="A142" s="15">
        <v>33390</v>
      </c>
      <c r="B142" s="4"/>
      <c r="C142" s="4"/>
      <c r="D142" s="4"/>
      <c r="E142" s="5"/>
      <c r="F142" s="4"/>
      <c r="G142" s="4"/>
      <c r="H142" s="6"/>
    </row>
    <row r="143" spans="1:8" hidden="1" outlineLevel="1" x14ac:dyDescent="0.2">
      <c r="A143" s="15">
        <v>33420</v>
      </c>
      <c r="B143" s="4"/>
      <c r="C143" s="4"/>
      <c r="D143" s="4"/>
      <c r="E143" s="5"/>
      <c r="F143" s="4"/>
      <c r="G143" s="4"/>
      <c r="H143" s="6"/>
    </row>
    <row r="144" spans="1:8" hidden="1" outlineLevel="1" x14ac:dyDescent="0.2">
      <c r="A144" s="15">
        <v>33451</v>
      </c>
      <c r="B144" s="4"/>
      <c r="C144" s="4"/>
      <c r="D144" s="4"/>
      <c r="E144" s="5"/>
      <c r="F144" s="4"/>
      <c r="G144" s="4"/>
      <c r="H144" s="6"/>
    </row>
    <row r="145" spans="1:8" hidden="1" outlineLevel="1" x14ac:dyDescent="0.2">
      <c r="A145" s="15">
        <v>33482</v>
      </c>
      <c r="B145" s="4"/>
      <c r="C145" s="4"/>
      <c r="D145" s="4"/>
      <c r="E145" s="5"/>
      <c r="F145" s="4"/>
      <c r="G145" s="4"/>
      <c r="H145" s="6"/>
    </row>
    <row r="146" spans="1:8" hidden="1" outlineLevel="1" x14ac:dyDescent="0.2">
      <c r="A146" s="15">
        <v>33512</v>
      </c>
      <c r="B146" s="4"/>
      <c r="C146" s="4"/>
      <c r="D146" s="4"/>
      <c r="E146" s="5"/>
      <c r="F146" s="4"/>
      <c r="G146" s="4"/>
      <c r="H146" s="6"/>
    </row>
    <row r="147" spans="1:8" hidden="1" outlineLevel="1" x14ac:dyDescent="0.2">
      <c r="A147" s="15">
        <v>33543</v>
      </c>
      <c r="B147" s="4"/>
      <c r="C147" s="4"/>
      <c r="D147" s="4"/>
      <c r="E147" s="5"/>
      <c r="F147" s="4"/>
      <c r="G147" s="4"/>
      <c r="H147" s="6"/>
    </row>
    <row r="148" spans="1:8" hidden="1" outlineLevel="1" x14ac:dyDescent="0.2">
      <c r="A148" s="15">
        <v>33573</v>
      </c>
      <c r="B148" s="4"/>
      <c r="C148" s="4"/>
      <c r="D148" s="4"/>
      <c r="E148" s="5"/>
      <c r="F148" s="4"/>
      <c r="G148" s="4"/>
      <c r="H148" s="6"/>
    </row>
    <row r="149" spans="1:8" hidden="1" collapsed="1" x14ac:dyDescent="0.2">
      <c r="A149" s="16" t="s">
        <v>45</v>
      </c>
      <c r="B149" s="12"/>
      <c r="C149" s="12"/>
      <c r="D149" s="12"/>
      <c r="E149" s="13"/>
      <c r="F149" s="12"/>
      <c r="G149" s="14"/>
    </row>
    <row r="150" spans="1:8" ht="20.100000000000001" hidden="1" customHeight="1" outlineLevel="1" x14ac:dyDescent="0.2">
      <c r="A150" s="15">
        <v>33604</v>
      </c>
      <c r="B150" s="4"/>
      <c r="C150" s="4"/>
      <c r="D150" s="4"/>
      <c r="E150" s="5"/>
      <c r="F150" s="4"/>
      <c r="G150" s="4"/>
    </row>
    <row r="151" spans="1:8" hidden="1" outlineLevel="1" x14ac:dyDescent="0.2">
      <c r="A151" s="15">
        <v>33635</v>
      </c>
      <c r="B151" s="4"/>
      <c r="C151" s="4"/>
      <c r="D151" s="4"/>
      <c r="E151" s="5"/>
      <c r="F151" s="4"/>
      <c r="G151" s="4"/>
    </row>
    <row r="152" spans="1:8" hidden="1" outlineLevel="1" x14ac:dyDescent="0.2">
      <c r="A152" s="15">
        <v>33664</v>
      </c>
      <c r="B152" s="4"/>
      <c r="C152" s="4"/>
      <c r="D152" s="4"/>
      <c r="E152" s="5"/>
      <c r="F152" s="4"/>
      <c r="G152" s="4"/>
    </row>
    <row r="153" spans="1:8" hidden="1" outlineLevel="1" x14ac:dyDescent="0.2">
      <c r="A153" s="15">
        <v>33695</v>
      </c>
      <c r="B153" s="4"/>
      <c r="C153" s="4"/>
      <c r="D153" s="4"/>
      <c r="E153" s="5"/>
      <c r="F153" s="4"/>
      <c r="G153" s="4"/>
    </row>
    <row r="154" spans="1:8" hidden="1" outlineLevel="1" x14ac:dyDescent="0.2">
      <c r="A154" s="15">
        <v>33725</v>
      </c>
      <c r="B154" s="4"/>
      <c r="C154" s="4"/>
      <c r="D154" s="4"/>
      <c r="E154" s="5"/>
      <c r="F154" s="4"/>
      <c r="G154" s="4"/>
    </row>
    <row r="155" spans="1:8" hidden="1" outlineLevel="1" x14ac:dyDescent="0.2">
      <c r="A155" s="15">
        <v>33756</v>
      </c>
      <c r="B155" s="4"/>
      <c r="C155" s="4"/>
      <c r="D155" s="4"/>
      <c r="E155" s="5"/>
      <c r="F155" s="4"/>
      <c r="G155" s="4"/>
    </row>
    <row r="156" spans="1:8" hidden="1" outlineLevel="1" x14ac:dyDescent="0.2">
      <c r="A156" s="15">
        <v>33786</v>
      </c>
      <c r="B156" s="4"/>
      <c r="C156" s="4"/>
      <c r="D156" s="4"/>
      <c r="E156" s="5"/>
      <c r="F156" s="4"/>
      <c r="G156" s="4"/>
    </row>
    <row r="157" spans="1:8" hidden="1" outlineLevel="1" x14ac:dyDescent="0.2">
      <c r="A157" s="15">
        <v>33817</v>
      </c>
      <c r="B157" s="4"/>
      <c r="C157" s="4"/>
      <c r="D157" s="4"/>
      <c r="E157" s="5"/>
      <c r="F157" s="4"/>
      <c r="G157" s="4"/>
    </row>
    <row r="158" spans="1:8" hidden="1" outlineLevel="1" x14ac:dyDescent="0.2">
      <c r="A158" s="15">
        <v>33848</v>
      </c>
      <c r="B158" s="4"/>
      <c r="C158" s="4"/>
      <c r="D158" s="4"/>
      <c r="E158" s="5"/>
      <c r="F158" s="4"/>
      <c r="G158" s="4"/>
    </row>
    <row r="159" spans="1:8" hidden="1" outlineLevel="1" x14ac:dyDescent="0.2">
      <c r="A159" s="15">
        <v>33878</v>
      </c>
      <c r="B159" s="4"/>
      <c r="C159" s="4"/>
      <c r="D159" s="4"/>
      <c r="E159" s="5"/>
      <c r="F159" s="4"/>
      <c r="G159" s="4"/>
    </row>
    <row r="160" spans="1:8" hidden="1" outlineLevel="1" x14ac:dyDescent="0.2">
      <c r="A160" s="15">
        <v>33909</v>
      </c>
      <c r="B160" s="4"/>
      <c r="C160" s="4"/>
      <c r="D160" s="4"/>
      <c r="E160" s="5"/>
      <c r="F160" s="4"/>
      <c r="G160" s="4"/>
    </row>
    <row r="161" spans="1:7" hidden="1" outlineLevel="1" x14ac:dyDescent="0.2">
      <c r="A161" s="15">
        <v>33939</v>
      </c>
      <c r="B161" s="4"/>
      <c r="C161" s="4"/>
      <c r="D161" s="4"/>
      <c r="E161" s="5"/>
      <c r="F161" s="4"/>
      <c r="G161" s="4"/>
    </row>
    <row r="162" spans="1:7" hidden="1" collapsed="1" x14ac:dyDescent="0.2">
      <c r="A162" s="16" t="s">
        <v>46</v>
      </c>
      <c r="B162" s="12"/>
      <c r="C162" s="12"/>
      <c r="D162" s="12"/>
      <c r="E162" s="13"/>
      <c r="F162" s="12"/>
      <c r="G162" s="14"/>
    </row>
    <row r="163" spans="1:7" ht="20.100000000000001" hidden="1" customHeight="1" outlineLevel="1" x14ac:dyDescent="0.2">
      <c r="A163" s="15">
        <v>33970</v>
      </c>
      <c r="B163" s="4"/>
      <c r="C163" s="4"/>
      <c r="D163" s="4"/>
      <c r="E163" s="5"/>
      <c r="F163" s="4"/>
      <c r="G163" s="4"/>
    </row>
    <row r="164" spans="1:7" hidden="1" outlineLevel="1" x14ac:dyDescent="0.2">
      <c r="A164" s="15">
        <v>34001</v>
      </c>
      <c r="B164" s="4"/>
      <c r="C164" s="4"/>
      <c r="D164" s="4"/>
      <c r="E164" s="5"/>
      <c r="F164" s="4"/>
      <c r="G164" s="4"/>
    </row>
    <row r="165" spans="1:7" hidden="1" outlineLevel="1" x14ac:dyDescent="0.2">
      <c r="A165" s="15">
        <v>34029</v>
      </c>
      <c r="B165" s="4"/>
      <c r="C165" s="4"/>
      <c r="D165" s="4"/>
      <c r="E165" s="5"/>
      <c r="F165" s="4"/>
      <c r="G165" s="4"/>
    </row>
    <row r="166" spans="1:7" hidden="1" outlineLevel="1" x14ac:dyDescent="0.2">
      <c r="A166" s="15">
        <v>34060</v>
      </c>
      <c r="B166" s="4"/>
      <c r="C166" s="4"/>
      <c r="D166" s="4"/>
      <c r="E166" s="5"/>
      <c r="F166" s="4"/>
      <c r="G166" s="4"/>
    </row>
    <row r="167" spans="1:7" hidden="1" outlineLevel="1" x14ac:dyDescent="0.2">
      <c r="A167" s="15">
        <v>34090</v>
      </c>
      <c r="B167" s="4"/>
      <c r="C167" s="4"/>
      <c r="D167" s="4"/>
      <c r="E167" s="5"/>
      <c r="F167" s="4"/>
      <c r="G167" s="4"/>
    </row>
    <row r="168" spans="1:7" hidden="1" outlineLevel="1" x14ac:dyDescent="0.2">
      <c r="A168" s="15">
        <v>34121</v>
      </c>
      <c r="B168" s="4"/>
      <c r="C168" s="4"/>
      <c r="D168" s="4"/>
      <c r="E168" s="5"/>
      <c r="F168" s="4"/>
      <c r="G168" s="4"/>
    </row>
    <row r="169" spans="1:7" hidden="1" outlineLevel="1" x14ac:dyDescent="0.2">
      <c r="A169" s="15">
        <v>34151</v>
      </c>
      <c r="B169" s="4"/>
      <c r="C169" s="4"/>
      <c r="D169" s="4"/>
      <c r="E169" s="5"/>
      <c r="F169" s="4"/>
      <c r="G169" s="4"/>
    </row>
    <row r="170" spans="1:7" hidden="1" outlineLevel="1" x14ac:dyDescent="0.2">
      <c r="A170" s="15">
        <v>34182</v>
      </c>
      <c r="B170" s="4"/>
      <c r="C170" s="4"/>
      <c r="D170" s="4"/>
      <c r="E170" s="5"/>
      <c r="F170" s="4"/>
      <c r="G170" s="4"/>
    </row>
    <row r="171" spans="1:7" hidden="1" outlineLevel="1" x14ac:dyDescent="0.2">
      <c r="A171" s="15">
        <v>34213</v>
      </c>
      <c r="B171" s="4"/>
      <c r="C171" s="4"/>
      <c r="D171" s="4"/>
      <c r="E171" s="5"/>
      <c r="F171" s="4"/>
      <c r="G171" s="4"/>
    </row>
    <row r="172" spans="1:7" hidden="1" outlineLevel="1" x14ac:dyDescent="0.2">
      <c r="A172" s="15">
        <v>34243</v>
      </c>
      <c r="B172" s="4"/>
      <c r="C172" s="4"/>
      <c r="D172" s="4"/>
      <c r="E172" s="5"/>
      <c r="F172" s="4"/>
      <c r="G172" s="4"/>
    </row>
    <row r="173" spans="1:7" hidden="1" outlineLevel="1" x14ac:dyDescent="0.2">
      <c r="A173" s="15">
        <v>34274</v>
      </c>
      <c r="B173" s="4"/>
      <c r="C173" s="4"/>
      <c r="D173" s="4"/>
      <c r="E173" s="5"/>
      <c r="F173" s="4"/>
      <c r="G173" s="4"/>
    </row>
    <row r="174" spans="1:7" hidden="1" outlineLevel="1" x14ac:dyDescent="0.2">
      <c r="A174" s="15">
        <v>34304</v>
      </c>
      <c r="B174" s="4"/>
      <c r="C174" s="4"/>
      <c r="D174" s="4"/>
      <c r="E174" s="5"/>
      <c r="F174" s="4"/>
      <c r="G174" s="4"/>
    </row>
    <row r="175" spans="1:7" hidden="1" collapsed="1" x14ac:dyDescent="0.2">
      <c r="A175" s="16" t="s">
        <v>49</v>
      </c>
      <c r="B175" s="12"/>
      <c r="C175" s="12"/>
      <c r="D175" s="12"/>
      <c r="E175" s="13"/>
      <c r="F175" s="12"/>
      <c r="G175" s="14"/>
    </row>
    <row r="176" spans="1:7" ht="20.100000000000001" hidden="1" customHeight="1" outlineLevel="1" x14ac:dyDescent="0.2">
      <c r="A176" s="15">
        <v>34335</v>
      </c>
      <c r="B176" s="4"/>
      <c r="C176" s="4"/>
      <c r="D176" s="4"/>
      <c r="E176" s="5"/>
      <c r="F176" s="4"/>
      <c r="G176" s="4"/>
    </row>
    <row r="177" spans="1:7" hidden="1" outlineLevel="1" x14ac:dyDescent="0.2">
      <c r="A177" s="15">
        <v>34366</v>
      </c>
      <c r="B177" s="4"/>
      <c r="C177" s="4"/>
      <c r="D177" s="4"/>
      <c r="E177" s="5"/>
      <c r="F177" s="4"/>
      <c r="G177" s="4"/>
    </row>
    <row r="178" spans="1:7" hidden="1" outlineLevel="1" x14ac:dyDescent="0.2">
      <c r="A178" s="15">
        <v>34394</v>
      </c>
      <c r="B178" s="4"/>
      <c r="C178" s="4"/>
      <c r="D178" s="4"/>
      <c r="E178" s="5"/>
      <c r="F178" s="4"/>
      <c r="G178" s="4"/>
    </row>
    <row r="179" spans="1:7" hidden="1" outlineLevel="1" x14ac:dyDescent="0.2">
      <c r="A179" s="15">
        <v>34425</v>
      </c>
      <c r="B179" s="4"/>
      <c r="C179" s="4"/>
      <c r="D179" s="4"/>
      <c r="E179" s="5"/>
      <c r="F179" s="4"/>
      <c r="G179" s="4"/>
    </row>
    <row r="180" spans="1:7" hidden="1" outlineLevel="1" x14ac:dyDescent="0.2">
      <c r="A180" s="15">
        <v>34455</v>
      </c>
      <c r="B180" s="4"/>
      <c r="C180" s="4"/>
      <c r="D180" s="4"/>
      <c r="E180" s="5"/>
      <c r="F180" s="4"/>
      <c r="G180" s="4"/>
    </row>
    <row r="181" spans="1:7" hidden="1" outlineLevel="1" x14ac:dyDescent="0.2">
      <c r="A181" s="15">
        <v>34486</v>
      </c>
      <c r="B181" s="4"/>
      <c r="C181" s="4"/>
      <c r="D181" s="4"/>
      <c r="E181" s="5"/>
      <c r="F181" s="4"/>
      <c r="G181" s="4"/>
    </row>
    <row r="182" spans="1:7" hidden="1" outlineLevel="1" x14ac:dyDescent="0.2">
      <c r="A182" s="15">
        <v>34516</v>
      </c>
      <c r="B182" s="4"/>
      <c r="C182" s="4"/>
      <c r="D182" s="4"/>
      <c r="E182" s="5"/>
      <c r="F182" s="4"/>
      <c r="G182" s="4"/>
    </row>
    <row r="183" spans="1:7" hidden="1" outlineLevel="1" x14ac:dyDescent="0.2">
      <c r="A183" s="15">
        <v>34547</v>
      </c>
      <c r="B183" s="4"/>
      <c r="C183" s="4"/>
      <c r="D183" s="4"/>
      <c r="E183" s="5"/>
      <c r="F183" s="4"/>
      <c r="G183" s="4"/>
    </row>
    <row r="184" spans="1:7" hidden="1" outlineLevel="1" x14ac:dyDescent="0.2">
      <c r="A184" s="15">
        <v>34578</v>
      </c>
      <c r="B184" s="4"/>
      <c r="C184" s="4"/>
      <c r="D184" s="4"/>
      <c r="E184" s="5"/>
      <c r="F184" s="4"/>
      <c r="G184" s="4"/>
    </row>
    <row r="185" spans="1:7" hidden="1" outlineLevel="1" x14ac:dyDescent="0.2">
      <c r="A185" s="15">
        <v>34608</v>
      </c>
      <c r="B185" s="4"/>
      <c r="C185" s="4"/>
      <c r="D185" s="4"/>
      <c r="E185" s="5"/>
      <c r="F185" s="4"/>
      <c r="G185" s="4"/>
    </row>
    <row r="186" spans="1:7" hidden="1" outlineLevel="1" x14ac:dyDescent="0.2">
      <c r="A186" s="15">
        <v>34639</v>
      </c>
      <c r="B186" s="4"/>
      <c r="C186" s="4"/>
      <c r="D186" s="4"/>
      <c r="E186" s="5"/>
      <c r="F186" s="4"/>
      <c r="G186" s="4"/>
    </row>
    <row r="187" spans="1:7" hidden="1" outlineLevel="1" x14ac:dyDescent="0.2">
      <c r="A187" s="15">
        <v>34669</v>
      </c>
      <c r="B187" s="4"/>
      <c r="C187" s="4"/>
      <c r="D187" s="4"/>
      <c r="E187" s="5"/>
      <c r="F187" s="4"/>
      <c r="G187" s="4"/>
    </row>
    <row r="188" spans="1:7" hidden="1" collapsed="1" x14ac:dyDescent="0.2">
      <c r="A188" s="16" t="s">
        <v>52</v>
      </c>
      <c r="B188" s="12"/>
      <c r="C188" s="12"/>
      <c r="D188" s="12"/>
      <c r="E188" s="13"/>
      <c r="F188" s="12"/>
      <c r="G188" s="14"/>
    </row>
    <row r="189" spans="1:7" ht="20.100000000000001" hidden="1" customHeight="1" outlineLevel="1" x14ac:dyDescent="0.2">
      <c r="A189" s="15">
        <v>34700</v>
      </c>
      <c r="B189" s="4"/>
      <c r="C189" s="4"/>
      <c r="D189" s="4"/>
      <c r="E189" s="5"/>
      <c r="F189" s="4"/>
      <c r="G189" s="4"/>
    </row>
    <row r="190" spans="1:7" hidden="1" outlineLevel="1" x14ac:dyDescent="0.2">
      <c r="A190" s="15">
        <v>34731</v>
      </c>
      <c r="B190" s="4"/>
      <c r="C190" s="4"/>
      <c r="D190" s="4"/>
      <c r="E190" s="5"/>
      <c r="F190" s="4"/>
      <c r="G190" s="4"/>
    </row>
    <row r="191" spans="1:7" hidden="1" outlineLevel="1" x14ac:dyDescent="0.2">
      <c r="A191" s="15">
        <v>34759</v>
      </c>
      <c r="B191" s="4"/>
      <c r="C191" s="4"/>
      <c r="D191" s="4"/>
      <c r="E191" s="5"/>
      <c r="F191" s="4"/>
      <c r="G191" s="4"/>
    </row>
    <row r="192" spans="1:7" hidden="1" outlineLevel="1" x14ac:dyDescent="0.2">
      <c r="A192" s="15">
        <v>34790</v>
      </c>
      <c r="B192" s="4"/>
      <c r="C192" s="4"/>
      <c r="D192" s="4"/>
      <c r="E192" s="5"/>
      <c r="F192" s="4"/>
      <c r="G192" s="4"/>
    </row>
    <row r="193" spans="1:8" hidden="1" outlineLevel="1" x14ac:dyDescent="0.2">
      <c r="A193" s="15">
        <v>34820</v>
      </c>
      <c r="B193" s="4"/>
      <c r="C193" s="4"/>
      <c r="D193" s="4"/>
      <c r="E193" s="5"/>
      <c r="F193" s="4"/>
      <c r="G193" s="4"/>
    </row>
    <row r="194" spans="1:8" hidden="1" outlineLevel="1" x14ac:dyDescent="0.2">
      <c r="A194" s="15">
        <v>34851</v>
      </c>
      <c r="B194" s="4"/>
      <c r="C194" s="4"/>
      <c r="D194" s="4"/>
      <c r="E194" s="5"/>
      <c r="F194" s="4"/>
      <c r="G194" s="4"/>
    </row>
    <row r="195" spans="1:8" hidden="1" outlineLevel="1" x14ac:dyDescent="0.2">
      <c r="A195" s="15">
        <v>34881</v>
      </c>
      <c r="B195" s="4"/>
      <c r="C195" s="4"/>
      <c r="D195" s="4"/>
      <c r="E195" s="5"/>
      <c r="F195" s="4"/>
      <c r="G195" s="4"/>
    </row>
    <row r="196" spans="1:8" hidden="1" outlineLevel="1" x14ac:dyDescent="0.2">
      <c r="A196" s="15">
        <v>34912</v>
      </c>
      <c r="B196" s="4"/>
      <c r="C196" s="4"/>
      <c r="D196" s="4"/>
      <c r="E196" s="5"/>
      <c r="F196" s="4"/>
      <c r="G196" s="4"/>
    </row>
    <row r="197" spans="1:8" hidden="1" outlineLevel="1" x14ac:dyDescent="0.2">
      <c r="A197" s="15">
        <v>34943</v>
      </c>
      <c r="B197" s="4"/>
      <c r="C197" s="4"/>
      <c r="D197" s="4"/>
      <c r="E197" s="5"/>
      <c r="F197" s="4"/>
      <c r="G197" s="4"/>
    </row>
    <row r="198" spans="1:8" hidden="1" outlineLevel="1" x14ac:dyDescent="0.2">
      <c r="A198" s="15">
        <v>34973</v>
      </c>
      <c r="B198" s="4"/>
      <c r="C198" s="4"/>
      <c r="D198" s="4"/>
      <c r="E198" s="5"/>
      <c r="F198" s="4"/>
      <c r="G198" s="4"/>
    </row>
    <row r="199" spans="1:8" hidden="1" outlineLevel="1" x14ac:dyDescent="0.2">
      <c r="A199" s="15">
        <v>35004</v>
      </c>
      <c r="B199" s="4"/>
      <c r="C199" s="4"/>
      <c r="D199" s="4"/>
      <c r="E199" s="5"/>
      <c r="F199" s="4"/>
      <c r="G199" s="4"/>
    </row>
    <row r="200" spans="1:8" hidden="1" outlineLevel="1" x14ac:dyDescent="0.2">
      <c r="A200" s="15">
        <v>35034</v>
      </c>
      <c r="B200" s="4"/>
      <c r="C200" s="4"/>
      <c r="D200" s="4"/>
      <c r="E200" s="5"/>
      <c r="F200" s="4"/>
      <c r="G200" s="4"/>
    </row>
    <row r="201" spans="1:8" hidden="1" collapsed="1" x14ac:dyDescent="0.2">
      <c r="A201" s="16" t="s">
        <v>53</v>
      </c>
      <c r="B201" s="12"/>
      <c r="C201" s="12"/>
      <c r="D201" s="12"/>
      <c r="E201" s="13"/>
      <c r="F201" s="12"/>
      <c r="G201" s="14"/>
    </row>
    <row r="202" spans="1:8" ht="20.100000000000001" hidden="1" customHeight="1" outlineLevel="1" x14ac:dyDescent="0.2">
      <c r="A202" s="15">
        <v>35065</v>
      </c>
      <c r="B202" s="4"/>
      <c r="C202" s="4"/>
      <c r="D202" s="4"/>
      <c r="E202" s="5"/>
      <c r="F202" s="4"/>
      <c r="G202" s="4"/>
      <c r="H202" s="6"/>
    </row>
    <row r="203" spans="1:8" hidden="1" outlineLevel="1" x14ac:dyDescent="0.2">
      <c r="A203" s="15">
        <v>35096</v>
      </c>
      <c r="B203" s="4"/>
      <c r="C203" s="4"/>
      <c r="D203" s="4"/>
      <c r="E203" s="5"/>
      <c r="F203" s="4"/>
      <c r="G203" s="4"/>
      <c r="H203" s="6"/>
    </row>
    <row r="204" spans="1:8" hidden="1" outlineLevel="1" x14ac:dyDescent="0.2">
      <c r="A204" s="15">
        <v>35125</v>
      </c>
      <c r="B204" s="4"/>
      <c r="C204" s="4"/>
      <c r="D204" s="4"/>
      <c r="E204" s="5"/>
      <c r="F204" s="4"/>
      <c r="G204" s="4"/>
      <c r="H204" s="6"/>
    </row>
    <row r="205" spans="1:8" hidden="1" outlineLevel="1" x14ac:dyDescent="0.2">
      <c r="A205" s="15">
        <v>35156</v>
      </c>
      <c r="B205" s="4"/>
      <c r="C205" s="4"/>
      <c r="D205" s="4"/>
      <c r="E205" s="5"/>
      <c r="F205" s="4"/>
      <c r="G205" s="4"/>
      <c r="H205" s="6"/>
    </row>
    <row r="206" spans="1:8" hidden="1" outlineLevel="1" x14ac:dyDescent="0.2">
      <c r="A206" s="15">
        <v>35186</v>
      </c>
      <c r="B206" s="4"/>
      <c r="C206" s="4"/>
      <c r="D206" s="4"/>
      <c r="E206" s="5"/>
      <c r="F206" s="4"/>
      <c r="G206" s="4"/>
      <c r="H206" s="6"/>
    </row>
    <row r="207" spans="1:8" hidden="1" outlineLevel="1" x14ac:dyDescent="0.2">
      <c r="A207" s="15">
        <v>35217</v>
      </c>
      <c r="B207" s="4"/>
      <c r="C207" s="4"/>
      <c r="D207" s="4"/>
      <c r="E207" s="5"/>
      <c r="F207" s="4"/>
      <c r="G207" s="4"/>
      <c r="H207" s="6"/>
    </row>
    <row r="208" spans="1:8" hidden="1" outlineLevel="1" x14ac:dyDescent="0.2">
      <c r="A208" s="15">
        <v>35247</v>
      </c>
      <c r="B208" s="4"/>
      <c r="C208" s="4"/>
      <c r="D208" s="4"/>
      <c r="E208" s="5"/>
      <c r="F208" s="4"/>
      <c r="G208" s="4"/>
      <c r="H208" s="6"/>
    </row>
    <row r="209" spans="1:8" hidden="1" outlineLevel="1" x14ac:dyDescent="0.2">
      <c r="A209" s="15">
        <v>35278</v>
      </c>
      <c r="B209" s="4"/>
      <c r="C209" s="4"/>
      <c r="D209" s="4"/>
      <c r="E209" s="5"/>
      <c r="F209" s="4"/>
      <c r="G209" s="4"/>
      <c r="H209" s="6"/>
    </row>
    <row r="210" spans="1:8" hidden="1" outlineLevel="1" x14ac:dyDescent="0.2">
      <c r="A210" s="15">
        <v>35309</v>
      </c>
      <c r="B210" s="4"/>
      <c r="C210" s="4"/>
      <c r="D210" s="4"/>
      <c r="E210" s="5"/>
      <c r="F210" s="4"/>
      <c r="G210" s="4"/>
      <c r="H210" s="6"/>
    </row>
    <row r="211" spans="1:8" hidden="1" outlineLevel="1" x14ac:dyDescent="0.2">
      <c r="A211" s="15">
        <v>35339</v>
      </c>
      <c r="B211" s="4"/>
      <c r="C211" s="4"/>
      <c r="D211" s="4"/>
      <c r="E211" s="5"/>
      <c r="F211" s="4"/>
      <c r="G211" s="4"/>
      <c r="H211" s="6"/>
    </row>
    <row r="212" spans="1:8" hidden="1" outlineLevel="1" x14ac:dyDescent="0.2">
      <c r="A212" s="15">
        <v>35370</v>
      </c>
      <c r="B212" s="4"/>
      <c r="C212" s="4"/>
      <c r="D212" s="4"/>
      <c r="E212" s="5"/>
      <c r="F212" s="4"/>
      <c r="G212" s="4"/>
      <c r="H212" s="6"/>
    </row>
    <row r="213" spans="1:8" hidden="1" outlineLevel="1" x14ac:dyDescent="0.2">
      <c r="A213" s="15">
        <v>35400</v>
      </c>
      <c r="B213" s="4"/>
      <c r="C213" s="4"/>
      <c r="D213" s="4"/>
      <c r="E213" s="5"/>
      <c r="F213" s="4"/>
      <c r="G213" s="4"/>
      <c r="H213" s="6"/>
    </row>
    <row r="214" spans="1:8" hidden="1" collapsed="1" x14ac:dyDescent="0.2">
      <c r="A214" s="16" t="s">
        <v>54</v>
      </c>
      <c r="B214" s="12"/>
      <c r="C214" s="12"/>
      <c r="D214" s="12"/>
      <c r="E214" s="13"/>
      <c r="F214" s="12"/>
      <c r="G214" s="14"/>
    </row>
    <row r="215" spans="1:8" ht="20.100000000000001" hidden="1" customHeight="1" outlineLevel="1" x14ac:dyDescent="0.2">
      <c r="A215" s="15">
        <v>35431</v>
      </c>
      <c r="B215" s="4"/>
      <c r="C215" s="4"/>
      <c r="D215" s="4"/>
      <c r="E215" s="5"/>
      <c r="F215" s="4"/>
      <c r="G215" s="4"/>
      <c r="H215" s="6"/>
    </row>
    <row r="216" spans="1:8" hidden="1" outlineLevel="1" x14ac:dyDescent="0.2">
      <c r="A216" s="15">
        <v>35462</v>
      </c>
      <c r="B216" s="4"/>
      <c r="C216" s="4"/>
      <c r="D216" s="4"/>
      <c r="E216" s="5"/>
      <c r="F216" s="4"/>
      <c r="G216" s="4"/>
      <c r="H216" s="6"/>
    </row>
    <row r="217" spans="1:8" hidden="1" outlineLevel="1" x14ac:dyDescent="0.2">
      <c r="A217" s="15">
        <v>35490</v>
      </c>
      <c r="B217" s="4"/>
      <c r="C217" s="4"/>
      <c r="D217" s="4"/>
      <c r="E217" s="5"/>
      <c r="F217" s="4"/>
      <c r="G217" s="4"/>
      <c r="H217" s="6"/>
    </row>
    <row r="218" spans="1:8" hidden="1" outlineLevel="1" x14ac:dyDescent="0.2">
      <c r="A218" s="15">
        <v>35521</v>
      </c>
      <c r="B218" s="4"/>
      <c r="C218" s="4"/>
      <c r="D218" s="4"/>
      <c r="E218" s="5"/>
      <c r="F218" s="4"/>
      <c r="G218" s="4"/>
      <c r="H218" s="6"/>
    </row>
    <row r="219" spans="1:8" hidden="1" outlineLevel="1" x14ac:dyDescent="0.2">
      <c r="A219" s="15">
        <v>35551</v>
      </c>
      <c r="B219" s="4"/>
      <c r="C219" s="4"/>
      <c r="D219" s="4"/>
      <c r="E219" s="5"/>
      <c r="F219" s="4"/>
      <c r="G219" s="4"/>
      <c r="H219" s="6"/>
    </row>
    <row r="220" spans="1:8" hidden="1" outlineLevel="1" x14ac:dyDescent="0.2">
      <c r="A220" s="15">
        <v>35582</v>
      </c>
      <c r="B220" s="4"/>
      <c r="C220" s="4"/>
      <c r="D220" s="4"/>
      <c r="E220" s="5"/>
      <c r="F220" s="4"/>
      <c r="G220" s="4"/>
      <c r="H220" s="6"/>
    </row>
    <row r="221" spans="1:8" hidden="1" outlineLevel="1" x14ac:dyDescent="0.2">
      <c r="A221" s="15">
        <v>35612</v>
      </c>
      <c r="B221" s="4"/>
      <c r="C221" s="4"/>
      <c r="D221" s="4"/>
      <c r="E221" s="5"/>
      <c r="F221" s="4"/>
      <c r="G221" s="4"/>
      <c r="H221" s="6"/>
    </row>
    <row r="222" spans="1:8" hidden="1" outlineLevel="1" x14ac:dyDescent="0.2">
      <c r="A222" s="15">
        <v>35643</v>
      </c>
      <c r="B222" s="4"/>
      <c r="C222" s="4"/>
      <c r="D222" s="4"/>
      <c r="E222" s="5"/>
      <c r="F222" s="4"/>
      <c r="G222" s="4"/>
      <c r="H222" s="6"/>
    </row>
    <row r="223" spans="1:8" hidden="1" outlineLevel="1" x14ac:dyDescent="0.2">
      <c r="A223" s="15">
        <v>35674</v>
      </c>
      <c r="B223" s="4"/>
      <c r="C223" s="4"/>
      <c r="D223" s="4"/>
      <c r="E223" s="5"/>
      <c r="F223" s="4"/>
      <c r="G223" s="4"/>
      <c r="H223" s="6"/>
    </row>
    <row r="224" spans="1:8" hidden="1" outlineLevel="1" x14ac:dyDescent="0.2">
      <c r="A224" s="15">
        <v>35704</v>
      </c>
      <c r="B224" s="4"/>
      <c r="C224" s="4"/>
      <c r="D224" s="4"/>
      <c r="E224" s="5"/>
      <c r="F224" s="4"/>
      <c r="G224" s="4"/>
      <c r="H224" s="6"/>
    </row>
    <row r="225" spans="1:8" hidden="1" outlineLevel="1" x14ac:dyDescent="0.2">
      <c r="A225" s="15">
        <v>35735</v>
      </c>
      <c r="B225" s="4"/>
      <c r="C225" s="4"/>
      <c r="D225" s="4"/>
      <c r="E225" s="5"/>
      <c r="F225" s="4"/>
      <c r="G225" s="4"/>
      <c r="H225" s="6"/>
    </row>
    <row r="226" spans="1:8" hidden="1" outlineLevel="1" x14ac:dyDescent="0.2">
      <c r="A226" s="15">
        <v>35765</v>
      </c>
      <c r="B226" s="4"/>
      <c r="C226" s="4"/>
      <c r="D226" s="4"/>
      <c r="E226" s="5"/>
      <c r="F226" s="4"/>
      <c r="G226" s="4"/>
      <c r="H226" s="6"/>
    </row>
    <row r="227" spans="1:8" hidden="1" collapsed="1" x14ac:dyDescent="0.2">
      <c r="A227" s="16" t="s">
        <v>55</v>
      </c>
      <c r="B227" s="12"/>
      <c r="C227" s="12"/>
      <c r="D227" s="12"/>
      <c r="E227" s="13"/>
      <c r="F227" s="12"/>
      <c r="G227" s="14"/>
    </row>
    <row r="228" spans="1:8" ht="20.100000000000001" hidden="1" customHeight="1" outlineLevel="1" x14ac:dyDescent="0.2">
      <c r="A228" s="15">
        <v>35796</v>
      </c>
      <c r="B228" s="4"/>
      <c r="C228" s="4"/>
      <c r="D228" s="4"/>
      <c r="E228" s="5"/>
      <c r="F228" s="4"/>
      <c r="G228" s="4"/>
      <c r="H228" s="6"/>
    </row>
    <row r="229" spans="1:8" hidden="1" outlineLevel="1" x14ac:dyDescent="0.2">
      <c r="A229" s="15">
        <v>35827</v>
      </c>
      <c r="B229" s="4"/>
      <c r="C229" s="4"/>
      <c r="D229" s="4"/>
      <c r="E229" s="5"/>
      <c r="F229" s="4"/>
      <c r="G229" s="4"/>
      <c r="H229" s="6"/>
    </row>
    <row r="230" spans="1:8" hidden="1" outlineLevel="1" x14ac:dyDescent="0.2">
      <c r="A230" s="15">
        <v>35855</v>
      </c>
      <c r="B230" s="4"/>
      <c r="C230" s="4"/>
      <c r="D230" s="4"/>
      <c r="E230" s="5"/>
      <c r="F230" s="4"/>
      <c r="G230" s="4"/>
      <c r="H230" s="6"/>
    </row>
    <row r="231" spans="1:8" hidden="1" outlineLevel="1" x14ac:dyDescent="0.2">
      <c r="A231" s="15">
        <v>35886</v>
      </c>
      <c r="B231" s="4"/>
      <c r="C231" s="4"/>
      <c r="D231" s="4"/>
      <c r="E231" s="5"/>
      <c r="F231" s="4"/>
      <c r="G231" s="4"/>
      <c r="H231" s="6"/>
    </row>
    <row r="232" spans="1:8" hidden="1" outlineLevel="1" x14ac:dyDescent="0.2">
      <c r="A232" s="15">
        <v>35916</v>
      </c>
      <c r="B232" s="4"/>
      <c r="C232" s="4"/>
      <c r="D232" s="4"/>
      <c r="E232" s="5"/>
      <c r="F232" s="4"/>
      <c r="G232" s="4"/>
      <c r="H232" s="6"/>
    </row>
    <row r="233" spans="1:8" hidden="1" outlineLevel="1" x14ac:dyDescent="0.2">
      <c r="A233" s="15">
        <v>35947</v>
      </c>
      <c r="B233" s="4"/>
      <c r="C233" s="4"/>
      <c r="D233" s="4"/>
      <c r="E233" s="5"/>
      <c r="F233" s="4"/>
      <c r="G233" s="4"/>
      <c r="H233" s="6"/>
    </row>
    <row r="234" spans="1:8" hidden="1" outlineLevel="1" x14ac:dyDescent="0.2">
      <c r="A234" s="15">
        <v>35977</v>
      </c>
      <c r="B234" s="4"/>
      <c r="C234" s="4"/>
      <c r="D234" s="4"/>
      <c r="E234" s="5"/>
      <c r="F234" s="4"/>
      <c r="G234" s="4"/>
      <c r="H234" s="6"/>
    </row>
    <row r="235" spans="1:8" hidden="1" outlineLevel="1" x14ac:dyDescent="0.2">
      <c r="A235" s="15">
        <v>36008</v>
      </c>
      <c r="B235" s="4"/>
      <c r="C235" s="4"/>
      <c r="D235" s="4"/>
      <c r="E235" s="5"/>
      <c r="F235" s="4"/>
      <c r="G235" s="4"/>
      <c r="H235" s="6"/>
    </row>
    <row r="236" spans="1:8" hidden="1" outlineLevel="1" x14ac:dyDescent="0.2">
      <c r="A236" s="15">
        <v>36039</v>
      </c>
      <c r="B236" s="4"/>
      <c r="C236" s="4"/>
      <c r="D236" s="4"/>
      <c r="E236" s="5"/>
      <c r="F236" s="4"/>
      <c r="G236" s="4"/>
      <c r="H236" s="6"/>
    </row>
    <row r="237" spans="1:8" hidden="1" outlineLevel="1" x14ac:dyDescent="0.2">
      <c r="A237" s="15">
        <v>36069</v>
      </c>
      <c r="B237" s="4"/>
      <c r="C237" s="4"/>
      <c r="D237" s="4"/>
      <c r="E237" s="5"/>
      <c r="F237" s="4"/>
      <c r="G237" s="4"/>
      <c r="H237" s="6"/>
    </row>
    <row r="238" spans="1:8" hidden="1" outlineLevel="1" x14ac:dyDescent="0.2">
      <c r="A238" s="15">
        <v>36100</v>
      </c>
      <c r="B238" s="4"/>
      <c r="C238" s="4"/>
      <c r="D238" s="4"/>
      <c r="E238" s="5"/>
      <c r="F238" s="4"/>
      <c r="G238" s="4"/>
      <c r="H238" s="6"/>
    </row>
    <row r="239" spans="1:8" hidden="1" outlineLevel="1" x14ac:dyDescent="0.2">
      <c r="A239" s="15">
        <v>36130</v>
      </c>
      <c r="B239" s="4"/>
      <c r="C239" s="4"/>
      <c r="D239" s="4"/>
      <c r="E239" s="5"/>
      <c r="F239" s="4"/>
      <c r="G239" s="4"/>
      <c r="H239" s="6"/>
    </row>
    <row r="240" spans="1:8" hidden="1" collapsed="1" x14ac:dyDescent="0.2">
      <c r="A240" s="16" t="s">
        <v>56</v>
      </c>
      <c r="B240" s="12"/>
      <c r="C240" s="12"/>
      <c r="D240" s="12"/>
      <c r="E240" s="13"/>
      <c r="F240" s="12"/>
      <c r="G240" s="14"/>
    </row>
    <row r="241" spans="1:8" ht="20.100000000000001" hidden="1" customHeight="1" outlineLevel="1" x14ac:dyDescent="0.2">
      <c r="A241" s="15">
        <v>36161</v>
      </c>
      <c r="B241" s="4"/>
      <c r="C241" s="4"/>
      <c r="D241" s="4"/>
      <c r="E241" s="5"/>
      <c r="F241" s="4"/>
      <c r="G241" s="4"/>
      <c r="H241" s="6"/>
    </row>
    <row r="242" spans="1:8" hidden="1" outlineLevel="1" x14ac:dyDescent="0.2">
      <c r="A242" s="15">
        <v>36192</v>
      </c>
      <c r="B242" s="4"/>
      <c r="C242" s="4"/>
      <c r="D242" s="4"/>
      <c r="E242" s="5"/>
      <c r="F242" s="4"/>
      <c r="G242" s="4"/>
      <c r="H242" s="6"/>
    </row>
    <row r="243" spans="1:8" hidden="1" outlineLevel="1" x14ac:dyDescent="0.2">
      <c r="A243" s="15">
        <v>36220</v>
      </c>
      <c r="B243" s="4"/>
      <c r="C243" s="4"/>
      <c r="D243" s="4"/>
      <c r="E243" s="5"/>
      <c r="F243" s="4"/>
      <c r="G243" s="4"/>
      <c r="H243" s="6"/>
    </row>
    <row r="244" spans="1:8" hidden="1" outlineLevel="1" x14ac:dyDescent="0.2">
      <c r="A244" s="15">
        <v>36251</v>
      </c>
      <c r="B244" s="4"/>
      <c r="C244" s="4"/>
      <c r="D244" s="4"/>
      <c r="E244" s="5"/>
      <c r="F244" s="4"/>
      <c r="G244" s="4"/>
      <c r="H244" s="6"/>
    </row>
    <row r="245" spans="1:8" hidden="1" outlineLevel="1" x14ac:dyDescent="0.2">
      <c r="A245" s="15">
        <v>36281</v>
      </c>
      <c r="B245" s="4"/>
      <c r="C245" s="4"/>
      <c r="D245" s="4"/>
      <c r="E245" s="5"/>
      <c r="F245" s="4"/>
      <c r="G245" s="4"/>
      <c r="H245" s="6"/>
    </row>
    <row r="246" spans="1:8" hidden="1" outlineLevel="1" x14ac:dyDescent="0.2">
      <c r="A246" s="15">
        <v>36312</v>
      </c>
      <c r="B246" s="4"/>
      <c r="C246" s="4"/>
      <c r="D246" s="4"/>
      <c r="E246" s="5"/>
      <c r="F246" s="4"/>
      <c r="G246" s="4"/>
      <c r="H246" s="6"/>
    </row>
    <row r="247" spans="1:8" hidden="1" outlineLevel="1" x14ac:dyDescent="0.2">
      <c r="A247" s="15">
        <v>36342</v>
      </c>
      <c r="B247" s="4"/>
      <c r="C247" s="4"/>
      <c r="D247" s="4"/>
      <c r="E247" s="5"/>
      <c r="F247" s="4"/>
      <c r="G247" s="4"/>
      <c r="H247" s="6"/>
    </row>
    <row r="248" spans="1:8" hidden="1" outlineLevel="1" x14ac:dyDescent="0.2">
      <c r="A248" s="15">
        <v>36373</v>
      </c>
      <c r="B248" s="4"/>
      <c r="C248" s="4"/>
      <c r="D248" s="4"/>
      <c r="E248" s="5"/>
      <c r="F248" s="4"/>
      <c r="G248" s="4"/>
      <c r="H248" s="6"/>
    </row>
    <row r="249" spans="1:8" hidden="1" outlineLevel="1" x14ac:dyDescent="0.2">
      <c r="A249" s="15">
        <v>36404</v>
      </c>
      <c r="B249" s="4"/>
      <c r="C249" s="4"/>
      <c r="D249" s="4"/>
      <c r="E249" s="5"/>
      <c r="F249" s="4"/>
      <c r="G249" s="4"/>
      <c r="H249" s="6"/>
    </row>
    <row r="250" spans="1:8" hidden="1" outlineLevel="1" x14ac:dyDescent="0.2">
      <c r="A250" s="15">
        <v>36434</v>
      </c>
      <c r="B250" s="4"/>
      <c r="C250" s="4"/>
      <c r="D250" s="4"/>
      <c r="E250" s="5"/>
      <c r="F250" s="4"/>
      <c r="G250" s="4"/>
      <c r="H250" s="6"/>
    </row>
    <row r="251" spans="1:8" hidden="1" outlineLevel="1" x14ac:dyDescent="0.2">
      <c r="A251" s="15">
        <v>36465</v>
      </c>
      <c r="B251" s="4"/>
      <c r="C251" s="4"/>
      <c r="D251" s="4"/>
      <c r="E251" s="5"/>
      <c r="F251" s="4"/>
      <c r="G251" s="4"/>
      <c r="H251" s="6"/>
    </row>
    <row r="252" spans="1:8" hidden="1" outlineLevel="1" x14ac:dyDescent="0.2">
      <c r="A252" s="15">
        <v>36495</v>
      </c>
      <c r="B252" s="4"/>
      <c r="C252" s="4"/>
      <c r="D252" s="4"/>
      <c r="E252" s="5"/>
      <c r="F252" s="4"/>
      <c r="G252" s="4"/>
      <c r="H252" s="6"/>
    </row>
    <row r="253" spans="1:8" hidden="1" collapsed="1" x14ac:dyDescent="0.2">
      <c r="A253" s="16" t="s">
        <v>57</v>
      </c>
      <c r="B253" s="12"/>
      <c r="C253" s="12"/>
      <c r="D253" s="12"/>
      <c r="E253" s="13"/>
      <c r="F253" s="12"/>
      <c r="G253" s="14"/>
    </row>
    <row r="254" spans="1:8" ht="20.100000000000001" hidden="1" customHeight="1" outlineLevel="1" x14ac:dyDescent="0.2">
      <c r="A254" s="15">
        <v>36526</v>
      </c>
      <c r="B254" s="4"/>
      <c r="C254" s="4"/>
      <c r="D254" s="4"/>
      <c r="E254" s="5"/>
      <c r="F254" s="4"/>
      <c r="G254" s="4"/>
      <c r="H254" s="6"/>
    </row>
    <row r="255" spans="1:8" hidden="1" outlineLevel="1" x14ac:dyDescent="0.2">
      <c r="A255" s="15">
        <v>36557</v>
      </c>
      <c r="B255" s="4"/>
      <c r="C255" s="4"/>
      <c r="D255" s="4"/>
      <c r="E255" s="5"/>
      <c r="F255" s="4"/>
      <c r="G255" s="4"/>
      <c r="H255" s="6"/>
    </row>
    <row r="256" spans="1:8" hidden="1" outlineLevel="1" x14ac:dyDescent="0.2">
      <c r="A256" s="15">
        <v>36586</v>
      </c>
      <c r="B256" s="4"/>
      <c r="C256" s="4"/>
      <c r="D256" s="4"/>
      <c r="E256" s="5"/>
      <c r="F256" s="4"/>
      <c r="G256" s="4"/>
      <c r="H256" s="6"/>
    </row>
    <row r="257" spans="1:8" hidden="1" outlineLevel="1" x14ac:dyDescent="0.2">
      <c r="A257" s="15">
        <v>36617</v>
      </c>
      <c r="B257" s="4"/>
      <c r="C257" s="4"/>
      <c r="D257" s="4"/>
      <c r="E257" s="5"/>
      <c r="F257" s="4"/>
      <c r="G257" s="4"/>
      <c r="H257" s="6"/>
    </row>
    <row r="258" spans="1:8" hidden="1" outlineLevel="1" x14ac:dyDescent="0.2">
      <c r="A258" s="15">
        <v>36647</v>
      </c>
      <c r="B258" s="4"/>
      <c r="C258" s="4"/>
      <c r="D258" s="4"/>
      <c r="E258" s="5"/>
      <c r="F258" s="4"/>
      <c r="G258" s="4"/>
      <c r="H258" s="6"/>
    </row>
    <row r="259" spans="1:8" hidden="1" outlineLevel="1" x14ac:dyDescent="0.2">
      <c r="A259" s="15">
        <v>36678</v>
      </c>
      <c r="B259" s="4"/>
      <c r="C259" s="4"/>
      <c r="D259" s="4"/>
      <c r="E259" s="5"/>
      <c r="F259" s="4"/>
      <c r="G259" s="4"/>
      <c r="H259" s="6"/>
    </row>
    <row r="260" spans="1:8" hidden="1" outlineLevel="1" x14ac:dyDescent="0.2">
      <c r="A260" s="15">
        <v>36708</v>
      </c>
      <c r="B260" s="4"/>
      <c r="C260" s="4"/>
      <c r="D260" s="4"/>
      <c r="E260" s="5"/>
      <c r="F260" s="4"/>
      <c r="G260" s="4"/>
      <c r="H260" s="6"/>
    </row>
    <row r="261" spans="1:8" hidden="1" outlineLevel="1" x14ac:dyDescent="0.2">
      <c r="A261" s="15">
        <v>36739</v>
      </c>
      <c r="B261" s="4"/>
      <c r="C261" s="4"/>
      <c r="D261" s="4"/>
      <c r="E261" s="5"/>
      <c r="F261" s="4"/>
      <c r="G261" s="4"/>
      <c r="H261" s="6"/>
    </row>
    <row r="262" spans="1:8" hidden="1" outlineLevel="1" x14ac:dyDescent="0.2">
      <c r="A262" s="15">
        <v>36770</v>
      </c>
      <c r="B262" s="4"/>
      <c r="C262" s="4"/>
      <c r="D262" s="4"/>
      <c r="E262" s="5"/>
      <c r="F262" s="4"/>
      <c r="G262" s="4"/>
      <c r="H262" s="6"/>
    </row>
    <row r="263" spans="1:8" hidden="1" outlineLevel="1" x14ac:dyDescent="0.2">
      <c r="A263" s="15">
        <v>36800</v>
      </c>
      <c r="B263" s="4"/>
      <c r="C263" s="4"/>
      <c r="D263" s="4"/>
      <c r="E263" s="5"/>
      <c r="F263" s="4"/>
      <c r="G263" s="4"/>
      <c r="H263" s="6"/>
    </row>
    <row r="264" spans="1:8" hidden="1" outlineLevel="1" x14ac:dyDescent="0.2">
      <c r="A264" s="15">
        <v>36831</v>
      </c>
      <c r="B264" s="4"/>
      <c r="C264" s="4"/>
      <c r="D264" s="4"/>
      <c r="E264" s="5"/>
      <c r="F264" s="4"/>
      <c r="G264" s="4"/>
      <c r="H264" s="6"/>
    </row>
    <row r="265" spans="1:8" hidden="1" outlineLevel="1" x14ac:dyDescent="0.2">
      <c r="A265" s="15">
        <v>36861</v>
      </c>
      <c r="B265" s="4"/>
      <c r="C265" s="4"/>
      <c r="D265" s="4"/>
      <c r="E265" s="5"/>
      <c r="F265" s="4"/>
      <c r="G265" s="4"/>
      <c r="H265" s="6"/>
    </row>
    <row r="266" spans="1:8" hidden="1" collapsed="1" x14ac:dyDescent="0.2">
      <c r="A266" s="16" t="s">
        <v>58</v>
      </c>
      <c r="B266" s="12"/>
      <c r="C266" s="12"/>
      <c r="D266" s="12"/>
      <c r="E266" s="13"/>
      <c r="F266" s="12"/>
      <c r="G266" s="14"/>
    </row>
    <row r="267" spans="1:8" ht="20.100000000000001" hidden="1" customHeight="1" outlineLevel="1" x14ac:dyDescent="0.2">
      <c r="A267" s="15">
        <v>36892</v>
      </c>
      <c r="B267" s="4"/>
      <c r="C267" s="4"/>
      <c r="D267" s="4"/>
      <c r="E267" s="5"/>
      <c r="F267" s="4"/>
      <c r="G267" s="4"/>
    </row>
    <row r="268" spans="1:8" hidden="1" outlineLevel="1" x14ac:dyDescent="0.2">
      <c r="A268" s="15">
        <v>36923</v>
      </c>
      <c r="B268" s="4">
        <v>1807.38</v>
      </c>
      <c r="C268" s="4">
        <v>1886.8630000000001</v>
      </c>
      <c r="D268" s="4">
        <v>-79.483000000000004</v>
      </c>
      <c r="E268" s="5">
        <v>-0.38632631442955978</v>
      </c>
      <c r="F268" s="4">
        <v>126.13999999999925</v>
      </c>
      <c r="G268" s="4">
        <v>20620.715</v>
      </c>
    </row>
    <row r="269" spans="1:8" hidden="1" outlineLevel="1" x14ac:dyDescent="0.2">
      <c r="A269" s="15">
        <v>36951</v>
      </c>
      <c r="B269" s="4">
        <v>2115.4369999999999</v>
      </c>
      <c r="C269" s="4">
        <v>2236.0909999999999</v>
      </c>
      <c r="D269" s="4">
        <v>-120.654</v>
      </c>
      <c r="E269" s="5">
        <f t="shared" ref="E269:E278" si="0">(D269/G268*100)</f>
        <v>-0.58511065207971691</v>
      </c>
      <c r="F269" s="4">
        <f t="shared" ref="F269:F278" si="1">(G269-G268-D269)</f>
        <v>108.99199999999973</v>
      </c>
      <c r="G269" s="4">
        <v>20609.053</v>
      </c>
    </row>
    <row r="270" spans="1:8" hidden="1" outlineLevel="1" x14ac:dyDescent="0.2">
      <c r="A270" s="15">
        <v>36982</v>
      </c>
      <c r="B270" s="4">
        <v>2146.8270000000002</v>
      </c>
      <c r="C270" s="4">
        <v>2120.2200000000003</v>
      </c>
      <c r="D270" s="4">
        <v>26.606999999999999</v>
      </c>
      <c r="E270" s="5">
        <f t="shared" si="0"/>
        <v>0.12910345759215622</v>
      </c>
      <c r="F270" s="4">
        <f t="shared" si="1"/>
        <v>130.23199999999994</v>
      </c>
      <c r="G270" s="4">
        <v>20765.892</v>
      </c>
    </row>
    <row r="271" spans="1:8" hidden="1" outlineLevel="1" x14ac:dyDescent="0.2">
      <c r="A271" s="15">
        <v>37012</v>
      </c>
      <c r="B271" s="4">
        <v>2217.5729999999999</v>
      </c>
      <c r="C271" s="4">
        <v>2269.6120000000001</v>
      </c>
      <c r="D271" s="4">
        <v>-52.039000000000001</v>
      </c>
      <c r="E271" s="5">
        <f t="shared" si="0"/>
        <v>-0.25059843323850478</v>
      </c>
      <c r="F271" s="4">
        <f t="shared" si="1"/>
        <v>131.86800000000153</v>
      </c>
      <c r="G271" s="4">
        <v>20845.721000000001</v>
      </c>
    </row>
    <row r="272" spans="1:8" hidden="1" outlineLevel="1" x14ac:dyDescent="0.2">
      <c r="A272" s="15">
        <v>37043</v>
      </c>
      <c r="B272" s="4">
        <v>1968.578</v>
      </c>
      <c r="C272" s="4">
        <v>2044.3899999999999</v>
      </c>
      <c r="D272" s="4">
        <v>-75.811999999999998</v>
      </c>
      <c r="E272" s="5">
        <f t="shared" si="0"/>
        <v>-0.36368135215855568</v>
      </c>
      <c r="F272" s="4">
        <f t="shared" si="1"/>
        <v>137.88299999999992</v>
      </c>
      <c r="G272" s="4">
        <v>20907.792000000001</v>
      </c>
    </row>
    <row r="273" spans="1:7" hidden="1" outlineLevel="1" x14ac:dyDescent="0.2">
      <c r="A273" s="15">
        <v>37073</v>
      </c>
      <c r="B273" s="4">
        <v>2255.431</v>
      </c>
      <c r="C273" s="4">
        <v>2217.4749999999999</v>
      </c>
      <c r="D273" s="4">
        <v>37.956000000000003</v>
      </c>
      <c r="E273" s="5">
        <f t="shared" si="0"/>
        <v>0.18153997323103271</v>
      </c>
      <c r="F273" s="4">
        <f t="shared" si="1"/>
        <v>131.8660000000001</v>
      </c>
      <c r="G273" s="4">
        <v>21077.614000000001</v>
      </c>
    </row>
    <row r="274" spans="1:7" hidden="1" outlineLevel="1" x14ac:dyDescent="0.2">
      <c r="A274" s="15">
        <v>37104</v>
      </c>
      <c r="B274" s="4">
        <v>2218.0839999999998</v>
      </c>
      <c r="C274" s="4">
        <v>2245.3799999999997</v>
      </c>
      <c r="D274" s="4">
        <v>-27.295999999999999</v>
      </c>
      <c r="E274" s="5">
        <f t="shared" si="0"/>
        <v>-0.12950232412454274</v>
      </c>
      <c r="F274" s="4">
        <f t="shared" si="1"/>
        <v>164.43099999999839</v>
      </c>
      <c r="G274" s="4">
        <v>21214.749</v>
      </c>
    </row>
    <row r="275" spans="1:7" hidden="1" outlineLevel="1" x14ac:dyDescent="0.2">
      <c r="A275" s="15">
        <v>37135</v>
      </c>
      <c r="B275" s="4">
        <v>1948.771</v>
      </c>
      <c r="C275" s="4">
        <v>1984.77</v>
      </c>
      <c r="D275" s="4">
        <v>-35.999000000000002</v>
      </c>
      <c r="E275" s="5">
        <f t="shared" si="0"/>
        <v>-0.16968855016856435</v>
      </c>
      <c r="F275" s="4">
        <f t="shared" si="1"/>
        <v>159.45400000000174</v>
      </c>
      <c r="G275" s="4">
        <v>21338.204000000002</v>
      </c>
    </row>
    <row r="276" spans="1:7" hidden="1" outlineLevel="1" x14ac:dyDescent="0.2">
      <c r="A276" s="15">
        <v>37165</v>
      </c>
      <c r="B276" s="4">
        <v>2117.875</v>
      </c>
      <c r="C276" s="4">
        <v>2328.3829999999998</v>
      </c>
      <c r="D276" s="4">
        <v>-210.50800000000001</v>
      </c>
      <c r="E276" s="5">
        <f t="shared" si="0"/>
        <v>-0.986531012638177</v>
      </c>
      <c r="F276" s="4">
        <f t="shared" si="1"/>
        <v>151.50299999999899</v>
      </c>
      <c r="G276" s="4">
        <v>21279.199000000001</v>
      </c>
    </row>
    <row r="277" spans="1:7" hidden="1" outlineLevel="1" x14ac:dyDescent="0.2">
      <c r="A277" s="15">
        <v>37196</v>
      </c>
      <c r="B277" s="4">
        <v>2076.9659999999999</v>
      </c>
      <c r="C277" s="4">
        <v>2214.0129999999999</v>
      </c>
      <c r="D277" s="4">
        <v>-137.047</v>
      </c>
      <c r="E277" s="5">
        <f t="shared" si="0"/>
        <v>-0.64404209951699776</v>
      </c>
      <c r="F277" s="4">
        <f t="shared" si="1"/>
        <v>151.38099999999892</v>
      </c>
      <c r="G277" s="4">
        <v>21293.532999999999</v>
      </c>
    </row>
    <row r="278" spans="1:7" hidden="1" outlineLevel="1" x14ac:dyDescent="0.2">
      <c r="A278" s="15">
        <v>37226</v>
      </c>
      <c r="B278" s="4">
        <v>2450.2350000000001</v>
      </c>
      <c r="C278" s="4">
        <v>2335.3850000000002</v>
      </c>
      <c r="D278" s="4">
        <v>114.85</v>
      </c>
      <c r="E278" s="5">
        <f t="shared" si="0"/>
        <v>0.53936563744494626</v>
      </c>
      <c r="F278" s="4">
        <f t="shared" si="1"/>
        <v>144.21500000000233</v>
      </c>
      <c r="G278" s="4">
        <v>21552.598000000002</v>
      </c>
    </row>
    <row r="279" spans="1:7" hidden="1" collapsed="1" x14ac:dyDescent="0.2">
      <c r="A279" s="16" t="s">
        <v>59</v>
      </c>
      <c r="B279" s="12">
        <f>SUM(B267:B278)</f>
        <v>23323.157000000003</v>
      </c>
      <c r="C279" s="12">
        <f>SUM(C267:C278)</f>
        <v>23882.582000000002</v>
      </c>
      <c r="D279" s="146">
        <f>SUM(D267:D278)</f>
        <v>-559.42500000000007</v>
      </c>
      <c r="E279" s="147">
        <f>(D279/G268*100)</f>
        <v>-2.7129272675559508</v>
      </c>
      <c r="F279" s="12">
        <f>SUM(F267:F278)</f>
        <v>1537.9650000000011</v>
      </c>
      <c r="G279" s="14">
        <f>G278</f>
        <v>21552.598000000002</v>
      </c>
    </row>
    <row r="280" spans="1:7" ht="20.100000000000001" hidden="1" customHeight="1" outlineLevel="1" x14ac:dyDescent="0.2">
      <c r="A280" s="15">
        <v>37257</v>
      </c>
      <c r="B280" s="4">
        <v>2537.7710000000002</v>
      </c>
      <c r="C280" s="4">
        <v>2403.1660000000002</v>
      </c>
      <c r="D280" s="4">
        <v>134.60499999999999</v>
      </c>
      <c r="E280" s="92">
        <f t="shared" ref="E280:E291" si="2">D280/G279*100</f>
        <v>0.6245418765756221</v>
      </c>
      <c r="F280" s="4">
        <f>(G280-G278-D280)</f>
        <v>148.67599999999905</v>
      </c>
      <c r="G280" s="4">
        <v>21835.879000000001</v>
      </c>
    </row>
    <row r="281" spans="1:7" hidden="1" outlineLevel="1" x14ac:dyDescent="0.2">
      <c r="A281" s="15">
        <v>37288</v>
      </c>
      <c r="B281" s="4">
        <v>2041.6590000000001</v>
      </c>
      <c r="C281" s="4">
        <v>2146.7640000000001</v>
      </c>
      <c r="D281" s="4">
        <v>-105.105</v>
      </c>
      <c r="E281" s="92">
        <f t="shared" si="2"/>
        <v>-0.48134082442937143</v>
      </c>
      <c r="F281" s="4">
        <f t="shared" ref="F281:F291" si="3">(G281-G280-D281)</f>
        <v>154.30300000000034</v>
      </c>
      <c r="G281" s="4">
        <v>21885.077000000001</v>
      </c>
    </row>
    <row r="282" spans="1:7" hidden="1" outlineLevel="1" x14ac:dyDescent="0.2">
      <c r="A282" s="15">
        <v>37316</v>
      </c>
      <c r="B282" s="4">
        <v>2087.8420000000001</v>
      </c>
      <c r="C282" s="4">
        <v>2193.0410000000002</v>
      </c>
      <c r="D282" s="4">
        <v>-105.199</v>
      </c>
      <c r="E282" s="92">
        <f t="shared" si="2"/>
        <v>-0.48068827904969214</v>
      </c>
      <c r="F282" s="4">
        <f t="shared" si="3"/>
        <v>139.65199999999771</v>
      </c>
      <c r="G282" s="4">
        <v>21919.53</v>
      </c>
    </row>
    <row r="283" spans="1:7" hidden="1" outlineLevel="1" x14ac:dyDescent="0.2">
      <c r="A283" s="15">
        <v>37347</v>
      </c>
      <c r="B283" s="4">
        <v>2266.7710000000002</v>
      </c>
      <c r="C283" s="4">
        <v>2430.7720000000004</v>
      </c>
      <c r="D283" s="4">
        <v>-164.001</v>
      </c>
      <c r="E283" s="92">
        <f t="shared" si="2"/>
        <v>-0.74819578704470402</v>
      </c>
      <c r="F283" s="4">
        <f t="shared" si="3"/>
        <v>151.7290000000028</v>
      </c>
      <c r="G283" s="4">
        <v>21907.258000000002</v>
      </c>
    </row>
    <row r="284" spans="1:7" hidden="1" outlineLevel="1" x14ac:dyDescent="0.2">
      <c r="A284" s="15">
        <v>37377</v>
      </c>
      <c r="B284" s="4">
        <v>2161.1469999999999</v>
      </c>
      <c r="C284" s="4">
        <v>2283.4589999999998</v>
      </c>
      <c r="D284" s="4">
        <v>-122.312</v>
      </c>
      <c r="E284" s="92">
        <f t="shared" si="2"/>
        <v>-0.55831724810106309</v>
      </c>
      <c r="F284" s="4">
        <f t="shared" si="3"/>
        <v>145.52099999999893</v>
      </c>
      <c r="G284" s="4">
        <v>21930.467000000001</v>
      </c>
    </row>
    <row r="285" spans="1:7" hidden="1" outlineLevel="1" x14ac:dyDescent="0.2">
      <c r="A285" s="15">
        <v>37408</v>
      </c>
      <c r="B285" s="4">
        <v>2920.4569999999999</v>
      </c>
      <c r="C285" s="4">
        <v>2034.7639999999999</v>
      </c>
      <c r="D285" s="4">
        <v>885.69299999999998</v>
      </c>
      <c r="E285" s="92">
        <f t="shared" si="2"/>
        <v>4.0386417671817023</v>
      </c>
      <c r="F285" s="4">
        <f t="shared" si="3"/>
        <v>134.96199999999885</v>
      </c>
      <c r="G285" s="4">
        <v>22951.121999999999</v>
      </c>
    </row>
    <row r="286" spans="1:7" hidden="1" outlineLevel="1" x14ac:dyDescent="0.2">
      <c r="A286" s="15">
        <v>37438</v>
      </c>
      <c r="B286" s="4">
        <v>4094.4380000000001</v>
      </c>
      <c r="C286" s="4">
        <v>2511.0349999999999</v>
      </c>
      <c r="D286" s="4">
        <v>1583.403</v>
      </c>
      <c r="E286" s="92">
        <f t="shared" si="2"/>
        <v>6.8990221915948169</v>
      </c>
      <c r="F286" s="4">
        <f t="shared" si="3"/>
        <v>158.88900000000126</v>
      </c>
      <c r="G286" s="4">
        <v>24693.414000000001</v>
      </c>
    </row>
    <row r="287" spans="1:7" hidden="1" outlineLevel="1" x14ac:dyDescent="0.2">
      <c r="A287" s="15">
        <v>37469</v>
      </c>
      <c r="B287" s="4">
        <v>3992.6759999999999</v>
      </c>
      <c r="C287" s="4">
        <v>2603.502</v>
      </c>
      <c r="D287" s="4">
        <v>1389.174</v>
      </c>
      <c r="E287" s="92">
        <f t="shared" si="2"/>
        <v>5.62568626598169</v>
      </c>
      <c r="F287" s="4">
        <f t="shared" si="3"/>
        <v>175.58499999999822</v>
      </c>
      <c r="G287" s="4">
        <v>26258.172999999999</v>
      </c>
    </row>
    <row r="288" spans="1:7" hidden="1" outlineLevel="1" x14ac:dyDescent="0.2">
      <c r="A288" s="15">
        <v>37500</v>
      </c>
      <c r="B288" s="4">
        <v>2921.2249999999999</v>
      </c>
      <c r="C288" s="4">
        <v>2782.9259999999999</v>
      </c>
      <c r="D288" s="4">
        <v>138.29900000000001</v>
      </c>
      <c r="E288" s="92">
        <f t="shared" si="2"/>
        <v>0.52668934735101336</v>
      </c>
      <c r="F288" s="4">
        <f t="shared" si="3"/>
        <v>187.84000000000285</v>
      </c>
      <c r="G288" s="4">
        <v>26584.312000000002</v>
      </c>
    </row>
    <row r="289" spans="1:7" hidden="1" outlineLevel="1" x14ac:dyDescent="0.2">
      <c r="A289" s="15">
        <v>37530</v>
      </c>
      <c r="B289" s="4">
        <v>3329.06</v>
      </c>
      <c r="C289" s="4">
        <v>3139.2649999999999</v>
      </c>
      <c r="D289" s="4">
        <v>189.79499999999999</v>
      </c>
      <c r="E289" s="92">
        <f t="shared" si="2"/>
        <v>0.71393609885409093</v>
      </c>
      <c r="F289" s="4">
        <f t="shared" si="3"/>
        <v>182.6439999999985</v>
      </c>
      <c r="G289" s="4">
        <v>26956.751</v>
      </c>
    </row>
    <row r="290" spans="1:7" hidden="1" outlineLevel="1" x14ac:dyDescent="0.2">
      <c r="A290" s="15">
        <v>37561</v>
      </c>
      <c r="B290" s="4">
        <v>2910.7689999999998</v>
      </c>
      <c r="C290" s="4">
        <v>3059.5589999999997</v>
      </c>
      <c r="D290" s="4">
        <v>-148.79</v>
      </c>
      <c r="E290" s="92">
        <f t="shared" si="2"/>
        <v>-0.55195820891026515</v>
      </c>
      <c r="F290" s="4">
        <f t="shared" si="3"/>
        <v>202.94299999999842</v>
      </c>
      <c r="G290" s="4">
        <v>27010.903999999999</v>
      </c>
    </row>
    <row r="291" spans="1:7" hidden="1" outlineLevel="1" x14ac:dyDescent="0.2">
      <c r="A291" s="15">
        <v>37591</v>
      </c>
      <c r="B291" s="4">
        <v>3566.4679999999998</v>
      </c>
      <c r="C291" s="4">
        <v>3568.556</v>
      </c>
      <c r="D291" s="4">
        <v>-2.0880000000000001</v>
      </c>
      <c r="E291" s="92">
        <f t="shared" si="2"/>
        <v>-7.7302114731147105E-3</v>
      </c>
      <c r="F291" s="4">
        <f t="shared" si="3"/>
        <v>210.25200000000066</v>
      </c>
      <c r="G291" s="4">
        <v>27219.067999999999</v>
      </c>
    </row>
    <row r="292" spans="1:7" hidden="1" collapsed="1" x14ac:dyDescent="0.2">
      <c r="A292" s="16" t="s">
        <v>60</v>
      </c>
      <c r="B292" s="12">
        <f>SUM(B280:B291)</f>
        <v>34830.283000000003</v>
      </c>
      <c r="C292" s="12">
        <f>SUM(C280:C291)</f>
        <v>31156.809000000001</v>
      </c>
      <c r="D292" s="12">
        <f>SUM(D280:D291)</f>
        <v>3673.4739999999997</v>
      </c>
      <c r="E292" s="91">
        <f>(D292/G279*100)</f>
        <v>17.044228264267719</v>
      </c>
      <c r="F292" s="12">
        <f>SUM(F280:F291)</f>
        <v>1992.9959999999976</v>
      </c>
      <c r="G292" s="14">
        <f>G291</f>
        <v>27219.067999999999</v>
      </c>
    </row>
    <row r="293" spans="1:7" ht="20.100000000000001" hidden="1" customHeight="1" outlineLevel="1" x14ac:dyDescent="0.2">
      <c r="A293" s="15">
        <v>37622</v>
      </c>
      <c r="B293" s="4">
        <v>3236.8490000000002</v>
      </c>
      <c r="C293" s="4">
        <v>3253.4760000000001</v>
      </c>
      <c r="D293" s="4">
        <v>-16.626999999999999</v>
      </c>
      <c r="E293" s="92">
        <f t="shared" ref="E293:E304" si="4">D293/G292*100</f>
        <v>-6.1085853490648538E-2</v>
      </c>
      <c r="F293" s="4">
        <f>(G293-G291-D293)</f>
        <v>230.90799999999905</v>
      </c>
      <c r="G293" s="4">
        <v>27433.348999999998</v>
      </c>
    </row>
    <row r="294" spans="1:7" hidden="1" outlineLevel="1" x14ac:dyDescent="0.2">
      <c r="A294" s="15">
        <v>37653</v>
      </c>
      <c r="B294" s="4">
        <v>2710.0160000000001</v>
      </c>
      <c r="C294" s="4">
        <v>3156.4870000000001</v>
      </c>
      <c r="D294" s="4">
        <v>-446.471</v>
      </c>
      <c r="E294" s="92">
        <f t="shared" si="4"/>
        <v>-1.6274753767759089</v>
      </c>
      <c r="F294" s="4">
        <f t="shared" ref="F294:F304" si="5">(G294-G293-D294)</f>
        <v>265.57200000000239</v>
      </c>
      <c r="G294" s="4">
        <v>27252.45</v>
      </c>
    </row>
    <row r="295" spans="1:7" hidden="1" outlineLevel="1" x14ac:dyDescent="0.2">
      <c r="A295" s="15">
        <v>37681</v>
      </c>
      <c r="B295" s="4">
        <v>2547.6660000000002</v>
      </c>
      <c r="C295" s="4">
        <v>2957.79</v>
      </c>
      <c r="D295" s="4">
        <v>-410.12400000000002</v>
      </c>
      <c r="E295" s="92">
        <f t="shared" si="4"/>
        <v>-1.5049068982788703</v>
      </c>
      <c r="F295" s="4">
        <f t="shared" si="5"/>
        <v>233.02200000000107</v>
      </c>
      <c r="G295" s="4">
        <v>27075.348000000002</v>
      </c>
    </row>
    <row r="296" spans="1:7" hidden="1" outlineLevel="1" x14ac:dyDescent="0.2">
      <c r="A296" s="15">
        <v>37712</v>
      </c>
      <c r="B296" s="4">
        <v>2684.8180000000002</v>
      </c>
      <c r="C296" s="4">
        <v>3082.6090000000004</v>
      </c>
      <c r="D296" s="4">
        <v>-397.791</v>
      </c>
      <c r="E296" s="92">
        <f t="shared" si="4"/>
        <v>-1.4691999526654282</v>
      </c>
      <c r="F296" s="4">
        <f t="shared" si="5"/>
        <v>266.39799999999997</v>
      </c>
      <c r="G296" s="4">
        <v>26943.955000000002</v>
      </c>
    </row>
    <row r="297" spans="1:7" hidden="1" outlineLevel="1" x14ac:dyDescent="0.2">
      <c r="A297" s="15">
        <v>37742</v>
      </c>
      <c r="B297" s="4">
        <v>2749.67</v>
      </c>
      <c r="C297" s="4">
        <v>3155.2</v>
      </c>
      <c r="D297" s="4">
        <v>-405.53</v>
      </c>
      <c r="E297" s="92">
        <f t="shared" si="4"/>
        <v>-1.5050871336446336</v>
      </c>
      <c r="F297" s="4">
        <f t="shared" si="5"/>
        <v>239.07999999999925</v>
      </c>
      <c r="G297" s="4">
        <v>26777.505000000001</v>
      </c>
    </row>
    <row r="298" spans="1:7" hidden="1" outlineLevel="1" x14ac:dyDescent="0.2">
      <c r="A298" s="15">
        <v>37773</v>
      </c>
      <c r="B298" s="4">
        <v>2705.0990000000002</v>
      </c>
      <c r="C298" s="4">
        <v>3051.0120000000002</v>
      </c>
      <c r="D298" s="4">
        <v>-345.91300000000001</v>
      </c>
      <c r="E298" s="92">
        <f t="shared" si="4"/>
        <v>-1.2918044455598086</v>
      </c>
      <c r="F298" s="4">
        <f t="shared" si="5"/>
        <v>260.01499999999896</v>
      </c>
      <c r="G298" s="4">
        <v>26691.607</v>
      </c>
    </row>
    <row r="299" spans="1:7" hidden="1" outlineLevel="1" x14ac:dyDescent="0.2">
      <c r="A299" s="15">
        <v>37803</v>
      </c>
      <c r="B299" s="4">
        <v>2966.5749999999998</v>
      </c>
      <c r="C299" s="4">
        <v>3159.4249999999997</v>
      </c>
      <c r="D299" s="4">
        <v>-192.85</v>
      </c>
      <c r="E299" s="92">
        <f t="shared" si="4"/>
        <v>-0.72251176184333898</v>
      </c>
      <c r="F299" s="4">
        <f t="shared" si="5"/>
        <v>245.2260000000002</v>
      </c>
      <c r="G299" s="4">
        <v>26743.983</v>
      </c>
    </row>
    <row r="300" spans="1:7" hidden="1" outlineLevel="1" x14ac:dyDescent="0.2">
      <c r="A300" s="15">
        <v>37834</v>
      </c>
      <c r="B300" s="4">
        <v>2711.1770000000001</v>
      </c>
      <c r="C300" s="4">
        <v>2875.4650000000001</v>
      </c>
      <c r="D300" s="4">
        <v>-164.28800000000001</v>
      </c>
      <c r="E300" s="92">
        <f t="shared" si="4"/>
        <v>-0.6142989247338364</v>
      </c>
      <c r="F300" s="4">
        <f t="shared" si="5"/>
        <v>254.75199999999995</v>
      </c>
      <c r="G300" s="4">
        <v>26834.447</v>
      </c>
    </row>
    <row r="301" spans="1:7" hidden="1" outlineLevel="1" x14ac:dyDescent="0.2">
      <c r="A301" s="15">
        <v>37865</v>
      </c>
      <c r="B301" s="4">
        <v>2847.2719999999999</v>
      </c>
      <c r="C301" s="4">
        <v>3044.0709999999999</v>
      </c>
      <c r="D301" s="4">
        <v>-196.79900000000001</v>
      </c>
      <c r="E301" s="92">
        <f t="shared" si="4"/>
        <v>-0.73338198473029836</v>
      </c>
      <c r="F301" s="4">
        <f t="shared" si="5"/>
        <v>237.46400000000088</v>
      </c>
      <c r="G301" s="4">
        <v>26875.112000000001</v>
      </c>
    </row>
    <row r="302" spans="1:7" hidden="1" outlineLevel="1" x14ac:dyDescent="0.2">
      <c r="A302" s="15">
        <v>37895</v>
      </c>
      <c r="B302" s="4">
        <v>2987.06</v>
      </c>
      <c r="C302" s="4">
        <v>3182.9090000000001</v>
      </c>
      <c r="D302" s="4">
        <v>-195.84899999999999</v>
      </c>
      <c r="E302" s="92">
        <f t="shared" si="4"/>
        <v>-0.72873742814541564</v>
      </c>
      <c r="F302" s="4">
        <f t="shared" si="5"/>
        <v>206.17400000000072</v>
      </c>
      <c r="G302" s="4">
        <v>26885.437000000002</v>
      </c>
    </row>
    <row r="303" spans="1:7" hidden="1" outlineLevel="1" x14ac:dyDescent="0.2">
      <c r="A303" s="15">
        <v>37926</v>
      </c>
      <c r="B303" s="4">
        <v>2965.84</v>
      </c>
      <c r="C303" s="4">
        <v>2908.7870000000003</v>
      </c>
      <c r="D303" s="4">
        <v>57.052999999999997</v>
      </c>
      <c r="E303" s="92">
        <f t="shared" si="4"/>
        <v>0.21220782091062904</v>
      </c>
      <c r="F303" s="4">
        <f t="shared" si="5"/>
        <v>202.1499999999977</v>
      </c>
      <c r="G303" s="4">
        <v>27144.639999999999</v>
      </c>
    </row>
    <row r="304" spans="1:7" hidden="1" outlineLevel="1" x14ac:dyDescent="0.2">
      <c r="A304" s="15">
        <v>37956</v>
      </c>
      <c r="B304" s="4">
        <v>4026.306</v>
      </c>
      <c r="C304" s="4">
        <v>3556.6150000000002</v>
      </c>
      <c r="D304" s="4">
        <v>469.69099999999997</v>
      </c>
      <c r="E304" s="92">
        <f t="shared" si="4"/>
        <v>1.7303268711613047</v>
      </c>
      <c r="F304" s="4">
        <f t="shared" si="5"/>
        <v>185.07499999999965</v>
      </c>
      <c r="G304" s="4">
        <v>27799.405999999999</v>
      </c>
    </row>
    <row r="305" spans="1:7" hidden="1" collapsed="1" x14ac:dyDescent="0.2">
      <c r="A305" s="16" t="s">
        <v>61</v>
      </c>
      <c r="B305" s="12">
        <f>SUM(B293:B304)</f>
        <v>35138.347999999998</v>
      </c>
      <c r="C305" s="12">
        <f>SUM(C293:C304)</f>
        <v>37383.845999999998</v>
      </c>
      <c r="D305" s="146">
        <f>SUM(D293:D304)</f>
        <v>-2245.4980000000005</v>
      </c>
      <c r="E305" s="91">
        <f>(D305/G292*100)</f>
        <v>-8.2497240537405627</v>
      </c>
      <c r="F305" s="12">
        <f>SUM(F293:F304)</f>
        <v>2825.8360000000002</v>
      </c>
      <c r="G305" s="14">
        <f>G304</f>
        <v>27799.405999999999</v>
      </c>
    </row>
    <row r="306" spans="1:7" ht="20.100000000000001" hidden="1" customHeight="1" outlineLevel="1" x14ac:dyDescent="0.2">
      <c r="A306" s="15">
        <v>37987</v>
      </c>
      <c r="B306" s="4">
        <v>3486.7440000000001</v>
      </c>
      <c r="C306" s="4">
        <v>3431.9080000000004</v>
      </c>
      <c r="D306" s="4">
        <v>54.835999999999999</v>
      </c>
      <c r="E306" s="92">
        <f t="shared" ref="E306:E317" si="6">D306/G305*100</f>
        <v>0.19725601331193912</v>
      </c>
      <c r="F306" s="4">
        <f>(G306-G304-D306)</f>
        <v>167.30700000000002</v>
      </c>
      <c r="G306" s="4">
        <v>28021.548999999999</v>
      </c>
    </row>
    <row r="307" spans="1:7" hidden="1" outlineLevel="1" x14ac:dyDescent="0.2">
      <c r="A307" s="15">
        <v>38018</v>
      </c>
      <c r="B307" s="4">
        <v>2875.8490000000002</v>
      </c>
      <c r="C307" s="4">
        <v>3070.268</v>
      </c>
      <c r="D307" s="4">
        <v>-194.41900000000001</v>
      </c>
      <c r="E307" s="92">
        <f t="shared" si="6"/>
        <v>-0.6938196029063205</v>
      </c>
      <c r="F307" s="4">
        <f t="shared" ref="F307:F317" si="7">(G307-G306-D307)</f>
        <v>170.32100000000187</v>
      </c>
      <c r="G307" s="4">
        <v>27997.451000000001</v>
      </c>
    </row>
    <row r="308" spans="1:7" hidden="1" outlineLevel="1" x14ac:dyDescent="0.2">
      <c r="A308" s="15">
        <v>38047</v>
      </c>
      <c r="B308" s="4">
        <v>3470.4189999999999</v>
      </c>
      <c r="C308" s="4">
        <v>3649.098</v>
      </c>
      <c r="D308" s="4">
        <v>-178.679</v>
      </c>
      <c r="E308" s="92">
        <f t="shared" si="6"/>
        <v>-0.63819738446903607</v>
      </c>
      <c r="F308" s="4">
        <f t="shared" si="7"/>
        <v>158.73400000000029</v>
      </c>
      <c r="G308" s="4">
        <v>27977.506000000001</v>
      </c>
    </row>
    <row r="309" spans="1:7" hidden="1" outlineLevel="1" x14ac:dyDescent="0.2">
      <c r="A309" s="15">
        <v>38078</v>
      </c>
      <c r="B309" s="4">
        <v>3341.971</v>
      </c>
      <c r="C309" s="4">
        <v>3265.1970000000001</v>
      </c>
      <c r="D309" s="4">
        <v>76.774000000000001</v>
      </c>
      <c r="E309" s="92">
        <f t="shared" si="6"/>
        <v>0.2744133090347653</v>
      </c>
      <c r="F309" s="4">
        <f t="shared" si="7"/>
        <v>172.02399999999886</v>
      </c>
      <c r="G309" s="4">
        <v>28226.304</v>
      </c>
    </row>
    <row r="310" spans="1:7" hidden="1" outlineLevel="1" x14ac:dyDescent="0.2">
      <c r="A310" s="15">
        <v>38108</v>
      </c>
      <c r="B310" s="4">
        <v>3677.7890000000002</v>
      </c>
      <c r="C310" s="4">
        <v>3288.9180000000001</v>
      </c>
      <c r="D310" s="4">
        <v>388.87099999999998</v>
      </c>
      <c r="E310" s="92">
        <f t="shared" si="6"/>
        <v>1.3776901148659064</v>
      </c>
      <c r="F310" s="4">
        <f t="shared" si="7"/>
        <v>167.71900000000016</v>
      </c>
      <c r="G310" s="4">
        <v>28782.894</v>
      </c>
    </row>
    <row r="311" spans="1:7" hidden="1" outlineLevel="1" x14ac:dyDescent="0.2">
      <c r="A311" s="15">
        <v>38139</v>
      </c>
      <c r="B311" s="4">
        <v>3692.174</v>
      </c>
      <c r="C311" s="4">
        <v>3327.7440000000001</v>
      </c>
      <c r="D311" s="4">
        <v>364.43</v>
      </c>
      <c r="E311" s="92">
        <f t="shared" si="6"/>
        <v>1.2661339752701726</v>
      </c>
      <c r="F311" s="4">
        <f t="shared" si="7"/>
        <v>189.32700000000142</v>
      </c>
      <c r="G311" s="4">
        <v>29336.651000000002</v>
      </c>
    </row>
    <row r="312" spans="1:7" hidden="1" outlineLevel="1" x14ac:dyDescent="0.2">
      <c r="A312" s="15">
        <v>38169</v>
      </c>
      <c r="B312" s="4">
        <v>4083.4279999999999</v>
      </c>
      <c r="C312" s="4">
        <v>3751.4409999999998</v>
      </c>
      <c r="D312" s="4">
        <v>331.98700000000002</v>
      </c>
      <c r="E312" s="92">
        <f t="shared" si="6"/>
        <v>1.1316458719163276</v>
      </c>
      <c r="F312" s="4">
        <f t="shared" si="7"/>
        <v>188.49799999999692</v>
      </c>
      <c r="G312" s="4">
        <v>29857.135999999999</v>
      </c>
    </row>
    <row r="313" spans="1:7" hidden="1" outlineLevel="1" x14ac:dyDescent="0.2">
      <c r="A313" s="15">
        <v>38200</v>
      </c>
      <c r="B313" s="4">
        <v>3738.4349999999999</v>
      </c>
      <c r="C313" s="4">
        <v>3722.12</v>
      </c>
      <c r="D313" s="4">
        <v>16.315000000000001</v>
      </c>
      <c r="E313" s="92">
        <f t="shared" si="6"/>
        <v>5.4643553219572039E-2</v>
      </c>
      <c r="F313" s="4">
        <f t="shared" si="7"/>
        <v>200.96800000000309</v>
      </c>
      <c r="G313" s="4">
        <v>30074.419000000002</v>
      </c>
    </row>
    <row r="314" spans="1:7" hidden="1" outlineLevel="1" x14ac:dyDescent="0.2">
      <c r="A314" s="15">
        <v>38231</v>
      </c>
      <c r="B314" s="4">
        <v>3257.0140000000001</v>
      </c>
      <c r="C314" s="4">
        <v>3285.23</v>
      </c>
      <c r="D314" s="4">
        <v>-28.216000000000001</v>
      </c>
      <c r="E314" s="92">
        <f t="shared" si="6"/>
        <v>-9.3820598828525989E-2</v>
      </c>
      <c r="F314" s="4">
        <f t="shared" si="7"/>
        <v>199.4749999999982</v>
      </c>
      <c r="G314" s="4">
        <v>30245.678</v>
      </c>
    </row>
    <row r="315" spans="1:7" hidden="1" outlineLevel="1" x14ac:dyDescent="0.2">
      <c r="A315" s="15">
        <v>38261</v>
      </c>
      <c r="B315" s="4">
        <v>3511.482</v>
      </c>
      <c r="C315" s="4">
        <v>3549.1419999999998</v>
      </c>
      <c r="D315" s="4">
        <v>-37.659999999999997</v>
      </c>
      <c r="E315" s="92">
        <f t="shared" si="6"/>
        <v>-0.12451365778608102</v>
      </c>
      <c r="F315" s="4">
        <f t="shared" si="7"/>
        <v>189.86500000000174</v>
      </c>
      <c r="G315" s="4">
        <v>30397.883000000002</v>
      </c>
    </row>
    <row r="316" spans="1:7" hidden="1" outlineLevel="1" x14ac:dyDescent="0.2">
      <c r="A316" s="15">
        <v>38292</v>
      </c>
      <c r="B316" s="4">
        <v>3867.8609999999999</v>
      </c>
      <c r="C316" s="4">
        <v>3860.5039999999999</v>
      </c>
      <c r="D316" s="4">
        <v>7.3570000000000002</v>
      </c>
      <c r="E316" s="92">
        <f t="shared" si="6"/>
        <v>2.4202343301341085E-2</v>
      </c>
      <c r="F316" s="4">
        <f t="shared" si="7"/>
        <v>182.163999999997</v>
      </c>
      <c r="G316" s="4">
        <v>30587.403999999999</v>
      </c>
    </row>
    <row r="317" spans="1:7" hidden="1" outlineLevel="1" x14ac:dyDescent="0.2">
      <c r="A317" s="15">
        <v>38322</v>
      </c>
      <c r="B317" s="4">
        <v>5122.0510000000004</v>
      </c>
      <c r="C317" s="4">
        <v>4489.3190000000004</v>
      </c>
      <c r="D317" s="4">
        <v>632.73199999999997</v>
      </c>
      <c r="E317" s="92">
        <f t="shared" si="6"/>
        <v>2.0686031413453718</v>
      </c>
      <c r="F317" s="4">
        <f t="shared" si="7"/>
        <v>193.21800000000076</v>
      </c>
      <c r="G317" s="4">
        <v>31413.353999999999</v>
      </c>
    </row>
    <row r="318" spans="1:7" hidden="1" collapsed="1" x14ac:dyDescent="0.2">
      <c r="A318" s="16" t="s">
        <v>62</v>
      </c>
      <c r="B318" s="12">
        <f>SUM(B306:B317)</f>
        <v>44125.216999999997</v>
      </c>
      <c r="C318" s="12">
        <f>SUM(C306:C317)</f>
        <v>42690.889000000003</v>
      </c>
      <c r="D318" s="12">
        <f>SUM(D306:D317)</f>
        <v>1434.328</v>
      </c>
      <c r="E318" s="91">
        <f>(D318/G305*100)</f>
        <v>5.1595634813204283</v>
      </c>
      <c r="F318" s="12">
        <f>SUM(F306:F317)</f>
        <v>2179.62</v>
      </c>
      <c r="G318" s="14">
        <f>G317</f>
        <v>31413.353999999999</v>
      </c>
    </row>
    <row r="319" spans="1:7" ht="20.100000000000001" hidden="1" customHeight="1" outlineLevel="1" x14ac:dyDescent="0.2">
      <c r="A319" s="15">
        <v>38353</v>
      </c>
      <c r="B319" s="4">
        <v>4455.7939999999999</v>
      </c>
      <c r="C319" s="4">
        <v>4198.5889999999999</v>
      </c>
      <c r="D319" s="4">
        <v>257.20499999999998</v>
      </c>
      <c r="E319" s="92">
        <f t="shared" ref="E319:E330" si="8">D319/G318*100</f>
        <v>0.81877598934516838</v>
      </c>
      <c r="F319" s="4">
        <f>(G319-G317-D319)</f>
        <v>216.9719999999997</v>
      </c>
      <c r="G319" s="4">
        <v>31887.530999999999</v>
      </c>
    </row>
    <row r="320" spans="1:7" hidden="1" outlineLevel="1" x14ac:dyDescent="0.2">
      <c r="A320" s="15">
        <v>38384</v>
      </c>
      <c r="B320" s="4">
        <v>3492.7060000000001</v>
      </c>
      <c r="C320" s="4">
        <v>3772.4410000000003</v>
      </c>
      <c r="D320" s="4">
        <v>-279.73500000000001</v>
      </c>
      <c r="E320" s="92">
        <f t="shared" si="8"/>
        <v>-0.87725512520865934</v>
      </c>
      <c r="F320" s="4">
        <f t="shared" ref="F320:F330" si="9">(G320-G319-D320)</f>
        <v>213.49500000000205</v>
      </c>
      <c r="G320" s="4">
        <v>31821.291000000001</v>
      </c>
    </row>
    <row r="321" spans="1:7" hidden="1" outlineLevel="1" x14ac:dyDescent="0.2">
      <c r="A321" s="15">
        <v>38412</v>
      </c>
      <c r="B321" s="4">
        <v>4057.509</v>
      </c>
      <c r="C321" s="4">
        <v>4306.2179999999998</v>
      </c>
      <c r="D321" s="4">
        <v>-248.709</v>
      </c>
      <c r="E321" s="92">
        <f t="shared" si="8"/>
        <v>-0.78158048333111307</v>
      </c>
      <c r="F321" s="4">
        <f t="shared" si="9"/>
        <v>201.90299999999951</v>
      </c>
      <c r="G321" s="4">
        <v>31774.485000000001</v>
      </c>
    </row>
    <row r="322" spans="1:7" hidden="1" outlineLevel="1" x14ac:dyDescent="0.2">
      <c r="A322" s="15">
        <v>38443</v>
      </c>
      <c r="B322" s="4">
        <v>3859.1460000000002</v>
      </c>
      <c r="C322" s="4">
        <v>4145.1460000000006</v>
      </c>
      <c r="D322" s="4">
        <v>-286</v>
      </c>
      <c r="E322" s="92">
        <f t="shared" si="8"/>
        <v>-0.90009326665719358</v>
      </c>
      <c r="F322" s="4">
        <f t="shared" si="9"/>
        <v>225.75400000000081</v>
      </c>
      <c r="G322" s="4">
        <v>31714.239000000001</v>
      </c>
    </row>
    <row r="323" spans="1:7" hidden="1" outlineLevel="1" x14ac:dyDescent="0.2">
      <c r="A323" s="15">
        <v>38473</v>
      </c>
      <c r="B323" s="4">
        <v>4113.24</v>
      </c>
      <c r="C323" s="4">
        <v>4319.3629999999994</v>
      </c>
      <c r="D323" s="4">
        <v>-206.12299999999999</v>
      </c>
      <c r="E323" s="92">
        <f t="shared" si="8"/>
        <v>-0.64993834472900325</v>
      </c>
      <c r="F323" s="4">
        <f t="shared" si="9"/>
        <v>223.80599999999725</v>
      </c>
      <c r="G323" s="4">
        <v>31731.921999999999</v>
      </c>
    </row>
    <row r="324" spans="1:7" hidden="1" outlineLevel="1" x14ac:dyDescent="0.2">
      <c r="A324" s="15">
        <v>38504</v>
      </c>
      <c r="B324" s="4">
        <v>4122.009</v>
      </c>
      <c r="C324" s="4">
        <v>4111.2929999999997</v>
      </c>
      <c r="D324" s="4">
        <v>10.715999999999999</v>
      </c>
      <c r="E324" s="92">
        <f t="shared" si="8"/>
        <v>3.3770409494892871E-2</v>
      </c>
      <c r="F324" s="4">
        <f t="shared" si="9"/>
        <v>232.85900000000072</v>
      </c>
      <c r="G324" s="4">
        <v>31975.496999999999</v>
      </c>
    </row>
    <row r="325" spans="1:7" hidden="1" outlineLevel="1" x14ac:dyDescent="0.2">
      <c r="A325" s="15">
        <v>38534</v>
      </c>
      <c r="B325" s="4">
        <v>4318.2299999999996</v>
      </c>
      <c r="C325" s="4">
        <v>4116.3759999999993</v>
      </c>
      <c r="D325" s="4">
        <v>201.85400000000001</v>
      </c>
      <c r="E325" s="92">
        <f t="shared" si="8"/>
        <v>0.63127713073545033</v>
      </c>
      <c r="F325" s="4">
        <f t="shared" si="9"/>
        <v>240.08000000000109</v>
      </c>
      <c r="G325" s="4">
        <v>32417.431</v>
      </c>
    </row>
    <row r="326" spans="1:7" hidden="1" outlineLevel="1" x14ac:dyDescent="0.2">
      <c r="A326" s="15">
        <v>38565</v>
      </c>
      <c r="B326" s="4">
        <v>4435.1769999999997</v>
      </c>
      <c r="C326" s="4">
        <v>4645.3040000000001</v>
      </c>
      <c r="D326" s="4">
        <v>-210.12700000000001</v>
      </c>
      <c r="E326" s="92">
        <f t="shared" si="8"/>
        <v>-0.64819140048451096</v>
      </c>
      <c r="F326" s="4">
        <f t="shared" si="9"/>
        <v>250.1130000000008</v>
      </c>
      <c r="G326" s="4">
        <v>32457.417000000001</v>
      </c>
    </row>
    <row r="327" spans="1:7" hidden="1" outlineLevel="1" x14ac:dyDescent="0.2">
      <c r="A327" s="15">
        <v>38596</v>
      </c>
      <c r="B327" s="4">
        <v>4062.9549999999999</v>
      </c>
      <c r="C327" s="4">
        <v>4284.4359999999997</v>
      </c>
      <c r="D327" s="4">
        <v>-221.48099999999999</v>
      </c>
      <c r="E327" s="92">
        <f t="shared" si="8"/>
        <v>-0.68237407801119843</v>
      </c>
      <c r="F327" s="4">
        <f t="shared" si="9"/>
        <v>244.14899999999784</v>
      </c>
      <c r="G327" s="4">
        <v>32480.084999999999</v>
      </c>
    </row>
    <row r="328" spans="1:7" hidden="1" outlineLevel="1" x14ac:dyDescent="0.2">
      <c r="A328" s="15">
        <v>38626</v>
      </c>
      <c r="B328" s="4">
        <v>4102.2299999999996</v>
      </c>
      <c r="C328" s="4">
        <v>4368.0189999999993</v>
      </c>
      <c r="D328" s="4">
        <v>-265.78899999999999</v>
      </c>
      <c r="E328" s="92">
        <f t="shared" si="8"/>
        <v>-0.81831374517646749</v>
      </c>
      <c r="F328" s="4">
        <f t="shared" si="9"/>
        <v>232.14800000000037</v>
      </c>
      <c r="G328" s="4">
        <v>32446.444</v>
      </c>
    </row>
    <row r="329" spans="1:7" hidden="1" outlineLevel="1" x14ac:dyDescent="0.2">
      <c r="A329" s="15">
        <v>38657</v>
      </c>
      <c r="B329" s="4">
        <v>4337.8019999999997</v>
      </c>
      <c r="C329" s="4">
        <v>4514.0129999999999</v>
      </c>
      <c r="D329" s="4">
        <v>-176.21100000000001</v>
      </c>
      <c r="E329" s="92">
        <f t="shared" si="8"/>
        <v>-0.54308262563379839</v>
      </c>
      <c r="F329" s="4">
        <f t="shared" si="9"/>
        <v>223.63399999999888</v>
      </c>
      <c r="G329" s="4">
        <v>32493.866999999998</v>
      </c>
    </row>
    <row r="330" spans="1:7" hidden="1" outlineLevel="1" x14ac:dyDescent="0.2">
      <c r="A330" s="15">
        <v>38687</v>
      </c>
      <c r="B330" s="4">
        <v>5675.31</v>
      </c>
      <c r="C330" s="4">
        <v>5068.4240000000009</v>
      </c>
      <c r="D330" s="4">
        <v>606.88599999999997</v>
      </c>
      <c r="E330" s="92">
        <f t="shared" si="8"/>
        <v>1.8676939866837026</v>
      </c>
      <c r="F330" s="4">
        <f t="shared" si="9"/>
        <v>221.98699999999963</v>
      </c>
      <c r="G330" s="4">
        <v>33322.74</v>
      </c>
    </row>
    <row r="331" spans="1:7" hidden="1" collapsed="1" x14ac:dyDescent="0.2">
      <c r="A331" s="16" t="s">
        <v>63</v>
      </c>
      <c r="B331" s="12">
        <f>SUM(B319:B330)</f>
        <v>51032.107999999993</v>
      </c>
      <c r="C331" s="12">
        <f>SUM(C319:C330)</f>
        <v>51849.621999999996</v>
      </c>
      <c r="D331" s="146">
        <f>SUM(D319:D330)</f>
        <v>-817.51400000000012</v>
      </c>
      <c r="E331" s="91">
        <f>(D331/G318*100)</f>
        <v>-2.6024409873584342</v>
      </c>
      <c r="F331" s="12">
        <f>SUM(F319:F330)</f>
        <v>2726.8999999999992</v>
      </c>
      <c r="G331" s="14">
        <f>G330</f>
        <v>33322.74</v>
      </c>
    </row>
    <row r="332" spans="1:7" ht="20.100000000000001" hidden="1" customHeight="1" outlineLevel="1" x14ac:dyDescent="0.2">
      <c r="A332" s="15">
        <v>38718</v>
      </c>
      <c r="B332" s="4">
        <v>5016.9679999999998</v>
      </c>
      <c r="C332" s="4">
        <v>4877.1489999999994</v>
      </c>
      <c r="D332" s="4">
        <v>139.81899999999999</v>
      </c>
      <c r="E332" s="92">
        <f t="shared" ref="E332:E343" si="10">D332/G331*100</f>
        <v>0.41959034581189897</v>
      </c>
      <c r="F332" s="4">
        <f>(G332-G330-D332)</f>
        <v>235.68000000000345</v>
      </c>
      <c r="G332" s="4">
        <v>33698.239000000001</v>
      </c>
    </row>
    <row r="333" spans="1:7" hidden="1" outlineLevel="1" x14ac:dyDescent="0.2">
      <c r="A333" s="15">
        <v>38749</v>
      </c>
      <c r="B333" s="4">
        <v>3991.4780000000001</v>
      </c>
      <c r="C333" s="4">
        <v>4181.99</v>
      </c>
      <c r="D333" s="4">
        <v>-190.512</v>
      </c>
      <c r="E333" s="92">
        <f t="shared" si="10"/>
        <v>-0.56534704973752481</v>
      </c>
      <c r="F333" s="4">
        <f t="shared" ref="F333:F343" si="11">(G333-G332-D333)</f>
        <v>208.42799999999744</v>
      </c>
      <c r="G333" s="4">
        <v>33716.154999999999</v>
      </c>
    </row>
    <row r="334" spans="1:7" hidden="1" outlineLevel="1" x14ac:dyDescent="0.2">
      <c r="A334" s="15">
        <v>38777</v>
      </c>
      <c r="B334" s="4">
        <v>4872.567</v>
      </c>
      <c r="C334" s="4">
        <v>5234.7179999999998</v>
      </c>
      <c r="D334" s="4">
        <v>-362.15100000000001</v>
      </c>
      <c r="E334" s="92">
        <f t="shared" si="10"/>
        <v>-1.0741171405814216</v>
      </c>
      <c r="F334" s="4">
        <f t="shared" si="11"/>
        <v>209.93200000000269</v>
      </c>
      <c r="G334" s="4">
        <v>33563.936000000002</v>
      </c>
    </row>
    <row r="335" spans="1:7" hidden="1" outlineLevel="1" x14ac:dyDescent="0.2">
      <c r="A335" s="15">
        <v>38808</v>
      </c>
      <c r="B335" s="4">
        <v>4007.01</v>
      </c>
      <c r="C335" s="4">
        <v>4314.4050000000007</v>
      </c>
      <c r="D335" s="4">
        <v>-307.39499999999998</v>
      </c>
      <c r="E335" s="92">
        <f t="shared" si="10"/>
        <v>-0.91584908277741917</v>
      </c>
      <c r="F335" s="4">
        <f t="shared" si="11"/>
        <v>213.25999999999794</v>
      </c>
      <c r="G335" s="4">
        <v>33469.800999999999</v>
      </c>
    </row>
    <row r="336" spans="1:7" hidden="1" outlineLevel="1" x14ac:dyDescent="0.2">
      <c r="A336" s="15">
        <v>38838</v>
      </c>
      <c r="B336" s="4">
        <v>4737.5529999999999</v>
      </c>
      <c r="C336" s="4">
        <v>4907.1170000000002</v>
      </c>
      <c r="D336" s="4">
        <v>-169.56399999999999</v>
      </c>
      <c r="E336" s="92">
        <f t="shared" si="10"/>
        <v>-0.50661789115507438</v>
      </c>
      <c r="F336" s="4">
        <f t="shared" si="11"/>
        <v>198.42600000000098</v>
      </c>
      <c r="G336" s="4">
        <v>33498.663</v>
      </c>
    </row>
    <row r="337" spans="1:7" hidden="1" outlineLevel="1" x14ac:dyDescent="0.2">
      <c r="A337" s="15">
        <v>38869</v>
      </c>
      <c r="B337" s="4">
        <v>4610.0820000000003</v>
      </c>
      <c r="C337" s="4">
        <v>4561.0790000000006</v>
      </c>
      <c r="D337" s="4">
        <v>49.003</v>
      </c>
      <c r="E337" s="92">
        <f t="shared" si="10"/>
        <v>0.14628345017829517</v>
      </c>
      <c r="F337" s="4">
        <f t="shared" si="11"/>
        <v>222.76399999999984</v>
      </c>
      <c r="G337" s="4">
        <v>33770.43</v>
      </c>
    </row>
    <row r="338" spans="1:7" hidden="1" outlineLevel="1" x14ac:dyDescent="0.2">
      <c r="A338" s="15">
        <v>38899</v>
      </c>
      <c r="B338" s="4">
        <v>5235.0550000000003</v>
      </c>
      <c r="C338" s="4">
        <v>4879.607</v>
      </c>
      <c r="D338" s="4">
        <v>355.44799999999998</v>
      </c>
      <c r="E338" s="92">
        <f t="shared" si="10"/>
        <v>1.0525421204290262</v>
      </c>
      <c r="F338" s="4">
        <f t="shared" si="11"/>
        <v>222.72100000000171</v>
      </c>
      <c r="G338" s="4">
        <v>34348.599000000002</v>
      </c>
    </row>
    <row r="339" spans="1:7" hidden="1" outlineLevel="1" x14ac:dyDescent="0.2">
      <c r="A339" s="15">
        <v>38930</v>
      </c>
      <c r="B339" s="4">
        <v>5239.3429999999998</v>
      </c>
      <c r="C339" s="4">
        <v>5199.6279999999997</v>
      </c>
      <c r="D339" s="4">
        <v>39.715000000000003</v>
      </c>
      <c r="E339" s="92">
        <f t="shared" si="10"/>
        <v>0.11562334754905142</v>
      </c>
      <c r="F339" s="4">
        <f t="shared" si="11"/>
        <v>235.17699999999982</v>
      </c>
      <c r="G339" s="4">
        <v>34623.491000000002</v>
      </c>
    </row>
    <row r="340" spans="1:7" hidden="1" outlineLevel="1" x14ac:dyDescent="0.2">
      <c r="A340" s="15">
        <v>38961</v>
      </c>
      <c r="B340" s="4">
        <v>5121.2740000000003</v>
      </c>
      <c r="C340" s="4">
        <v>4880.9110000000001</v>
      </c>
      <c r="D340" s="4">
        <v>240.363</v>
      </c>
      <c r="E340" s="92">
        <f t="shared" si="10"/>
        <v>0.69421942460972519</v>
      </c>
      <c r="F340" s="4">
        <f t="shared" si="11"/>
        <v>229.2049999999993</v>
      </c>
      <c r="G340" s="4">
        <v>35093.059000000001</v>
      </c>
    </row>
    <row r="341" spans="1:7" hidden="1" outlineLevel="1" x14ac:dyDescent="0.2">
      <c r="A341" s="15">
        <v>38991</v>
      </c>
      <c r="B341" s="4">
        <v>5267.0150000000003</v>
      </c>
      <c r="C341" s="4">
        <v>5021.6770000000006</v>
      </c>
      <c r="D341" s="4">
        <v>245.33799999999999</v>
      </c>
      <c r="E341" s="92">
        <f t="shared" si="10"/>
        <v>0.69910690886194904</v>
      </c>
      <c r="F341" s="4">
        <f t="shared" si="11"/>
        <v>228.38600000000199</v>
      </c>
      <c r="G341" s="4">
        <v>35566.783000000003</v>
      </c>
    </row>
    <row r="342" spans="1:7" hidden="1" outlineLevel="1" x14ac:dyDescent="0.2">
      <c r="A342" s="15">
        <v>39022</v>
      </c>
      <c r="B342" s="4">
        <v>5645.6509999999998</v>
      </c>
      <c r="C342" s="4">
        <v>5278.66</v>
      </c>
      <c r="D342" s="4">
        <v>366.99099999999999</v>
      </c>
      <c r="E342" s="92">
        <f t="shared" si="10"/>
        <v>1.0318363625970894</v>
      </c>
      <c r="F342" s="4">
        <f t="shared" si="11"/>
        <v>224.46399999999448</v>
      </c>
      <c r="G342" s="4">
        <v>36158.237999999998</v>
      </c>
    </row>
    <row r="343" spans="1:7" hidden="1" outlineLevel="1" x14ac:dyDescent="0.2">
      <c r="A343" s="15">
        <v>39052</v>
      </c>
      <c r="B343" s="4">
        <v>6952.7439999999997</v>
      </c>
      <c r="C343" s="4">
        <v>5815.9969999999994</v>
      </c>
      <c r="D343" s="4">
        <v>1136.7470000000001</v>
      </c>
      <c r="E343" s="92">
        <f t="shared" si="10"/>
        <v>3.1438119302162901</v>
      </c>
      <c r="F343" s="4">
        <f t="shared" si="11"/>
        <v>228.20800000000168</v>
      </c>
      <c r="G343" s="4">
        <v>37523.192999999999</v>
      </c>
    </row>
    <row r="344" spans="1:7" hidden="1" collapsed="1" x14ac:dyDescent="0.2">
      <c r="A344" s="16" t="s">
        <v>64</v>
      </c>
      <c r="B344" s="12">
        <f>SUM(B332:B343)</f>
        <v>60696.74</v>
      </c>
      <c r="C344" s="12">
        <f>SUM(C332:C343)</f>
        <v>59152.938000000009</v>
      </c>
      <c r="D344" s="12">
        <f>SUM(D332:D343)</f>
        <v>1543.8020000000001</v>
      </c>
      <c r="E344" s="91">
        <f>(D344/G331*100)</f>
        <v>4.6328783287328719</v>
      </c>
      <c r="F344" s="12">
        <f>SUM(F332:F343)</f>
        <v>2656.6510000000017</v>
      </c>
      <c r="G344" s="14">
        <f>G343</f>
        <v>37523.192999999999</v>
      </c>
    </row>
    <row r="345" spans="1:7" ht="20.100000000000001" hidden="1" customHeight="1" outlineLevel="1" x14ac:dyDescent="0.2">
      <c r="A345" s="15">
        <v>39083</v>
      </c>
      <c r="B345" s="4">
        <v>6712.91</v>
      </c>
      <c r="C345" s="4">
        <f t="shared" ref="C345:C356" si="12">B345-D345</f>
        <v>5891.75</v>
      </c>
      <c r="D345" s="4">
        <v>821.16</v>
      </c>
      <c r="E345" s="92">
        <f t="shared" ref="E345:E356" si="13">D345/G344*100</f>
        <v>2.1884065143390119</v>
      </c>
      <c r="F345" s="4">
        <f>(G345-G343-D345)</f>
        <v>238.77899999999852</v>
      </c>
      <c r="G345" s="4">
        <v>38583.131999999998</v>
      </c>
    </row>
    <row r="346" spans="1:7" hidden="1" outlineLevel="1" x14ac:dyDescent="0.2">
      <c r="A346" s="15">
        <v>39114</v>
      </c>
      <c r="B346" s="4">
        <v>5326.8770000000004</v>
      </c>
      <c r="C346" s="4">
        <f t="shared" si="12"/>
        <v>5021.7020000000002</v>
      </c>
      <c r="D346" s="4">
        <v>305.17500000000001</v>
      </c>
      <c r="E346" s="92">
        <f t="shared" si="13"/>
        <v>0.79095445128715847</v>
      </c>
      <c r="F346" s="4">
        <f t="shared" ref="F346:F356" si="14">(G346-G345-D346)</f>
        <v>256.22100000000063</v>
      </c>
      <c r="G346" s="4">
        <v>39144.527999999998</v>
      </c>
    </row>
    <row r="347" spans="1:7" hidden="1" outlineLevel="1" x14ac:dyDescent="0.2">
      <c r="A347" s="15">
        <v>39142</v>
      </c>
      <c r="B347" s="4">
        <v>6301.72</v>
      </c>
      <c r="C347" s="4">
        <f t="shared" si="12"/>
        <v>5871.7179999999998</v>
      </c>
      <c r="D347" s="4">
        <v>430.00200000000001</v>
      </c>
      <c r="E347" s="92">
        <f t="shared" si="13"/>
        <v>1.0984983648289233</v>
      </c>
      <c r="F347" s="4">
        <f t="shared" si="14"/>
        <v>222.02000000000447</v>
      </c>
      <c r="G347" s="4">
        <v>39796.550000000003</v>
      </c>
    </row>
    <row r="348" spans="1:7" hidden="1" outlineLevel="1" x14ac:dyDescent="0.2">
      <c r="A348" s="15">
        <v>39173</v>
      </c>
      <c r="B348" s="4">
        <v>5975.3559999999998</v>
      </c>
      <c r="C348" s="4">
        <f t="shared" si="12"/>
        <v>5616.9429999999993</v>
      </c>
      <c r="D348" s="4">
        <v>358.41300000000001</v>
      </c>
      <c r="E348" s="92">
        <f t="shared" si="13"/>
        <v>0.90061324411286914</v>
      </c>
      <c r="F348" s="4">
        <f t="shared" si="14"/>
        <v>256.73199999999679</v>
      </c>
      <c r="G348" s="4">
        <v>40411.695</v>
      </c>
    </row>
    <row r="349" spans="1:7" hidden="1" outlineLevel="1" x14ac:dyDescent="0.2">
      <c r="A349" s="15">
        <v>39203</v>
      </c>
      <c r="B349" s="4">
        <v>6593.5280000000002</v>
      </c>
      <c r="C349" s="4">
        <f t="shared" si="12"/>
        <v>6261.2530000000006</v>
      </c>
      <c r="D349" s="4">
        <v>332.27499999999998</v>
      </c>
      <c r="E349" s="92">
        <f t="shared" si="13"/>
        <v>0.82222485347372842</v>
      </c>
      <c r="F349" s="4">
        <f t="shared" si="14"/>
        <v>242.47200000000305</v>
      </c>
      <c r="G349" s="4">
        <v>40986.442000000003</v>
      </c>
    </row>
    <row r="350" spans="1:7" hidden="1" outlineLevel="1" x14ac:dyDescent="0.2">
      <c r="A350" s="15">
        <v>39234</v>
      </c>
      <c r="B350" s="4">
        <v>6046.5940000000001</v>
      </c>
      <c r="C350" s="4">
        <f t="shared" si="12"/>
        <v>5477.6850000000004</v>
      </c>
      <c r="D350" s="4">
        <v>568.90899999999999</v>
      </c>
      <c r="E350" s="92">
        <f t="shared" si="13"/>
        <v>1.3880419285967782</v>
      </c>
      <c r="F350" s="4">
        <f t="shared" si="14"/>
        <v>256.32199999999978</v>
      </c>
      <c r="G350" s="4">
        <v>41811.673000000003</v>
      </c>
    </row>
    <row r="351" spans="1:7" hidden="1" outlineLevel="1" x14ac:dyDescent="0.2">
      <c r="A351" s="15">
        <v>39264</v>
      </c>
      <c r="B351" s="4">
        <v>6849.1009999999997</v>
      </c>
      <c r="C351" s="4">
        <f t="shared" si="12"/>
        <v>6031.0549999999994</v>
      </c>
      <c r="D351" s="4">
        <v>818.04600000000005</v>
      </c>
      <c r="E351" s="92">
        <f t="shared" si="13"/>
        <v>1.956501477470179</v>
      </c>
      <c r="F351" s="4">
        <f t="shared" si="14"/>
        <v>248.37999999999943</v>
      </c>
      <c r="G351" s="4">
        <v>42878.099000000002</v>
      </c>
    </row>
    <row r="352" spans="1:7" hidden="1" outlineLevel="1" x14ac:dyDescent="0.2">
      <c r="A352" s="15">
        <v>39295</v>
      </c>
      <c r="B352" s="4">
        <v>7353.9930000000004</v>
      </c>
      <c r="C352" s="4">
        <f t="shared" si="12"/>
        <v>6473.5260000000007</v>
      </c>
      <c r="D352" s="4">
        <v>880.46699999999998</v>
      </c>
      <c r="E352" s="92">
        <f t="shared" si="13"/>
        <v>2.0534189260582658</v>
      </c>
      <c r="F352" s="4">
        <f t="shared" si="14"/>
        <v>258.7789999999992</v>
      </c>
      <c r="G352" s="4">
        <v>44017.345000000001</v>
      </c>
    </row>
    <row r="353" spans="1:8" hidden="1" outlineLevel="1" x14ac:dyDescent="0.2">
      <c r="A353" s="15">
        <v>39326</v>
      </c>
      <c r="B353" s="4">
        <v>6466.5280000000002</v>
      </c>
      <c r="C353" s="4">
        <f t="shared" si="12"/>
        <v>5709.43</v>
      </c>
      <c r="D353" s="4">
        <v>757.09799999999996</v>
      </c>
      <c r="E353" s="92">
        <f t="shared" si="13"/>
        <v>1.7199992412082099</v>
      </c>
      <c r="F353" s="4">
        <f t="shared" si="14"/>
        <v>256.55299999999806</v>
      </c>
      <c r="G353" s="4">
        <v>45030.995999999999</v>
      </c>
    </row>
    <row r="354" spans="1:8" hidden="1" outlineLevel="1" x14ac:dyDescent="0.2">
      <c r="A354" s="15">
        <v>39356</v>
      </c>
      <c r="B354" s="4">
        <v>7398.3919999999998</v>
      </c>
      <c r="C354" s="4">
        <f t="shared" si="12"/>
        <v>7061.9070000000002</v>
      </c>
      <c r="D354" s="4">
        <v>336.48500000000001</v>
      </c>
      <c r="E354" s="92">
        <f t="shared" si="13"/>
        <v>0.74722975259085989</v>
      </c>
      <c r="F354" s="4">
        <f t="shared" si="14"/>
        <v>248.17399999999964</v>
      </c>
      <c r="G354" s="4">
        <v>45615.654999999999</v>
      </c>
    </row>
    <row r="355" spans="1:8" hidden="1" outlineLevel="1" x14ac:dyDescent="0.2">
      <c r="A355" s="15">
        <v>39387</v>
      </c>
      <c r="B355" s="4">
        <v>6907.8239999999996</v>
      </c>
      <c r="C355" s="4">
        <f t="shared" si="12"/>
        <v>6591.558</v>
      </c>
      <c r="D355" s="4">
        <v>316.26600000000002</v>
      </c>
      <c r="E355" s="92">
        <f t="shared" si="13"/>
        <v>0.69332776214657021</v>
      </c>
      <c r="F355" s="4">
        <f t="shared" si="14"/>
        <v>247.18600000000475</v>
      </c>
      <c r="G355" s="4">
        <v>46179.107000000004</v>
      </c>
    </row>
    <row r="356" spans="1:8" hidden="1" outlineLevel="1" x14ac:dyDescent="0.2">
      <c r="A356" s="15">
        <v>39417</v>
      </c>
      <c r="B356" s="4">
        <v>8070.8869999999997</v>
      </c>
      <c r="C356" s="4">
        <f t="shared" si="12"/>
        <v>7067.8249999999998</v>
      </c>
      <c r="D356" s="4">
        <v>1003.062</v>
      </c>
      <c r="E356" s="92">
        <f t="shared" si="13"/>
        <v>2.172112163191029</v>
      </c>
      <c r="F356" s="4">
        <f t="shared" si="14"/>
        <v>252.21899999999539</v>
      </c>
      <c r="G356" s="4">
        <v>47434.387999999999</v>
      </c>
      <c r="H356" s="6"/>
    </row>
    <row r="357" spans="1:8" hidden="1" collapsed="1" x14ac:dyDescent="0.2">
      <c r="A357" s="16" t="s">
        <v>65</v>
      </c>
      <c r="B357" s="12">
        <f>SUM(B345:B356)</f>
        <v>80003.710000000006</v>
      </c>
      <c r="C357" s="12">
        <f>SUM(C345:C356)</f>
        <v>73076.351999999999</v>
      </c>
      <c r="D357" s="12">
        <f>SUM(D345:D356)</f>
        <v>6927.3579999999993</v>
      </c>
      <c r="E357" s="91">
        <f>(D357/G344*100)</f>
        <v>18.461536575525432</v>
      </c>
      <c r="F357" s="12">
        <f>SUM(F345:F356)</f>
        <v>2983.8369999999995</v>
      </c>
      <c r="G357" s="14">
        <f>G356</f>
        <v>47434.387999999999</v>
      </c>
    </row>
    <row r="358" spans="1:8" ht="20.100000000000001" hidden="1" customHeight="1" outlineLevel="1" x14ac:dyDescent="0.2">
      <c r="A358" s="15">
        <v>39448</v>
      </c>
      <c r="B358" s="4">
        <v>9282.0519999999997</v>
      </c>
      <c r="C358" s="4">
        <v>8118.268</v>
      </c>
      <c r="D358" s="4">
        <v>1163.7840000000001</v>
      </c>
      <c r="E358" s="92">
        <f t="shared" ref="E358:E369" si="15">D358/G357*100</f>
        <v>2.4534605569276029</v>
      </c>
      <c r="F358" s="4">
        <f>(G358-G356-D358)</f>
        <v>255.39199999999937</v>
      </c>
      <c r="G358" s="4">
        <v>48853.563999999998</v>
      </c>
      <c r="H358" s="6"/>
    </row>
    <row r="359" spans="1:8" hidden="1" outlineLevel="1" x14ac:dyDescent="0.2">
      <c r="A359" s="15">
        <v>39479</v>
      </c>
      <c r="B359" s="4">
        <v>7320.0420000000004</v>
      </c>
      <c r="C359" s="4">
        <v>7050.4660000000003</v>
      </c>
      <c r="D359" s="4">
        <v>269.57600000000002</v>
      </c>
      <c r="E359" s="92">
        <f t="shared" si="15"/>
        <v>0.55180416315174063</v>
      </c>
      <c r="F359" s="4">
        <f t="shared" ref="F359:F369" si="16">(G359-G358-D359)</f>
        <v>265.19800000000487</v>
      </c>
      <c r="G359" s="4">
        <v>49388.338000000003</v>
      </c>
      <c r="H359" s="6"/>
    </row>
    <row r="360" spans="1:8" hidden="1" outlineLevel="1" x14ac:dyDescent="0.2">
      <c r="A360" s="15">
        <v>39508</v>
      </c>
      <c r="B360" s="4">
        <v>7843.5429999999997</v>
      </c>
      <c r="C360" s="4">
        <v>7739.12</v>
      </c>
      <c r="D360" s="4">
        <v>104.423</v>
      </c>
      <c r="E360" s="92">
        <f t="shared" si="15"/>
        <v>0.2114325045722332</v>
      </c>
      <c r="F360" s="4">
        <f t="shared" si="16"/>
        <v>262.40699999999447</v>
      </c>
      <c r="G360" s="4">
        <v>49755.167999999998</v>
      </c>
      <c r="H360" s="6"/>
    </row>
    <row r="361" spans="1:8" hidden="1" outlineLevel="1" x14ac:dyDescent="0.2">
      <c r="A361" s="15">
        <v>39539</v>
      </c>
      <c r="B361" s="4">
        <v>8029.5379999999996</v>
      </c>
      <c r="C361" s="4">
        <v>7860.9079999999994</v>
      </c>
      <c r="D361" s="4">
        <v>168.63</v>
      </c>
      <c r="E361" s="92">
        <f t="shared" si="15"/>
        <v>0.33891956710908905</v>
      </c>
      <c r="F361" s="4">
        <f t="shared" si="16"/>
        <v>277.59499999999855</v>
      </c>
      <c r="G361" s="4">
        <v>50201.392999999996</v>
      </c>
      <c r="H361" s="6"/>
    </row>
    <row r="362" spans="1:8" hidden="1" outlineLevel="1" x14ac:dyDescent="0.2">
      <c r="A362" s="15">
        <v>39569</v>
      </c>
      <c r="B362" s="4">
        <v>7844.0810000000001</v>
      </c>
      <c r="C362" s="4">
        <v>7902.9250000000002</v>
      </c>
      <c r="D362" s="4">
        <v>-58.844000000000001</v>
      </c>
      <c r="E362" s="92">
        <f t="shared" si="15"/>
        <v>-0.117215870882308</v>
      </c>
      <c r="F362" s="4">
        <f t="shared" si="16"/>
        <v>268.98500000000325</v>
      </c>
      <c r="G362" s="4">
        <v>50411.534</v>
      </c>
      <c r="H362" s="6"/>
    </row>
    <row r="363" spans="1:8" hidden="1" outlineLevel="1" x14ac:dyDescent="0.2">
      <c r="A363" s="15">
        <v>39600</v>
      </c>
      <c r="B363" s="4">
        <v>8744.06</v>
      </c>
      <c r="C363" s="4">
        <v>8547.9699999999993</v>
      </c>
      <c r="D363" s="4">
        <v>196.09</v>
      </c>
      <c r="E363" s="92">
        <f t="shared" si="15"/>
        <v>0.3889784429095135</v>
      </c>
      <c r="F363" s="4">
        <f t="shared" si="16"/>
        <v>286.1680000000016</v>
      </c>
      <c r="G363" s="4">
        <v>50893.792000000001</v>
      </c>
      <c r="H363" s="6"/>
    </row>
    <row r="364" spans="1:8" hidden="1" outlineLevel="1" x14ac:dyDescent="0.2">
      <c r="A364" s="15">
        <v>39630</v>
      </c>
      <c r="B364" s="4">
        <v>9582.866</v>
      </c>
      <c r="C364" s="4">
        <v>8946.8919999999998</v>
      </c>
      <c r="D364" s="4">
        <v>635.97400000000005</v>
      </c>
      <c r="E364" s="92">
        <f t="shared" si="15"/>
        <v>1.2496101685643703</v>
      </c>
      <c r="F364" s="4">
        <f t="shared" si="16"/>
        <v>320.93599999999617</v>
      </c>
      <c r="G364" s="4">
        <v>51850.701999999997</v>
      </c>
      <c r="H364" s="6"/>
    </row>
    <row r="365" spans="1:8" hidden="1" outlineLevel="1" x14ac:dyDescent="0.2">
      <c r="A365" s="15">
        <v>39661</v>
      </c>
      <c r="B365" s="4">
        <v>8522.9240000000009</v>
      </c>
      <c r="C365" s="4">
        <v>8364.2230000000018</v>
      </c>
      <c r="D365" s="4">
        <v>158.70099999999999</v>
      </c>
      <c r="E365" s="92">
        <f t="shared" si="15"/>
        <v>0.30607300167314999</v>
      </c>
      <c r="F365" s="4">
        <f t="shared" si="16"/>
        <v>254.3930000000046</v>
      </c>
      <c r="G365" s="4">
        <v>52263.796000000002</v>
      </c>
      <c r="H365" s="6"/>
    </row>
    <row r="366" spans="1:8" hidden="1" outlineLevel="1" x14ac:dyDescent="0.2">
      <c r="A366" s="15">
        <v>39692</v>
      </c>
      <c r="B366" s="4">
        <v>9126.0969999999998</v>
      </c>
      <c r="C366" s="4">
        <v>9362.2799999999988</v>
      </c>
      <c r="D366" s="4">
        <v>-236.18299999999999</v>
      </c>
      <c r="E366" s="92">
        <f t="shared" si="15"/>
        <v>-0.45190556001711013</v>
      </c>
      <c r="F366" s="4">
        <f t="shared" si="16"/>
        <v>310.84199999999964</v>
      </c>
      <c r="G366" s="4">
        <v>52338.455000000002</v>
      </c>
      <c r="H366" s="6"/>
    </row>
    <row r="367" spans="1:8" hidden="1" outlineLevel="1" x14ac:dyDescent="0.2">
      <c r="A367" s="15">
        <v>39722</v>
      </c>
      <c r="B367" s="4">
        <v>10585.804</v>
      </c>
      <c r="C367" s="4">
        <v>10416.159</v>
      </c>
      <c r="D367" s="4">
        <v>169.64500000000001</v>
      </c>
      <c r="E367" s="92">
        <f t="shared" si="15"/>
        <v>0.32413069892873225</v>
      </c>
      <c r="F367" s="4">
        <f t="shared" si="16"/>
        <v>303.41099999999687</v>
      </c>
      <c r="G367" s="4">
        <v>52811.510999999999</v>
      </c>
      <c r="H367" s="6"/>
    </row>
    <row r="368" spans="1:8" hidden="1" outlineLevel="1" x14ac:dyDescent="0.2">
      <c r="A368" s="15">
        <v>39753</v>
      </c>
      <c r="B368" s="4">
        <v>9284.2459999999992</v>
      </c>
      <c r="C368" s="4">
        <v>8746.973</v>
      </c>
      <c r="D368" s="4">
        <v>537.27300000000002</v>
      </c>
      <c r="E368" s="92">
        <f t="shared" si="15"/>
        <v>1.0173407081649302</v>
      </c>
      <c r="F368" s="4">
        <f t="shared" si="16"/>
        <v>284.30300000000091</v>
      </c>
      <c r="G368" s="4">
        <v>53633.087</v>
      </c>
      <c r="H368" s="6"/>
    </row>
    <row r="369" spans="1:8" hidden="1" outlineLevel="1" x14ac:dyDescent="0.2">
      <c r="A369" s="15">
        <v>39783</v>
      </c>
      <c r="B369" s="4">
        <v>11953.422</v>
      </c>
      <c r="C369" s="4">
        <v>10875.448</v>
      </c>
      <c r="D369" s="4">
        <v>1077.9739999999999</v>
      </c>
      <c r="E369" s="92">
        <f t="shared" si="15"/>
        <v>2.009904818643014</v>
      </c>
      <c r="F369" s="4">
        <f t="shared" si="16"/>
        <v>284.39699999999925</v>
      </c>
      <c r="G369" s="4">
        <v>54995.457999999999</v>
      </c>
      <c r="H369" s="6"/>
    </row>
    <row r="370" spans="1:8" hidden="1" collapsed="1" x14ac:dyDescent="0.2">
      <c r="A370" s="16" t="s">
        <v>66</v>
      </c>
      <c r="B370" s="12">
        <f>SUM(B358:B369)</f>
        <v>108118.675</v>
      </c>
      <c r="C370" s="12">
        <f>SUM(C358:C369)</f>
        <v>103931.632</v>
      </c>
      <c r="D370" s="12">
        <f>SUM(D358:D369)</f>
        <v>4187.0429999999997</v>
      </c>
      <c r="E370" s="91">
        <f>(D370/G357*100)</f>
        <v>8.8270201778507182</v>
      </c>
      <c r="F370" s="12">
        <f>SUM(F358:F369)</f>
        <v>3374.0269999999991</v>
      </c>
      <c r="G370" s="14">
        <f>G369</f>
        <v>54995.457999999999</v>
      </c>
    </row>
    <row r="371" spans="1:8" ht="20.100000000000001" hidden="1" customHeight="1" outlineLevel="1" x14ac:dyDescent="0.2">
      <c r="A371" s="15">
        <v>39814</v>
      </c>
      <c r="B371" s="4">
        <v>9969.7189999999991</v>
      </c>
      <c r="C371" s="4">
        <v>9510.2639999999992</v>
      </c>
      <c r="D371" s="4">
        <v>459.45499999999998</v>
      </c>
      <c r="E371" s="92">
        <f t="shared" ref="E371:E382" si="17">D371/G370*100</f>
        <v>0.83544171956891411</v>
      </c>
      <c r="F371" s="4">
        <f>(G371-G369-D371)</f>
        <v>329.20800000000048</v>
      </c>
      <c r="G371" s="4">
        <v>55784.120999999999</v>
      </c>
      <c r="H371" s="6"/>
    </row>
    <row r="372" spans="1:8" hidden="1" outlineLevel="1" x14ac:dyDescent="0.2">
      <c r="A372" s="15">
        <v>39845</v>
      </c>
      <c r="B372" s="4">
        <v>8491.2019999999993</v>
      </c>
      <c r="C372" s="4">
        <v>8539.637999999999</v>
      </c>
      <c r="D372" s="4">
        <v>-48.436</v>
      </c>
      <c r="E372" s="92">
        <f t="shared" si="17"/>
        <v>-8.6827575897449383E-2</v>
      </c>
      <c r="F372" s="4">
        <f t="shared" ref="F372:F382" si="18">(G372-G371-D372)</f>
        <v>282.41000000000196</v>
      </c>
      <c r="G372" s="4">
        <v>56018.095000000001</v>
      </c>
      <c r="H372" s="6"/>
    </row>
    <row r="373" spans="1:8" hidden="1" outlineLevel="1" x14ac:dyDescent="0.2">
      <c r="A373" s="15">
        <v>39873</v>
      </c>
      <c r="B373" s="4">
        <v>10304.913</v>
      </c>
      <c r="C373" s="4">
        <v>10263.087000000001</v>
      </c>
      <c r="D373" s="4">
        <v>41.826000000000001</v>
      </c>
      <c r="E373" s="92">
        <f t="shared" si="17"/>
        <v>7.4665159534611086E-2</v>
      </c>
      <c r="F373" s="4">
        <f t="shared" si="18"/>
        <v>297.77799999999934</v>
      </c>
      <c r="G373" s="4">
        <v>56357.699000000001</v>
      </c>
      <c r="H373" s="6"/>
    </row>
    <row r="374" spans="1:8" hidden="1" outlineLevel="1" x14ac:dyDescent="0.2">
      <c r="A374" s="15">
        <v>39904</v>
      </c>
      <c r="B374" s="4">
        <v>10459.276</v>
      </c>
      <c r="C374" s="4">
        <v>10874.331</v>
      </c>
      <c r="D374" s="4">
        <v>-415.05500000000001</v>
      </c>
      <c r="E374" s="92">
        <f t="shared" si="17"/>
        <v>-0.73646548273732748</v>
      </c>
      <c r="F374" s="4">
        <f t="shared" si="18"/>
        <v>316.11699999999809</v>
      </c>
      <c r="G374" s="4">
        <v>56258.760999999999</v>
      </c>
      <c r="H374" s="6"/>
    </row>
    <row r="375" spans="1:8" hidden="1" outlineLevel="1" x14ac:dyDescent="0.2">
      <c r="A375" s="15">
        <v>39934</v>
      </c>
      <c r="B375" s="4">
        <v>10839.137000000001</v>
      </c>
      <c r="C375" s="4">
        <v>10332.437</v>
      </c>
      <c r="D375" s="4">
        <v>506.7</v>
      </c>
      <c r="E375" s="92">
        <f t="shared" si="17"/>
        <v>0.90065972124768257</v>
      </c>
      <c r="F375" s="4">
        <f t="shared" si="18"/>
        <v>286.18100000000123</v>
      </c>
      <c r="G375" s="4">
        <v>57051.642</v>
      </c>
      <c r="H375" s="6"/>
    </row>
    <row r="376" spans="1:8" hidden="1" outlineLevel="1" x14ac:dyDescent="0.2">
      <c r="A376" s="15">
        <v>39965</v>
      </c>
      <c r="B376" s="4">
        <v>10910.364</v>
      </c>
      <c r="C376" s="4">
        <v>10609.421999999999</v>
      </c>
      <c r="D376" s="4">
        <v>300.94200000000001</v>
      </c>
      <c r="E376" s="92">
        <f t="shared" si="17"/>
        <v>0.52749051464636199</v>
      </c>
      <c r="F376" s="4">
        <f t="shared" si="18"/>
        <v>319.57200000000284</v>
      </c>
      <c r="G376" s="4">
        <v>57672.156000000003</v>
      </c>
      <c r="H376" s="6"/>
    </row>
    <row r="377" spans="1:8" hidden="1" outlineLevel="1" x14ac:dyDescent="0.2">
      <c r="A377" s="15">
        <v>39995</v>
      </c>
      <c r="B377" s="4">
        <v>12458.628000000001</v>
      </c>
      <c r="C377" s="4">
        <v>10878.971000000001</v>
      </c>
      <c r="D377" s="4">
        <v>1579.6569999999999</v>
      </c>
      <c r="E377" s="92">
        <f t="shared" si="17"/>
        <v>2.7390288651598182</v>
      </c>
      <c r="F377" s="4">
        <f t="shared" si="18"/>
        <v>304.84199999999623</v>
      </c>
      <c r="G377" s="4">
        <v>59556.654999999999</v>
      </c>
      <c r="H377" s="6"/>
    </row>
    <row r="378" spans="1:8" hidden="1" outlineLevel="1" x14ac:dyDescent="0.2">
      <c r="A378" s="15">
        <v>40026</v>
      </c>
      <c r="B378" s="4">
        <v>12248.882</v>
      </c>
      <c r="C378" s="4">
        <v>11686.543</v>
      </c>
      <c r="D378" s="4">
        <v>562.33900000000006</v>
      </c>
      <c r="E378" s="92">
        <f t="shared" si="17"/>
        <v>0.94420850197177808</v>
      </c>
      <c r="F378" s="4">
        <f t="shared" si="18"/>
        <v>317.99100000000169</v>
      </c>
      <c r="G378" s="4">
        <v>60436.985000000001</v>
      </c>
      <c r="H378" s="6"/>
    </row>
    <row r="379" spans="1:8" hidden="1" outlineLevel="1" x14ac:dyDescent="0.2">
      <c r="A379" s="15">
        <v>40057</v>
      </c>
      <c r="B379" s="4">
        <v>11534.668</v>
      </c>
      <c r="C379" s="4">
        <v>11394.416999999999</v>
      </c>
      <c r="D379" s="4">
        <v>140.251</v>
      </c>
      <c r="E379" s="92">
        <f t="shared" si="17"/>
        <v>0.23206154310973656</v>
      </c>
      <c r="F379" s="4">
        <f t="shared" si="18"/>
        <v>306.2210000000016</v>
      </c>
      <c r="G379" s="4">
        <v>60883.457000000002</v>
      </c>
      <c r="H379" s="6"/>
    </row>
    <row r="380" spans="1:8" hidden="1" outlineLevel="1" x14ac:dyDescent="0.2">
      <c r="A380" s="15">
        <v>40087</v>
      </c>
      <c r="B380" s="4">
        <v>11255.987999999999</v>
      </c>
      <c r="C380" s="4">
        <v>11055.445</v>
      </c>
      <c r="D380" s="4">
        <v>200.54300000000001</v>
      </c>
      <c r="E380" s="92">
        <f t="shared" si="17"/>
        <v>0.32938832629034187</v>
      </c>
      <c r="F380" s="4">
        <f t="shared" si="18"/>
        <v>299.13999999999726</v>
      </c>
      <c r="G380" s="4">
        <v>61383.14</v>
      </c>
      <c r="H380" s="6"/>
    </row>
    <row r="381" spans="1:8" hidden="1" outlineLevel="1" x14ac:dyDescent="0.2">
      <c r="A381" s="15">
        <v>40118</v>
      </c>
      <c r="B381" s="4">
        <v>12959.24</v>
      </c>
      <c r="C381" s="4">
        <v>12541.83</v>
      </c>
      <c r="D381" s="4">
        <v>417.40999999999985</v>
      </c>
      <c r="E381" s="92">
        <f t="shared" si="17"/>
        <v>0.68000757211182072</v>
      </c>
      <c r="F381" s="4">
        <f t="shared" si="18"/>
        <v>1352.9770000000026</v>
      </c>
      <c r="G381" s="4">
        <v>63153.527000000002</v>
      </c>
      <c r="H381" s="6"/>
    </row>
    <row r="382" spans="1:8" hidden="1" outlineLevel="1" x14ac:dyDescent="0.2">
      <c r="A382" s="15">
        <v>40148</v>
      </c>
      <c r="B382" s="4">
        <v>15430.767</v>
      </c>
      <c r="C382" s="4">
        <v>13423.748</v>
      </c>
      <c r="D382" s="4">
        <v>2007.0190000000002</v>
      </c>
      <c r="E382" s="92">
        <f t="shared" si="17"/>
        <v>3.1779998605620237</v>
      </c>
      <c r="F382" s="4">
        <f t="shared" si="18"/>
        <v>317.4519999999975</v>
      </c>
      <c r="G382" s="4">
        <v>65477.998</v>
      </c>
      <c r="H382" s="6"/>
    </row>
    <row r="383" spans="1:8" hidden="1" collapsed="1" x14ac:dyDescent="0.2">
      <c r="A383" s="16" t="s">
        <v>67</v>
      </c>
      <c r="B383" s="12">
        <f>SUM(B371:B382)</f>
        <v>136862.78400000001</v>
      </c>
      <c r="C383" s="12">
        <f>SUM(C371:C382)</f>
        <v>131110.133</v>
      </c>
      <c r="D383" s="12">
        <f>SUM(D371:D382)</f>
        <v>5752.6509999999998</v>
      </c>
      <c r="E383" s="91">
        <f>(D383/G370*100)</f>
        <v>10.460229279297938</v>
      </c>
      <c r="F383" s="12">
        <f>SUM(F371:F382)</f>
        <v>4729.889000000001</v>
      </c>
      <c r="G383" s="14">
        <f>G382</f>
        <v>65477.998</v>
      </c>
    </row>
    <row r="384" spans="1:8" hidden="1" outlineLevel="1" x14ac:dyDescent="0.2">
      <c r="A384" s="15">
        <v>40179</v>
      </c>
      <c r="B384" s="4">
        <v>13327.68</v>
      </c>
      <c r="C384" s="4">
        <v>12541.768</v>
      </c>
      <c r="D384" s="4">
        <v>785.91200000000003</v>
      </c>
      <c r="E384" s="92">
        <f t="shared" ref="E384:E395" si="19">D384/G383*100</f>
        <v>1.2002688292332946</v>
      </c>
      <c r="F384" s="4">
        <f>(G384-G382-D384)</f>
        <v>288.39300000000026</v>
      </c>
      <c r="G384" s="4">
        <v>66552.303</v>
      </c>
    </row>
    <row r="385" spans="1:7" hidden="1" outlineLevel="1" x14ac:dyDescent="0.2">
      <c r="A385" s="15">
        <v>40210</v>
      </c>
      <c r="B385" s="4">
        <v>11365.358</v>
      </c>
      <c r="C385" s="4">
        <v>10893.701999999999</v>
      </c>
      <c r="D385" s="4">
        <v>471.65600000000001</v>
      </c>
      <c r="E385" s="92">
        <f t="shared" si="19"/>
        <v>0.70869974251679912</v>
      </c>
      <c r="F385" s="4">
        <f>(G385-G384-D385)</f>
        <v>264.61499999999336</v>
      </c>
      <c r="G385" s="4">
        <v>67288.573999999993</v>
      </c>
    </row>
    <row r="386" spans="1:7" hidden="1" outlineLevel="1" x14ac:dyDescent="0.2">
      <c r="A386" s="15">
        <v>40238</v>
      </c>
      <c r="B386" s="4">
        <v>14066.727999999997</v>
      </c>
      <c r="C386" s="4">
        <v>13598.896999999997</v>
      </c>
      <c r="D386" s="4">
        <v>467.83100000000002</v>
      </c>
      <c r="E386" s="92">
        <f t="shared" si="19"/>
        <v>0.69526068422849929</v>
      </c>
      <c r="F386" s="4">
        <f t="shared" ref="F386:F391" si="20">(G386-G385-D386)</f>
        <v>289.28900000000988</v>
      </c>
      <c r="G386" s="4">
        <v>68045.694000000003</v>
      </c>
    </row>
    <row r="387" spans="1:7" hidden="1" outlineLevel="1" x14ac:dyDescent="0.2">
      <c r="A387" s="15">
        <v>40269</v>
      </c>
      <c r="B387" s="4">
        <v>12656.929999999998</v>
      </c>
      <c r="C387" s="4">
        <v>12127.803999999998</v>
      </c>
      <c r="D387" s="4">
        <v>529.12599999999998</v>
      </c>
      <c r="E387" s="92">
        <f t="shared" si="19"/>
        <v>0.77760394360883422</v>
      </c>
      <c r="F387" s="4">
        <f t="shared" si="20"/>
        <v>294.24499999999921</v>
      </c>
      <c r="G387" s="4">
        <v>68869.065000000002</v>
      </c>
    </row>
    <row r="388" spans="1:7" hidden="1" outlineLevel="1" x14ac:dyDescent="0.2">
      <c r="A388" s="15">
        <v>40299</v>
      </c>
      <c r="B388" s="4">
        <v>18541.790999999997</v>
      </c>
      <c r="C388" s="4">
        <v>17982.383999999998</v>
      </c>
      <c r="D388" s="4">
        <v>559.40700000000004</v>
      </c>
      <c r="E388" s="92">
        <f t="shared" si="19"/>
        <v>0.81227616492252375</v>
      </c>
      <c r="F388" s="4">
        <f t="shared" si="20"/>
        <v>296.19499999999891</v>
      </c>
      <c r="G388" s="4">
        <v>69724.667000000001</v>
      </c>
    </row>
    <row r="389" spans="1:7" hidden="1" outlineLevel="1" x14ac:dyDescent="0.2">
      <c r="A389" s="15">
        <v>40330</v>
      </c>
      <c r="B389" s="4">
        <v>16144.877999999997</v>
      </c>
      <c r="C389" s="4">
        <v>15543.177999999996</v>
      </c>
      <c r="D389" s="4">
        <v>601.70000000000005</v>
      </c>
      <c r="E389" s="92">
        <f t="shared" si="19"/>
        <v>0.86296575643738838</v>
      </c>
      <c r="F389" s="4">
        <f t="shared" si="20"/>
        <v>352.01399999999262</v>
      </c>
      <c r="G389" s="4">
        <v>70678.380999999994</v>
      </c>
    </row>
    <row r="390" spans="1:7" hidden="1" outlineLevel="1" x14ac:dyDescent="0.2">
      <c r="A390" s="15">
        <v>40360</v>
      </c>
      <c r="B390" s="4">
        <v>15416.002000000002</v>
      </c>
      <c r="C390" s="4">
        <v>13905.231000000002</v>
      </c>
      <c r="D390" s="4">
        <v>1510.771</v>
      </c>
      <c r="E390" s="92">
        <f t="shared" si="19"/>
        <v>2.1375291547778943</v>
      </c>
      <c r="F390" s="4">
        <f t="shared" si="20"/>
        <v>394.27400000001285</v>
      </c>
      <c r="G390" s="4">
        <v>72583.426000000007</v>
      </c>
    </row>
    <row r="391" spans="1:7" hidden="1" outlineLevel="1" x14ac:dyDescent="0.2">
      <c r="A391" s="15">
        <v>40391</v>
      </c>
      <c r="B391" s="4">
        <v>15442.315000000001</v>
      </c>
      <c r="C391" s="4">
        <v>14806.224</v>
      </c>
      <c r="D391" s="4">
        <v>636.09100000000001</v>
      </c>
      <c r="E391" s="92">
        <f t="shared" si="19"/>
        <v>0.87635846784085392</v>
      </c>
      <c r="F391" s="4">
        <f t="shared" si="20"/>
        <v>420.492999999988</v>
      </c>
      <c r="G391" s="4">
        <v>73640.009999999995</v>
      </c>
    </row>
    <row r="392" spans="1:7" hidden="1" outlineLevel="1" x14ac:dyDescent="0.2">
      <c r="A392" s="15">
        <v>40422</v>
      </c>
      <c r="B392" s="4">
        <v>14974.991999999998</v>
      </c>
      <c r="C392" s="4">
        <v>13887.525</v>
      </c>
      <c r="D392" s="4">
        <f>B392-C392</f>
        <v>1087.4669999999987</v>
      </c>
      <c r="E392" s="92">
        <f t="shared" si="19"/>
        <v>1.4767339113614988</v>
      </c>
      <c r="F392" s="4">
        <f>(G392-G391-D392)</f>
        <v>411.68700000001081</v>
      </c>
      <c r="G392" s="4">
        <v>75139.164000000004</v>
      </c>
    </row>
    <row r="393" spans="1:7" hidden="1" outlineLevel="1" x14ac:dyDescent="0.2">
      <c r="A393" s="15">
        <v>40452</v>
      </c>
      <c r="B393" s="4">
        <v>13748.772999999997</v>
      </c>
      <c r="C393" s="4">
        <v>13354.241999999998</v>
      </c>
      <c r="D393" s="4">
        <f>B393-C393</f>
        <v>394.53099999999904</v>
      </c>
      <c r="E393" s="92">
        <f t="shared" si="19"/>
        <v>0.52506706090048993</v>
      </c>
      <c r="F393" s="4">
        <f>(G393-G392-D393)</f>
        <v>407.18900000000212</v>
      </c>
      <c r="G393" s="4">
        <v>75940.884000000005</v>
      </c>
    </row>
    <row r="394" spans="1:7" hidden="1" outlineLevel="1" x14ac:dyDescent="0.2">
      <c r="A394" s="15">
        <v>40483</v>
      </c>
      <c r="B394" s="4">
        <v>15376.933999999997</v>
      </c>
      <c r="C394" s="4">
        <v>14768.311</v>
      </c>
      <c r="D394" s="4">
        <f t="shared" ref="D394:D406" si="21">B394-C394</f>
        <v>608.62299999999777</v>
      </c>
      <c r="E394" s="92">
        <f t="shared" si="19"/>
        <v>0.80144313305596726</v>
      </c>
      <c r="F394" s="4">
        <f>(G394-G393-D394)</f>
        <v>401.62300000000141</v>
      </c>
      <c r="G394" s="4">
        <v>76951.13</v>
      </c>
    </row>
    <row r="395" spans="1:7" hidden="1" outlineLevel="1" x14ac:dyDescent="0.2">
      <c r="A395" s="15">
        <v>40513</v>
      </c>
      <c r="B395" s="4">
        <v>18999.141</v>
      </c>
      <c r="C395" s="4">
        <v>17438.954999999998</v>
      </c>
      <c r="D395" s="4">
        <f t="shared" si="21"/>
        <v>1560.1860000000015</v>
      </c>
      <c r="E395" s="92">
        <f t="shared" si="19"/>
        <v>2.0275023901533369</v>
      </c>
      <c r="F395" s="4">
        <f>(G395-G394-D395)</f>
        <v>409.25799999998708</v>
      </c>
      <c r="G395" s="4">
        <v>78920.573999999993</v>
      </c>
    </row>
    <row r="396" spans="1:7" hidden="1" collapsed="1" x14ac:dyDescent="0.2">
      <c r="A396" s="16" t="s">
        <v>68</v>
      </c>
      <c r="B396" s="12">
        <f>SUM(B384:B395)</f>
        <v>180061.522</v>
      </c>
      <c r="C396" s="12">
        <f>SUM(C384:C395)</f>
        <v>170848.22099999996</v>
      </c>
      <c r="D396" s="12">
        <f>SUM(D384:D395)</f>
        <v>9213.3009999999958</v>
      </c>
      <c r="E396" s="91">
        <f>(D396/G383*100)</f>
        <v>14.070834908544388</v>
      </c>
      <c r="F396" s="12">
        <f>SUM(F384:F395)</f>
        <v>4229.274999999996</v>
      </c>
      <c r="G396" s="14">
        <f>G395</f>
        <v>78920.573999999993</v>
      </c>
    </row>
    <row r="397" spans="1:7" hidden="1" outlineLevel="1" x14ac:dyDescent="0.2">
      <c r="A397" s="15">
        <v>40544</v>
      </c>
      <c r="B397" s="4">
        <v>15368.876</v>
      </c>
      <c r="C397" s="4">
        <v>14892.625</v>
      </c>
      <c r="D397" s="4">
        <f t="shared" si="21"/>
        <v>476.2510000000002</v>
      </c>
      <c r="E397" s="92">
        <f t="shared" ref="E397:E408" si="22">D397/G396*100</f>
        <v>0.6034560772454598</v>
      </c>
      <c r="F397" s="4">
        <f>(G397-G395-D397)</f>
        <v>454.20500000000538</v>
      </c>
      <c r="G397" s="4">
        <v>79851.03</v>
      </c>
    </row>
    <row r="398" spans="1:7" hidden="1" outlineLevel="1" x14ac:dyDescent="0.2">
      <c r="A398" s="15">
        <v>40575</v>
      </c>
      <c r="B398" s="4">
        <v>14311.37</v>
      </c>
      <c r="C398" s="4">
        <v>14694.023000000001</v>
      </c>
      <c r="D398" s="4">
        <f t="shared" si="21"/>
        <v>-382.65300000000025</v>
      </c>
      <c r="E398" s="92">
        <f t="shared" si="22"/>
        <v>-0.47920859630739926</v>
      </c>
      <c r="F398" s="4">
        <f>(G398-G397-D398)</f>
        <v>460.63500000000386</v>
      </c>
      <c r="G398" s="4">
        <v>79929.012000000002</v>
      </c>
    </row>
    <row r="399" spans="1:7" hidden="1" outlineLevel="1" x14ac:dyDescent="0.2">
      <c r="A399" s="15">
        <v>40603</v>
      </c>
      <c r="B399" s="4">
        <v>15230.168999999998</v>
      </c>
      <c r="C399" s="4">
        <v>15382.827999999998</v>
      </c>
      <c r="D399" s="4">
        <f t="shared" si="21"/>
        <v>-152.65899999999965</v>
      </c>
      <c r="E399" s="92">
        <f t="shared" si="22"/>
        <v>-0.19099322784072403</v>
      </c>
      <c r="F399" s="4">
        <f t="shared" ref="F399:F404" si="23">(G399-G398-D399)</f>
        <v>411.24300000000221</v>
      </c>
      <c r="G399" s="4">
        <v>80187.596000000005</v>
      </c>
    </row>
    <row r="400" spans="1:7" hidden="1" outlineLevel="1" x14ac:dyDescent="0.2">
      <c r="A400" s="15">
        <v>40634</v>
      </c>
      <c r="B400" s="4">
        <v>13924.360000000002</v>
      </c>
      <c r="C400" s="4">
        <v>15074.997000000003</v>
      </c>
      <c r="D400" s="4">
        <f t="shared" si="21"/>
        <v>-1150.6370000000006</v>
      </c>
      <c r="E400" s="92">
        <f t="shared" si="22"/>
        <v>-1.4349314075957589</v>
      </c>
      <c r="F400" s="4">
        <f t="shared" si="23"/>
        <v>469.79799999999341</v>
      </c>
      <c r="G400" s="4">
        <v>79506.756999999998</v>
      </c>
    </row>
    <row r="401" spans="1:7" hidden="1" outlineLevel="1" x14ac:dyDescent="0.2">
      <c r="A401" s="15">
        <v>40664</v>
      </c>
      <c r="B401" s="4">
        <v>15877.222</v>
      </c>
      <c r="C401" s="4">
        <v>16529.125</v>
      </c>
      <c r="D401" s="4">
        <f t="shared" si="21"/>
        <v>-651.90300000000025</v>
      </c>
      <c r="E401" s="92">
        <f t="shared" si="22"/>
        <v>-0.81993408434455484</v>
      </c>
      <c r="F401" s="4">
        <f t="shared" si="23"/>
        <v>438.204000000007</v>
      </c>
      <c r="G401" s="4">
        <v>79293.058000000005</v>
      </c>
    </row>
    <row r="402" spans="1:7" hidden="1" outlineLevel="1" x14ac:dyDescent="0.2">
      <c r="A402" s="15">
        <v>40695</v>
      </c>
      <c r="B402" s="4">
        <v>16117.601000000001</v>
      </c>
      <c r="C402" s="4">
        <v>17088.066999999999</v>
      </c>
      <c r="D402" s="4">
        <f t="shared" si="21"/>
        <v>-970.46599999999853</v>
      </c>
      <c r="E402" s="92">
        <f t="shared" si="22"/>
        <v>-1.2238978095661268</v>
      </c>
      <c r="F402" s="4">
        <f t="shared" si="23"/>
        <v>487.81199999998898</v>
      </c>
      <c r="G402" s="4">
        <v>78810.403999999995</v>
      </c>
    </row>
    <row r="403" spans="1:7" hidden="1" outlineLevel="1" x14ac:dyDescent="0.2">
      <c r="A403" s="15">
        <v>40725</v>
      </c>
      <c r="B403" s="4">
        <v>17588.010999999999</v>
      </c>
      <c r="C403" s="4">
        <v>15616.998</v>
      </c>
      <c r="D403" s="4">
        <f t="shared" si="21"/>
        <v>1971.012999999999</v>
      </c>
      <c r="E403" s="92">
        <f t="shared" si="22"/>
        <v>2.5009553307200392</v>
      </c>
      <c r="F403" s="4">
        <f t="shared" si="23"/>
        <v>462.86700000000565</v>
      </c>
      <c r="G403" s="4">
        <v>81244.284</v>
      </c>
    </row>
    <row r="404" spans="1:7" hidden="1" outlineLevel="1" x14ac:dyDescent="0.2">
      <c r="A404" s="15">
        <v>40756</v>
      </c>
      <c r="B404" s="4">
        <v>19015.221999999998</v>
      </c>
      <c r="C404" s="4">
        <v>17700.935999999998</v>
      </c>
      <c r="D404" s="4">
        <f t="shared" si="21"/>
        <v>1314.2860000000001</v>
      </c>
      <c r="E404" s="92">
        <f t="shared" si="22"/>
        <v>1.6176965754292327</v>
      </c>
      <c r="F404" s="4">
        <f t="shared" si="23"/>
        <v>515.30600000000413</v>
      </c>
      <c r="G404" s="4">
        <v>83073.876000000004</v>
      </c>
    </row>
    <row r="405" spans="1:7" hidden="1" outlineLevel="1" x14ac:dyDescent="0.2">
      <c r="A405" s="15">
        <v>40787</v>
      </c>
      <c r="B405" s="4">
        <v>17688.300999999999</v>
      </c>
      <c r="C405" s="4">
        <v>16311.909</v>
      </c>
      <c r="D405" s="4">
        <f t="shared" si="21"/>
        <v>1376.3919999999998</v>
      </c>
      <c r="E405" s="92">
        <f t="shared" si="22"/>
        <v>1.6568289169509796</v>
      </c>
      <c r="F405" s="4">
        <f>(G405-G404-D405)</f>
        <v>523.41999999999098</v>
      </c>
      <c r="G405" s="4">
        <v>84973.687999999995</v>
      </c>
    </row>
    <row r="406" spans="1:7" hidden="1" outlineLevel="1" x14ac:dyDescent="0.2">
      <c r="A406" s="15">
        <v>40817</v>
      </c>
      <c r="B406" s="4">
        <v>16333.592000000001</v>
      </c>
      <c r="C406" s="4">
        <v>15741.559000000001</v>
      </c>
      <c r="D406" s="4">
        <f t="shared" si="21"/>
        <v>592.03299999999945</v>
      </c>
      <c r="E406" s="92">
        <f t="shared" si="22"/>
        <v>0.69672508506397834</v>
      </c>
      <c r="F406" s="4">
        <f>(G406-G405-D406)</f>
        <v>496.27200000000812</v>
      </c>
      <c r="G406" s="4">
        <v>86061.993000000002</v>
      </c>
    </row>
    <row r="407" spans="1:7" hidden="1" outlineLevel="1" x14ac:dyDescent="0.2">
      <c r="A407" s="15">
        <v>40848</v>
      </c>
      <c r="B407" s="4">
        <v>17758.282999999996</v>
      </c>
      <c r="C407" s="4">
        <v>17705.634000000002</v>
      </c>
      <c r="D407" s="4">
        <f>B407-C407</f>
        <v>52.648999999993976</v>
      </c>
      <c r="E407" s="92">
        <f t="shared" si="22"/>
        <v>6.1175669031966265E-2</v>
      </c>
      <c r="F407" s="4">
        <f>(G407-G406-D407)</f>
        <v>477.7970000000023</v>
      </c>
      <c r="G407" s="4">
        <v>86592.438999999998</v>
      </c>
    </row>
    <row r="408" spans="1:7" hidden="1" outlineLevel="1" x14ac:dyDescent="0.2">
      <c r="A408" s="15">
        <v>40878</v>
      </c>
      <c r="B408" s="4">
        <v>23232.956000000002</v>
      </c>
      <c r="C408" s="4">
        <v>20862.605</v>
      </c>
      <c r="D408" s="4">
        <f>B408-C408</f>
        <v>2370.3510000000024</v>
      </c>
      <c r="E408" s="92">
        <f t="shared" si="22"/>
        <v>2.7373648639230526</v>
      </c>
      <c r="F408" s="4">
        <f>(G408-G407-D408)</f>
        <v>476.93199999999342</v>
      </c>
      <c r="G408" s="4">
        <v>89439.721999999994</v>
      </c>
    </row>
    <row r="409" spans="1:7" hidden="1" collapsed="1" x14ac:dyDescent="0.2">
      <c r="A409" s="16" t="s">
        <v>69</v>
      </c>
      <c r="B409" s="12">
        <f>SUM(B397:B408)</f>
        <v>202445.96299999999</v>
      </c>
      <c r="C409" s="12">
        <f>SUM(C397:C408)</f>
        <v>197601.30600000001</v>
      </c>
      <c r="D409" s="12">
        <f>SUM(D397:D408)</f>
        <v>4844.6569999999956</v>
      </c>
      <c r="E409" s="91">
        <f>(D409/G396*100)</f>
        <v>6.1386489662378736</v>
      </c>
      <c r="F409" s="12">
        <f>SUM(F397:F408)</f>
        <v>5674.4910000000054</v>
      </c>
      <c r="G409" s="14">
        <f>G408</f>
        <v>89439.721999999994</v>
      </c>
    </row>
    <row r="410" spans="1:7" hidden="1" outlineLevel="1" x14ac:dyDescent="0.2">
      <c r="A410" s="15">
        <v>40909</v>
      </c>
      <c r="B410" s="4">
        <v>19037.599999999999</v>
      </c>
      <c r="C410" s="4">
        <v>18633.121999999999</v>
      </c>
      <c r="D410" s="4">
        <f t="shared" ref="D410:D418" si="24">B410-C410</f>
        <v>404.47799999999916</v>
      </c>
      <c r="E410" s="92">
        <f t="shared" ref="E410:E421" si="25">D410/G409*100</f>
        <v>0.45223530547199065</v>
      </c>
      <c r="F410" s="4">
        <f t="shared" ref="F410:F421" si="26">(G410-G409-D410)</f>
        <v>514.94900000001144</v>
      </c>
      <c r="G410" s="4">
        <v>90359.149000000005</v>
      </c>
    </row>
    <row r="411" spans="1:7" hidden="1" outlineLevel="1" x14ac:dyDescent="0.2">
      <c r="A411" s="15">
        <v>40940</v>
      </c>
      <c r="B411" s="4">
        <v>16223.384</v>
      </c>
      <c r="C411" s="4">
        <v>16426.238000000001</v>
      </c>
      <c r="D411" s="4">
        <f t="shared" si="24"/>
        <v>-202.85400000000118</v>
      </c>
      <c r="E411" s="92">
        <f t="shared" si="25"/>
        <v>-0.22449746621673161</v>
      </c>
      <c r="F411" s="4">
        <f t="shared" si="26"/>
        <v>505.75600000000304</v>
      </c>
      <c r="G411" s="4">
        <v>90662.051000000007</v>
      </c>
    </row>
    <row r="412" spans="1:7" hidden="1" outlineLevel="1" x14ac:dyDescent="0.2">
      <c r="A412" s="15">
        <v>40969</v>
      </c>
      <c r="B412" s="4">
        <v>18705.552</v>
      </c>
      <c r="C412" s="4">
        <v>18687.965</v>
      </c>
      <c r="D412" s="4">
        <f t="shared" si="24"/>
        <v>17.586999999999534</v>
      </c>
      <c r="E412" s="92">
        <f t="shared" si="25"/>
        <v>1.9398414006759603E-2</v>
      </c>
      <c r="F412" s="4">
        <f t="shared" si="26"/>
        <v>455.28199999999197</v>
      </c>
      <c r="G412" s="4">
        <v>91134.92</v>
      </c>
    </row>
    <row r="413" spans="1:7" hidden="1" outlineLevel="1" x14ac:dyDescent="0.2">
      <c r="A413" s="15">
        <v>41000</v>
      </c>
      <c r="B413" s="4">
        <v>18606.128000000001</v>
      </c>
      <c r="C413" s="4">
        <v>18170.61</v>
      </c>
      <c r="D413" s="4">
        <f t="shared" si="24"/>
        <v>435.51800000000003</v>
      </c>
      <c r="E413" s="92">
        <f t="shared" si="25"/>
        <v>0.47788268207181184</v>
      </c>
      <c r="F413" s="4">
        <f t="shared" si="26"/>
        <v>504.05699999999706</v>
      </c>
      <c r="G413" s="4">
        <v>92074.494999999995</v>
      </c>
    </row>
    <row r="414" spans="1:7" hidden="1" outlineLevel="1" x14ac:dyDescent="0.2">
      <c r="A414" s="15">
        <v>41030</v>
      </c>
      <c r="B414" s="4">
        <v>18454.722000000002</v>
      </c>
      <c r="C414" s="4">
        <v>17112.233</v>
      </c>
      <c r="D414" s="4">
        <f t="shared" si="24"/>
        <v>1342.4890000000014</v>
      </c>
      <c r="E414" s="92">
        <f t="shared" si="25"/>
        <v>1.4580465524138921</v>
      </c>
      <c r="F414" s="4">
        <f t="shared" si="26"/>
        <v>458.22800000000279</v>
      </c>
      <c r="G414" s="4">
        <v>93875.212</v>
      </c>
    </row>
    <row r="415" spans="1:7" hidden="1" outlineLevel="1" x14ac:dyDescent="0.2">
      <c r="A415" s="15">
        <v>41061</v>
      </c>
      <c r="B415" s="4">
        <v>18045.352999999999</v>
      </c>
      <c r="C415" s="4">
        <v>17024.562999999998</v>
      </c>
      <c r="D415" s="4">
        <f t="shared" si="24"/>
        <v>1020.7900000000009</v>
      </c>
      <c r="E415" s="92">
        <f t="shared" si="25"/>
        <v>1.0873903539094014</v>
      </c>
      <c r="F415" s="4">
        <f t="shared" si="26"/>
        <v>471.64300000000367</v>
      </c>
      <c r="G415" s="4">
        <v>95367.645000000004</v>
      </c>
    </row>
    <row r="416" spans="1:7" hidden="1" outlineLevel="1" x14ac:dyDescent="0.2">
      <c r="A416" s="15">
        <v>41091</v>
      </c>
      <c r="B416" s="4">
        <v>20556.958999999999</v>
      </c>
      <c r="C416" s="4">
        <v>18353.14</v>
      </c>
      <c r="D416" s="4">
        <f t="shared" si="24"/>
        <v>2203.8189999999995</v>
      </c>
      <c r="E416" s="92">
        <f t="shared" si="25"/>
        <v>2.3108665417920298</v>
      </c>
      <c r="F416" s="4">
        <f t="shared" si="26"/>
        <v>461.5779999999977</v>
      </c>
      <c r="G416" s="4">
        <v>98033.042000000001</v>
      </c>
    </row>
    <row r="417" spans="1:7" hidden="1" outlineLevel="1" x14ac:dyDescent="0.2">
      <c r="A417" s="15">
        <v>41122</v>
      </c>
      <c r="B417" s="4">
        <v>19929.268</v>
      </c>
      <c r="C417" s="4">
        <v>18542.754000000001</v>
      </c>
      <c r="D417" s="4">
        <f t="shared" si="24"/>
        <v>1386.5139999999992</v>
      </c>
      <c r="E417" s="92">
        <f t="shared" si="25"/>
        <v>1.4143333428335307</v>
      </c>
      <c r="F417" s="4">
        <f t="shared" si="26"/>
        <v>474.81899999999951</v>
      </c>
      <c r="G417" s="4">
        <v>99894.375</v>
      </c>
    </row>
    <row r="418" spans="1:7" hidden="1" outlineLevel="1" x14ac:dyDescent="0.2">
      <c r="A418" s="15">
        <v>41153</v>
      </c>
      <c r="B418" s="4">
        <v>17585.419000000002</v>
      </c>
      <c r="C418" s="4">
        <v>15902.347</v>
      </c>
      <c r="D418" s="4">
        <f t="shared" si="24"/>
        <v>1683.0720000000019</v>
      </c>
      <c r="E418" s="92">
        <f t="shared" si="25"/>
        <v>1.68485162452841</v>
      </c>
      <c r="F418" s="4">
        <f t="shared" si="26"/>
        <v>471.36999999999352</v>
      </c>
      <c r="G418" s="4">
        <v>102048.817</v>
      </c>
    </row>
    <row r="419" spans="1:7" hidden="1" outlineLevel="1" x14ac:dyDescent="0.2">
      <c r="A419" s="15">
        <v>41183</v>
      </c>
      <c r="B419" s="4">
        <v>20912.805</v>
      </c>
      <c r="C419" s="4">
        <v>19856.311000000002</v>
      </c>
      <c r="D419" s="4">
        <f>B419-C419</f>
        <v>1056.4939999999988</v>
      </c>
      <c r="E419" s="92">
        <f t="shared" si="25"/>
        <v>1.0352829469840878</v>
      </c>
      <c r="F419" s="4">
        <f t="shared" si="26"/>
        <v>473.75200000000041</v>
      </c>
      <c r="G419" s="4">
        <v>103579.06299999999</v>
      </c>
    </row>
    <row r="420" spans="1:7" hidden="1" outlineLevel="1" x14ac:dyDescent="0.2">
      <c r="A420" s="15">
        <v>41214</v>
      </c>
      <c r="B420" s="4">
        <v>19351.017</v>
      </c>
      <c r="C420" s="4">
        <v>18550.767</v>
      </c>
      <c r="D420" s="4">
        <f>B420-C420</f>
        <v>800.25</v>
      </c>
      <c r="E420" s="92">
        <f t="shared" si="25"/>
        <v>0.77259822286671975</v>
      </c>
      <c r="F420" s="4">
        <f t="shared" si="26"/>
        <v>474.26900000000023</v>
      </c>
      <c r="G420" s="4">
        <v>104853.58199999999</v>
      </c>
    </row>
    <row r="421" spans="1:7" hidden="1" outlineLevel="1" x14ac:dyDescent="0.2">
      <c r="A421" s="15">
        <v>41244</v>
      </c>
      <c r="B421" s="4">
        <v>23583.724999999999</v>
      </c>
      <c r="C421" s="4">
        <v>21251.898000000001</v>
      </c>
      <c r="D421" s="4">
        <f>B421-C421</f>
        <v>2331.8269999999975</v>
      </c>
      <c r="E421" s="92">
        <f t="shared" si="25"/>
        <v>2.2238887365812623</v>
      </c>
      <c r="F421" s="4">
        <f t="shared" si="26"/>
        <v>475.36300000000483</v>
      </c>
      <c r="G421" s="4">
        <v>107660.772</v>
      </c>
    </row>
    <row r="422" spans="1:7" hidden="1" collapsed="1" x14ac:dyDescent="0.2">
      <c r="A422" s="16" t="s">
        <v>70</v>
      </c>
      <c r="B422" s="12">
        <f>SUM(B410:B421)</f>
        <v>230991.932</v>
      </c>
      <c r="C422" s="12">
        <f>SUM(C410:C421)</f>
        <v>218511.94799999997</v>
      </c>
      <c r="D422" s="12">
        <f>SUM(D410:D421)</f>
        <v>12479.983999999997</v>
      </c>
      <c r="E422" s="91">
        <f>(D422/G409*100)</f>
        <v>13.953513853721503</v>
      </c>
      <c r="F422" s="12">
        <f>SUM(F410:F421)</f>
        <v>5741.0660000000062</v>
      </c>
      <c r="G422" s="14">
        <f>INDEX($G$410:$G$421,COUNTA($G$410:$G$421))</f>
        <v>107660.772</v>
      </c>
    </row>
    <row r="423" spans="1:7" hidden="1" outlineLevel="1" x14ac:dyDescent="0.2">
      <c r="A423" s="15">
        <v>41275</v>
      </c>
      <c r="B423" s="4">
        <v>22865.95</v>
      </c>
      <c r="C423" s="4">
        <v>21549.579000000002</v>
      </c>
      <c r="D423" s="4">
        <f t="shared" ref="D423:D429" si="27">B423-C423</f>
        <v>1316.3709999999992</v>
      </c>
      <c r="E423" s="92">
        <f t="shared" ref="E423:E434" si="28">D423/G422*100</f>
        <v>1.2227025457331844</v>
      </c>
      <c r="F423" s="4">
        <f t="shared" ref="F423:F429" si="29">(G423-G422-D423)</f>
        <v>488.06700000001001</v>
      </c>
      <c r="G423" s="4">
        <v>109465.21</v>
      </c>
    </row>
    <row r="424" spans="1:7" hidden="1" outlineLevel="1" x14ac:dyDescent="0.2">
      <c r="A424" s="15">
        <v>41306</v>
      </c>
      <c r="B424" s="4">
        <v>18299.221000000001</v>
      </c>
      <c r="C424" s="4">
        <v>17729.735000000001</v>
      </c>
      <c r="D424" s="4">
        <f t="shared" si="27"/>
        <v>569.48600000000079</v>
      </c>
      <c r="E424" s="92">
        <f t="shared" si="28"/>
        <v>0.52024382906678823</v>
      </c>
      <c r="F424" s="4">
        <f t="shared" si="29"/>
        <v>491.79899999998815</v>
      </c>
      <c r="G424" s="4">
        <v>110526.495</v>
      </c>
    </row>
    <row r="425" spans="1:7" hidden="1" outlineLevel="1" x14ac:dyDescent="0.2">
      <c r="A425" s="15">
        <v>41334</v>
      </c>
      <c r="B425" s="4">
        <v>20632.935000000001</v>
      </c>
      <c r="C425" s="4">
        <v>19196.034</v>
      </c>
      <c r="D425" s="4">
        <f t="shared" si="27"/>
        <v>1436.9010000000017</v>
      </c>
      <c r="E425" s="92">
        <f t="shared" si="28"/>
        <v>1.3000511777741632</v>
      </c>
      <c r="F425" s="4">
        <f t="shared" si="29"/>
        <v>498.48300000000381</v>
      </c>
      <c r="G425" s="4">
        <v>112461.879</v>
      </c>
    </row>
    <row r="426" spans="1:7" hidden="1" outlineLevel="1" x14ac:dyDescent="0.2">
      <c r="A426" s="15">
        <v>41365</v>
      </c>
      <c r="B426" s="4">
        <v>22753.055</v>
      </c>
      <c r="C426" s="4">
        <v>21928.268</v>
      </c>
      <c r="D426" s="4">
        <f t="shared" si="27"/>
        <v>824.78700000000026</v>
      </c>
      <c r="E426" s="92">
        <f t="shared" si="28"/>
        <v>0.7333925124975017</v>
      </c>
      <c r="F426" s="4">
        <f t="shared" si="29"/>
        <v>503.93199999999706</v>
      </c>
      <c r="G426" s="4">
        <v>113790.598</v>
      </c>
    </row>
    <row r="427" spans="1:7" hidden="1" outlineLevel="1" x14ac:dyDescent="0.2">
      <c r="A427" s="15">
        <v>41395</v>
      </c>
      <c r="B427" s="4">
        <v>24161.491000000002</v>
      </c>
      <c r="C427" s="4">
        <v>22741.697</v>
      </c>
      <c r="D427" s="4">
        <f t="shared" si="27"/>
        <v>1419.7940000000017</v>
      </c>
      <c r="E427" s="92">
        <f t="shared" si="28"/>
        <v>1.2477252294605234</v>
      </c>
      <c r="F427" s="4">
        <f t="shared" si="29"/>
        <v>508.43999999999505</v>
      </c>
      <c r="G427" s="4">
        <v>115718.83199999999</v>
      </c>
    </row>
    <row r="428" spans="1:7" hidden="1" outlineLevel="1" x14ac:dyDescent="0.2">
      <c r="A428" s="15">
        <v>41426</v>
      </c>
      <c r="B428" s="4">
        <v>24546.946</v>
      </c>
      <c r="C428" s="4">
        <v>21807.127</v>
      </c>
      <c r="D428" s="4">
        <f t="shared" si="27"/>
        <v>2739.8189999999995</v>
      </c>
      <c r="E428" s="92">
        <f t="shared" si="28"/>
        <v>2.3676517924066149</v>
      </c>
      <c r="F428" s="4">
        <f t="shared" si="29"/>
        <v>520.30300000000352</v>
      </c>
      <c r="G428" s="4">
        <v>118978.954</v>
      </c>
    </row>
    <row r="429" spans="1:7" hidden="1" outlineLevel="1" x14ac:dyDescent="0.2">
      <c r="A429" s="15">
        <v>41456</v>
      </c>
      <c r="B429" s="4">
        <v>25294.603999999999</v>
      </c>
      <c r="C429" s="4">
        <v>23849.858</v>
      </c>
      <c r="D429" s="4">
        <f t="shared" si="27"/>
        <v>1444.7459999999992</v>
      </c>
      <c r="E429" s="92">
        <f t="shared" si="28"/>
        <v>1.2142870242412782</v>
      </c>
      <c r="F429" s="4">
        <f t="shared" si="29"/>
        <v>550.33699999999953</v>
      </c>
      <c r="G429" s="4">
        <v>120974.037</v>
      </c>
    </row>
    <row r="430" spans="1:7" hidden="1" outlineLevel="1" x14ac:dyDescent="0.2">
      <c r="A430" s="15">
        <v>41487</v>
      </c>
      <c r="B430" s="4">
        <v>23813.722000000002</v>
      </c>
      <c r="C430" s="4">
        <v>23109.006000000001</v>
      </c>
      <c r="D430" s="4">
        <f>B430-C430</f>
        <v>704.71600000000035</v>
      </c>
      <c r="E430" s="92">
        <f t="shared" si="28"/>
        <v>0.5825349120158736</v>
      </c>
      <c r="F430" s="4">
        <f>(G430-G429-D430)</f>
        <v>581</v>
      </c>
      <c r="G430" s="4">
        <v>122259.753</v>
      </c>
    </row>
    <row r="431" spans="1:7" hidden="1" outlineLevel="1" x14ac:dyDescent="0.2">
      <c r="A431" s="15">
        <v>41518</v>
      </c>
      <c r="B431" s="4">
        <v>22803.698</v>
      </c>
      <c r="C431" s="4">
        <v>21217.177</v>
      </c>
      <c r="D431" s="4">
        <f>B431-C431</f>
        <v>1586.5210000000006</v>
      </c>
      <c r="E431" s="92">
        <f t="shared" si="28"/>
        <v>1.2976641626292185</v>
      </c>
      <c r="F431" s="4">
        <f>(G431-G430-D431)</f>
        <v>601.94700000000739</v>
      </c>
      <c r="G431" s="4">
        <v>124448.22100000001</v>
      </c>
    </row>
    <row r="432" spans="1:7" hidden="1" outlineLevel="1" x14ac:dyDescent="0.2">
      <c r="A432" s="15">
        <v>41548</v>
      </c>
      <c r="B432" s="4">
        <v>23753.330999999998</v>
      </c>
      <c r="C432" s="4">
        <v>22977.239000000001</v>
      </c>
      <c r="D432" s="4">
        <f>B432-C432</f>
        <v>776.09199999999691</v>
      </c>
      <c r="E432" s="92">
        <f t="shared" si="28"/>
        <v>0.6236264317510789</v>
      </c>
      <c r="F432" s="4">
        <f>(G432-G431-D432)</f>
        <v>630.82199999999284</v>
      </c>
      <c r="G432" s="4">
        <v>125855.13499999999</v>
      </c>
    </row>
    <row r="433" spans="1:7" hidden="1" outlineLevel="1" x14ac:dyDescent="0.2">
      <c r="A433" s="15">
        <v>41579</v>
      </c>
      <c r="B433" s="4">
        <v>23024.808000000001</v>
      </c>
      <c r="C433" s="4">
        <v>22027.429</v>
      </c>
      <c r="D433" s="4">
        <f>B433-C433</f>
        <v>997.37900000000081</v>
      </c>
      <c r="E433" s="92">
        <f t="shared" si="28"/>
        <v>0.79248176882095511</v>
      </c>
      <c r="F433" s="4">
        <f>(G433-G432-D433)</f>
        <v>683.28700000001118</v>
      </c>
      <c r="G433" s="4">
        <v>127535.80100000001</v>
      </c>
    </row>
    <row r="434" spans="1:7" hidden="1" outlineLevel="1" x14ac:dyDescent="0.2">
      <c r="A434" s="15">
        <v>41609</v>
      </c>
      <c r="B434" s="4">
        <v>30446.296999999999</v>
      </c>
      <c r="C434" s="4">
        <v>27496.065999999999</v>
      </c>
      <c r="D434" s="4">
        <f>B434-C434</f>
        <v>2950.2309999999998</v>
      </c>
      <c r="E434" s="92">
        <f t="shared" si="28"/>
        <v>2.3132571222099432</v>
      </c>
      <c r="F434" s="4">
        <f>(G434-G433-D434)</f>
        <v>668.38399999999092</v>
      </c>
      <c r="G434" s="4">
        <v>131154.416</v>
      </c>
    </row>
    <row r="435" spans="1:7" hidden="1" collapsed="1" x14ac:dyDescent="0.2">
      <c r="A435" s="16" t="s">
        <v>71</v>
      </c>
      <c r="B435" s="12">
        <f>SUM(B423:B434)</f>
        <v>282396.05800000002</v>
      </c>
      <c r="C435" s="12">
        <f>SUM(C423:C434)</f>
        <v>265629.21500000003</v>
      </c>
      <c r="D435" s="12">
        <f>SUM(D423:D434)</f>
        <v>16766.843000000001</v>
      </c>
      <c r="E435" s="91">
        <f>(D435/G422*100)</f>
        <v>15.573771847001062</v>
      </c>
      <c r="F435" s="12">
        <f>SUM(F423:F434)</f>
        <v>6726.8009999999995</v>
      </c>
      <c r="G435" s="14">
        <f>INDEX($G$423:$G$434,COUNTA($G$423:$G$434))</f>
        <v>131154.416</v>
      </c>
    </row>
    <row r="436" spans="1:7" hidden="1" outlineLevel="1" x14ac:dyDescent="0.2">
      <c r="A436" s="15">
        <v>41640</v>
      </c>
      <c r="B436" s="4">
        <v>25449.557000000001</v>
      </c>
      <c r="C436" s="4">
        <v>24416.484</v>
      </c>
      <c r="D436" s="4">
        <f t="shared" ref="D436:D441" si="30">B436-C436</f>
        <v>1033.0730000000003</v>
      </c>
      <c r="E436" s="92">
        <f t="shared" ref="E436:E447" si="31">D436/G435*100</f>
        <v>0.78767687090307381</v>
      </c>
      <c r="F436" s="4">
        <f t="shared" ref="F436:F441" si="32">(G436-G435-D436)</f>
        <v>685.14300000001458</v>
      </c>
      <c r="G436" s="4">
        <v>132872.63200000001</v>
      </c>
    </row>
    <row r="437" spans="1:7" hidden="1" outlineLevel="1" x14ac:dyDescent="0.2">
      <c r="A437" s="15">
        <v>41671</v>
      </c>
      <c r="B437" s="4">
        <v>22823.679</v>
      </c>
      <c r="C437" s="4">
        <v>22888.738000000001</v>
      </c>
      <c r="D437" s="4">
        <f t="shared" si="30"/>
        <v>-65.059000000001106</v>
      </c>
      <c r="E437" s="92">
        <f t="shared" si="31"/>
        <v>-4.8963431385931386E-2</v>
      </c>
      <c r="F437" s="4">
        <f t="shared" si="32"/>
        <v>766.68400000000111</v>
      </c>
      <c r="G437" s="4">
        <v>133574.25700000001</v>
      </c>
    </row>
    <row r="438" spans="1:7" hidden="1" outlineLevel="1" x14ac:dyDescent="0.2">
      <c r="A438" s="15">
        <v>41699</v>
      </c>
      <c r="B438" s="4">
        <v>22772.937000000002</v>
      </c>
      <c r="C438" s="4">
        <v>22691.819</v>
      </c>
      <c r="D438" s="4">
        <f t="shared" si="30"/>
        <v>81.118000000002212</v>
      </c>
      <c r="E438" s="92">
        <f t="shared" si="31"/>
        <v>6.0728767519928784E-2</v>
      </c>
      <c r="F438" s="4">
        <f t="shared" si="32"/>
        <v>665.16599999998289</v>
      </c>
      <c r="G438" s="4">
        <v>134320.541</v>
      </c>
    </row>
    <row r="439" spans="1:7" hidden="1" outlineLevel="1" x14ac:dyDescent="0.2">
      <c r="A439" s="15">
        <v>41730</v>
      </c>
      <c r="B439" s="4">
        <v>23724.655999999999</v>
      </c>
      <c r="C439" s="4">
        <v>24262.267</v>
      </c>
      <c r="D439" s="4">
        <f t="shared" si="30"/>
        <v>-537.61100000000079</v>
      </c>
      <c r="E439" s="92">
        <f t="shared" si="31"/>
        <v>-0.40024481438025239</v>
      </c>
      <c r="F439" s="4">
        <f t="shared" si="32"/>
        <v>737.87799999999334</v>
      </c>
      <c r="G439" s="4">
        <v>134520.80799999999</v>
      </c>
    </row>
    <row r="440" spans="1:7" hidden="1" outlineLevel="1" x14ac:dyDescent="0.2">
      <c r="A440" s="15">
        <v>41760</v>
      </c>
      <c r="B440" s="4">
        <v>25605.455999999998</v>
      </c>
      <c r="C440" s="4">
        <v>25512.936000000002</v>
      </c>
      <c r="D440" s="4">
        <f t="shared" si="30"/>
        <v>92.519999999996799</v>
      </c>
      <c r="E440" s="92">
        <f t="shared" si="31"/>
        <v>6.8777463780916939E-2</v>
      </c>
      <c r="F440" s="4">
        <f t="shared" si="32"/>
        <v>675.98800000000483</v>
      </c>
      <c r="G440" s="4">
        <v>135289.31599999999</v>
      </c>
    </row>
    <row r="441" spans="1:7" hidden="1" outlineLevel="1" x14ac:dyDescent="0.2">
      <c r="A441" s="15">
        <v>41791</v>
      </c>
      <c r="B441" s="4">
        <v>24882.427</v>
      </c>
      <c r="C441" s="4">
        <v>24198.313999999998</v>
      </c>
      <c r="D441" s="4">
        <f t="shared" si="30"/>
        <v>684.11300000000119</v>
      </c>
      <c r="E441" s="92">
        <f t="shared" si="31"/>
        <v>0.50566668546095783</v>
      </c>
      <c r="F441" s="4">
        <f t="shared" si="32"/>
        <v>756.0580000000009</v>
      </c>
      <c r="G441" s="4">
        <v>136729.48699999999</v>
      </c>
    </row>
    <row r="442" spans="1:7" hidden="1" outlineLevel="1" x14ac:dyDescent="0.2">
      <c r="A442" s="15">
        <v>41821</v>
      </c>
      <c r="B442" s="4">
        <v>28120.809000000001</v>
      </c>
      <c r="C442" s="4">
        <v>26959.921999999999</v>
      </c>
      <c r="D442" s="4">
        <f t="shared" ref="D442:D447" si="33">B442-C442</f>
        <v>1160.8870000000024</v>
      </c>
      <c r="E442" s="92">
        <f t="shared" si="31"/>
        <v>0.84903924198882019</v>
      </c>
      <c r="F442" s="4">
        <f t="shared" ref="F442:F447" si="34">(G442-G441-D442)</f>
        <v>736.54700000000594</v>
      </c>
      <c r="G442" s="4">
        <v>138626.921</v>
      </c>
    </row>
    <row r="443" spans="1:7" hidden="1" outlineLevel="1" x14ac:dyDescent="0.2">
      <c r="A443" s="15">
        <v>41852</v>
      </c>
      <c r="B443" s="4">
        <v>25774.106</v>
      </c>
      <c r="C443" s="4">
        <v>26201.319</v>
      </c>
      <c r="D443" s="4">
        <f t="shared" si="33"/>
        <v>-427.21299999999974</v>
      </c>
      <c r="E443" s="92">
        <f t="shared" si="31"/>
        <v>-0.3081746293708707</v>
      </c>
      <c r="F443" s="4">
        <f t="shared" si="34"/>
        <v>794.03900000000067</v>
      </c>
      <c r="G443" s="4">
        <v>138993.747</v>
      </c>
    </row>
    <row r="444" spans="1:7" hidden="1" outlineLevel="1" x14ac:dyDescent="0.2">
      <c r="A444" s="15">
        <v>41883</v>
      </c>
      <c r="B444" s="4">
        <v>27219.737000000001</v>
      </c>
      <c r="C444" s="4">
        <v>27544.22</v>
      </c>
      <c r="D444" s="4">
        <f t="shared" si="33"/>
        <v>-324.48300000000017</v>
      </c>
      <c r="E444" s="92">
        <f t="shared" si="31"/>
        <v>-0.23345150915314211</v>
      </c>
      <c r="F444" s="4">
        <f t="shared" si="34"/>
        <v>790.62199999999575</v>
      </c>
      <c r="G444" s="4">
        <v>139459.886</v>
      </c>
    </row>
    <row r="445" spans="1:7" hidden="1" outlineLevel="1" x14ac:dyDescent="0.2">
      <c r="A445" s="15">
        <v>41913</v>
      </c>
      <c r="B445" s="4">
        <v>26737.182000000001</v>
      </c>
      <c r="C445" s="4">
        <v>27738.742999999999</v>
      </c>
      <c r="D445" s="4">
        <f t="shared" si="33"/>
        <v>-1001.5609999999979</v>
      </c>
      <c r="E445" s="92">
        <f t="shared" si="31"/>
        <v>-0.71817138872463859</v>
      </c>
      <c r="F445" s="4">
        <f t="shared" si="34"/>
        <v>772.72699999999531</v>
      </c>
      <c r="G445" s="4">
        <v>139231.052</v>
      </c>
    </row>
    <row r="446" spans="1:7" hidden="1" outlineLevel="1" x14ac:dyDescent="0.2">
      <c r="A446" s="15">
        <v>41944</v>
      </c>
      <c r="B446" s="4">
        <v>25498.377</v>
      </c>
      <c r="C446" s="4">
        <v>26571.802</v>
      </c>
      <c r="D446" s="4">
        <f t="shared" si="33"/>
        <v>-1073.4249999999993</v>
      </c>
      <c r="E446" s="92">
        <f t="shared" si="31"/>
        <v>-0.77096666625775356</v>
      </c>
      <c r="F446" s="4">
        <f t="shared" si="34"/>
        <v>797.92100000001301</v>
      </c>
      <c r="G446" s="4">
        <v>138955.54800000001</v>
      </c>
    </row>
    <row r="447" spans="1:7" hidden="1" outlineLevel="1" x14ac:dyDescent="0.2">
      <c r="A447" s="15">
        <v>41974</v>
      </c>
      <c r="B447" s="4">
        <v>33428.347000000002</v>
      </c>
      <c r="C447" s="4">
        <v>32775.283000000003</v>
      </c>
      <c r="D447" s="4">
        <f t="shared" si="33"/>
        <v>653.06399999999849</v>
      </c>
      <c r="E447" s="92">
        <f t="shared" si="31"/>
        <v>0.46998051491977733</v>
      </c>
      <c r="F447" s="4">
        <f t="shared" si="34"/>
        <v>774.99699999998847</v>
      </c>
      <c r="G447" s="4">
        <v>140383.609</v>
      </c>
    </row>
    <row r="448" spans="1:7" hidden="1" collapsed="1" x14ac:dyDescent="0.2">
      <c r="A448" s="16" t="s">
        <v>72</v>
      </c>
      <c r="B448" s="12">
        <f>SUM(B436:B447)</f>
        <v>312037.27</v>
      </c>
      <c r="C448" s="12">
        <f>SUM(C436:C447)</f>
        <v>311761.84699999995</v>
      </c>
      <c r="D448" s="12">
        <f>SUM(D436:D447)</f>
        <v>275.4230000000025</v>
      </c>
      <c r="E448" s="91">
        <f>(D448/G435*100)</f>
        <v>0.20999902893090733</v>
      </c>
      <c r="F448" s="12">
        <f>SUM(F436:F447)</f>
        <v>8953.7699999999968</v>
      </c>
      <c r="G448" s="14">
        <f>INDEX($G$436:$G$447,COUNTA($G$436:$G$447))</f>
        <v>140383.609</v>
      </c>
    </row>
    <row r="449" spans="1:7" hidden="1" outlineLevel="1" x14ac:dyDescent="0.2">
      <c r="A449" s="15">
        <v>42005</v>
      </c>
      <c r="B449" s="4">
        <v>26177.624</v>
      </c>
      <c r="C449" s="4">
        <v>27252.487000000001</v>
      </c>
      <c r="D449" s="4">
        <f t="shared" ref="D449:D455" si="35">B449-C449</f>
        <v>-1074.8630000000012</v>
      </c>
      <c r="E449" s="92">
        <f t="shared" ref="E449:E460" si="36">D449/G448*100</f>
        <v>-0.76566132446416968</v>
      </c>
      <c r="F449" s="4">
        <f>IF(G449="",0,(G449-G448-D449))</f>
        <v>765.88299999999072</v>
      </c>
      <c r="G449" s="4">
        <v>140074.62899999999</v>
      </c>
    </row>
    <row r="450" spans="1:7" hidden="1" outlineLevel="1" x14ac:dyDescent="0.2">
      <c r="A450" s="15">
        <v>42036</v>
      </c>
      <c r="B450" s="4">
        <v>23006.432000000001</v>
      </c>
      <c r="C450" s="4">
        <v>24398.741999999998</v>
      </c>
      <c r="D450" s="4">
        <f t="shared" si="35"/>
        <v>-1392.3099999999977</v>
      </c>
      <c r="E450" s="92">
        <f t="shared" si="36"/>
        <v>-0.99397728906353044</v>
      </c>
      <c r="F450" s="4">
        <f t="shared" ref="F450:F460" si="37">IF(G450="",0,(G450-G449-D450))</f>
        <v>789.0910000000149</v>
      </c>
      <c r="G450" s="4">
        <v>139471.41</v>
      </c>
    </row>
    <row r="451" spans="1:7" hidden="1" outlineLevel="1" x14ac:dyDescent="0.2">
      <c r="A451" s="15">
        <v>42064</v>
      </c>
      <c r="B451" s="4">
        <v>27371.924999999999</v>
      </c>
      <c r="C451" s="4">
        <v>29608.954000000002</v>
      </c>
      <c r="D451" s="4">
        <f t="shared" si="35"/>
        <v>-2237.0290000000023</v>
      </c>
      <c r="E451" s="92">
        <f t="shared" si="36"/>
        <v>-1.6039337381044634</v>
      </c>
      <c r="F451" s="4">
        <f t="shared" si="37"/>
        <v>754.6160000000018</v>
      </c>
      <c r="G451" s="4">
        <v>137988.997</v>
      </c>
    </row>
    <row r="452" spans="1:7" hidden="1" outlineLevel="1" x14ac:dyDescent="0.2">
      <c r="A452" s="15">
        <v>42095</v>
      </c>
      <c r="B452" s="4">
        <v>26366.235000000001</v>
      </c>
      <c r="C452" s="4">
        <v>26990.932000000001</v>
      </c>
      <c r="D452" s="4">
        <f t="shared" si="35"/>
        <v>-624.69700000000012</v>
      </c>
      <c r="E452" s="92">
        <f t="shared" si="36"/>
        <v>-0.45271508133362265</v>
      </c>
      <c r="F452" s="4">
        <f t="shared" si="37"/>
        <v>828.68899999999849</v>
      </c>
      <c r="G452" s="4">
        <v>138192.989</v>
      </c>
    </row>
    <row r="453" spans="1:7" hidden="1" outlineLevel="1" x14ac:dyDescent="0.2">
      <c r="A453" s="15">
        <v>42125</v>
      </c>
      <c r="B453" s="4">
        <v>28882.483</v>
      </c>
      <c r="C453" s="4">
        <v>26794.396000000001</v>
      </c>
      <c r="D453" s="4">
        <f t="shared" si="35"/>
        <v>2088.0869999999995</v>
      </c>
      <c r="E453" s="92">
        <f t="shared" si="36"/>
        <v>1.5109934412085113</v>
      </c>
      <c r="F453" s="4">
        <f t="shared" si="37"/>
        <v>787.83799999998882</v>
      </c>
      <c r="G453" s="4">
        <v>141068.91399999999</v>
      </c>
    </row>
    <row r="454" spans="1:7" hidden="1" outlineLevel="1" x14ac:dyDescent="0.2">
      <c r="A454" s="15">
        <v>42156</v>
      </c>
      <c r="B454" s="4">
        <v>30006.9</v>
      </c>
      <c r="C454" s="4">
        <v>29152.546999999999</v>
      </c>
      <c r="D454" s="4">
        <f t="shared" si="35"/>
        <v>854.35300000000279</v>
      </c>
      <c r="E454" s="92">
        <f t="shared" si="36"/>
        <v>0.60562811166179598</v>
      </c>
      <c r="F454" s="4">
        <f t="shared" si="37"/>
        <v>881.35800000000745</v>
      </c>
      <c r="G454" s="4">
        <v>142804.625</v>
      </c>
    </row>
    <row r="455" spans="1:7" hidden="1" outlineLevel="1" x14ac:dyDescent="0.2">
      <c r="A455" s="15">
        <v>42186</v>
      </c>
      <c r="B455" s="4">
        <v>29915.241000000002</v>
      </c>
      <c r="C455" s="4">
        <v>29996.577000000001</v>
      </c>
      <c r="D455" s="4">
        <f t="shared" si="35"/>
        <v>-81.335999999999331</v>
      </c>
      <c r="E455" s="92">
        <f t="shared" si="36"/>
        <v>-5.6956138500415747E-2</v>
      </c>
      <c r="F455" s="4">
        <f t="shared" si="37"/>
        <v>913.13299999999072</v>
      </c>
      <c r="G455" s="4">
        <v>143636.42199999999</v>
      </c>
    </row>
    <row r="456" spans="1:7" hidden="1" outlineLevel="1" x14ac:dyDescent="0.2">
      <c r="A456" s="15">
        <v>42217</v>
      </c>
      <c r="B456" s="4">
        <v>28193.863000000001</v>
      </c>
      <c r="C456" s="4">
        <v>28463.992999999999</v>
      </c>
      <c r="D456" s="4">
        <f>B456-C456</f>
        <v>-270.12999999999738</v>
      </c>
      <c r="E456" s="92">
        <f t="shared" si="36"/>
        <v>-0.18806511345708501</v>
      </c>
      <c r="F456" s="4">
        <f t="shared" si="37"/>
        <v>969.81300000001647</v>
      </c>
      <c r="G456" s="4">
        <v>144336.10500000001</v>
      </c>
    </row>
    <row r="457" spans="1:7" hidden="1" outlineLevel="1" x14ac:dyDescent="0.2">
      <c r="A457" s="15">
        <v>42248</v>
      </c>
      <c r="B457" s="4">
        <v>29631.74</v>
      </c>
      <c r="C457" s="4">
        <v>29548.356</v>
      </c>
      <c r="D457" s="4">
        <f>B457-C457</f>
        <v>83.384000000001834</v>
      </c>
      <c r="E457" s="92">
        <f t="shared" si="36"/>
        <v>5.7770715095853409E-2</v>
      </c>
      <c r="F457" s="4">
        <f t="shared" si="37"/>
        <v>943.42599999999584</v>
      </c>
      <c r="G457" s="4">
        <v>145362.91500000001</v>
      </c>
    </row>
    <row r="458" spans="1:7" hidden="1" outlineLevel="1" x14ac:dyDescent="0.2">
      <c r="A458" s="15">
        <v>42278</v>
      </c>
      <c r="B458" s="4">
        <v>26586.19</v>
      </c>
      <c r="C458" s="4">
        <v>27008.392</v>
      </c>
      <c r="D458" s="4">
        <f>B458-C458</f>
        <v>-422.20200000000114</v>
      </c>
      <c r="E458" s="92">
        <f t="shared" si="36"/>
        <v>-0.29044684471276672</v>
      </c>
      <c r="F458" s="4">
        <f t="shared" si="37"/>
        <v>913.10499999999229</v>
      </c>
      <c r="G458" s="4">
        <v>145853.818</v>
      </c>
    </row>
    <row r="459" spans="1:7" hidden="1" outlineLevel="1" x14ac:dyDescent="0.2">
      <c r="A459" s="15">
        <v>42309</v>
      </c>
      <c r="B459" s="4">
        <v>29639.579000000002</v>
      </c>
      <c r="C459" s="4">
        <v>29980.748</v>
      </c>
      <c r="D459" s="4">
        <f>B459-C459</f>
        <v>-341.16899999999805</v>
      </c>
      <c r="E459" s="92">
        <f t="shared" si="36"/>
        <v>-0.23391160044915521</v>
      </c>
      <c r="F459" s="4">
        <f t="shared" si="37"/>
        <v>919.27599999998711</v>
      </c>
      <c r="G459" s="4">
        <v>146431.92499999999</v>
      </c>
    </row>
    <row r="460" spans="1:7" hidden="1" outlineLevel="1" x14ac:dyDescent="0.2">
      <c r="A460" s="15">
        <v>42339</v>
      </c>
      <c r="B460" s="4">
        <v>35237.523999999998</v>
      </c>
      <c r="C460" s="4">
        <v>35238.116000000002</v>
      </c>
      <c r="D460" s="4">
        <f>B460-C460</f>
        <v>-0.59200000000419095</v>
      </c>
      <c r="E460" s="92">
        <f t="shared" si="36"/>
        <v>-4.0428342385322803E-4</v>
      </c>
      <c r="F460" s="4">
        <f t="shared" si="37"/>
        <v>935.39400000002934</v>
      </c>
      <c r="G460" s="4">
        <v>147366.72700000001</v>
      </c>
    </row>
    <row r="461" spans="1:7" hidden="1" collapsed="1" x14ac:dyDescent="0.2">
      <c r="A461" s="16" t="s">
        <v>73</v>
      </c>
      <c r="B461" s="12">
        <f>SUM(B449:B460)</f>
        <v>341015.73599999998</v>
      </c>
      <c r="C461" s="12">
        <f>SUM(C449:C460)</f>
        <v>344434.24</v>
      </c>
      <c r="D461" s="146">
        <f>SUM(D449:D460)</f>
        <v>-3418.5039999999972</v>
      </c>
      <c r="E461" s="91">
        <f>(D461/G448*100)</f>
        <v>-2.4351161965069563</v>
      </c>
      <c r="F461" s="12">
        <f>SUM(F449:F460)</f>
        <v>10401.622000000014</v>
      </c>
      <c r="G461" s="14">
        <f>INDEX($G$449:$G$460,COUNTA($G$449:$G$460))</f>
        <v>147366.72700000001</v>
      </c>
    </row>
    <row r="462" spans="1:7" hidden="1" outlineLevel="1" x14ac:dyDescent="0.2">
      <c r="A462" s="15">
        <v>42370</v>
      </c>
      <c r="B462" s="4">
        <v>25513.321</v>
      </c>
      <c r="C462" s="4">
        <v>28023.085999999999</v>
      </c>
      <c r="D462" s="4">
        <f t="shared" ref="D462:D468" si="38">B462-C462</f>
        <v>-2509.7649999999994</v>
      </c>
      <c r="E462" s="92">
        <f t="shared" ref="E462:E473" si="39">D462/G461*100</f>
        <v>-1.7030743988770267</v>
      </c>
      <c r="F462" s="4">
        <f>IF(G462="",0,(G462-G461-D462))</f>
        <v>921.00699999999779</v>
      </c>
      <c r="G462" s="4">
        <v>145777.96900000001</v>
      </c>
    </row>
    <row r="463" spans="1:7" hidden="1" outlineLevel="1" x14ac:dyDescent="0.2">
      <c r="A463" s="15">
        <v>42401</v>
      </c>
      <c r="B463" s="4">
        <v>27209.096000000001</v>
      </c>
      <c r="C463" s="4">
        <v>27113.418000000001</v>
      </c>
      <c r="D463" s="4">
        <f t="shared" si="38"/>
        <v>95.677999999999884</v>
      </c>
      <c r="E463" s="92">
        <f t="shared" si="39"/>
        <v>6.5632688297365349E-2</v>
      </c>
      <c r="F463" s="4">
        <f t="shared" ref="F463:F473" si="40">IF(G463="",0,(G463-G462-D463))</f>
        <v>920.12199999998847</v>
      </c>
      <c r="G463" s="4">
        <v>146793.769</v>
      </c>
    </row>
    <row r="464" spans="1:7" hidden="1" outlineLevel="1" x14ac:dyDescent="0.2">
      <c r="A464" s="15">
        <v>42430</v>
      </c>
      <c r="B464" s="4">
        <v>30694.773000000001</v>
      </c>
      <c r="C464" s="4">
        <v>30890.011999999999</v>
      </c>
      <c r="D464" s="4">
        <f t="shared" si="38"/>
        <v>-195.23899999999776</v>
      </c>
      <c r="E464" s="92">
        <f t="shared" si="39"/>
        <v>-0.13300223935254213</v>
      </c>
      <c r="F464" s="4">
        <f t="shared" si="40"/>
        <v>885.01099999999497</v>
      </c>
      <c r="G464" s="4">
        <v>147483.541</v>
      </c>
    </row>
    <row r="465" spans="1:7" hidden="1" outlineLevel="1" x14ac:dyDescent="0.2">
      <c r="A465" s="15">
        <v>42461</v>
      </c>
      <c r="B465" s="4">
        <v>29075.004000000001</v>
      </c>
      <c r="C465" s="4">
        <v>31016.651000000002</v>
      </c>
      <c r="D465" s="4">
        <f t="shared" si="38"/>
        <v>-1941.6470000000008</v>
      </c>
      <c r="E465" s="92">
        <f t="shared" si="39"/>
        <v>-1.316517752987773</v>
      </c>
      <c r="F465" s="4">
        <f t="shared" si="40"/>
        <v>940.43500000000131</v>
      </c>
      <c r="G465" s="4">
        <v>146482.329</v>
      </c>
    </row>
    <row r="466" spans="1:7" hidden="1" outlineLevel="1" x14ac:dyDescent="0.2">
      <c r="A466" s="15">
        <v>42491</v>
      </c>
      <c r="B466" s="4">
        <v>29676.026000000002</v>
      </c>
      <c r="C466" s="4">
        <v>32089.755999999994</v>
      </c>
      <c r="D466" s="4">
        <f t="shared" si="38"/>
        <v>-2413.7299999999923</v>
      </c>
      <c r="E466" s="92">
        <f t="shared" si="39"/>
        <v>-1.6477960286936675</v>
      </c>
      <c r="F466" s="4">
        <f t="shared" si="40"/>
        <v>903.20200000000114</v>
      </c>
      <c r="G466" s="4">
        <v>144971.80100000001</v>
      </c>
    </row>
    <row r="467" spans="1:7" hidden="1" outlineLevel="1" x14ac:dyDescent="0.2">
      <c r="A467" s="15">
        <v>42522</v>
      </c>
      <c r="B467" s="4">
        <v>30331.587</v>
      </c>
      <c r="C467" s="4">
        <v>31260.718000000001</v>
      </c>
      <c r="D467" s="4">
        <f t="shared" si="38"/>
        <v>-929.13100000000122</v>
      </c>
      <c r="E467" s="92">
        <f t="shared" si="39"/>
        <v>-0.64090464048246265</v>
      </c>
      <c r="F467" s="4">
        <f t="shared" si="40"/>
        <v>924.98799999999028</v>
      </c>
      <c r="G467" s="4">
        <v>144967.658</v>
      </c>
    </row>
    <row r="468" spans="1:7" hidden="1" outlineLevel="1" x14ac:dyDescent="0.2">
      <c r="A468" s="15">
        <v>42552</v>
      </c>
      <c r="B468" s="4">
        <v>29055.555</v>
      </c>
      <c r="C468" s="4">
        <v>29259.56</v>
      </c>
      <c r="D468" s="4">
        <f t="shared" si="38"/>
        <v>-204.00500000000102</v>
      </c>
      <c r="E468" s="92">
        <f t="shared" si="39"/>
        <v>-0.1407244918035449</v>
      </c>
      <c r="F468" s="4">
        <f t="shared" si="40"/>
        <v>955.25400000001173</v>
      </c>
      <c r="G468" s="4">
        <v>145718.90700000001</v>
      </c>
    </row>
    <row r="469" spans="1:7" hidden="1" outlineLevel="1" x14ac:dyDescent="0.2">
      <c r="A469" s="15">
        <v>42583</v>
      </c>
      <c r="B469" s="4">
        <v>30464.874</v>
      </c>
      <c r="C469" s="4">
        <v>31414.521000000001</v>
      </c>
      <c r="D469" s="4">
        <f>B469-C469</f>
        <v>-949.64700000000084</v>
      </c>
      <c r="E469" s="92">
        <f t="shared" si="39"/>
        <v>-0.65169786100577931</v>
      </c>
      <c r="F469" s="4">
        <f t="shared" si="40"/>
        <v>976.49700000000666</v>
      </c>
      <c r="G469" s="4">
        <v>145745.75700000001</v>
      </c>
    </row>
    <row r="470" spans="1:7" hidden="1" outlineLevel="1" x14ac:dyDescent="0.2">
      <c r="A470" s="15">
        <v>42614</v>
      </c>
      <c r="B470" s="4">
        <v>25458.789000000001</v>
      </c>
      <c r="C470" s="4">
        <v>25896.838</v>
      </c>
      <c r="D470" s="4">
        <f>B470-C470</f>
        <v>-438.04899999999907</v>
      </c>
      <c r="E470" s="92">
        <f t="shared" si="39"/>
        <v>-0.30055694863213001</v>
      </c>
      <c r="F470" s="4">
        <f t="shared" si="40"/>
        <v>960.34500000000116</v>
      </c>
      <c r="G470" s="4">
        <v>146268.05300000001</v>
      </c>
    </row>
    <row r="471" spans="1:7" hidden="1" outlineLevel="1" x14ac:dyDescent="0.2">
      <c r="A471" s="15">
        <v>42644</v>
      </c>
      <c r="B471" s="4">
        <v>28117.018</v>
      </c>
      <c r="C471" s="4">
        <v>29058.896000000001</v>
      </c>
      <c r="D471" s="4">
        <f>B471-C471</f>
        <v>-941.87800000000061</v>
      </c>
      <c r="E471" s="92">
        <f t="shared" si="39"/>
        <v>-0.64393965782808404</v>
      </c>
      <c r="F471" s="4">
        <f t="shared" si="40"/>
        <v>926.05199999999968</v>
      </c>
      <c r="G471" s="4">
        <v>146252.22700000001</v>
      </c>
    </row>
    <row r="472" spans="1:7" hidden="1" outlineLevel="1" x14ac:dyDescent="0.2">
      <c r="A472" s="15">
        <v>42675</v>
      </c>
      <c r="B472" s="4">
        <v>29406.471000000001</v>
      </c>
      <c r="C472" s="4">
        <v>30125.620999999999</v>
      </c>
      <c r="D472" s="4">
        <f>B472-C472</f>
        <v>-719.14999999999782</v>
      </c>
      <c r="E472" s="92">
        <f t="shared" si="39"/>
        <v>-0.49171900814884534</v>
      </c>
      <c r="F472" s="4">
        <f t="shared" si="40"/>
        <v>917.34699999998338</v>
      </c>
      <c r="G472" s="4">
        <v>146450.424</v>
      </c>
    </row>
    <row r="473" spans="1:7" hidden="1" outlineLevel="1" x14ac:dyDescent="0.2">
      <c r="A473" s="15">
        <v>42705</v>
      </c>
      <c r="B473" s="4">
        <v>35547.548999999999</v>
      </c>
      <c r="C473" s="4">
        <v>33880.192999999999</v>
      </c>
      <c r="D473" s="4">
        <f>B473-C473</f>
        <v>1667.3559999999998</v>
      </c>
      <c r="E473" s="92">
        <f t="shared" si="39"/>
        <v>1.138512238107279</v>
      </c>
      <c r="F473" s="4">
        <f t="shared" si="40"/>
        <v>919.21400000000722</v>
      </c>
      <c r="G473" s="4">
        <v>149036.99400000001</v>
      </c>
    </row>
    <row r="474" spans="1:7" hidden="1" collapsed="1" x14ac:dyDescent="0.2">
      <c r="A474" s="16" t="s">
        <v>74</v>
      </c>
      <c r="B474" s="12">
        <f>SUM(B462:B473)</f>
        <v>350550.06300000002</v>
      </c>
      <c r="C474" s="12">
        <f>SUM(C462:C473)</f>
        <v>360029.27</v>
      </c>
      <c r="D474" s="146">
        <f>SUM(D462:D473)</f>
        <v>-9479.2069999999912</v>
      </c>
      <c r="E474" s="91">
        <f>(D474/G461*100)</f>
        <v>-6.4323929783688492</v>
      </c>
      <c r="F474" s="12">
        <f>SUM(F462:F473)</f>
        <v>11149.473999999984</v>
      </c>
      <c r="G474" s="14">
        <f>INDEX($G$462:$G$473,COUNTA($G$462:$G$473))</f>
        <v>149036.99400000001</v>
      </c>
    </row>
    <row r="475" spans="1:7" hidden="1" outlineLevel="1" x14ac:dyDescent="0.2">
      <c r="A475" s="15">
        <v>42736</v>
      </c>
      <c r="B475" s="4">
        <v>29145.441999999999</v>
      </c>
      <c r="C475" s="4">
        <v>31165.073</v>
      </c>
      <c r="D475" s="4">
        <f t="shared" ref="D475:D481" si="41">B475-C475</f>
        <v>-2019.6310000000012</v>
      </c>
      <c r="E475" s="92">
        <f t="shared" ref="E475:E486" si="42">D475/G474*100</f>
        <v>-1.3551205950919818</v>
      </c>
      <c r="F475" s="4">
        <f>IF(G475="",0,(G475-G474-D475))</f>
        <v>929.47999999998865</v>
      </c>
      <c r="G475" s="4">
        <v>147946.84299999999</v>
      </c>
    </row>
    <row r="476" spans="1:7" hidden="1" outlineLevel="1" x14ac:dyDescent="0.2">
      <c r="A476" s="15">
        <v>42767</v>
      </c>
      <c r="B476" s="4">
        <v>24646.780999999999</v>
      </c>
      <c r="C476" s="4">
        <v>25830.170999999998</v>
      </c>
      <c r="D476" s="4">
        <f t="shared" si="41"/>
        <v>-1183.3899999999994</v>
      </c>
      <c r="E476" s="92">
        <f t="shared" si="42"/>
        <v>-0.79987512812287553</v>
      </c>
      <c r="F476" s="4">
        <f t="shared" ref="F476:F486" si="43">IF(G476="",0,(G476-G475-D476))</f>
        <v>846.88199999999779</v>
      </c>
      <c r="G476" s="4">
        <v>147610.33499999999</v>
      </c>
    </row>
    <row r="477" spans="1:7" hidden="1" outlineLevel="1" x14ac:dyDescent="0.2">
      <c r="A477" s="15">
        <v>42795</v>
      </c>
      <c r="B477" s="4">
        <v>30009.631000000001</v>
      </c>
      <c r="C477" s="4">
        <v>31462.965</v>
      </c>
      <c r="D477" s="4">
        <f t="shared" si="41"/>
        <v>-1453.3339999999989</v>
      </c>
      <c r="E477" s="92">
        <f t="shared" si="42"/>
        <v>-0.98457469119624919</v>
      </c>
      <c r="F477" s="4">
        <f t="shared" si="43"/>
        <v>843.19599999999264</v>
      </c>
      <c r="G477" s="4">
        <v>147000.19699999999</v>
      </c>
    </row>
    <row r="478" spans="1:7" hidden="1" outlineLevel="1" x14ac:dyDescent="0.2">
      <c r="A478" s="15">
        <v>42826</v>
      </c>
      <c r="B478" s="4">
        <v>25190.634999999998</v>
      </c>
      <c r="C478" s="4">
        <v>25970.300999999999</v>
      </c>
      <c r="D478" s="4">
        <f t="shared" si="41"/>
        <v>-779.66600000000108</v>
      </c>
      <c r="E478" s="92">
        <f t="shared" si="42"/>
        <v>-0.53038432322645201</v>
      </c>
      <c r="F478" s="4">
        <f t="shared" si="43"/>
        <v>848.17700000002878</v>
      </c>
      <c r="G478" s="4">
        <v>147068.70800000001</v>
      </c>
    </row>
    <row r="479" spans="1:7" hidden="1" outlineLevel="1" x14ac:dyDescent="0.2">
      <c r="A479" s="15">
        <v>42856</v>
      </c>
      <c r="B479" s="4">
        <v>31838.968000000001</v>
      </c>
      <c r="C479" s="4">
        <v>31718.941999999999</v>
      </c>
      <c r="D479" s="4">
        <f t="shared" si="41"/>
        <v>120.02600000000166</v>
      </c>
      <c r="E479" s="92">
        <f t="shared" si="42"/>
        <v>8.1612194485316106E-2</v>
      </c>
      <c r="F479" s="4">
        <f t="shared" si="43"/>
        <v>737.25599999997576</v>
      </c>
      <c r="G479" s="4">
        <v>147925.99</v>
      </c>
    </row>
    <row r="480" spans="1:7" hidden="1" outlineLevel="1" x14ac:dyDescent="0.2">
      <c r="A480" s="15">
        <v>42887</v>
      </c>
      <c r="B480" s="4">
        <v>30627.172999999999</v>
      </c>
      <c r="C480" s="4">
        <v>29409.393</v>
      </c>
      <c r="D480" s="4">
        <f t="shared" si="41"/>
        <v>1217.7799999999988</v>
      </c>
      <c r="E480" s="92">
        <f t="shared" si="42"/>
        <v>0.82323599794735125</v>
      </c>
      <c r="F480" s="4">
        <f t="shared" si="43"/>
        <v>829.7160000000149</v>
      </c>
      <c r="G480" s="4">
        <v>149973.486</v>
      </c>
    </row>
    <row r="481" spans="1:7" hidden="1" outlineLevel="1" x14ac:dyDescent="0.2">
      <c r="A481" s="15">
        <v>42917</v>
      </c>
      <c r="B481" s="4">
        <v>30178.714</v>
      </c>
      <c r="C481" s="4">
        <v>28946.918000000001</v>
      </c>
      <c r="D481" s="4">
        <f t="shared" si="41"/>
        <v>1231.7959999999985</v>
      </c>
      <c r="E481" s="92">
        <f t="shared" si="42"/>
        <v>0.82134251383607793</v>
      </c>
      <c r="F481" s="4">
        <f t="shared" si="43"/>
        <v>787.21700000000783</v>
      </c>
      <c r="G481" s="4">
        <v>151992.49900000001</v>
      </c>
    </row>
    <row r="482" spans="1:7" hidden="1" outlineLevel="1" x14ac:dyDescent="0.2">
      <c r="A482" s="15">
        <v>42948</v>
      </c>
      <c r="B482" s="4">
        <v>31168.912</v>
      </c>
      <c r="C482" s="4">
        <v>30670.187000000002</v>
      </c>
      <c r="D482" s="4">
        <f>B482-C482</f>
        <v>498.72499999999854</v>
      </c>
      <c r="E482" s="92">
        <f t="shared" si="42"/>
        <v>0.32812474515600831</v>
      </c>
      <c r="F482" s="4">
        <f t="shared" si="43"/>
        <v>815.37099999999191</v>
      </c>
      <c r="G482" s="4">
        <v>153306.595</v>
      </c>
    </row>
    <row r="483" spans="1:7" hidden="1" outlineLevel="1" x14ac:dyDescent="0.2">
      <c r="A483" s="15">
        <v>42979</v>
      </c>
      <c r="B483" s="4">
        <v>29361.609</v>
      </c>
      <c r="C483" s="4">
        <v>28873.782999999999</v>
      </c>
      <c r="D483" s="4">
        <f>B483-C483</f>
        <v>487.82600000000093</v>
      </c>
      <c r="E483" s="92">
        <f t="shared" si="42"/>
        <v>0.31820287966085276</v>
      </c>
      <c r="F483" s="4">
        <f t="shared" si="43"/>
        <v>752.81299999999464</v>
      </c>
      <c r="G483" s="4">
        <v>154547.234</v>
      </c>
    </row>
    <row r="484" spans="1:7" hidden="1" outlineLevel="1" x14ac:dyDescent="0.2">
      <c r="A484" s="15">
        <v>43009</v>
      </c>
      <c r="B484" s="4">
        <v>29617.138999999999</v>
      </c>
      <c r="C484" s="4">
        <v>29956.093000000001</v>
      </c>
      <c r="D484" s="4">
        <f>B484-C484</f>
        <v>-338.95400000000154</v>
      </c>
      <c r="E484" s="92">
        <f t="shared" si="42"/>
        <v>-0.21932065118680905</v>
      </c>
      <c r="F484" s="4">
        <f t="shared" si="43"/>
        <v>720.58600000001388</v>
      </c>
      <c r="G484" s="4">
        <v>154928.86600000001</v>
      </c>
    </row>
    <row r="485" spans="1:7" hidden="1" outlineLevel="1" x14ac:dyDescent="0.2">
      <c r="A485" s="15">
        <v>43040</v>
      </c>
      <c r="B485" s="4">
        <v>29211.976999999999</v>
      </c>
      <c r="C485" s="4">
        <v>29055.823</v>
      </c>
      <c r="D485" s="4">
        <f>B485-C485</f>
        <v>156.15399999999863</v>
      </c>
      <c r="E485" s="92">
        <f t="shared" si="42"/>
        <v>0.10079077194045856</v>
      </c>
      <c r="F485" s="4">
        <f t="shared" si="43"/>
        <v>701.27699999998367</v>
      </c>
      <c r="G485" s="4">
        <v>155786.29699999999</v>
      </c>
    </row>
    <row r="486" spans="1:7" hidden="1" outlineLevel="1" x14ac:dyDescent="0.2">
      <c r="A486" s="15">
        <v>43070</v>
      </c>
      <c r="B486" s="4">
        <v>35553.777999999998</v>
      </c>
      <c r="C486" s="4">
        <v>31139.206999999999</v>
      </c>
      <c r="D486" s="4">
        <f>B486-C486</f>
        <v>4414.5709999999999</v>
      </c>
      <c r="E486" s="92">
        <f t="shared" si="42"/>
        <v>2.8337351134291358</v>
      </c>
      <c r="F486" s="4">
        <f t="shared" si="43"/>
        <v>660.90300000001662</v>
      </c>
      <c r="G486" s="4">
        <v>160861.77100000001</v>
      </c>
    </row>
    <row r="487" spans="1:7" hidden="1" collapsed="1" x14ac:dyDescent="0.2">
      <c r="A487" s="16" t="s">
        <v>75</v>
      </c>
      <c r="B487" s="12">
        <f>SUM(B475:B486)</f>
        <v>356550.75900000008</v>
      </c>
      <c r="C487" s="12">
        <f>SUM(C475:C486)</f>
        <v>354198.85600000003</v>
      </c>
      <c r="D487" s="12">
        <f>SUM(D475:D486)</f>
        <v>2351.9029999999948</v>
      </c>
      <c r="E487" s="91">
        <f>(D487/G474*100)</f>
        <v>1.5780665839247903</v>
      </c>
      <c r="F487" s="12">
        <f>SUM(F475:F486)</f>
        <v>9472.8740000000071</v>
      </c>
      <c r="G487" s="14">
        <f>INDEX($G$475:$G$486,COUNTA($G$475:$G$486))</f>
        <v>160861.77100000001</v>
      </c>
    </row>
    <row r="488" spans="1:7" hidden="1" outlineLevel="1" x14ac:dyDescent="0.2">
      <c r="A488" s="15">
        <v>43101</v>
      </c>
      <c r="B488" s="4">
        <v>35545.656000000003</v>
      </c>
      <c r="C488" s="4">
        <v>35772.034</v>
      </c>
      <c r="D488" s="4">
        <f t="shared" ref="D488:D489" si="44">B488-C488</f>
        <v>-226.37799999999697</v>
      </c>
      <c r="E488" s="92">
        <f t="shared" ref="E488:E499" si="45">D488/G487*100</f>
        <v>-0.14072827782058731</v>
      </c>
      <c r="F488" s="4">
        <f>IF(G488="",0,(G488-G487-D488))</f>
        <v>661.23199999998906</v>
      </c>
      <c r="G488" s="4">
        <v>161296.625</v>
      </c>
    </row>
    <row r="489" spans="1:7" hidden="1" outlineLevel="1" x14ac:dyDescent="0.2">
      <c r="A489" s="15">
        <v>43132</v>
      </c>
      <c r="B489" s="4">
        <v>25857.223000000002</v>
      </c>
      <c r="C489" s="4">
        <v>25979.121999999999</v>
      </c>
      <c r="D489" s="4">
        <f t="shared" si="44"/>
        <v>-121.89899999999761</v>
      </c>
      <c r="E489" s="92">
        <f t="shared" si="45"/>
        <v>-7.5574426929266261E-2</v>
      </c>
      <c r="F489" s="4">
        <f t="shared" ref="F489:F493" si="46">IF(G489="",0,(G489-G488-D489))</f>
        <v>646.01200000000972</v>
      </c>
      <c r="G489" s="4">
        <v>161820.73800000001</v>
      </c>
    </row>
    <row r="490" spans="1:7" hidden="1" outlineLevel="1" x14ac:dyDescent="0.2">
      <c r="A490" s="15">
        <v>43160</v>
      </c>
      <c r="B490" s="4">
        <v>30071.166000000001</v>
      </c>
      <c r="C490" s="4">
        <v>28945.794000000002</v>
      </c>
      <c r="D490" s="4">
        <f t="shared" ref="D490:D499" si="47">B490-C490</f>
        <v>1125.3719999999994</v>
      </c>
      <c r="E490" s="92">
        <f t="shared" si="45"/>
        <v>0.69544362107655155</v>
      </c>
      <c r="F490" s="4">
        <f t="shared" si="46"/>
        <v>646.51999999999316</v>
      </c>
      <c r="G490" s="4">
        <v>163592.63</v>
      </c>
    </row>
    <row r="491" spans="1:7" hidden="1" outlineLevel="1" x14ac:dyDescent="0.2">
      <c r="A491" s="15">
        <v>43191</v>
      </c>
      <c r="B491" s="4">
        <v>32137.65</v>
      </c>
      <c r="C491" s="4">
        <v>30965.760999999999</v>
      </c>
      <c r="D491" s="4">
        <f t="shared" si="47"/>
        <v>1171.8890000000029</v>
      </c>
      <c r="E491" s="92">
        <f t="shared" si="45"/>
        <v>0.71634584027410209</v>
      </c>
      <c r="F491" s="4">
        <f t="shared" si="46"/>
        <v>637.08899999999994</v>
      </c>
      <c r="G491" s="4">
        <v>165401.60800000001</v>
      </c>
    </row>
    <row r="492" spans="1:7" hidden="1" outlineLevel="1" x14ac:dyDescent="0.2">
      <c r="A492" s="15">
        <v>43221</v>
      </c>
      <c r="B492" s="4">
        <v>31246.767</v>
      </c>
      <c r="C492" s="4">
        <v>30086.738000000001</v>
      </c>
      <c r="D492" s="4">
        <f t="shared" si="47"/>
        <v>1160.0289999999986</v>
      </c>
      <c r="E492" s="92">
        <f t="shared" si="45"/>
        <v>0.7013408237240345</v>
      </c>
      <c r="F492" s="4">
        <f t="shared" si="46"/>
        <v>628.81499999998414</v>
      </c>
      <c r="G492" s="4">
        <v>167190.45199999999</v>
      </c>
    </row>
    <row r="493" spans="1:7" hidden="1" outlineLevel="1" x14ac:dyDescent="0.2">
      <c r="A493" s="15">
        <v>43252</v>
      </c>
      <c r="B493" s="4">
        <v>31161.859</v>
      </c>
      <c r="C493" s="4">
        <v>29425.512999999999</v>
      </c>
      <c r="D493" s="4">
        <f t="shared" si="47"/>
        <v>1736.3460000000014</v>
      </c>
      <c r="E493" s="92">
        <f t="shared" si="45"/>
        <v>1.0385437560752582</v>
      </c>
      <c r="F493" s="4">
        <f t="shared" si="46"/>
        <v>633.68600000000515</v>
      </c>
      <c r="G493" s="4">
        <v>169560.484</v>
      </c>
    </row>
    <row r="494" spans="1:7" hidden="1" outlineLevel="1" x14ac:dyDescent="0.2">
      <c r="A494" s="15">
        <v>43282</v>
      </c>
      <c r="B494" s="4">
        <v>33096.796999999999</v>
      </c>
      <c r="C494" s="4">
        <v>31416.241999999998</v>
      </c>
      <c r="D494" s="4">
        <f t="shared" si="47"/>
        <v>1680.5550000000003</v>
      </c>
      <c r="E494" s="92">
        <f t="shared" si="45"/>
        <v>0.9911242055666698</v>
      </c>
      <c r="F494" s="4">
        <v>644.21600000000001</v>
      </c>
      <c r="G494" s="4">
        <v>171885.26800000001</v>
      </c>
    </row>
    <row r="495" spans="1:7" hidden="1" outlineLevel="1" x14ac:dyDescent="0.2">
      <c r="A495" s="15">
        <v>43313</v>
      </c>
      <c r="B495" s="4">
        <v>33655.106</v>
      </c>
      <c r="C495" s="4">
        <v>32197.441999999999</v>
      </c>
      <c r="D495" s="4">
        <f t="shared" si="47"/>
        <v>1457.6640000000007</v>
      </c>
      <c r="E495" s="92">
        <f t="shared" si="45"/>
        <v>0.84804475506301125</v>
      </c>
      <c r="F495" s="4">
        <v>649.50400000000002</v>
      </c>
      <c r="G495" s="4">
        <v>173992.44699999999</v>
      </c>
    </row>
    <row r="496" spans="1:7" hidden="1" outlineLevel="1" x14ac:dyDescent="0.2">
      <c r="A496" s="15">
        <v>43344</v>
      </c>
      <c r="B496" s="4">
        <v>30742.78</v>
      </c>
      <c r="C496" s="4">
        <v>28980.377</v>
      </c>
      <c r="D496" s="4">
        <f t="shared" si="47"/>
        <v>1762.4029999999984</v>
      </c>
      <c r="E496" s="92">
        <f t="shared" si="45"/>
        <v>1.0129192562019651</v>
      </c>
      <c r="F496" s="4">
        <v>656.11800000000005</v>
      </c>
      <c r="G496" s="4">
        <v>176410.97500000001</v>
      </c>
    </row>
    <row r="497" spans="1:7" hidden="1" outlineLevel="1" x14ac:dyDescent="0.2">
      <c r="A497" s="15">
        <v>43374</v>
      </c>
      <c r="B497" s="4">
        <v>33354.404000000002</v>
      </c>
      <c r="C497" s="4">
        <v>33752.633999999998</v>
      </c>
      <c r="D497" s="4">
        <f t="shared" si="47"/>
        <v>-398.22999999999593</v>
      </c>
      <c r="E497" s="92">
        <f t="shared" si="45"/>
        <v>-0.22573992349398664</v>
      </c>
      <c r="F497" s="4">
        <v>670.65200000000004</v>
      </c>
      <c r="G497" s="4">
        <v>176683.40599999999</v>
      </c>
    </row>
    <row r="498" spans="1:7" hidden="1" outlineLevel="1" x14ac:dyDescent="0.2">
      <c r="A498" s="15">
        <v>43405</v>
      </c>
      <c r="B498" s="4">
        <v>32303.544999999998</v>
      </c>
      <c r="C498" s="4">
        <v>33569.106</v>
      </c>
      <c r="D498" s="4">
        <f t="shared" si="47"/>
        <v>-1265.5610000000015</v>
      </c>
      <c r="E498" s="92">
        <f t="shared" si="45"/>
        <v>-0.71628741411063901</v>
      </c>
      <c r="F498" s="4">
        <v>665.79200000000003</v>
      </c>
      <c r="G498" s="4">
        <v>176083.64799999999</v>
      </c>
    </row>
    <row r="499" spans="1:7" hidden="1" outlineLevel="1" x14ac:dyDescent="0.2">
      <c r="A499" s="15">
        <v>43435</v>
      </c>
      <c r="B499" s="4">
        <v>37400.696000000004</v>
      </c>
      <c r="C499" s="4">
        <v>35013.593000000001</v>
      </c>
      <c r="D499" s="4">
        <f t="shared" si="47"/>
        <v>2387.1030000000028</v>
      </c>
      <c r="E499" s="92">
        <f t="shared" si="45"/>
        <v>1.3556642124997336</v>
      </c>
      <c r="F499" s="4">
        <v>664.17700000000002</v>
      </c>
      <c r="G499" s="4">
        <v>179134.93900000001</v>
      </c>
    </row>
    <row r="500" spans="1:7" hidden="1" collapsed="1" x14ac:dyDescent="0.2">
      <c r="A500" s="16" t="s">
        <v>76</v>
      </c>
      <c r="B500" s="12">
        <f>SUM(B488:B499)</f>
        <v>386573.64899999992</v>
      </c>
      <c r="C500" s="12">
        <f>SUM(C488:C499)</f>
        <v>376104.35600000003</v>
      </c>
      <c r="D500" s="12">
        <f>SUM(D488:D499)</f>
        <v>10469.293000000012</v>
      </c>
      <c r="E500" s="91">
        <f>(D500/G487*100)</f>
        <v>6.5082542203268492</v>
      </c>
      <c r="F500" s="12">
        <f>SUM(F488:F499)</f>
        <v>7803.8129999999819</v>
      </c>
      <c r="G500" s="14">
        <f>IFERROR(INDEX($G$488:$G$499,COUNTA($G$488:$G$499)),0)</f>
        <v>179134.93900000001</v>
      </c>
    </row>
    <row r="501" spans="1:7" hidden="1" outlineLevel="1" x14ac:dyDescent="0.2">
      <c r="A501" s="15">
        <v>43466</v>
      </c>
      <c r="B501" s="4">
        <v>31262.994999999999</v>
      </c>
      <c r="C501" s="4">
        <v>33089.358</v>
      </c>
      <c r="D501" s="4">
        <f t="shared" ref="D501:D502" si="48">B501-C501</f>
        <v>-1826.3630000000012</v>
      </c>
      <c r="E501" s="92">
        <f t="shared" ref="E501:E512" si="49">D501/G500*100</f>
        <v>-1.0195459412861949</v>
      </c>
      <c r="F501" s="4">
        <v>678.52800000000002</v>
      </c>
      <c r="G501" s="4">
        <v>177987.11499999999</v>
      </c>
    </row>
    <row r="502" spans="1:7" hidden="1" outlineLevel="1" x14ac:dyDescent="0.2">
      <c r="A502" s="15">
        <v>43497</v>
      </c>
      <c r="B502" s="4">
        <v>28633.285</v>
      </c>
      <c r="C502" s="4">
        <v>29820.077000000001</v>
      </c>
      <c r="D502" s="4">
        <f t="shared" si="48"/>
        <v>-1186.7920000000013</v>
      </c>
      <c r="E502" s="92">
        <f t="shared" si="49"/>
        <v>-0.6667853456695455</v>
      </c>
      <c r="F502" s="4">
        <v>668</v>
      </c>
      <c r="G502" s="4">
        <v>177468.80100000001</v>
      </c>
    </row>
    <row r="503" spans="1:7" hidden="1" outlineLevel="1" x14ac:dyDescent="0.2">
      <c r="A503" s="15">
        <v>43525</v>
      </c>
      <c r="B503" s="4">
        <v>29232.026999999998</v>
      </c>
      <c r="C503" s="4">
        <v>28946.597000000002</v>
      </c>
      <c r="D503" s="4">
        <f t="shared" ref="D503:D512" si="50">B503-C503</f>
        <v>285.42999999999665</v>
      </c>
      <c r="E503" s="92">
        <f t="shared" si="49"/>
        <v>0.16083390341945042</v>
      </c>
      <c r="F503" s="4">
        <v>677.19799999999998</v>
      </c>
      <c r="G503" s="4">
        <v>178431.44</v>
      </c>
    </row>
    <row r="504" spans="1:7" hidden="1" outlineLevel="1" x14ac:dyDescent="0.2">
      <c r="A504" s="15">
        <v>43556</v>
      </c>
      <c r="B504" s="4">
        <v>32768.084000000003</v>
      </c>
      <c r="C504" s="4">
        <v>32820.317000000003</v>
      </c>
      <c r="D504" s="4">
        <f t="shared" si="50"/>
        <v>-52.233000000000175</v>
      </c>
      <c r="E504" s="92">
        <f t="shared" si="49"/>
        <v>-2.9273428494440316E-2</v>
      </c>
      <c r="F504" s="4">
        <v>672.35500000000002</v>
      </c>
      <c r="G504" s="4">
        <v>179051.57399999999</v>
      </c>
    </row>
    <row r="505" spans="1:7" hidden="1" outlineLevel="1" x14ac:dyDescent="0.2">
      <c r="A505" s="15">
        <v>43586</v>
      </c>
      <c r="B505" s="4">
        <v>33560.775999999998</v>
      </c>
      <c r="C505" s="4">
        <v>33815.618000000002</v>
      </c>
      <c r="D505" s="4">
        <f t="shared" si="50"/>
        <v>-254.84200000000419</v>
      </c>
      <c r="E505" s="92">
        <f t="shared" si="49"/>
        <v>-0.14232882420793697</v>
      </c>
      <c r="F505" s="4">
        <v>675.94200000000001</v>
      </c>
      <c r="G505" s="4">
        <v>179472.68700000001</v>
      </c>
    </row>
    <row r="506" spans="1:7" hidden="1" outlineLevel="1" x14ac:dyDescent="0.2">
      <c r="A506" s="15">
        <v>43617</v>
      </c>
      <c r="B506" s="4">
        <v>31691.257000000001</v>
      </c>
      <c r="C506" s="4">
        <v>31963.546999999999</v>
      </c>
      <c r="D506" s="4">
        <f t="shared" si="50"/>
        <v>-272.28999999999724</v>
      </c>
      <c r="E506" s="92">
        <f t="shared" si="49"/>
        <v>-0.1517166787612631</v>
      </c>
      <c r="F506" s="4">
        <v>673.81</v>
      </c>
      <c r="G506" s="4">
        <v>179874.21900000001</v>
      </c>
    </row>
    <row r="507" spans="1:7" hidden="1" outlineLevel="1" x14ac:dyDescent="0.2">
      <c r="A507" s="15">
        <v>43647</v>
      </c>
      <c r="B507" s="4">
        <v>35504.527000000002</v>
      </c>
      <c r="C507" s="4">
        <v>35273.701999999997</v>
      </c>
      <c r="D507" s="4">
        <f t="shared" si="50"/>
        <v>230.82500000000437</v>
      </c>
      <c r="E507" s="92">
        <f t="shared" si="49"/>
        <v>0.12832578302953151</v>
      </c>
      <c r="F507" s="4">
        <v>680.67200000000003</v>
      </c>
      <c r="G507" s="4">
        <v>180785.72399999999</v>
      </c>
    </row>
    <row r="508" spans="1:7" hidden="1" outlineLevel="1" x14ac:dyDescent="0.2">
      <c r="A508" s="15">
        <v>43678</v>
      </c>
      <c r="B508" s="4">
        <v>32864.877</v>
      </c>
      <c r="C508" s="4">
        <v>32578.399000000001</v>
      </c>
      <c r="D508" s="4">
        <f t="shared" si="50"/>
        <v>286.47799999999916</v>
      </c>
      <c r="E508" s="92">
        <f t="shared" si="49"/>
        <v>0.15846273348442003</v>
      </c>
      <c r="F508" s="4">
        <v>677.58900000000006</v>
      </c>
      <c r="G508" s="4">
        <v>181749.80300000001</v>
      </c>
    </row>
    <row r="509" spans="1:7" hidden="1" outlineLevel="1" x14ac:dyDescent="0.2">
      <c r="A509" s="15">
        <v>43709</v>
      </c>
      <c r="B509" s="4">
        <v>32705.344000000001</v>
      </c>
      <c r="C509" s="4">
        <v>32072.451000000001</v>
      </c>
      <c r="D509" s="4">
        <f t="shared" si="50"/>
        <v>632.89300000000003</v>
      </c>
      <c r="E509" s="92">
        <f t="shared" si="49"/>
        <v>0.34822211059012809</v>
      </c>
      <c r="F509" s="4">
        <v>643.01499999999999</v>
      </c>
      <c r="G509" s="4">
        <v>183025.72500000001</v>
      </c>
    </row>
    <row r="510" spans="1:7" hidden="1" outlineLevel="1" x14ac:dyDescent="0.2">
      <c r="A510" s="15">
        <v>43739</v>
      </c>
      <c r="B510" s="4">
        <v>33798.171000000002</v>
      </c>
      <c r="C510" s="4">
        <v>33694.819000000003</v>
      </c>
      <c r="D510" s="4">
        <f t="shared" si="50"/>
        <v>103.35199999999895</v>
      </c>
      <c r="E510" s="92">
        <f t="shared" si="49"/>
        <v>5.6468564733181056E-2</v>
      </c>
      <c r="F510" s="4">
        <v>638.15</v>
      </c>
      <c r="G510" s="4">
        <v>183767.236</v>
      </c>
    </row>
    <row r="511" spans="1:7" hidden="1" outlineLevel="1" x14ac:dyDescent="0.2">
      <c r="A511" s="15">
        <v>43770</v>
      </c>
      <c r="B511" s="4">
        <v>32460.909</v>
      </c>
      <c r="C511" s="4">
        <v>33083.71</v>
      </c>
      <c r="D511" s="4">
        <f t="shared" si="50"/>
        <v>-622.80099999999948</v>
      </c>
      <c r="E511" s="92">
        <f t="shared" si="49"/>
        <v>-0.33890752974050253</v>
      </c>
      <c r="F511" s="4">
        <v>607.39</v>
      </c>
      <c r="G511" s="4">
        <v>183751.83</v>
      </c>
    </row>
    <row r="512" spans="1:7" hidden="1" outlineLevel="1" x14ac:dyDescent="0.2">
      <c r="A512" s="15">
        <v>43800</v>
      </c>
      <c r="B512" s="4">
        <v>39664.696000000004</v>
      </c>
      <c r="C512" s="4">
        <v>36050.856</v>
      </c>
      <c r="D512" s="4">
        <f t="shared" si="50"/>
        <v>3613.8400000000038</v>
      </c>
      <c r="E512" s="92">
        <f t="shared" si="49"/>
        <v>1.9666960595712184</v>
      </c>
      <c r="F512" s="4">
        <v>567.42399999999998</v>
      </c>
      <c r="G512" s="4">
        <v>187933.103</v>
      </c>
    </row>
    <row r="513" spans="1:7" hidden="1" collapsed="1" x14ac:dyDescent="0.2">
      <c r="A513" s="16" t="s">
        <v>77</v>
      </c>
      <c r="B513" s="12">
        <f>SUM(B501:B512)</f>
        <v>394146.94799999997</v>
      </c>
      <c r="C513" s="12">
        <f>SUM(C501:C512)</f>
        <v>393209.451</v>
      </c>
      <c r="D513" s="12">
        <f>SUM(D501:D512)</f>
        <v>937.49699999999939</v>
      </c>
      <c r="E513" s="91">
        <f>(D513/G500*100)</f>
        <v>0.52334681622327139</v>
      </c>
      <c r="F513" s="12">
        <f>SUM(F501:F512)</f>
        <v>7860.0730000000003</v>
      </c>
      <c r="G513" s="14">
        <f>IFERROR(INDEX($G$501:$G$512,COUNTA($G$501:$G$512)),0)</f>
        <v>187933.103</v>
      </c>
    </row>
    <row r="514" spans="1:7" hidden="1" outlineLevel="1" x14ac:dyDescent="0.2">
      <c r="A514" s="15">
        <v>43831</v>
      </c>
      <c r="B514" s="4">
        <v>32172.448</v>
      </c>
      <c r="C514" s="4">
        <v>34693.447</v>
      </c>
      <c r="D514" s="4">
        <f t="shared" ref="D514:D525" si="51">B514-C514</f>
        <v>-2520.9989999999998</v>
      </c>
      <c r="E514" s="92">
        <f t="shared" ref="E514:E525" si="52">D514/G513*100</f>
        <v>-1.3414342442906397</v>
      </c>
      <c r="F514" s="4">
        <v>557.69000000000005</v>
      </c>
      <c r="G514" s="4">
        <v>185969.802</v>
      </c>
    </row>
    <row r="515" spans="1:7" hidden="1" outlineLevel="1" x14ac:dyDescent="0.2">
      <c r="A515" s="15">
        <v>43862</v>
      </c>
      <c r="B515" s="4">
        <v>28596.396000000001</v>
      </c>
      <c r="C515" s="4">
        <v>29897.55</v>
      </c>
      <c r="D515" s="4">
        <f t="shared" si="51"/>
        <v>-1301.1539999999986</v>
      </c>
      <c r="E515" s="92">
        <f t="shared" si="52"/>
        <v>-0.69965875427452384</v>
      </c>
      <c r="F515" s="4">
        <v>529.77800000000002</v>
      </c>
      <c r="G515" s="4">
        <v>185198.43599999999</v>
      </c>
    </row>
    <row r="516" spans="1:7" hidden="1" outlineLevel="1" x14ac:dyDescent="0.2">
      <c r="A516" s="15">
        <v>43891</v>
      </c>
      <c r="B516" s="4">
        <v>35110.588000000003</v>
      </c>
      <c r="C516" s="4">
        <v>31190.606</v>
      </c>
      <c r="D516" s="4">
        <f t="shared" si="51"/>
        <v>3919.9820000000036</v>
      </c>
      <c r="E516" s="92">
        <f t="shared" si="52"/>
        <v>2.1166388251788497</v>
      </c>
      <c r="F516" s="4">
        <v>517.46299999999997</v>
      </c>
      <c r="G516" s="4">
        <v>189635.89199999999</v>
      </c>
    </row>
    <row r="517" spans="1:7" hidden="1" outlineLevel="1" x14ac:dyDescent="0.2">
      <c r="A517" s="15">
        <v>43922</v>
      </c>
      <c r="B517" s="4">
        <v>32575.808000000001</v>
      </c>
      <c r="C517" s="4">
        <v>26731.822</v>
      </c>
      <c r="D517" s="4">
        <f t="shared" si="51"/>
        <v>5843.9860000000008</v>
      </c>
      <c r="E517" s="92">
        <f t="shared" si="52"/>
        <v>3.0816877218580547</v>
      </c>
      <c r="F517" s="4">
        <v>506.62200000000001</v>
      </c>
      <c r="G517" s="4">
        <v>195986.50700000001</v>
      </c>
    </row>
    <row r="518" spans="1:7" hidden="1" outlineLevel="1" x14ac:dyDescent="0.2">
      <c r="A518" s="15">
        <v>43952</v>
      </c>
      <c r="B518" s="4">
        <v>34253.084999999999</v>
      </c>
      <c r="C518" s="4">
        <v>27353.069</v>
      </c>
      <c r="D518" s="4">
        <f t="shared" si="51"/>
        <v>6900.0159999999996</v>
      </c>
      <c r="E518" s="92">
        <f t="shared" si="52"/>
        <v>3.5206586951417012</v>
      </c>
      <c r="F518" s="4">
        <v>489.21600000000001</v>
      </c>
      <c r="G518" s="4">
        <v>203375.74799999999</v>
      </c>
    </row>
    <row r="519" spans="1:7" hidden="1" outlineLevel="1" x14ac:dyDescent="0.2">
      <c r="A519" s="15">
        <v>43983</v>
      </c>
      <c r="B519" s="4">
        <v>41296.016000000003</v>
      </c>
      <c r="C519" s="4">
        <v>35197.343999999997</v>
      </c>
      <c r="D519" s="4">
        <f t="shared" si="51"/>
        <v>6098.6720000000059</v>
      </c>
      <c r="E519" s="92">
        <f t="shared" si="52"/>
        <v>2.9987213618017061</v>
      </c>
      <c r="F519" s="4">
        <v>457.10399999999998</v>
      </c>
      <c r="G519" s="4">
        <v>209931.533</v>
      </c>
    </row>
    <row r="520" spans="1:7" hidden="1" outlineLevel="1" x14ac:dyDescent="0.2">
      <c r="A520" s="15">
        <v>44013</v>
      </c>
      <c r="B520" s="4">
        <v>43250.425999999999</v>
      </c>
      <c r="C520" s="4">
        <v>37469.491000000002</v>
      </c>
      <c r="D520" s="4">
        <f t="shared" si="51"/>
        <v>5780.9349999999977</v>
      </c>
      <c r="E520" s="92">
        <f t="shared" si="52"/>
        <v>2.7537239962897799</v>
      </c>
      <c r="F520" s="4">
        <v>421.101</v>
      </c>
      <c r="G520" s="4">
        <v>216133.57800000001</v>
      </c>
    </row>
    <row r="521" spans="1:7" hidden="1" outlineLevel="1" x14ac:dyDescent="0.2">
      <c r="A521" s="15">
        <v>44044</v>
      </c>
      <c r="B521" s="4">
        <v>40322.241999999998</v>
      </c>
      <c r="C521" s="4">
        <v>36867.262000000002</v>
      </c>
      <c r="D521" s="4">
        <f t="shared" si="51"/>
        <v>3454.9799999999959</v>
      </c>
      <c r="E521" s="92">
        <f t="shared" si="52"/>
        <v>1.598539214485218</v>
      </c>
      <c r="F521" s="4">
        <v>375.00299999999999</v>
      </c>
      <c r="G521" s="4">
        <v>219963.571</v>
      </c>
    </row>
    <row r="522" spans="1:7" hidden="1" outlineLevel="1" x14ac:dyDescent="0.2">
      <c r="A522" s="15">
        <v>44075</v>
      </c>
      <c r="B522" s="4">
        <v>41978.3</v>
      </c>
      <c r="C522" s="4">
        <v>38724.048000000003</v>
      </c>
      <c r="D522" s="4">
        <f t="shared" si="51"/>
        <v>3254.2520000000004</v>
      </c>
      <c r="E522" s="92">
        <f t="shared" si="52"/>
        <v>1.4794504313625643</v>
      </c>
      <c r="F522" s="4">
        <v>363.82600000000002</v>
      </c>
      <c r="G522" s="4">
        <v>223581.65900000001</v>
      </c>
    </row>
    <row r="523" spans="1:7" hidden="1" outlineLevel="1" x14ac:dyDescent="0.2">
      <c r="A523" s="15">
        <v>44105</v>
      </c>
      <c r="B523" s="4">
        <v>42046.099000000002</v>
      </c>
      <c r="C523" s="4">
        <v>39088.726000000002</v>
      </c>
      <c r="D523" s="4">
        <f t="shared" si="51"/>
        <v>2957.3729999999996</v>
      </c>
      <c r="E523" s="92">
        <f t="shared" si="52"/>
        <v>1.322726118603494</v>
      </c>
      <c r="F523" s="4">
        <v>357.70600000000002</v>
      </c>
      <c r="G523" s="4">
        <v>226896.74900000001</v>
      </c>
    </row>
    <row r="524" spans="1:7" hidden="1" outlineLevel="1" x14ac:dyDescent="0.2">
      <c r="A524" s="15">
        <v>44136</v>
      </c>
      <c r="B524" s="4">
        <v>41840.749000000003</v>
      </c>
      <c r="C524" s="4">
        <v>39917.877</v>
      </c>
      <c r="D524" s="4">
        <f t="shared" si="51"/>
        <v>1922.872000000003</v>
      </c>
      <c r="E524" s="92">
        <f t="shared" si="52"/>
        <v>0.8474656461472716</v>
      </c>
      <c r="F524" s="4">
        <v>360.899</v>
      </c>
      <c r="G524" s="4">
        <v>229180.52799999999</v>
      </c>
    </row>
    <row r="525" spans="1:7" hidden="1" outlineLevel="1" x14ac:dyDescent="0.2">
      <c r="A525" s="15">
        <v>44166</v>
      </c>
      <c r="B525" s="4">
        <v>49633.364999999998</v>
      </c>
      <c r="C525" s="4">
        <v>44987.116999999998</v>
      </c>
      <c r="D525" s="4">
        <f t="shared" si="51"/>
        <v>4646.2479999999996</v>
      </c>
      <c r="E525" s="92">
        <f t="shared" si="52"/>
        <v>2.0273310479501117</v>
      </c>
      <c r="F525" s="4">
        <v>363.036</v>
      </c>
      <c r="G525" s="4">
        <v>234189.821</v>
      </c>
    </row>
    <row r="526" spans="1:7" hidden="1" collapsed="1" x14ac:dyDescent="0.2">
      <c r="A526" s="16" t="s">
        <v>78</v>
      </c>
      <c r="B526" s="12">
        <f>SUM(B514:B525)</f>
        <v>463075.522</v>
      </c>
      <c r="C526" s="12">
        <f>SUM(C514:C525)</f>
        <v>422118.35900000005</v>
      </c>
      <c r="D526" s="12">
        <f>SUM(D514:D525)</f>
        <v>40957.163000000008</v>
      </c>
      <c r="E526" s="91">
        <f>(D526/G513*100)</f>
        <v>21.79347988523342</v>
      </c>
      <c r="F526" s="12">
        <f>SUM(F514:F525)</f>
        <v>5299.4440000000004</v>
      </c>
      <c r="G526" s="14">
        <f>IFERROR(INDEX($G$514:$G$525,COUNTA($G$514:$G$525)),0)</f>
        <v>234189.821</v>
      </c>
    </row>
    <row r="527" spans="1:7" hidden="1" outlineLevel="1" x14ac:dyDescent="0.2">
      <c r="A527" s="15">
        <v>44197</v>
      </c>
      <c r="B527" s="4">
        <v>38864.478000000003</v>
      </c>
      <c r="C527" s="4">
        <v>40374.658000000003</v>
      </c>
      <c r="D527" s="4">
        <f t="shared" ref="D527:D538" si="53">B527-C527</f>
        <v>-1510.1800000000003</v>
      </c>
      <c r="E527" s="92">
        <f t="shared" ref="E527:E538" si="54">D527/G526*100</f>
        <v>-0.6448529631012444</v>
      </c>
      <c r="F527" s="4">
        <v>367.55900000000003</v>
      </c>
      <c r="G527" s="4">
        <v>233047.21400000001</v>
      </c>
    </row>
    <row r="528" spans="1:7" hidden="1" outlineLevel="1" x14ac:dyDescent="0.2">
      <c r="A528" s="15">
        <v>44228</v>
      </c>
      <c r="B528" s="4">
        <v>36742.095999999998</v>
      </c>
      <c r="C528" s="4">
        <v>37600.832000000002</v>
      </c>
      <c r="D528" s="4">
        <f t="shared" si="53"/>
        <v>-858.73600000000442</v>
      </c>
      <c r="E528" s="92">
        <f t="shared" si="54"/>
        <v>-0.36848155584473297</v>
      </c>
      <c r="F528" s="4">
        <v>345.04399999999998</v>
      </c>
      <c r="G528" s="4">
        <v>232533.53200000001</v>
      </c>
    </row>
    <row r="529" spans="1:7" hidden="1" outlineLevel="1" x14ac:dyDescent="0.2">
      <c r="A529" s="15">
        <v>44256</v>
      </c>
      <c r="B529" s="4">
        <v>45811.082000000002</v>
      </c>
      <c r="C529" s="4">
        <v>44486.050999999999</v>
      </c>
      <c r="D529" s="4">
        <f t="shared" si="53"/>
        <v>1325.0310000000027</v>
      </c>
      <c r="E529" s="92">
        <f t="shared" si="54"/>
        <v>0.56982362440527612</v>
      </c>
      <c r="F529" s="4">
        <v>390.577</v>
      </c>
      <c r="G529" s="4">
        <v>234249.15100000001</v>
      </c>
    </row>
    <row r="530" spans="1:7" hidden="1" outlineLevel="1" x14ac:dyDescent="0.2">
      <c r="A530" s="15">
        <v>44287</v>
      </c>
      <c r="B530" s="4">
        <v>43772.591999999997</v>
      </c>
      <c r="C530" s="4">
        <v>41969.053</v>
      </c>
      <c r="D530" s="4">
        <f t="shared" si="53"/>
        <v>1803.538999999997</v>
      </c>
      <c r="E530" s="92">
        <f t="shared" si="54"/>
        <v>0.76992338811080552</v>
      </c>
      <c r="F530" s="4">
        <v>393.423</v>
      </c>
      <c r="G530" s="4">
        <v>236446.122</v>
      </c>
    </row>
    <row r="531" spans="1:7" hidden="1" outlineLevel="1" x14ac:dyDescent="0.2">
      <c r="A531" s="15">
        <v>44317</v>
      </c>
      <c r="B531" s="4">
        <v>45976.817999999999</v>
      </c>
      <c r="C531" s="4">
        <v>44720.928999999996</v>
      </c>
      <c r="D531" s="4">
        <f t="shared" si="53"/>
        <v>1255.8890000000029</v>
      </c>
      <c r="E531" s="92">
        <f t="shared" si="54"/>
        <v>0.5311522935444899</v>
      </c>
      <c r="F531" s="4">
        <v>454.06299999999999</v>
      </c>
      <c r="G531" s="4">
        <v>238156.08300000001</v>
      </c>
    </row>
    <row r="532" spans="1:7" hidden="1" outlineLevel="1" x14ac:dyDescent="0.2">
      <c r="A532" s="15">
        <v>44348</v>
      </c>
      <c r="B532" s="4">
        <v>47036.006000000001</v>
      </c>
      <c r="C532" s="4">
        <v>45181.089</v>
      </c>
      <c r="D532" s="4">
        <f t="shared" si="53"/>
        <v>1854.9170000000013</v>
      </c>
      <c r="E532" s="92">
        <f t="shared" si="54"/>
        <v>0.77886610185808314</v>
      </c>
      <c r="F532" s="4">
        <v>515.56700000000001</v>
      </c>
      <c r="G532" s="4">
        <v>240526.57699999999</v>
      </c>
    </row>
    <row r="533" spans="1:7" hidden="1" outlineLevel="1" x14ac:dyDescent="0.2">
      <c r="A533" s="15">
        <v>44378</v>
      </c>
      <c r="B533" s="4">
        <v>41901.207999999999</v>
      </c>
      <c r="C533" s="4">
        <v>41998.222999999998</v>
      </c>
      <c r="D533" s="4">
        <f t="shared" si="53"/>
        <v>-97.014999999999418</v>
      </c>
      <c r="E533" s="92">
        <f t="shared" si="54"/>
        <v>-4.0334420091963238E-2</v>
      </c>
      <c r="F533" s="4">
        <v>571.49099999999999</v>
      </c>
      <c r="G533" s="4">
        <v>241001.06700000001</v>
      </c>
    </row>
    <row r="534" spans="1:7" hidden="1" outlineLevel="1" x14ac:dyDescent="0.2">
      <c r="A534" s="15">
        <v>44409</v>
      </c>
      <c r="B534" s="4">
        <v>40655.489000000001</v>
      </c>
      <c r="C534" s="4">
        <v>40724.464999999997</v>
      </c>
      <c r="D534" s="4">
        <f t="shared" si="53"/>
        <v>-68.975999999995111</v>
      </c>
      <c r="E534" s="92">
        <f t="shared" si="54"/>
        <v>-2.8620620173434797E-2</v>
      </c>
      <c r="F534" s="4">
        <v>633.07000000000005</v>
      </c>
      <c r="G534" s="4">
        <v>241565.17800000001</v>
      </c>
    </row>
    <row r="535" spans="1:7" hidden="1" outlineLevel="1" x14ac:dyDescent="0.2">
      <c r="A535" s="15">
        <v>44440</v>
      </c>
      <c r="B535" s="4">
        <v>38022.881000000001</v>
      </c>
      <c r="C535" s="4">
        <v>39405.995000000003</v>
      </c>
      <c r="D535" s="4">
        <f t="shared" si="53"/>
        <v>-1383.1140000000014</v>
      </c>
      <c r="E535" s="92">
        <f t="shared" si="54"/>
        <v>-0.57256348429491</v>
      </c>
      <c r="F535" s="4">
        <v>717.78200000000004</v>
      </c>
      <c r="G535" s="4">
        <v>240899.85500000001</v>
      </c>
    </row>
    <row r="536" spans="1:7" hidden="1" outlineLevel="1" x14ac:dyDescent="0.2">
      <c r="A536" s="15">
        <v>44470</v>
      </c>
      <c r="B536" s="4">
        <v>36749.428</v>
      </c>
      <c r="C536" s="4">
        <v>38210.438999999998</v>
      </c>
      <c r="D536" s="4">
        <f t="shared" si="53"/>
        <v>-1461.0109999999986</v>
      </c>
      <c r="E536" s="92">
        <f t="shared" si="54"/>
        <v>-0.60648064732126905</v>
      </c>
      <c r="F536" s="4">
        <v>768.32399999999996</v>
      </c>
      <c r="G536" s="4">
        <v>240207.18</v>
      </c>
    </row>
    <row r="537" spans="1:7" hidden="1" outlineLevel="1" x14ac:dyDescent="0.2">
      <c r="A537" s="15">
        <v>44501</v>
      </c>
      <c r="B537" s="4">
        <v>37410.074999999997</v>
      </c>
      <c r="C537" s="4">
        <v>40533.381000000001</v>
      </c>
      <c r="D537" s="4">
        <f t="shared" si="53"/>
        <v>-3123.3060000000041</v>
      </c>
      <c r="E537" s="92">
        <f t="shared" si="54"/>
        <v>-1.3002550548239251</v>
      </c>
      <c r="F537" s="4">
        <v>866.57899999999995</v>
      </c>
      <c r="G537" s="4">
        <v>237950.46</v>
      </c>
    </row>
    <row r="538" spans="1:7" hidden="1" outlineLevel="1" x14ac:dyDescent="0.2">
      <c r="A538" s="15">
        <v>44531</v>
      </c>
      <c r="B538" s="4">
        <v>45378.624000000003</v>
      </c>
      <c r="C538" s="4">
        <v>43857.074999999997</v>
      </c>
      <c r="D538" s="4">
        <f t="shared" si="53"/>
        <v>1521.5490000000063</v>
      </c>
      <c r="E538" s="92">
        <f t="shared" si="54"/>
        <v>0.63943940263868637</v>
      </c>
      <c r="F538" s="4">
        <v>1021.977</v>
      </c>
      <c r="G538" s="4">
        <v>240493.997</v>
      </c>
    </row>
    <row r="539" spans="1:7" collapsed="1" x14ac:dyDescent="0.2">
      <c r="A539" s="16" t="s">
        <v>79</v>
      </c>
      <c r="B539" s="12">
        <f>SUM(B527:B538)</f>
        <v>498320.777</v>
      </c>
      <c r="C539" s="12">
        <f>SUM(C527:C538)</f>
        <v>499062.18999999994</v>
      </c>
      <c r="D539" s="146">
        <f>SUM(D527:D538)</f>
        <v>-741.41299999999319</v>
      </c>
      <c r="E539" s="91">
        <f>(D539/G526*100)</f>
        <v>-0.31658634727766122</v>
      </c>
      <c r="F539" s="12">
        <f>SUM(F527:F538)</f>
        <v>7045.4559999999992</v>
      </c>
      <c r="G539" s="14">
        <f>IFERROR(INDEX($G$527:$G$538,COUNTA($G$527:$G$538)),0)</f>
        <v>240493.997</v>
      </c>
    </row>
    <row r="540" spans="1:7" hidden="1" outlineLevel="1" x14ac:dyDescent="0.2">
      <c r="A540" s="15">
        <v>44562</v>
      </c>
      <c r="B540" s="4">
        <v>34968.887000000002</v>
      </c>
      <c r="C540" s="4">
        <v>38956.847000000002</v>
      </c>
      <c r="D540" s="148">
        <f t="shared" ref="D540:D551" si="55">B540-C540</f>
        <v>-3987.9599999999991</v>
      </c>
      <c r="E540" s="92">
        <f t="shared" ref="E540:E551" si="56">D540/G539*100</f>
        <v>-1.6582368166137631</v>
      </c>
      <c r="F540" s="4">
        <v>1259.952</v>
      </c>
      <c r="G540" s="4">
        <v>237766.00200000001</v>
      </c>
    </row>
    <row r="541" spans="1:7" hidden="1" outlineLevel="1" x14ac:dyDescent="0.2">
      <c r="A541" s="15">
        <v>44593</v>
      </c>
      <c r="B541" s="4">
        <v>33265.533000000003</v>
      </c>
      <c r="C541" s="4">
        <v>36172.885000000002</v>
      </c>
      <c r="D541" s="148">
        <f t="shared" si="55"/>
        <v>-2907.351999999999</v>
      </c>
      <c r="E541" s="92">
        <f t="shared" si="56"/>
        <v>-1.2227786880985612</v>
      </c>
      <c r="F541" s="4">
        <v>1240.1959999999999</v>
      </c>
      <c r="G541" s="4">
        <v>236098.85699999999</v>
      </c>
    </row>
    <row r="542" spans="1:7" hidden="1" outlineLevel="1" x14ac:dyDescent="0.2">
      <c r="A542" s="15">
        <v>44621</v>
      </c>
      <c r="B542" s="4">
        <v>41302.595999999998</v>
      </c>
      <c r="C542" s="4">
        <v>44061.775999999998</v>
      </c>
      <c r="D542" s="148">
        <f t="shared" si="55"/>
        <v>-2759.1800000000003</v>
      </c>
      <c r="E542" s="92">
        <f t="shared" si="56"/>
        <v>-1.1686545352483433</v>
      </c>
      <c r="F542" s="4">
        <v>1251.5550000000001</v>
      </c>
      <c r="G542" s="4">
        <v>234591.247</v>
      </c>
    </row>
    <row r="543" spans="1:7" hidden="1" outlineLevel="1" x14ac:dyDescent="0.2">
      <c r="A543" s="15">
        <v>44652</v>
      </c>
      <c r="B543" s="4">
        <v>37005.735000000001</v>
      </c>
      <c r="C543" s="4">
        <v>39140.355000000003</v>
      </c>
      <c r="D543" s="148">
        <f t="shared" si="55"/>
        <v>-2134.6200000000026</v>
      </c>
      <c r="E543" s="92">
        <f t="shared" si="56"/>
        <v>-0.90993164804652849</v>
      </c>
      <c r="F543" s="4">
        <v>1348.3589999999999</v>
      </c>
      <c r="G543" s="4">
        <v>233804.99400000001</v>
      </c>
    </row>
    <row r="544" spans="1:7" hidden="1" outlineLevel="1" x14ac:dyDescent="0.2">
      <c r="A544" s="15">
        <v>44682</v>
      </c>
      <c r="B544" s="4">
        <v>42209.425000000003</v>
      </c>
      <c r="C544" s="4">
        <v>43918.483999999997</v>
      </c>
      <c r="D544" s="148">
        <f t="shared" si="55"/>
        <v>-1709.0589999999938</v>
      </c>
      <c r="E544" s="92">
        <f t="shared" si="56"/>
        <v>-0.73097625964310831</v>
      </c>
      <c r="F544" s="4">
        <v>1313.8430000000001</v>
      </c>
      <c r="G544" s="4">
        <v>233409.791</v>
      </c>
    </row>
    <row r="545" spans="1:7" hidden="1" outlineLevel="1" x14ac:dyDescent="0.2">
      <c r="A545" s="15">
        <v>44713</v>
      </c>
      <c r="B545" s="4">
        <v>40912.915999999997</v>
      </c>
      <c r="C545" s="4">
        <v>41335.101000000002</v>
      </c>
      <c r="D545" s="148">
        <f t="shared" si="55"/>
        <v>-422.18500000000495</v>
      </c>
      <c r="E545" s="92">
        <f t="shared" si="56"/>
        <v>-0.18087715951898733</v>
      </c>
      <c r="F545" s="4">
        <v>1467.463</v>
      </c>
      <c r="G545" s="4">
        <v>234455.08100000001</v>
      </c>
    </row>
    <row r="546" spans="1:7" hidden="1" outlineLevel="1" x14ac:dyDescent="0.2">
      <c r="A546" s="15">
        <v>44743</v>
      </c>
      <c r="B546" s="4">
        <v>40999.167000000001</v>
      </c>
      <c r="C546" s="4">
        <v>42051.288</v>
      </c>
      <c r="D546" s="148">
        <f t="shared" si="55"/>
        <v>-1052.1209999999992</v>
      </c>
      <c r="E546" s="92">
        <f t="shared" si="56"/>
        <v>-0.44875163102138066</v>
      </c>
      <c r="F546" s="4">
        <v>1494.9760000000001</v>
      </c>
      <c r="G546" s="4">
        <v>234897.94699999999</v>
      </c>
    </row>
    <row r="547" spans="1:7" hidden="1" outlineLevel="1" x14ac:dyDescent="0.2">
      <c r="A547" s="15">
        <v>44774</v>
      </c>
      <c r="B547" s="4">
        <v>43987.712</v>
      </c>
      <c r="C547" s="4">
        <v>46306.207999999999</v>
      </c>
      <c r="D547" s="148">
        <f t="shared" si="55"/>
        <v>-2318.4959999999992</v>
      </c>
      <c r="E547" s="92">
        <f t="shared" si="56"/>
        <v>-0.98702267500022023</v>
      </c>
      <c r="F547" s="4">
        <v>1557.3969999999999</v>
      </c>
      <c r="G547" s="4">
        <v>234136.856</v>
      </c>
    </row>
    <row r="548" spans="1:7" hidden="1" outlineLevel="1" x14ac:dyDescent="0.2">
      <c r="A548" s="15">
        <v>44805</v>
      </c>
      <c r="B548" s="4">
        <v>42389.739000000001</v>
      </c>
      <c r="C548" s="4">
        <v>43337.296999999999</v>
      </c>
      <c r="D548" s="148">
        <f t="shared" si="55"/>
        <v>-947.55799999999726</v>
      </c>
      <c r="E548" s="92">
        <f t="shared" si="56"/>
        <v>-0.40470262400721624</v>
      </c>
      <c r="F548" s="4">
        <v>1537.355</v>
      </c>
      <c r="G548" s="4">
        <v>234726.66</v>
      </c>
    </row>
    <row r="549" spans="1:7" hidden="1" outlineLevel="1" x14ac:dyDescent="0.2">
      <c r="A549" s="15">
        <v>44835</v>
      </c>
      <c r="B549" s="4">
        <v>39850.241999999998</v>
      </c>
      <c r="C549" s="4">
        <v>41430.720999999998</v>
      </c>
      <c r="D549" s="148">
        <f t="shared" si="55"/>
        <v>-1580.4789999999994</v>
      </c>
      <c r="E549" s="92">
        <f t="shared" si="56"/>
        <v>-0.67332743540933926</v>
      </c>
      <c r="F549" s="4">
        <v>1501.873</v>
      </c>
      <c r="G549" s="4">
        <v>234643.46799999999</v>
      </c>
    </row>
    <row r="550" spans="1:7" hidden="1" outlineLevel="1" x14ac:dyDescent="0.2">
      <c r="A550" s="15">
        <v>44866</v>
      </c>
      <c r="B550" s="4">
        <v>39108.623</v>
      </c>
      <c r="C550" s="4">
        <v>42172.362000000001</v>
      </c>
      <c r="D550" s="148">
        <f t="shared" si="55"/>
        <v>-3063.7390000000014</v>
      </c>
      <c r="E550" s="92">
        <f t="shared" si="56"/>
        <v>-1.3056996753900696</v>
      </c>
      <c r="F550" s="4">
        <v>1475.028</v>
      </c>
      <c r="G550" s="4">
        <v>233054.769</v>
      </c>
    </row>
    <row r="551" spans="1:7" hidden="1" outlineLevel="1" x14ac:dyDescent="0.2">
      <c r="A551" s="15">
        <v>44896</v>
      </c>
      <c r="B551" s="4">
        <v>50073.029000000002</v>
      </c>
      <c r="C551" s="4">
        <v>49482.970999999998</v>
      </c>
      <c r="D551" s="148">
        <f t="shared" si="55"/>
        <v>590.05800000000454</v>
      </c>
      <c r="E551" s="92">
        <f t="shared" si="56"/>
        <v>0.25318426330937022</v>
      </c>
      <c r="F551" s="4">
        <v>1483.4059999999999</v>
      </c>
      <c r="G551" s="4">
        <v>235128.245</v>
      </c>
    </row>
    <row r="552" spans="1:7" collapsed="1" x14ac:dyDescent="0.2">
      <c r="A552" s="16" t="s">
        <v>80</v>
      </c>
      <c r="B552" s="12">
        <f>SUM(B540:B551)</f>
        <v>486073.60399999993</v>
      </c>
      <c r="C552" s="12">
        <f>SUM(C540:C551)</f>
        <v>508366.2950000001</v>
      </c>
      <c r="D552" s="146">
        <f>SUM(D540:D551)</f>
        <v>-22292.690999999992</v>
      </c>
      <c r="E552" s="91">
        <f>(D552/G539*100)</f>
        <v>-9.2695415594926427</v>
      </c>
      <c r="F552" s="12">
        <f>SUM(F540:F551)</f>
        <v>16931.402999999998</v>
      </c>
      <c r="G552" s="14">
        <f>IFERROR(INDEX($G$540:$G$551,COUNTA($G$540:$G$551)),0)</f>
        <v>235128.245</v>
      </c>
    </row>
    <row r="553" spans="1:7" hidden="1" outlineLevel="1" x14ac:dyDescent="0.2">
      <c r="A553" s="15">
        <v>44927</v>
      </c>
      <c r="B553" s="4">
        <v>39815.858999999997</v>
      </c>
      <c r="C553" s="4">
        <v>46229.748</v>
      </c>
      <c r="D553" s="148">
        <f t="shared" ref="D553:D564" si="57">B553-C553</f>
        <v>-6413.8890000000029</v>
      </c>
      <c r="E553" s="92">
        <f t="shared" ref="E553:E564" si="58">D553/G552*100</f>
        <v>-2.7278258296871152</v>
      </c>
      <c r="F553" s="4">
        <v>1593.7750000000001</v>
      </c>
      <c r="G553" s="4">
        <v>230308.14300000001</v>
      </c>
    </row>
    <row r="554" spans="1:7" hidden="1" outlineLevel="1" x14ac:dyDescent="0.2">
      <c r="A554" s="15">
        <v>44958</v>
      </c>
      <c r="B554" s="4">
        <v>36146.207999999999</v>
      </c>
      <c r="C554" s="4">
        <v>39084.370999999999</v>
      </c>
      <c r="D554" s="148">
        <f t="shared" si="57"/>
        <v>-2938.1630000000005</v>
      </c>
      <c r="E554" s="92">
        <f t="shared" si="58"/>
        <v>-1.2757529810832613</v>
      </c>
      <c r="F554" s="4">
        <v>1530.1790000000001</v>
      </c>
      <c r="G554" s="4">
        <v>228900.17199999999</v>
      </c>
    </row>
    <row r="555" spans="1:7" hidden="1" outlineLevel="1" x14ac:dyDescent="0.2">
      <c r="A555" s="15">
        <v>44986</v>
      </c>
      <c r="B555" s="4">
        <v>44473.587</v>
      </c>
      <c r="C555" s="4">
        <v>44895.942999999999</v>
      </c>
      <c r="D555" s="148">
        <f t="shared" si="57"/>
        <v>-422.35599999999977</v>
      </c>
      <c r="E555" s="92">
        <f t="shared" si="58"/>
        <v>-0.18451537030736692</v>
      </c>
      <c r="F555" s="4">
        <v>1340.4649999999999</v>
      </c>
      <c r="G555" s="4">
        <v>229818.28899999999</v>
      </c>
    </row>
    <row r="556" spans="1:7" hidden="1" outlineLevel="1" x14ac:dyDescent="0.2">
      <c r="A556" s="15">
        <v>45017</v>
      </c>
      <c r="B556" s="4">
        <v>38654.925000000003</v>
      </c>
      <c r="C556" s="4">
        <v>39831.290999999997</v>
      </c>
      <c r="D556" s="148">
        <f t="shared" si="57"/>
        <v>-1176.3659999999945</v>
      </c>
      <c r="E556" s="92">
        <f t="shared" si="58"/>
        <v>-0.51186787836541348</v>
      </c>
      <c r="F556" s="4">
        <v>1506.9179999999999</v>
      </c>
      <c r="G556" s="4">
        <v>230148.85399999999</v>
      </c>
    </row>
    <row r="557" spans="1:7" hidden="1" outlineLevel="1" x14ac:dyDescent="0.2">
      <c r="A557" s="15">
        <v>45047</v>
      </c>
      <c r="B557" s="4">
        <v>45114.913</v>
      </c>
      <c r="C557" s="4">
        <v>46418.267999999996</v>
      </c>
      <c r="D557" s="148">
        <f t="shared" si="57"/>
        <v>-1303.3549999999959</v>
      </c>
      <c r="E557" s="92">
        <f t="shared" si="58"/>
        <v>-0.56630957632315471</v>
      </c>
      <c r="F557" s="4">
        <v>1365.5319999999999</v>
      </c>
      <c r="G557" s="4">
        <v>230211.04</v>
      </c>
    </row>
    <row r="558" spans="1:7" hidden="1" outlineLevel="1" x14ac:dyDescent="0.2">
      <c r="A558" s="15">
        <v>45078</v>
      </c>
      <c r="B558" s="4">
        <v>44324.413999999997</v>
      </c>
      <c r="C558" s="4">
        <v>44150.248</v>
      </c>
      <c r="D558" s="4">
        <f t="shared" si="57"/>
        <v>174.16599999999744</v>
      </c>
      <c r="E558" s="92">
        <f t="shared" si="58"/>
        <v>7.5654929494257728E-2</v>
      </c>
      <c r="F558" s="4">
        <v>1507.644</v>
      </c>
      <c r="G558" s="4">
        <v>231892.859</v>
      </c>
    </row>
    <row r="559" spans="1:7" hidden="1" outlineLevel="1" x14ac:dyDescent="0.2">
      <c r="A559" s="15">
        <v>45108</v>
      </c>
      <c r="B559" s="4">
        <v>45606.171999999999</v>
      </c>
      <c r="C559" s="4">
        <v>45485.256000000001</v>
      </c>
      <c r="D559" s="4">
        <f t="shared" si="57"/>
        <v>120.91599999999744</v>
      </c>
      <c r="E559" s="92">
        <f t="shared" si="58"/>
        <v>5.2143045940020706E-2</v>
      </c>
      <c r="F559" s="4">
        <v>1473.575</v>
      </c>
      <c r="G559" s="4">
        <v>233474.90599999999</v>
      </c>
    </row>
    <row r="560" spans="1:7" hidden="1" outlineLevel="1" x14ac:dyDescent="0.2">
      <c r="A560" s="15">
        <v>45139</v>
      </c>
      <c r="B560" s="4">
        <v>44407.803999999996</v>
      </c>
      <c r="C560" s="4">
        <v>46013.218999999997</v>
      </c>
      <c r="D560" s="4">
        <f t="shared" si="57"/>
        <v>-1605.4150000000009</v>
      </c>
      <c r="E560" s="92">
        <f t="shared" si="58"/>
        <v>-0.68761779477919616</v>
      </c>
      <c r="F560" s="4">
        <v>1519.271</v>
      </c>
      <c r="G560" s="4">
        <v>233380.318</v>
      </c>
    </row>
    <row r="561" spans="1:7" hidden="1" outlineLevel="1" x14ac:dyDescent="0.2">
      <c r="A561" s="15">
        <v>45170</v>
      </c>
      <c r="B561" s="4">
        <v>42307.254999999997</v>
      </c>
      <c r="C561" s="4">
        <v>42580.078999999998</v>
      </c>
      <c r="D561" s="4">
        <f t="shared" si="57"/>
        <v>-272.82400000000052</v>
      </c>
      <c r="E561" s="92">
        <f t="shared" si="58"/>
        <v>-0.11690103190278477</v>
      </c>
      <c r="F561" s="4">
        <v>1508.396</v>
      </c>
      <c r="G561" s="4">
        <v>233550.93799999999</v>
      </c>
    </row>
    <row r="562" spans="1:7" hidden="1" outlineLevel="1" x14ac:dyDescent="0.2">
      <c r="A562" s="15">
        <v>45200</v>
      </c>
      <c r="B562" s="4">
        <v>44338.993000000002</v>
      </c>
      <c r="C562" s="4">
        <v>47670.961000000003</v>
      </c>
      <c r="D562" s="4">
        <f t="shared" si="57"/>
        <v>-3331.9680000000008</v>
      </c>
      <c r="E562" s="92">
        <f t="shared" si="58"/>
        <v>-1.4266557987448549</v>
      </c>
      <c r="F562" s="4">
        <v>1383.271</v>
      </c>
      <c r="G562" s="4">
        <v>231569.897</v>
      </c>
    </row>
    <row r="563" spans="1:7" hidden="1" outlineLevel="1" x14ac:dyDescent="0.2">
      <c r="A563" s="15">
        <v>45231</v>
      </c>
      <c r="B563" s="4">
        <v>42975.817999999999</v>
      </c>
      <c r="C563" s="4">
        <v>44479.544000000002</v>
      </c>
      <c r="D563" s="4">
        <f t="shared" si="57"/>
        <v>-1503.7260000000024</v>
      </c>
      <c r="E563" s="92">
        <f t="shared" si="58"/>
        <v>-0.64936160506216511</v>
      </c>
      <c r="F563" s="4">
        <v>1319.5139999999999</v>
      </c>
      <c r="G563" s="4">
        <v>231385.685</v>
      </c>
    </row>
    <row r="564" spans="1:7" hidden="1" outlineLevel="1" x14ac:dyDescent="0.2">
      <c r="A564" s="15">
        <v>45261</v>
      </c>
      <c r="B564" s="4">
        <v>50669.093000000001</v>
      </c>
      <c r="C564" s="4">
        <v>47421.330999999998</v>
      </c>
      <c r="D564" s="4">
        <f t="shared" si="57"/>
        <v>3247.7620000000024</v>
      </c>
      <c r="E564" s="92">
        <f t="shared" si="58"/>
        <v>1.4036140567641437</v>
      </c>
      <c r="F564" s="4">
        <v>1319.2090000000001</v>
      </c>
      <c r="G564" s="4">
        <v>235952.658</v>
      </c>
    </row>
    <row r="565" spans="1:7" collapsed="1" x14ac:dyDescent="0.2">
      <c r="A565" s="16" t="s">
        <v>81</v>
      </c>
      <c r="B565" s="12">
        <f>SUM(B553:B564)</f>
        <v>518835.04099999997</v>
      </c>
      <c r="C565" s="12">
        <f>SUM(C553:C564)</f>
        <v>534260.25899999996</v>
      </c>
      <c r="D565" s="146">
        <f>SUM(D553:D564)</f>
        <v>-15425.218000000001</v>
      </c>
      <c r="E565" s="91">
        <f>(D565/G552*100)</f>
        <v>-6.5603424207925336</v>
      </c>
      <c r="F565" s="12">
        <f>SUM(F553:F564)</f>
        <v>17367.749</v>
      </c>
      <c r="G565" s="14">
        <f>IFERROR(INDEX($G$553:$G$564,COUNTA($G$553:$G$564)),0)</f>
        <v>235952.658</v>
      </c>
    </row>
    <row r="566" spans="1:7" outlineLevel="1" x14ac:dyDescent="0.2">
      <c r="A566" s="15">
        <v>45292</v>
      </c>
      <c r="B566" s="4">
        <v>45646.182999999997</v>
      </c>
      <c r="C566" s="4">
        <v>49522.438000000002</v>
      </c>
      <c r="D566" s="148">
        <f t="shared" ref="D566:D577" si="59">B566-C566</f>
        <v>-3876.2550000000047</v>
      </c>
      <c r="E566" s="92">
        <f>IFERROR(D566/G564*100,"")</f>
        <v>-1.64281048277066</v>
      </c>
      <c r="F566" s="4">
        <v>1276.1959999999999</v>
      </c>
      <c r="G566" s="4">
        <v>233352.601</v>
      </c>
    </row>
    <row r="567" spans="1:7" outlineLevel="1" x14ac:dyDescent="0.2">
      <c r="A567" s="15">
        <v>45323</v>
      </c>
      <c r="B567" s="4">
        <v>42427.205000000002</v>
      </c>
      <c r="C567" s="4">
        <v>42898.637999999999</v>
      </c>
      <c r="D567" s="148">
        <f t="shared" si="59"/>
        <v>-471.43299999999726</v>
      </c>
      <c r="E567" s="92">
        <f>IFERROR(D567/G566*100,"")</f>
        <v>-0.20202603184182946</v>
      </c>
      <c r="F567" s="4">
        <v>1273.498</v>
      </c>
      <c r="G567" s="4">
        <v>234154.663</v>
      </c>
    </row>
    <row r="568" spans="1:7" outlineLevel="1" x14ac:dyDescent="0.2">
      <c r="A568" s="15">
        <v>45352</v>
      </c>
      <c r="B568" s="4">
        <v>44333.588000000003</v>
      </c>
      <c r="C568" s="4">
        <v>43335.644</v>
      </c>
      <c r="D568" s="4">
        <f t="shared" si="59"/>
        <v>997.94400000000314</v>
      </c>
      <c r="E568" s="92">
        <f>IFERROR(D568/G567*100,"")</f>
        <v>0.42619010324812673</v>
      </c>
      <c r="F568" s="4">
        <v>1195.838</v>
      </c>
      <c r="G568" s="4">
        <v>236348.44200000001</v>
      </c>
    </row>
    <row r="569" spans="1:7" outlineLevel="1" x14ac:dyDescent="0.2">
      <c r="A569" s="15">
        <v>45383</v>
      </c>
      <c r="B569" s="4">
        <v>50043.919000000002</v>
      </c>
      <c r="C569" s="4">
        <v>48157.120999999999</v>
      </c>
      <c r="D569" s="4">
        <f t="shared" si="59"/>
        <v>1886.7980000000025</v>
      </c>
      <c r="E569" s="92">
        <f t="shared" ref="E569:E577" si="60">IFERROR(D569/G568*100,"")</f>
        <v>0.79831201087418313</v>
      </c>
      <c r="F569" s="4">
        <v>1296.473</v>
      </c>
      <c r="G569" s="4">
        <v>239531.71299999999</v>
      </c>
    </row>
    <row r="570" spans="1:7" outlineLevel="1" x14ac:dyDescent="0.2">
      <c r="A570" s="15">
        <v>45413</v>
      </c>
      <c r="B570" s="4">
        <v>51191.377</v>
      </c>
      <c r="C570" s="4">
        <v>48305.83</v>
      </c>
      <c r="D570" s="4">
        <f t="shared" si="59"/>
        <v>2885.5469999999987</v>
      </c>
      <c r="E570" s="92">
        <f t="shared" si="60"/>
        <v>1.2046617810477558</v>
      </c>
      <c r="F570" s="4">
        <v>1285.587</v>
      </c>
      <c r="G570" s="4">
        <v>243702.84899999999</v>
      </c>
    </row>
    <row r="571" spans="1:7" outlineLevel="1" x14ac:dyDescent="0.2">
      <c r="A571" s="15">
        <v>45444</v>
      </c>
      <c r="B571" s="4">
        <v>49120.398999999998</v>
      </c>
      <c r="C571" s="4">
        <v>45246.999000000003</v>
      </c>
      <c r="D571" s="4">
        <f t="shared" si="59"/>
        <v>3873.3999999999942</v>
      </c>
      <c r="E571" s="92">
        <f t="shared" si="60"/>
        <v>1.5893946319847883</v>
      </c>
      <c r="F571" s="4">
        <v>1356.742</v>
      </c>
      <c r="G571" s="4">
        <v>248932.99400000001</v>
      </c>
    </row>
    <row r="572" spans="1:7" outlineLevel="1" x14ac:dyDescent="0.2">
      <c r="A572" s="15">
        <v>45474</v>
      </c>
      <c r="B572" s="4">
        <v>53847.722000000002</v>
      </c>
      <c r="C572" s="4">
        <v>51897.493999999999</v>
      </c>
      <c r="D572" s="4">
        <f t="shared" si="59"/>
        <v>1950.2280000000028</v>
      </c>
      <c r="E572" s="92">
        <f t="shared" si="60"/>
        <v>0.78343491903688867</v>
      </c>
      <c r="F572" s="4">
        <v>1379.489</v>
      </c>
      <c r="G572" s="4">
        <v>252262.71299999999</v>
      </c>
    </row>
    <row r="573" spans="1:7" outlineLevel="1" x14ac:dyDescent="0.2">
      <c r="A573" s="15">
        <v>45505</v>
      </c>
      <c r="B573" s="4">
        <v>49400.642</v>
      </c>
      <c r="C573" s="4">
        <v>48510.239999999998</v>
      </c>
      <c r="D573" s="4">
        <f t="shared" si="59"/>
        <v>890.40200000000186</v>
      </c>
      <c r="E573" s="92">
        <f t="shared" si="60"/>
        <v>0.35296615556497324</v>
      </c>
      <c r="F573" s="4">
        <v>1369.375</v>
      </c>
      <c r="G573" s="4">
        <v>254522.492</v>
      </c>
    </row>
    <row r="574" spans="1:7" outlineLevel="1" x14ac:dyDescent="0.2">
      <c r="A574" s="15">
        <v>45536</v>
      </c>
      <c r="B574" s="4">
        <v>48389.284</v>
      </c>
      <c r="C574" s="4">
        <v>49392.06</v>
      </c>
      <c r="D574" s="4">
        <f t="shared" si="59"/>
        <v>-1002.775999999998</v>
      </c>
      <c r="E574" s="92">
        <f t="shared" si="60"/>
        <v>-0.39398325551519353</v>
      </c>
      <c r="F574" s="4">
        <v>1390.3879999999999</v>
      </c>
      <c r="G574" s="4">
        <v>254910.103</v>
      </c>
    </row>
    <row r="575" spans="1:7" outlineLevel="1" x14ac:dyDescent="0.2">
      <c r="A575" s="15">
        <v>45566</v>
      </c>
      <c r="B575" s="4">
        <v>49234.535000000003</v>
      </c>
      <c r="C575" s="4">
        <v>50843.010999999999</v>
      </c>
      <c r="D575" s="4">
        <f t="shared" si="59"/>
        <v>-1608.4759999999951</v>
      </c>
      <c r="E575" s="92">
        <f t="shared" si="60"/>
        <v>-0.63099735203511931</v>
      </c>
      <c r="F575" s="4">
        <v>1403.002</v>
      </c>
      <c r="G575" s="4">
        <v>254704.62899999999</v>
      </c>
    </row>
    <row r="576" spans="1:7" outlineLevel="1" x14ac:dyDescent="0.2">
      <c r="A576" s="15">
        <v>45597</v>
      </c>
      <c r="B576" s="4">
        <v>46307.946000000004</v>
      </c>
      <c r="C576" s="4">
        <v>47869.402000000002</v>
      </c>
      <c r="D576" s="4">
        <f t="shared" si="59"/>
        <v>-1561.4559999999983</v>
      </c>
      <c r="E576" s="92">
        <f t="shared" si="60"/>
        <v>-0.61304578802923859</v>
      </c>
      <c r="F576" s="4">
        <v>1428.7249999999999</v>
      </c>
      <c r="G576" s="4">
        <v>254571.897</v>
      </c>
    </row>
    <row r="577" spans="1:7" outlineLevel="1" x14ac:dyDescent="0.2">
      <c r="A577" s="15">
        <v>45627</v>
      </c>
      <c r="B577" s="4">
        <v>56891.968000000001</v>
      </c>
      <c r="C577" s="4">
        <v>54605.052000000003</v>
      </c>
      <c r="D577" s="4">
        <f t="shared" si="59"/>
        <v>2286.9159999999974</v>
      </c>
      <c r="E577" s="92">
        <f t="shared" si="60"/>
        <v>0.89833796540393362</v>
      </c>
      <c r="F577" s="4">
        <v>1513.3209999999999</v>
      </c>
      <c r="G577" s="4">
        <v>258372.13399999999</v>
      </c>
    </row>
    <row r="578" spans="1:7" x14ac:dyDescent="0.2">
      <c r="A578" s="16" t="s">
        <v>132</v>
      </c>
      <c r="B578" s="12">
        <f>SUM(B566:B577)</f>
        <v>586834.76800000004</v>
      </c>
      <c r="C578" s="12">
        <f>SUM(C566:C577)</f>
        <v>580583.92900000012</v>
      </c>
      <c r="D578" s="12">
        <f>SUM(D566:D577)</f>
        <v>6250.8390000000072</v>
      </c>
      <c r="E578" s="91">
        <f>(D578/G565*100)</f>
        <v>2.6491920256308399</v>
      </c>
      <c r="F578" s="12">
        <f>SUM(F566:F577)</f>
        <v>16168.634</v>
      </c>
      <c r="G578" s="14">
        <f>IFERROR(INDEX($G$566:$G$577,COUNTA($G$566:$G$577)),0)</f>
        <v>258372.13399999999</v>
      </c>
    </row>
    <row r="579" spans="1:7" x14ac:dyDescent="0.2">
      <c r="A579" s="49" t="s">
        <v>12</v>
      </c>
      <c r="B579" s="4"/>
      <c r="C579" s="4"/>
      <c r="D579" s="17"/>
      <c r="E579" s="5"/>
      <c r="F579" s="4"/>
      <c r="G579" s="4"/>
    </row>
    <row r="580" spans="1:7" ht="5.25" customHeight="1" x14ac:dyDescent="0.2">
      <c r="A580" s="18"/>
      <c r="B580" s="4"/>
      <c r="C580" s="4"/>
      <c r="D580" s="17"/>
      <c r="E580" s="5"/>
      <c r="F580" s="4"/>
      <c r="G580" s="4"/>
    </row>
    <row r="581" spans="1:7" x14ac:dyDescent="0.2">
      <c r="A581" s="60" t="s">
        <v>83</v>
      </c>
      <c r="B581" s="54"/>
      <c r="C581" s="54"/>
      <c r="D581" s="55"/>
      <c r="E581" s="56" t="s">
        <v>84</v>
      </c>
      <c r="F581" s="54"/>
      <c r="G581" s="54"/>
    </row>
    <row r="582" spans="1:7" x14ac:dyDescent="0.2">
      <c r="A582" s="61" t="s">
        <v>85</v>
      </c>
      <c r="B582" s="53"/>
      <c r="C582" s="53"/>
      <c r="D582" s="53"/>
      <c r="E582" s="57" t="s">
        <v>86</v>
      </c>
      <c r="F582" s="53"/>
      <c r="G582" s="53"/>
    </row>
    <row r="583" spans="1:7" x14ac:dyDescent="0.2">
      <c r="A583" s="62" t="s">
        <v>87</v>
      </c>
      <c r="B583" s="58"/>
      <c r="C583" s="58"/>
      <c r="D583" s="58"/>
      <c r="E583" s="59" t="s">
        <v>88</v>
      </c>
      <c r="F583" s="58"/>
      <c r="G583" s="58"/>
    </row>
    <row r="584" spans="1:7" ht="4.5" customHeight="1" x14ac:dyDescent="0.2">
      <c r="B584" s="1"/>
      <c r="C584" s="1"/>
      <c r="D584" s="1"/>
      <c r="E584" s="1"/>
    </row>
    <row r="585" spans="1:7" x14ac:dyDescent="0.2">
      <c r="B585" s="1"/>
      <c r="C585" s="1"/>
      <c r="D585" s="1"/>
      <c r="E585" s="1"/>
    </row>
  </sheetData>
  <mergeCells count="1">
    <mergeCell ref="D5:E5"/>
  </mergeCells>
  <phoneticPr fontId="0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0" orientation="portrait" r:id="rId1"/>
  <headerFooter alignWithMargins="0">
    <oddFooter>&amp;C&amp;8&amp;P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P82"/>
  <sheetViews>
    <sheetView showGridLines="0" zoomScaleNormal="100" workbookViewId="0">
      <pane xSplit="1" ySplit="8" topLeftCell="B36" activePane="bottomRight" state="frozen"/>
      <selection pane="topRight" activeCell="B491" sqref="B491:C491"/>
      <selection pane="bottomLeft" activeCell="B491" sqref="B491:C491"/>
      <selection pane="bottomRight" activeCell="O41" sqref="O41"/>
    </sheetView>
  </sheetViews>
  <sheetFormatPr defaultColWidth="9.140625" defaultRowHeight="15" x14ac:dyDescent="0.25"/>
  <cols>
    <col min="1" max="1" width="11" style="19" customWidth="1"/>
    <col min="2" max="13" width="12.28515625" style="19" customWidth="1"/>
    <col min="14" max="16384" width="9.140625" style="19"/>
  </cols>
  <sheetData>
    <row r="1" spans="1:13" ht="15" customHeight="1" x14ac:dyDescent="0.25"/>
    <row r="2" spans="1:13" ht="15" customHeight="1" x14ac:dyDescent="0.25">
      <c r="B2" s="50" t="s">
        <v>0</v>
      </c>
      <c r="C2" s="51"/>
      <c r="D2" s="51"/>
      <c r="E2" s="51"/>
      <c r="F2" s="51"/>
      <c r="G2" s="51"/>
    </row>
    <row r="3" spans="1:13" ht="15" customHeight="1" x14ac:dyDescent="0.25">
      <c r="A3" s="48"/>
      <c r="B3" s="50" t="s">
        <v>89</v>
      </c>
      <c r="C3" s="51"/>
      <c r="D3" s="51"/>
      <c r="E3" s="51"/>
      <c r="F3" s="51"/>
      <c r="G3" s="51"/>
      <c r="H3" s="48"/>
      <c r="I3" s="48"/>
      <c r="J3" s="48"/>
      <c r="K3" s="48"/>
      <c r="L3" s="48"/>
      <c r="M3" s="48"/>
    </row>
    <row r="4" spans="1:13" ht="15" customHeight="1" x14ac:dyDescent="0.25">
      <c r="A4" s="48"/>
      <c r="B4" s="50" t="s">
        <v>90</v>
      </c>
      <c r="C4"/>
      <c r="D4"/>
      <c r="E4"/>
      <c r="F4"/>
      <c r="G4"/>
      <c r="H4" s="48"/>
      <c r="I4" s="48"/>
      <c r="J4" s="48"/>
      <c r="K4" s="48"/>
      <c r="L4" s="48"/>
      <c r="M4" s="48"/>
    </row>
    <row r="5" spans="1:13" ht="15" customHeight="1" x14ac:dyDescent="0.25">
      <c r="A5" s="48"/>
      <c r="C5"/>
      <c r="D5"/>
      <c r="E5"/>
      <c r="F5"/>
      <c r="G5"/>
      <c r="H5" s="48"/>
      <c r="I5" s="48"/>
      <c r="J5" s="48"/>
      <c r="K5" s="48"/>
      <c r="L5" s="48"/>
      <c r="M5" s="48"/>
    </row>
    <row r="6" spans="1:13" x14ac:dyDescent="0.25">
      <c r="B6" s="164" t="s">
        <v>3</v>
      </c>
      <c r="C6" s="165"/>
      <c r="D6" s="165"/>
      <c r="E6" s="166"/>
      <c r="F6" s="165" t="s">
        <v>91</v>
      </c>
      <c r="G6" s="165"/>
      <c r="H6" s="165"/>
      <c r="I6" s="166"/>
      <c r="J6" s="165" t="s">
        <v>92</v>
      </c>
      <c r="K6" s="165"/>
      <c r="L6" s="165"/>
      <c r="M6" s="165"/>
    </row>
    <row r="7" spans="1:13" x14ac:dyDescent="0.25">
      <c r="A7" s="167" t="s">
        <v>93</v>
      </c>
      <c r="B7" s="161" t="s">
        <v>9</v>
      </c>
      <c r="C7" s="160"/>
      <c r="D7" s="162" t="s">
        <v>94</v>
      </c>
      <c r="E7" s="168"/>
      <c r="F7" s="169" t="s">
        <v>9</v>
      </c>
      <c r="G7" s="170"/>
      <c r="H7" s="171" t="s">
        <v>94</v>
      </c>
      <c r="I7" s="172"/>
      <c r="J7" s="161" t="s">
        <v>9</v>
      </c>
      <c r="K7" s="160"/>
      <c r="L7" s="162" t="s">
        <v>94</v>
      </c>
      <c r="M7" s="163"/>
    </row>
    <row r="8" spans="1:13" x14ac:dyDescent="0.25">
      <c r="A8" s="167"/>
      <c r="B8" s="20" t="s">
        <v>2</v>
      </c>
      <c r="C8" s="21" t="s">
        <v>95</v>
      </c>
      <c r="D8" s="21" t="s">
        <v>2</v>
      </c>
      <c r="E8" s="22" t="s">
        <v>95</v>
      </c>
      <c r="F8" s="20" t="s">
        <v>2</v>
      </c>
      <c r="G8" s="21" t="s">
        <v>95</v>
      </c>
      <c r="H8" s="21" t="s">
        <v>2</v>
      </c>
      <c r="I8" s="22" t="s">
        <v>95</v>
      </c>
      <c r="J8" s="20" t="s">
        <v>2</v>
      </c>
      <c r="K8" s="21" t="s">
        <v>95</v>
      </c>
      <c r="L8" s="21" t="s">
        <v>2</v>
      </c>
      <c r="M8" s="23" t="s">
        <v>95</v>
      </c>
    </row>
    <row r="9" spans="1:13" hidden="1" x14ac:dyDescent="0.25">
      <c r="A9" s="24" t="s">
        <v>96</v>
      </c>
      <c r="B9" s="25">
        <v>36883.877</v>
      </c>
      <c r="C9" s="26"/>
      <c r="D9" s="27"/>
      <c r="E9" s="28"/>
      <c r="F9" s="25">
        <v>8059.5314699999999</v>
      </c>
      <c r="G9" s="26"/>
      <c r="H9" s="27"/>
      <c r="I9" s="28"/>
      <c r="J9" s="25">
        <f t="shared" ref="J9:J25" si="0">SUM(B9,F9)</f>
        <v>44943.408470000002</v>
      </c>
      <c r="K9" s="26"/>
      <c r="L9" s="27"/>
    </row>
    <row r="10" spans="1:13" hidden="1" x14ac:dyDescent="0.25">
      <c r="A10" s="29" t="s">
        <v>97</v>
      </c>
      <c r="B10" s="30">
        <v>51362.411999999997</v>
      </c>
      <c r="C10" s="70">
        <f>B10/B9-1</f>
        <v>0.39254373936883025</v>
      </c>
      <c r="D10" s="32">
        <v>162</v>
      </c>
      <c r="E10" s="33">
        <f>D10/B9</f>
        <v>4.3921630039054733E-3</v>
      </c>
      <c r="F10" s="30">
        <v>12273.59376</v>
      </c>
      <c r="G10" s="70">
        <f>F10/F9-1</f>
        <v>0.52286690680295833</v>
      </c>
      <c r="H10" s="32"/>
      <c r="I10" s="72"/>
      <c r="J10" s="30">
        <f t="shared" si="0"/>
        <v>63636.00576</v>
      </c>
      <c r="K10" s="31">
        <f>J10/J9-1</f>
        <v>0.41591410011720442</v>
      </c>
      <c r="L10" s="32"/>
      <c r="M10" s="34"/>
    </row>
    <row r="11" spans="1:13" hidden="1" x14ac:dyDescent="0.25">
      <c r="A11" s="24" t="s">
        <v>98</v>
      </c>
      <c r="B11" s="25">
        <v>59418.697</v>
      </c>
      <c r="C11" s="71">
        <f>B11/B10-1</f>
        <v>0.15685176545057899</v>
      </c>
      <c r="D11" s="36">
        <v>2346</v>
      </c>
      <c r="E11" s="37">
        <f>D11/B10</f>
        <v>4.5675425055972843E-2</v>
      </c>
      <c r="F11" s="25">
        <v>12605.133300000001</v>
      </c>
      <c r="G11" s="71">
        <f>F11/F10-1</f>
        <v>2.7012425739598722E-2</v>
      </c>
      <c r="H11" s="36"/>
      <c r="I11" s="73"/>
      <c r="J11" s="25">
        <f t="shared" si="0"/>
        <v>72023.830300000001</v>
      </c>
      <c r="K11" s="35">
        <f>J11/J10-1</f>
        <v>0.13180941260886581</v>
      </c>
      <c r="L11" s="36"/>
      <c r="M11" s="38"/>
    </row>
    <row r="12" spans="1:13" hidden="1" x14ac:dyDescent="0.25">
      <c r="A12" s="29" t="s">
        <v>99</v>
      </c>
      <c r="B12" s="30">
        <v>80250.376999999993</v>
      </c>
      <c r="C12" s="70">
        <f>B12/B11-1</f>
        <v>0.35059132986372954</v>
      </c>
      <c r="D12" s="32">
        <v>11079</v>
      </c>
      <c r="E12" s="33">
        <f>D12/B11</f>
        <v>0.18645646167569108</v>
      </c>
      <c r="F12" s="30">
        <v>16813.562000000002</v>
      </c>
      <c r="G12" s="70">
        <f>F12/F11-1</f>
        <v>0.33386625907399181</v>
      </c>
      <c r="H12" s="32">
        <v>2113.8519999999999</v>
      </c>
      <c r="I12" s="72"/>
      <c r="J12" s="30">
        <f t="shared" si="0"/>
        <v>97063.938999999998</v>
      </c>
      <c r="K12" s="31">
        <f>J12/J11-1</f>
        <v>0.34766421885229826</v>
      </c>
      <c r="L12" s="43">
        <f t="shared" ref="L12:L25" si="1">SUM(D12,H12)</f>
        <v>13192.851999999999</v>
      </c>
      <c r="M12" s="34">
        <f>L12/J11</f>
        <v>0.18317342947532739</v>
      </c>
    </row>
    <row r="13" spans="1:13" hidden="1" x14ac:dyDescent="0.25">
      <c r="A13" s="24" t="s">
        <v>100</v>
      </c>
      <c r="B13" s="25">
        <v>88538.349000000002</v>
      </c>
      <c r="C13" s="71">
        <f>B13/B12-1</f>
        <v>0.10327642448333929</v>
      </c>
      <c r="D13" s="39">
        <v>-2301.5</v>
      </c>
      <c r="E13" s="37">
        <f>D13/B12</f>
        <v>-2.8678992997129473E-2</v>
      </c>
      <c r="F13" s="25">
        <v>18883.240000000002</v>
      </c>
      <c r="G13" s="71">
        <f t="shared" ref="G13:G21" si="2">F13/F12-1</f>
        <v>0.12309574853918526</v>
      </c>
      <c r="H13" s="39">
        <v>-361.22800000000001</v>
      </c>
      <c r="I13" s="37">
        <f t="shared" ref="I13:I21" si="3">H13/F12</f>
        <v>-2.1484323191004975E-2</v>
      </c>
      <c r="J13" s="25">
        <f t="shared" si="0"/>
        <v>107421.58900000001</v>
      </c>
      <c r="K13" s="35">
        <f>J13/J12-1</f>
        <v>0.1067095577071111</v>
      </c>
      <c r="L13" s="39">
        <f t="shared" si="1"/>
        <v>-2662.7280000000001</v>
      </c>
      <c r="M13" s="38">
        <f>L13/J12</f>
        <v>-2.7432721435300501E-2</v>
      </c>
    </row>
    <row r="14" spans="1:13" hidden="1" x14ac:dyDescent="0.25">
      <c r="A14" s="29" t="s">
        <v>101</v>
      </c>
      <c r="B14" s="30">
        <v>90437.74</v>
      </c>
      <c r="C14" s="70">
        <f t="shared" ref="C14:C21" si="4">B14/B13-1</f>
        <v>2.1452749248803027E-2</v>
      </c>
      <c r="D14" s="40">
        <v>-8740.2000000000007</v>
      </c>
      <c r="E14" s="33">
        <f t="shared" ref="E14:E21" si="5">D14/B13</f>
        <v>-9.8716545979415093E-2</v>
      </c>
      <c r="F14" s="30">
        <v>20294.123</v>
      </c>
      <c r="G14" s="70">
        <f t="shared" si="2"/>
        <v>7.4716150406392012E-2</v>
      </c>
      <c r="H14" s="40">
        <v>-858.50800000000004</v>
      </c>
      <c r="I14" s="33">
        <f t="shared" si="3"/>
        <v>-4.5464019945729649E-2</v>
      </c>
      <c r="J14" s="30">
        <f t="shared" si="0"/>
        <v>110731.86300000001</v>
      </c>
      <c r="K14" s="31">
        <f t="shared" ref="K14:K21" si="6">J14/J13-1</f>
        <v>3.0815723643782711E-2</v>
      </c>
      <c r="L14" s="40">
        <f t="shared" si="1"/>
        <v>-9598.7080000000005</v>
      </c>
      <c r="M14" s="34">
        <f t="shared" ref="M14:M21" si="7">L14/J13</f>
        <v>-8.9355483281856871E-2</v>
      </c>
    </row>
    <row r="15" spans="1:13" hidden="1" x14ac:dyDescent="0.25">
      <c r="A15" s="24" t="s">
        <v>102</v>
      </c>
      <c r="B15" s="25">
        <v>91430.45</v>
      </c>
      <c r="C15" s="71">
        <f t="shared" si="4"/>
        <v>1.0976722770825509E-2</v>
      </c>
      <c r="D15" s="39">
        <v>-6355.9639999999999</v>
      </c>
      <c r="E15" s="37">
        <f t="shared" si="5"/>
        <v>-7.0279995939748152E-2</v>
      </c>
      <c r="F15" s="25">
        <v>20310.891</v>
      </c>
      <c r="G15" s="71">
        <f t="shared" si="2"/>
        <v>8.2624905742423316E-4</v>
      </c>
      <c r="H15" s="39">
        <v>-1615.4570000000001</v>
      </c>
      <c r="I15" s="37">
        <f t="shared" si="3"/>
        <v>-7.960220798898282E-2</v>
      </c>
      <c r="J15" s="25">
        <f t="shared" si="0"/>
        <v>111741.341</v>
      </c>
      <c r="K15" s="35">
        <f t="shared" si="6"/>
        <v>9.116418460330511E-3</v>
      </c>
      <c r="L15" s="39">
        <f t="shared" si="1"/>
        <v>-7971.4210000000003</v>
      </c>
      <c r="M15" s="38">
        <f t="shared" si="7"/>
        <v>-7.1988502532464388E-2</v>
      </c>
    </row>
    <row r="16" spans="1:13" hidden="1" x14ac:dyDescent="0.25">
      <c r="A16" s="29" t="s">
        <v>103</v>
      </c>
      <c r="B16" s="30">
        <v>97146.25</v>
      </c>
      <c r="C16" s="70">
        <f t="shared" si="4"/>
        <v>6.2515278006397335E-2</v>
      </c>
      <c r="D16" s="40">
        <v>-1319.3810000000001</v>
      </c>
      <c r="E16" s="33">
        <f t="shared" si="5"/>
        <v>-1.4430433187193108E-2</v>
      </c>
      <c r="F16" s="30">
        <v>21552.598000000002</v>
      </c>
      <c r="G16" s="70">
        <f t="shared" si="2"/>
        <v>6.1135033416308548E-2</v>
      </c>
      <c r="H16" s="40">
        <v>-412.96300000000002</v>
      </c>
      <c r="I16" s="33">
        <f t="shared" si="3"/>
        <v>-2.0332096706146472E-2</v>
      </c>
      <c r="J16" s="30">
        <f t="shared" si="0"/>
        <v>118698.848</v>
      </c>
      <c r="K16" s="31">
        <f t="shared" si="6"/>
        <v>6.2264395055004806E-2</v>
      </c>
      <c r="L16" s="40">
        <f t="shared" si="1"/>
        <v>-1732.3440000000001</v>
      </c>
      <c r="M16" s="34">
        <f t="shared" si="7"/>
        <v>-1.5503161001083744E-2</v>
      </c>
    </row>
    <row r="17" spans="1:16" hidden="1" x14ac:dyDescent="0.25">
      <c r="A17" s="24" t="s">
        <v>104</v>
      </c>
      <c r="B17" s="25">
        <v>112423.444</v>
      </c>
      <c r="C17" s="71">
        <f t="shared" si="4"/>
        <v>0.15725973982526353</v>
      </c>
      <c r="D17" s="41">
        <v>7008.2820000000002</v>
      </c>
      <c r="E17" s="37">
        <f t="shared" si="5"/>
        <v>7.2141559761699503E-2</v>
      </c>
      <c r="F17" s="25">
        <v>27219.067999999999</v>
      </c>
      <c r="G17" s="71">
        <f t="shared" si="2"/>
        <v>0.26291354759180297</v>
      </c>
      <c r="H17" s="41">
        <v>3649.9720000000002</v>
      </c>
      <c r="I17" s="37">
        <f t="shared" si="3"/>
        <v>0.1693518340573141</v>
      </c>
      <c r="J17" s="25">
        <f t="shared" si="0"/>
        <v>139642.51199999999</v>
      </c>
      <c r="K17" s="35">
        <f t="shared" si="6"/>
        <v>0.1764437006162014</v>
      </c>
      <c r="L17" s="41">
        <f t="shared" si="1"/>
        <v>10658.254000000001</v>
      </c>
      <c r="M17" s="38">
        <f t="shared" si="7"/>
        <v>8.9792396300257274E-2</v>
      </c>
    </row>
    <row r="18" spans="1:16" hidden="1" x14ac:dyDescent="0.25">
      <c r="A18" s="29" t="s">
        <v>105</v>
      </c>
      <c r="B18" s="30">
        <v>115258.02099999999</v>
      </c>
      <c r="C18" s="70">
        <f t="shared" si="4"/>
        <v>2.521339766107844E-2</v>
      </c>
      <c r="D18" s="40">
        <v>-8178.8860000000004</v>
      </c>
      <c r="E18" s="33">
        <f t="shared" si="5"/>
        <v>-7.2750715589179074E-2</v>
      </c>
      <c r="F18" s="30">
        <v>27799.405999999999</v>
      </c>
      <c r="G18" s="70">
        <f t="shared" si="2"/>
        <v>2.1321009227795784E-2</v>
      </c>
      <c r="H18" s="40">
        <v>-2213.8679999999999</v>
      </c>
      <c r="I18" s="33">
        <f t="shared" si="3"/>
        <v>-8.1335187523687444E-2</v>
      </c>
      <c r="J18" s="30">
        <f t="shared" si="0"/>
        <v>143057.427</v>
      </c>
      <c r="K18" s="31">
        <f t="shared" si="6"/>
        <v>2.4454694713598402E-2</v>
      </c>
      <c r="L18" s="40">
        <f t="shared" si="1"/>
        <v>-10392.754000000001</v>
      </c>
      <c r="M18" s="34">
        <f t="shared" si="7"/>
        <v>-7.442399775793207E-2</v>
      </c>
    </row>
    <row r="19" spans="1:16" hidden="1" x14ac:dyDescent="0.25">
      <c r="A19" s="24" t="s">
        <v>106</v>
      </c>
      <c r="B19" s="25">
        <v>126853.217</v>
      </c>
      <c r="C19" s="71">
        <f t="shared" si="4"/>
        <v>0.10060207436669422</v>
      </c>
      <c r="D19" s="41">
        <v>3057.299</v>
      </c>
      <c r="E19" s="37">
        <f t="shared" si="5"/>
        <v>2.6525694033910231E-2</v>
      </c>
      <c r="F19" s="25">
        <v>31413.353999999999</v>
      </c>
      <c r="G19" s="71">
        <f t="shared" si="2"/>
        <v>0.130000907213629</v>
      </c>
      <c r="H19" s="41">
        <v>1425.1469999999999</v>
      </c>
      <c r="I19" s="37">
        <f t="shared" si="3"/>
        <v>5.1265375958033058E-2</v>
      </c>
      <c r="J19" s="25">
        <f t="shared" si="0"/>
        <v>158266.571</v>
      </c>
      <c r="K19" s="35">
        <f t="shared" si="6"/>
        <v>0.10631495560171089</v>
      </c>
      <c r="L19" s="41">
        <f t="shared" si="1"/>
        <v>4482.4459999999999</v>
      </c>
      <c r="M19" s="38">
        <f t="shared" si="7"/>
        <v>3.133319320778781E-2</v>
      </c>
    </row>
    <row r="20" spans="1:16" hidden="1" x14ac:dyDescent="0.25">
      <c r="A20" s="29" t="s">
        <v>107</v>
      </c>
      <c r="B20" s="30">
        <v>135411.68100000001</v>
      </c>
      <c r="C20" s="70">
        <f t="shared" si="4"/>
        <v>6.7467457289632771E-2</v>
      </c>
      <c r="D20" s="40">
        <v>-1869.5310000000022</v>
      </c>
      <c r="E20" s="33">
        <f t="shared" si="5"/>
        <v>-1.4737750009130648E-2</v>
      </c>
      <c r="F20" s="30">
        <v>33322.74</v>
      </c>
      <c r="G20" s="70">
        <f t="shared" si="2"/>
        <v>6.0782621301755935E-2</v>
      </c>
      <c r="H20" s="40">
        <v>-826.94799999999998</v>
      </c>
      <c r="I20" s="33">
        <f t="shared" si="3"/>
        <v>-2.6324728012169601E-2</v>
      </c>
      <c r="J20" s="30">
        <f t="shared" si="0"/>
        <v>168734.421</v>
      </c>
      <c r="K20" s="31">
        <f t="shared" si="6"/>
        <v>6.6140625489383931E-2</v>
      </c>
      <c r="L20" s="40">
        <f t="shared" si="1"/>
        <v>-2696.4790000000021</v>
      </c>
      <c r="M20" s="34">
        <f t="shared" si="7"/>
        <v>-1.7037577695418714E-2</v>
      </c>
    </row>
    <row r="21" spans="1:16" hidden="1" x14ac:dyDescent="0.25">
      <c r="A21" s="24" t="s">
        <v>108</v>
      </c>
      <c r="B21" s="25">
        <v>150412.546</v>
      </c>
      <c r="C21" s="71">
        <f t="shared" si="4"/>
        <v>0.11077969706320978</v>
      </c>
      <c r="D21" s="41">
        <v>4963.7360000000008</v>
      </c>
      <c r="E21" s="37">
        <f t="shared" si="5"/>
        <v>3.6656630826405592E-2</v>
      </c>
      <c r="F21" s="25">
        <v>37523.192999999999</v>
      </c>
      <c r="G21" s="71">
        <f t="shared" si="2"/>
        <v>0.12605364984992229</v>
      </c>
      <c r="H21" s="41">
        <v>1532.9190000000001</v>
      </c>
      <c r="I21" s="37">
        <f t="shared" si="3"/>
        <v>4.6002189495821778E-2</v>
      </c>
      <c r="J21" s="25">
        <f t="shared" si="0"/>
        <v>187935.739</v>
      </c>
      <c r="K21" s="35">
        <f t="shared" si="6"/>
        <v>0.11379609380352806</v>
      </c>
      <c r="L21" s="41">
        <f t="shared" si="1"/>
        <v>6496.6550000000007</v>
      </c>
      <c r="M21" s="38">
        <f t="shared" si="7"/>
        <v>3.8502250824092379E-2</v>
      </c>
      <c r="O21" s="42"/>
      <c r="P21" s="42"/>
    </row>
    <row r="22" spans="1:16" hidden="1" x14ac:dyDescent="0.25">
      <c r="A22" s="29" t="s">
        <v>109</v>
      </c>
      <c r="B22" s="30">
        <f>SBPE_Mensal!G356</f>
        <v>187827.264</v>
      </c>
      <c r="C22" s="70">
        <f t="shared" ref="C22:C27" si="8">B22/B21-1</f>
        <v>0.24874732191555338</v>
      </c>
      <c r="D22" s="43">
        <v>26493.599999999999</v>
      </c>
      <c r="E22" s="33">
        <f t="shared" ref="E22:E27" si="9">D22/B21</f>
        <v>0.17613956218785098</v>
      </c>
      <c r="F22" s="30">
        <v>47434.387999999999</v>
      </c>
      <c r="G22" s="70">
        <f t="shared" ref="G22:G27" si="10">F22/F21-1</f>
        <v>0.26413517101276529</v>
      </c>
      <c r="H22" s="43">
        <v>6927.3579999999993</v>
      </c>
      <c r="I22" s="33">
        <f t="shared" ref="I22:I27" si="11">H22/F21</f>
        <v>0.18461536575525433</v>
      </c>
      <c r="J22" s="30">
        <f t="shared" si="0"/>
        <v>235261.652</v>
      </c>
      <c r="K22" s="31">
        <f t="shared" ref="K22:K27" si="12">J22/J21-1</f>
        <v>0.2518196552280032</v>
      </c>
      <c r="L22" s="43">
        <f t="shared" si="1"/>
        <v>33420.957999999999</v>
      </c>
      <c r="M22" s="34">
        <f t="shared" ref="M22:M27" si="13">L22/J21</f>
        <v>0.17783183857329019</v>
      </c>
      <c r="O22" s="42"/>
      <c r="P22" s="42"/>
    </row>
    <row r="23" spans="1:16" hidden="1" x14ac:dyDescent="0.25">
      <c r="A23" s="24" t="s">
        <v>110</v>
      </c>
      <c r="B23" s="25">
        <f>SBPE_Mensal!G369</f>
        <v>215400.28200000001</v>
      </c>
      <c r="C23" s="71">
        <f t="shared" si="8"/>
        <v>0.14679987033192377</v>
      </c>
      <c r="D23" s="41">
        <v>13900.71</v>
      </c>
      <c r="E23" s="37">
        <f t="shared" si="9"/>
        <v>7.4007945939094336E-2</v>
      </c>
      <c r="F23" s="25">
        <f>Rural_Mensal!G370</f>
        <v>54995.457999999999</v>
      </c>
      <c r="G23" s="71">
        <f t="shared" si="10"/>
        <v>0.15940060194304606</v>
      </c>
      <c r="H23" s="41">
        <f>Rural_Mensal!$D$370</f>
        <v>4187.0429999999997</v>
      </c>
      <c r="I23" s="37">
        <f t="shared" si="11"/>
        <v>8.8270201778507182E-2</v>
      </c>
      <c r="J23" s="25">
        <f t="shared" si="0"/>
        <v>270395.74</v>
      </c>
      <c r="K23" s="35">
        <f t="shared" si="12"/>
        <v>0.14934047985006926</v>
      </c>
      <c r="L23" s="41">
        <f t="shared" si="1"/>
        <v>18087.752999999997</v>
      </c>
      <c r="M23" s="38">
        <f t="shared" si="13"/>
        <v>7.6883558566527441E-2</v>
      </c>
    </row>
    <row r="24" spans="1:16" hidden="1" x14ac:dyDescent="0.25">
      <c r="A24" s="29" t="s">
        <v>111</v>
      </c>
      <c r="B24" s="30">
        <f>SBPE_Mensal!G383</f>
        <v>253604.98</v>
      </c>
      <c r="C24" s="70">
        <f t="shared" si="8"/>
        <v>0.1773660537733186</v>
      </c>
      <c r="D24" s="43">
        <f>SBPE_Mensal!$D$383</f>
        <v>23813.032999999996</v>
      </c>
      <c r="E24" s="33">
        <f t="shared" si="9"/>
        <v>0.11055246900744538</v>
      </c>
      <c r="F24" s="30">
        <f>Rural_Mensal!G383</f>
        <v>65477.998</v>
      </c>
      <c r="G24" s="70">
        <f t="shared" si="10"/>
        <v>0.1906073770673935</v>
      </c>
      <c r="H24" s="43">
        <f>Rural_Mensal!$D$383</f>
        <v>5752.6509999999998</v>
      </c>
      <c r="I24" s="33">
        <f t="shared" si="11"/>
        <v>0.10460229279297938</v>
      </c>
      <c r="J24" s="30">
        <f t="shared" si="0"/>
        <v>319082.978</v>
      </c>
      <c r="K24" s="31">
        <f t="shared" si="12"/>
        <v>0.18005919028162198</v>
      </c>
      <c r="L24" s="43">
        <f t="shared" si="1"/>
        <v>29565.683999999994</v>
      </c>
      <c r="M24" s="34">
        <f t="shared" si="13"/>
        <v>0.10934226996327677</v>
      </c>
    </row>
    <row r="25" spans="1:16" hidden="1" x14ac:dyDescent="0.25">
      <c r="A25" s="24" t="s">
        <v>112</v>
      </c>
      <c r="B25" s="25">
        <f>SBPE_Mensal!G396</f>
        <v>299878.217</v>
      </c>
      <c r="C25" s="71">
        <f t="shared" si="8"/>
        <v>0.18246186253913455</v>
      </c>
      <c r="D25" s="41">
        <f>SBPE_Mensal!$D$396</f>
        <v>29513.471999999998</v>
      </c>
      <c r="E25" s="37">
        <f t="shared" si="9"/>
        <v>0.11637575886719573</v>
      </c>
      <c r="F25" s="25">
        <f>Rural_Mensal!G396</f>
        <v>78920.573999999993</v>
      </c>
      <c r="G25" s="71">
        <f t="shared" si="10"/>
        <v>0.20529912964046315</v>
      </c>
      <c r="H25" s="41">
        <f>Rural_Mensal!$D$396</f>
        <v>9213.3009999999958</v>
      </c>
      <c r="I25" s="37">
        <f t="shared" si="11"/>
        <v>0.14070834908544388</v>
      </c>
      <c r="J25" s="25">
        <f t="shared" si="0"/>
        <v>378798.79099999997</v>
      </c>
      <c r="K25" s="35">
        <f t="shared" si="12"/>
        <v>0.18714822512406148</v>
      </c>
      <c r="L25" s="41">
        <f t="shared" si="1"/>
        <v>38726.772999999994</v>
      </c>
      <c r="M25" s="38">
        <f t="shared" si="13"/>
        <v>0.12136897192930171</v>
      </c>
    </row>
    <row r="26" spans="1:16" hidden="1" x14ac:dyDescent="0.25">
      <c r="A26" s="29" t="s">
        <v>113</v>
      </c>
      <c r="B26" s="30">
        <f>SBPE_Mensal!G409</f>
        <v>330569.272</v>
      </c>
      <c r="C26" s="70">
        <f t="shared" si="8"/>
        <v>0.10234506296267587</v>
      </c>
      <c r="D26" s="43">
        <f>SBPE_Mensal!$D$409</f>
        <v>9382.9320000000153</v>
      </c>
      <c r="E26" s="33">
        <f t="shared" si="9"/>
        <v>3.128914161844578E-2</v>
      </c>
      <c r="F26" s="30">
        <f>Rural_Mensal!G409</f>
        <v>89439.721999999994</v>
      </c>
      <c r="G26" s="70">
        <f t="shared" si="10"/>
        <v>0.13328777867226371</v>
      </c>
      <c r="H26" s="43">
        <f>Rural_Mensal!$D$409</f>
        <v>4844.6569999999956</v>
      </c>
      <c r="I26" s="33">
        <f t="shared" si="11"/>
        <v>6.1386489662378738E-2</v>
      </c>
      <c r="J26" s="30">
        <f t="shared" ref="J26:J31" si="14">SUM(B26,F26)</f>
        <v>420008.99400000001</v>
      </c>
      <c r="K26" s="31">
        <f t="shared" si="12"/>
        <v>0.10879180181966319</v>
      </c>
      <c r="L26" s="43">
        <f t="shared" ref="L26:L31" si="15">SUM(D26,H26)</f>
        <v>14227.589000000011</v>
      </c>
      <c r="M26" s="34">
        <f t="shared" si="13"/>
        <v>3.7559752929623297E-2</v>
      </c>
    </row>
    <row r="27" spans="1:16" hidden="1" x14ac:dyDescent="0.25">
      <c r="A27" s="24" t="s">
        <v>114</v>
      </c>
      <c r="B27" s="25">
        <f>SBPE_Mensal!G422</f>
        <v>388641.66200000001</v>
      </c>
      <c r="C27" s="71">
        <f t="shared" si="8"/>
        <v>0.17567389022171431</v>
      </c>
      <c r="D27" s="41">
        <f>SBPE_Mensal!$D$422</f>
        <v>37239.574999999953</v>
      </c>
      <c r="E27" s="37">
        <f t="shared" si="9"/>
        <v>0.11265286327036457</v>
      </c>
      <c r="F27" s="25">
        <f>Rural_Mensal!G422</f>
        <v>107660.772</v>
      </c>
      <c r="G27" s="71">
        <f t="shared" si="10"/>
        <v>0.20372435862445992</v>
      </c>
      <c r="H27" s="41">
        <f>Rural_Mensal!$D$422</f>
        <v>12479.983999999997</v>
      </c>
      <c r="I27" s="37">
        <f t="shared" si="11"/>
        <v>0.13953513853721503</v>
      </c>
      <c r="J27" s="25">
        <f t="shared" si="14"/>
        <v>496302.43400000001</v>
      </c>
      <c r="K27" s="35">
        <f t="shared" si="12"/>
        <v>0.18164715777491192</v>
      </c>
      <c r="L27" s="41">
        <f t="shared" si="15"/>
        <v>49719.55899999995</v>
      </c>
      <c r="M27" s="38">
        <f t="shared" si="13"/>
        <v>0.11837736741418435</v>
      </c>
    </row>
    <row r="28" spans="1:16" hidden="1" x14ac:dyDescent="0.25">
      <c r="A28" s="29" t="s">
        <v>115</v>
      </c>
      <c r="B28" s="30">
        <f>SBPE_Mensal!G435</f>
        <v>466788.64399999997</v>
      </c>
      <c r="C28" s="70">
        <f t="shared" ref="C28:C34" si="16">B28/B27-1</f>
        <v>0.20107721235506637</v>
      </c>
      <c r="D28" s="43">
        <f>SBPE_Mensal!$D$435</f>
        <v>54280.749000000025</v>
      </c>
      <c r="E28" s="33">
        <f t="shared" ref="E28:E34" si="17">D28/B27</f>
        <v>0.13966785938662443</v>
      </c>
      <c r="F28" s="30">
        <f>Rural_Mensal!G435</f>
        <v>131154.416</v>
      </c>
      <c r="G28" s="70">
        <f t="shared" ref="G28:G34" si="18">F28/F27-1</f>
        <v>0.21821916714474243</v>
      </c>
      <c r="H28" s="43">
        <f>Rural_Mensal!$D$435</f>
        <v>16766.843000000001</v>
      </c>
      <c r="I28" s="33">
        <f t="shared" ref="I28:I34" si="19">H28/F27</f>
        <v>0.15573771847001061</v>
      </c>
      <c r="J28" s="30">
        <f t="shared" si="14"/>
        <v>597943.05999999994</v>
      </c>
      <c r="K28" s="31">
        <f t="shared" ref="K28:K34" si="20">J28/J27-1</f>
        <v>0.20479574355663943</v>
      </c>
      <c r="L28" s="43">
        <f t="shared" si="15"/>
        <v>71047.592000000033</v>
      </c>
      <c r="M28" s="34">
        <f t="shared" ref="M28:M34" si="21">L28/J27</f>
        <v>0.14315382543539981</v>
      </c>
    </row>
    <row r="29" spans="1:16" hidden="1" x14ac:dyDescent="0.25">
      <c r="A29" s="24" t="s">
        <v>116</v>
      </c>
      <c r="B29" s="25">
        <f>SBPE_Mensal!G448</f>
        <v>522343.50099999999</v>
      </c>
      <c r="C29" s="71">
        <f t="shared" si="16"/>
        <v>0.11901501399849823</v>
      </c>
      <c r="D29" s="41">
        <f>SBPE_Mensal!$D$448</f>
        <v>23758.558000000005</v>
      </c>
      <c r="E29" s="37">
        <f t="shared" si="17"/>
        <v>5.0897892023268686E-2</v>
      </c>
      <c r="F29" s="25">
        <f>Rural_Mensal!G448</f>
        <v>140383.609</v>
      </c>
      <c r="G29" s="71">
        <f t="shared" si="18"/>
        <v>7.0368907746118037E-2</v>
      </c>
      <c r="H29" s="41">
        <f>Rural_Mensal!$D$448</f>
        <v>275.4230000000025</v>
      </c>
      <c r="I29" s="37">
        <f t="shared" si="19"/>
        <v>2.0999902893090732E-3</v>
      </c>
      <c r="J29" s="25">
        <f t="shared" si="14"/>
        <v>662727.11</v>
      </c>
      <c r="K29" s="35">
        <f t="shared" si="20"/>
        <v>0.10834484808637135</v>
      </c>
      <c r="L29" s="41">
        <f t="shared" si="15"/>
        <v>24033.981000000007</v>
      </c>
      <c r="M29" s="38">
        <f t="shared" si="21"/>
        <v>4.0194430887783877E-2</v>
      </c>
    </row>
    <row r="30" spans="1:16" hidden="1" x14ac:dyDescent="0.25">
      <c r="A30" s="29" t="s">
        <v>117</v>
      </c>
      <c r="B30" s="30">
        <f>SBPE_Mensal!G461</f>
        <v>509223.04399999999</v>
      </c>
      <c r="C30" s="70">
        <f t="shared" si="16"/>
        <v>-2.5118445955356061E-2</v>
      </c>
      <c r="D30" s="43">
        <f>SBPE_Mensal!$D$461</f>
        <v>-50149.362999999954</v>
      </c>
      <c r="E30" s="33">
        <f t="shared" si="17"/>
        <v>-9.6008398504033379E-2</v>
      </c>
      <c r="F30" s="30">
        <f>Rural_Mensal!G461</f>
        <v>147366.72700000001</v>
      </c>
      <c r="G30" s="70">
        <f t="shared" si="18"/>
        <v>4.9743114952971679E-2</v>
      </c>
      <c r="H30" s="43">
        <f>Rural_Mensal!$D$461</f>
        <v>-3418.5039999999972</v>
      </c>
      <c r="I30" s="33">
        <f t="shared" si="19"/>
        <v>-2.4351161965069562E-2</v>
      </c>
      <c r="J30" s="30">
        <f t="shared" si="14"/>
        <v>656589.77099999995</v>
      </c>
      <c r="K30" s="31">
        <f t="shared" si="20"/>
        <v>-9.2607332752692173E-3</v>
      </c>
      <c r="L30" s="43">
        <f t="shared" si="15"/>
        <v>-53567.866999999955</v>
      </c>
      <c r="M30" s="34">
        <f t="shared" si="21"/>
        <v>-8.0829448790769934E-2</v>
      </c>
    </row>
    <row r="31" spans="1:16" hidden="1" x14ac:dyDescent="0.25">
      <c r="A31" s="24" t="s">
        <v>118</v>
      </c>
      <c r="B31" s="25">
        <f>SBPE_Mensal!G474</f>
        <v>515955.43</v>
      </c>
      <c r="C31" s="71">
        <f t="shared" si="16"/>
        <v>1.3220898149298943E-2</v>
      </c>
      <c r="D31" s="41">
        <f>SBPE_Mensal!$D$474</f>
        <v>-31222.545999999973</v>
      </c>
      <c r="E31" s="37">
        <f t="shared" si="17"/>
        <v>-6.1314086956363222E-2</v>
      </c>
      <c r="F31" s="25">
        <f>Rural_Mensal!G474</f>
        <v>149036.99400000001</v>
      </c>
      <c r="G31" s="71">
        <f t="shared" si="18"/>
        <v>1.1334084932211219E-2</v>
      </c>
      <c r="H31" s="41">
        <f>Rural_Mensal!$D$474</f>
        <v>-9479.2069999999912</v>
      </c>
      <c r="I31" s="37">
        <f t="shared" si="19"/>
        <v>-6.4323929783688491E-2</v>
      </c>
      <c r="J31" s="25">
        <f t="shared" si="14"/>
        <v>664992.424</v>
      </c>
      <c r="K31" s="35">
        <f t="shared" si="20"/>
        <v>1.2797416851625165E-2</v>
      </c>
      <c r="L31" s="41">
        <f t="shared" si="15"/>
        <v>-40701.752999999968</v>
      </c>
      <c r="M31" s="38">
        <f t="shared" si="21"/>
        <v>-6.1989623959584912E-2</v>
      </c>
    </row>
    <row r="32" spans="1:16" hidden="1" x14ac:dyDescent="0.25">
      <c r="A32" s="29" t="s">
        <v>119</v>
      </c>
      <c r="B32" s="30">
        <f>SBPE_Mensal!G487</f>
        <v>563741.67500000005</v>
      </c>
      <c r="C32" s="70">
        <f t="shared" si="16"/>
        <v>9.2617001821261979E-2</v>
      </c>
      <c r="D32" s="43">
        <f>SBPE_Mensal!$D$487</f>
        <v>14774.799000000057</v>
      </c>
      <c r="E32" s="33">
        <f t="shared" si="17"/>
        <v>2.863580484073994E-2</v>
      </c>
      <c r="F32" s="30">
        <f>Rural_Mensal!G487</f>
        <v>160861.77100000001</v>
      </c>
      <c r="G32" s="70">
        <f t="shared" si="18"/>
        <v>7.9341220475769969E-2</v>
      </c>
      <c r="H32" s="43">
        <f>Rural_Mensal!$D$487</f>
        <v>2351.9029999999948</v>
      </c>
      <c r="I32" s="33">
        <f t="shared" si="19"/>
        <v>1.5780665839247903E-2</v>
      </c>
      <c r="J32" s="30">
        <f t="shared" ref="J32:J34" si="22">SUM(B32,F32)</f>
        <v>724603.446</v>
      </c>
      <c r="K32" s="31">
        <f t="shared" si="20"/>
        <v>8.9641655827345179E-2</v>
      </c>
      <c r="L32" s="43">
        <f t="shared" ref="L32" si="23">SUM(D32,H32)</f>
        <v>17126.702000000052</v>
      </c>
      <c r="M32" s="34">
        <f t="shared" si="21"/>
        <v>2.5754732508050427E-2</v>
      </c>
    </row>
    <row r="33" spans="1:13" hidden="1" x14ac:dyDescent="0.25">
      <c r="A33" s="24" t="s">
        <v>120</v>
      </c>
      <c r="B33" s="25">
        <f>SBPE_Mensal!G500</f>
        <v>618146.06299999997</v>
      </c>
      <c r="C33" s="71">
        <f t="shared" si="16"/>
        <v>9.6505882769798657E-2</v>
      </c>
      <c r="D33" s="41">
        <f>SBPE_Mensal!$D$500</f>
        <v>27791.076000000005</v>
      </c>
      <c r="E33" s="37">
        <f t="shared" si="17"/>
        <v>4.9297536854978841E-2</v>
      </c>
      <c r="F33" s="25">
        <f>Rural_Mensal!G500</f>
        <v>179134.93900000001</v>
      </c>
      <c r="G33" s="71">
        <f t="shared" si="18"/>
        <v>0.11359546700502254</v>
      </c>
      <c r="H33" s="41">
        <f>Rural_Mensal!$D$500</f>
        <v>10469.293000000012</v>
      </c>
      <c r="I33" s="37">
        <f t="shared" si="19"/>
        <v>6.5082542203268492E-2</v>
      </c>
      <c r="J33" s="25">
        <f t="shared" ref="J33" si="24">SUM(B33,F33)</f>
        <v>797281.00199999998</v>
      </c>
      <c r="K33" s="35">
        <f t="shared" si="20"/>
        <v>0.10029976589429568</v>
      </c>
      <c r="L33" s="41">
        <f t="shared" ref="L33" si="25">SUM(D33,H33)</f>
        <v>38260.369000000021</v>
      </c>
      <c r="M33" s="38">
        <f t="shared" si="21"/>
        <v>5.2801803815876444E-2</v>
      </c>
    </row>
    <row r="34" spans="1:13" hidden="1" x14ac:dyDescent="0.25">
      <c r="A34" s="29" t="s">
        <v>121</v>
      </c>
      <c r="B34" s="30">
        <f>SBPE_Mensal!G513</f>
        <v>657531.44200000004</v>
      </c>
      <c r="C34" s="70">
        <f t="shared" si="16"/>
        <v>6.3715327747707606E-2</v>
      </c>
      <c r="D34" s="43">
        <f>SBPE_Mensal!D513</f>
        <v>12389.57500000007</v>
      </c>
      <c r="E34" s="33">
        <f t="shared" si="17"/>
        <v>2.0043118838079649E-2</v>
      </c>
      <c r="F34" s="30">
        <f>Rural_Mensal!G513</f>
        <v>187933.103</v>
      </c>
      <c r="G34" s="70">
        <f t="shared" si="18"/>
        <v>4.9114729092575304E-2</v>
      </c>
      <c r="H34" s="43">
        <f>Rural_Mensal!D513</f>
        <v>937.49699999999939</v>
      </c>
      <c r="I34" s="33">
        <f t="shared" si="19"/>
        <v>5.233468162232714E-3</v>
      </c>
      <c r="J34" s="30">
        <f t="shared" si="22"/>
        <v>845464.54500000004</v>
      </c>
      <c r="K34" s="70">
        <f t="shared" si="20"/>
        <v>6.0434831482413909E-2</v>
      </c>
      <c r="L34" s="43">
        <f t="shared" ref="L34:L39" si="26">SUM(D34,H34)</f>
        <v>13327.072000000069</v>
      </c>
      <c r="M34" s="34">
        <f t="shared" si="21"/>
        <v>1.6715652281402371E-2</v>
      </c>
    </row>
    <row r="35" spans="1:13" hidden="1" x14ac:dyDescent="0.25">
      <c r="A35" s="24" t="s">
        <v>122</v>
      </c>
      <c r="B35" s="25">
        <f>SBPE_Mensal!G526</f>
        <v>801437.98499999999</v>
      </c>
      <c r="C35" s="71">
        <f t="shared" ref="C35" si="27">B35/B34-1</f>
        <v>0.21885880097578658</v>
      </c>
      <c r="D35" s="41">
        <f>SBPE_Mensal!D526</f>
        <v>125352.73900000006</v>
      </c>
      <c r="E35" s="37">
        <f t="shared" ref="E35" si="28">D35/B34</f>
        <v>0.19064143703716613</v>
      </c>
      <c r="F35" s="25">
        <f>Rural_Mensal!G526</f>
        <v>234189.821</v>
      </c>
      <c r="G35" s="71">
        <f t="shared" ref="G35" si="29">F35/F34-1</f>
        <v>0.24613395544264494</v>
      </c>
      <c r="H35" s="41">
        <f>Rural_Mensal!D526</f>
        <v>40957.163000000008</v>
      </c>
      <c r="I35" s="37">
        <f t="shared" ref="I35" si="30">H35/F34</f>
        <v>0.21793479885233422</v>
      </c>
      <c r="J35" s="25">
        <f t="shared" ref="J35" si="31">SUM(B35,F35)</f>
        <v>1035627.806</v>
      </c>
      <c r="K35" s="71">
        <f t="shared" ref="K35" si="32">J35/J34-1</f>
        <v>0.22492162696189699</v>
      </c>
      <c r="L35" s="41">
        <f t="shared" si="26"/>
        <v>166309.90200000006</v>
      </c>
      <c r="M35" s="38">
        <f t="shared" ref="M35" si="33">L35/J34</f>
        <v>0.19670831022251803</v>
      </c>
    </row>
    <row r="36" spans="1:13" x14ac:dyDescent="0.25">
      <c r="A36" s="29" t="s">
        <v>123</v>
      </c>
      <c r="B36" s="30">
        <f>SBPE_Mensal!G539</f>
        <v>790109.01300000004</v>
      </c>
      <c r="C36" s="70">
        <f t="shared" ref="C36" si="34">B36/B35-1</f>
        <v>-1.413580615348542E-2</v>
      </c>
      <c r="D36" s="43">
        <f>SBPE_Mensal!D539</f>
        <v>-34755.496999999887</v>
      </c>
      <c r="E36" s="149">
        <f t="shared" ref="E36" si="35">D36/B35</f>
        <v>-4.3366420921513833E-2</v>
      </c>
      <c r="F36" s="30">
        <f>Rural_Mensal!G539</f>
        <v>240493.997</v>
      </c>
      <c r="G36" s="70">
        <f t="shared" ref="G36" si="36">F36/F35-1</f>
        <v>2.6919086291115946E-2</v>
      </c>
      <c r="H36" s="43">
        <f>Rural_Mensal!D539</f>
        <v>-741.41299999999319</v>
      </c>
      <c r="I36" s="149">
        <f t="shared" ref="I36" si="37">H36/F35</f>
        <v>-3.1658634727766122E-3</v>
      </c>
      <c r="J36" s="30">
        <f t="shared" ref="J36" si="38">SUM(B36,F36)</f>
        <v>1030603.01</v>
      </c>
      <c r="K36" s="70">
        <f t="shared" ref="K36" si="39">J36/J35-1</f>
        <v>-4.8519322973836765E-3</v>
      </c>
      <c r="L36" s="43">
        <f t="shared" si="26"/>
        <v>-35496.90999999988</v>
      </c>
      <c r="M36" s="149">
        <f t="shared" ref="M36" si="40">L36/J35</f>
        <v>-3.4275740564655988E-2</v>
      </c>
    </row>
    <row r="37" spans="1:13" x14ac:dyDescent="0.25">
      <c r="A37" s="95" t="s">
        <v>124</v>
      </c>
      <c r="B37" s="96">
        <f>SBPE_Mensal!G552</f>
        <v>763815.06599999999</v>
      </c>
      <c r="C37" s="97">
        <f t="shared" ref="C37" si="41">B37/B36-1</f>
        <v>-3.3278885023932836E-2</v>
      </c>
      <c r="D37" s="98">
        <f>SBPE_Mensal!D552</f>
        <v>-80944.485000000015</v>
      </c>
      <c r="E37" s="150">
        <f t="shared" ref="E37" si="42">D37/B36</f>
        <v>-0.10244723660683011</v>
      </c>
      <c r="F37" s="96">
        <f>Rural_Mensal!G552</f>
        <v>235128.245</v>
      </c>
      <c r="G37" s="97">
        <f t="shared" ref="G37" si="43">F37/F36-1</f>
        <v>-2.2311376029897412E-2</v>
      </c>
      <c r="H37" s="98">
        <f>Rural_Mensal!D552</f>
        <v>-22292.690999999992</v>
      </c>
      <c r="I37" s="150">
        <f t="shared" ref="I37" si="44">H37/F36</f>
        <v>-9.2695415594926431E-2</v>
      </c>
      <c r="J37" s="96">
        <f t="shared" ref="J37" si="45">SUM(B37,F37)</f>
        <v>998943.31099999999</v>
      </c>
      <c r="K37" s="97">
        <f t="shared" ref="K37" si="46">J37/J36-1</f>
        <v>-3.0719587166740392E-2</v>
      </c>
      <c r="L37" s="98">
        <f t="shared" si="26"/>
        <v>-103237.17600000001</v>
      </c>
      <c r="M37" s="150">
        <f t="shared" ref="M37" si="47">L37/J36</f>
        <v>-0.10017162282497119</v>
      </c>
    </row>
    <row r="38" spans="1:13" x14ac:dyDescent="0.25">
      <c r="A38" s="29" t="s">
        <v>125</v>
      </c>
      <c r="B38" s="30">
        <f>SBPE_Mensal!G565</f>
        <v>747081.24699999997</v>
      </c>
      <c r="C38" s="70">
        <f>B38/B37-1</f>
        <v>-2.1908207555570769E-2</v>
      </c>
      <c r="D38" s="43">
        <f>SBPE_Mensal!D565</f>
        <v>-72393.907000000007</v>
      </c>
      <c r="E38" s="149">
        <f>D38/B37</f>
        <v>-9.4779365087831358E-2</v>
      </c>
      <c r="F38" s="30">
        <f>Rural_Mensal!G565</f>
        <v>235952.658</v>
      </c>
      <c r="G38" s="70">
        <f t="shared" ref="G38" si="48">F38/F37-1</f>
        <v>3.5062269953998193E-3</v>
      </c>
      <c r="H38" s="43">
        <f>Rural_Mensal!D565</f>
        <v>-15425.218000000001</v>
      </c>
      <c r="I38" s="149">
        <f t="shared" ref="I38" si="49">H38/F37</f>
        <v>-6.5603424207925337E-2</v>
      </c>
      <c r="J38" s="30">
        <f>SUM(B38,F38)</f>
        <v>983033.90500000003</v>
      </c>
      <c r="K38" s="70">
        <f t="shared" ref="K38" si="50">J38/J37-1</f>
        <v>-1.5926235077417639E-2</v>
      </c>
      <c r="L38" s="43">
        <f t="shared" si="26"/>
        <v>-87819.125</v>
      </c>
      <c r="M38" s="149">
        <f>L38/J37</f>
        <v>-8.791202066520469E-2</v>
      </c>
    </row>
    <row r="39" spans="1:13" x14ac:dyDescent="0.25">
      <c r="A39" s="95" t="s">
        <v>134</v>
      </c>
      <c r="B39" s="96">
        <f>SBPE_Mensal!G578</f>
        <v>773481.21699999995</v>
      </c>
      <c r="C39" s="97">
        <f>B39/B38-1</f>
        <v>3.5337481841516416E-2</v>
      </c>
      <c r="D39" s="98">
        <f>SBPE_Mensal!D578</f>
        <v>-21717.608000000066</v>
      </c>
      <c r="E39" s="150">
        <f>D39/B38</f>
        <v>-2.906994130452329E-2</v>
      </c>
      <c r="F39" s="96">
        <f>Rural_Mensal!G578</f>
        <v>258372.13399999999</v>
      </c>
      <c r="G39" s="97">
        <f t="shared" ref="G39" si="51">F39/F38-1</f>
        <v>9.5016840200206509E-2</v>
      </c>
      <c r="H39" s="98">
        <f>Rural_Mensal!D578</f>
        <v>6250.8390000000072</v>
      </c>
      <c r="I39" s="97">
        <f t="shared" ref="I39" si="52">H39/F38</f>
        <v>2.6491920256308397E-2</v>
      </c>
      <c r="J39" s="96">
        <f>SUM(B39,F39)</f>
        <v>1031853.3509999999</v>
      </c>
      <c r="K39" s="97">
        <f t="shared" ref="K39" si="53">J39/J38-1</f>
        <v>4.9662016489654848E-2</v>
      </c>
      <c r="L39" s="98">
        <f t="shared" si="26"/>
        <v>-15466.769000000058</v>
      </c>
      <c r="M39" s="150">
        <f>L39/J38</f>
        <v>-1.57337085947204E-2</v>
      </c>
    </row>
    <row r="40" spans="1:13" x14ac:dyDescent="0.25">
      <c r="A40" s="95"/>
      <c r="B40" s="96"/>
      <c r="C40" s="97"/>
      <c r="D40" s="98"/>
      <c r="E40" s="99"/>
      <c r="F40" s="96"/>
      <c r="G40" s="97"/>
      <c r="H40" s="98"/>
      <c r="I40" s="100"/>
      <c r="J40" s="96"/>
      <c r="K40" s="101"/>
      <c r="L40" s="98"/>
      <c r="M40" s="99"/>
    </row>
    <row r="41" spans="1:13" x14ac:dyDescent="0.25">
      <c r="A41" s="151" t="s">
        <v>12</v>
      </c>
      <c r="B41" s="152"/>
      <c r="C41" s="45"/>
      <c r="D41" s="44"/>
      <c r="E41" s="45"/>
      <c r="F41" s="44"/>
      <c r="G41" s="45"/>
      <c r="H41" s="44"/>
      <c r="I41" s="45"/>
      <c r="J41" s="44"/>
      <c r="K41" s="45"/>
      <c r="L41" s="44"/>
      <c r="M41" s="45"/>
    </row>
    <row r="42" spans="1:13" hidden="1" x14ac:dyDescent="0.25">
      <c r="A42" s="52" t="s">
        <v>133</v>
      </c>
      <c r="D42" s="7"/>
      <c r="F42" s="7"/>
      <c r="H42" s="7"/>
      <c r="J42" s="7"/>
      <c r="L42" s="7"/>
    </row>
    <row r="43" spans="1:13" x14ac:dyDescent="0.25">
      <c r="A43" s="46" t="s">
        <v>126</v>
      </c>
    </row>
    <row r="44" spans="1:13" x14ac:dyDescent="0.25">
      <c r="A44" s="46" t="s">
        <v>127</v>
      </c>
    </row>
    <row r="45" spans="1:13" x14ac:dyDescent="0.25">
      <c r="A45" s="46" t="s">
        <v>128</v>
      </c>
    </row>
    <row r="46" spans="1:13" x14ac:dyDescent="0.25">
      <c r="A46" s="46" t="s">
        <v>129</v>
      </c>
    </row>
    <row r="47" spans="1:13" x14ac:dyDescent="0.25">
      <c r="A47" s="46" t="s">
        <v>130</v>
      </c>
    </row>
    <row r="48" spans="1:13" x14ac:dyDescent="0.25">
      <c r="A48" s="7" t="s">
        <v>131</v>
      </c>
    </row>
    <row r="63" spans="1:1" x14ac:dyDescent="0.25">
      <c r="A63" s="49"/>
    </row>
    <row r="82" spans="3:3" x14ac:dyDescent="0.25">
      <c r="C82" s="82">
        <f>IFERROR(INDEX(SBPE_Mensal!$A$488:$A$499,COUNTA(SBPE_Mensal!$G$488:$G$499)),0)</f>
        <v>43435</v>
      </c>
    </row>
  </sheetData>
  <mergeCells count="10">
    <mergeCell ref="L7:M7"/>
    <mergeCell ref="B6:E6"/>
    <mergeCell ref="F6:I6"/>
    <mergeCell ref="J6:M6"/>
    <mergeCell ref="A7:A8"/>
    <mergeCell ref="B7:C7"/>
    <mergeCell ref="D7:E7"/>
    <mergeCell ref="F7:G7"/>
    <mergeCell ref="H7:I7"/>
    <mergeCell ref="J7:K7"/>
  </mergeCells>
  <phoneticPr fontId="19" type="noConversion"/>
  <printOptions horizontalCentered="1" verticalCentered="1"/>
  <pageMargins left="0.39370078740157483" right="0.39370078740157483" top="0.19685039370078741" bottom="0.39370078740157483" header="0.51181102362204722" footer="0.51181102362204722"/>
  <pageSetup paperSize="9" scale="70" orientation="landscape" verticalDpi="1200" r:id="rId1"/>
  <headerFooter alignWithMargins="0"/>
  <ignoredErrors>
    <ignoredError sqref="K12:K32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CEC10BA3312242ABCD6405145D2BB0" ma:contentTypeVersion="16" ma:contentTypeDescription="Crie um novo documento." ma:contentTypeScope="" ma:versionID="e55bd53efa8d3482af85711ab4228bab">
  <xsd:schema xmlns:xsd="http://www.w3.org/2001/XMLSchema" xmlns:xs="http://www.w3.org/2001/XMLSchema" xmlns:p="http://schemas.microsoft.com/office/2006/metadata/properties" xmlns:ns2="f4bcf983-2136-4c42-9108-b73acbb23e9e" xmlns:ns3="ce50f6f7-abf6-49b9-b4c9-2ea63774b93b" targetNamespace="http://schemas.microsoft.com/office/2006/metadata/properties" ma:root="true" ma:fieldsID="e75a285b38dd0264128213b5c46655c4" ns2:_="" ns3:_="">
    <xsd:import namespace="f4bcf983-2136-4c42-9108-b73acbb23e9e"/>
    <xsd:import namespace="ce50f6f7-abf6-49b9-b4c9-2ea63774b9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dataehor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cf983-2136-4c42-9108-b73acbb23e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2c0b6e29-5829-4521-b9b7-6aeb3aaae9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dataehora" ma:index="20" nillable="true" ma:displayName="data e hora" ma:format="DateTime" ma:internalName="dataehora">
      <xsd:simpleType>
        <xsd:restriction base="dms:DateTim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0f6f7-abf6-49b9-b4c9-2ea63774b93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d4a6a2a-6a58-40ec-b29b-10468b44da97}" ma:internalName="TaxCatchAll" ma:showField="CatchAllData" ma:web="ce50f6f7-abf6-49b9-b4c9-2ea63774b9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bcf983-2136-4c42-9108-b73acbb23e9e">
      <Terms xmlns="http://schemas.microsoft.com/office/infopath/2007/PartnerControls"/>
    </lcf76f155ced4ddcb4097134ff3c332f>
    <TaxCatchAll xmlns="ce50f6f7-abf6-49b9-b4c9-2ea63774b93b" xsi:nil="true"/>
    <dataehora xmlns="f4bcf983-2136-4c42-9108-b73acbb23e9e" xsi:nil="true"/>
  </documentManagement>
</p:properties>
</file>

<file path=customXml/itemProps1.xml><?xml version="1.0" encoding="utf-8"?>
<ds:datastoreItem xmlns:ds="http://schemas.openxmlformats.org/officeDocument/2006/customXml" ds:itemID="{96509E89-FE0E-431C-BA45-7694EF3AB1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056C1E-EC97-41A5-9203-47ABB2A7E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bcf983-2136-4c42-9108-b73acbb23e9e"/>
    <ds:schemaRef ds:uri="ce50f6f7-abf6-49b9-b4c9-2ea63774b9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283142-55CA-4180-9AA8-15EA97B26825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f4bcf983-2136-4c42-9108-b73acbb23e9e"/>
    <ds:schemaRef ds:uri="http://schemas.microsoft.com/office/infopath/2007/PartnerControls"/>
    <ds:schemaRef ds:uri="ce50f6f7-abf6-49b9-b4c9-2ea63774b93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SBPE</vt:lpstr>
      <vt:lpstr>SBPE_Mensal</vt:lpstr>
      <vt:lpstr>Rural_Mensal</vt:lpstr>
      <vt:lpstr>Total_Anual</vt:lpstr>
      <vt:lpstr>Rural_Mensal!Area_de_impressao</vt:lpstr>
      <vt:lpstr>SBPE!Area_de_impressao</vt:lpstr>
      <vt:lpstr>SBPE_Mensal!Area_de_impressao</vt:lpstr>
      <vt:lpstr>Total_Anual!Area_de_impressao</vt:lpstr>
      <vt:lpstr>Rural_Mensal!Titulos_de_impressao</vt:lpstr>
      <vt:lpstr>SBPE_Mensal!Titulos_de_impressao</vt:lpstr>
    </vt:vector>
  </TitlesOfParts>
  <Manager/>
  <Company>Abecip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</dc:creator>
  <cp:keywords/>
  <dc:description/>
  <cp:lastModifiedBy>Priscila Zioli - Abecip</cp:lastModifiedBy>
  <cp:revision/>
  <cp:lastPrinted>2024-02-16T20:48:01Z</cp:lastPrinted>
  <dcterms:created xsi:type="dcterms:W3CDTF">2001-08-07T17:49:36Z</dcterms:created>
  <dcterms:modified xsi:type="dcterms:W3CDTF">2025-01-08T13:55:47Z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0x01010003CEC10BA3312242ABCD6405145D2BB0</vt:lpwstr>
  </property>
  <property fmtid="{D5CDD505-2E9C-101B-9397-08002B2CF9AE}" pid="3" name="Order">
    <vt:r8>1392200</vt:r8>
  </property>
  <property fmtid="{D5CDD505-2E9C-101B-9397-08002B2CF9AE}" pid="4" name="MediaServiceImageTags">
    <vt:lpwstr/>
  </property>
</Properties>
</file>