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definedNames>
    <definedName name="T0">Sheet3!$B$4</definedName>
    <definedName name="Ts">Sheet3!$B$5</definedName>
  </definedNames>
  <calcPr calcId="145621"/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8" i="3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15" i="2"/>
  <c r="B12" i="2"/>
  <c r="B9" i="2"/>
  <c r="B8" i="2"/>
  <c r="B11" i="2" s="1"/>
  <c r="N10" i="1"/>
  <c r="N11" i="1"/>
  <c r="M11" i="1"/>
  <c r="M5" i="1"/>
  <c r="M6" i="1"/>
  <c r="M7" i="1"/>
  <c r="M8" i="1"/>
  <c r="M9" i="1"/>
  <c r="M10" i="1"/>
  <c r="M4" i="1"/>
  <c r="I5" i="1"/>
  <c r="K5" i="1" s="1"/>
  <c r="O5" i="1" s="1"/>
  <c r="I6" i="1"/>
  <c r="K6" i="1" s="1"/>
  <c r="I7" i="1"/>
  <c r="K7" i="1" s="1"/>
  <c r="O7" i="1" s="1"/>
  <c r="I8" i="1"/>
  <c r="K8" i="1" s="1"/>
  <c r="O8" i="1" s="1"/>
  <c r="I9" i="1"/>
  <c r="K9" i="1" s="1"/>
  <c r="O9" i="1" s="1"/>
  <c r="I10" i="1"/>
  <c r="K10" i="1" s="1"/>
  <c r="I11" i="1"/>
  <c r="K11" i="1" s="1"/>
  <c r="O11" i="1" s="1"/>
  <c r="I4" i="1"/>
  <c r="K4" i="1" s="1"/>
  <c r="O4" i="1" s="1"/>
  <c r="H5" i="1"/>
  <c r="N5" i="1" s="1"/>
  <c r="H6" i="1"/>
  <c r="N6" i="1" s="1"/>
  <c r="H7" i="1"/>
  <c r="N7" i="1" s="1"/>
  <c r="H8" i="1"/>
  <c r="J8" i="1" s="1"/>
  <c r="P8" i="1" s="1"/>
  <c r="H9" i="1"/>
  <c r="N9" i="1" s="1"/>
  <c r="H10" i="1"/>
  <c r="J10" i="1" s="1"/>
  <c r="P10" i="1" s="1"/>
  <c r="H11" i="1"/>
  <c r="J11" i="1" s="1"/>
  <c r="H4" i="1"/>
  <c r="N4" i="1" s="1"/>
  <c r="R8" i="1" l="1"/>
  <c r="S8" i="1"/>
  <c r="T8" i="1" s="1"/>
  <c r="Q11" i="1"/>
  <c r="S10" i="1"/>
  <c r="T10" i="1" s="1"/>
  <c r="Q4" i="1"/>
  <c r="L11" i="1"/>
  <c r="P11" i="1"/>
  <c r="Q10" i="1"/>
  <c r="R10" i="1" s="1"/>
  <c r="J7" i="1"/>
  <c r="J9" i="1"/>
  <c r="J5" i="1"/>
  <c r="Q5" i="1" s="1"/>
  <c r="L8" i="1"/>
  <c r="N8" i="1"/>
  <c r="Q8" i="1" s="1"/>
  <c r="J4" i="1"/>
  <c r="L10" i="1"/>
  <c r="J6" i="1"/>
  <c r="P6" i="1" s="1"/>
  <c r="O6" i="1"/>
  <c r="O10" i="1"/>
  <c r="L7" i="1" l="1"/>
  <c r="P7" i="1"/>
  <c r="L4" i="1"/>
  <c r="P4" i="1"/>
  <c r="R4" i="1" s="1"/>
  <c r="T4" i="1" s="1"/>
  <c r="P9" i="1"/>
  <c r="L9" i="1"/>
  <c r="Q7" i="1"/>
  <c r="R7" i="1" s="1"/>
  <c r="T7" i="1" s="1"/>
  <c r="P5" i="1"/>
  <c r="R5" i="1" s="1"/>
  <c r="T5" i="1" s="1"/>
  <c r="L5" i="1"/>
  <c r="L6" i="1"/>
  <c r="S11" i="1"/>
  <c r="T11" i="1" s="1"/>
  <c r="R11" i="1"/>
  <c r="Q9" i="1"/>
  <c r="Q6" i="1"/>
  <c r="R6" i="1" s="1"/>
  <c r="T6" i="1" s="1"/>
  <c r="R9" i="1" l="1"/>
  <c r="S9" i="1"/>
  <c r="T9" i="1" s="1"/>
</calcChain>
</file>

<file path=xl/sharedStrings.xml><?xml version="1.0" encoding="utf-8"?>
<sst xmlns="http://schemas.openxmlformats.org/spreadsheetml/2006/main" count="48" uniqueCount="47">
  <si>
    <t>Kinetics of PFR ans CSTR</t>
  </si>
  <si>
    <t>Obs Table</t>
  </si>
  <si>
    <t>CSTR</t>
  </si>
  <si>
    <t>Reactor Type</t>
  </si>
  <si>
    <t>EtAc</t>
  </si>
  <si>
    <t>Flow rate (Obs)</t>
  </si>
  <si>
    <t>NaOH</t>
  </si>
  <si>
    <t>PFR</t>
  </si>
  <si>
    <t>Calculations</t>
  </si>
  <si>
    <t>ca0</t>
  </si>
  <si>
    <t>cb0</t>
  </si>
  <si>
    <t>ca</t>
  </si>
  <si>
    <t>cb</t>
  </si>
  <si>
    <t>tau (s)</t>
  </si>
  <si>
    <t>x(expt)</t>
  </si>
  <si>
    <t>x(theoretical)</t>
  </si>
  <si>
    <t>m= ca0/cb0</t>
  </si>
  <si>
    <t>D= k*tau*ca0</t>
  </si>
  <si>
    <t>*we take conversion wrt B</t>
  </si>
  <si>
    <t>e= mD+D+1</t>
  </si>
  <si>
    <t>p=exp(D*(m-1))_</t>
  </si>
  <si>
    <t>Dynamics of first order systems</t>
  </si>
  <si>
    <t>R1= hs1/Fs1 (s/cm2)</t>
  </si>
  <si>
    <t>R2= hs2/ Fs2 (s/cm2)</t>
  </si>
  <si>
    <t>Ravg= (R1+R2)/2</t>
  </si>
  <si>
    <t>a= Fs2-Fs1 (cm3/s)</t>
  </si>
  <si>
    <t>S.No</t>
  </si>
  <si>
    <t>Time(s)</t>
  </si>
  <si>
    <t>Height (cm)</t>
  </si>
  <si>
    <t>hs1 (cm)</t>
  </si>
  <si>
    <t>hs2(cm)</t>
  </si>
  <si>
    <t>Fs1 (cm3/s)</t>
  </si>
  <si>
    <t>Fs2 (cm3/2)</t>
  </si>
  <si>
    <t>Dynamics of first order system</t>
  </si>
  <si>
    <t>Part B</t>
  </si>
  <si>
    <t>Thermometer</t>
  </si>
  <si>
    <t>T0 ©</t>
  </si>
  <si>
    <t>Ts ©</t>
  </si>
  <si>
    <t>temperature ©</t>
  </si>
  <si>
    <t>ln((Ts-T)/(Ts-T0))</t>
  </si>
  <si>
    <t>Titration Reading (ml)</t>
  </si>
  <si>
    <t xml:space="preserve">S. No. </t>
  </si>
  <si>
    <t>Va (actual) (ml)</t>
  </si>
  <si>
    <t>Vb(actual) (ml)</t>
  </si>
  <si>
    <t>Log</t>
  </si>
  <si>
    <t>Error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</si>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</sst>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slope fortank</c:v>
          </c:tx>
          <c:trendline>
            <c:trendlineType val="linear"/>
            <c:dispRSqr val="0"/>
            <c:dispEq val="1"/>
            <c:trendlineLbl>
              <c:layout>
                <c:manualLayout>
                  <c:x val="0.10330320778868159"/>
                  <c:y val="-7.9503754263124976E-2"/>
                </c:manualLayout>
              </c:layout>
              <c:numFmt formatCode="General" sourceLinked="0"/>
            </c:trendlineLbl>
          </c:trendline>
          <c:xVal>
            <c:numRef>
              <c:f>Sheet2!$B$15:$B$44</c:f>
              <c:numCache>
                <c:formatCode>General</c:formatCode>
                <c:ptCount val="3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660</c:v>
                </c:pt>
                <c:pt idx="21">
                  <c:v>720</c:v>
                </c:pt>
                <c:pt idx="22">
                  <c:v>780</c:v>
                </c:pt>
                <c:pt idx="23">
                  <c:v>840</c:v>
                </c:pt>
                <c:pt idx="24">
                  <c:v>900</c:v>
                </c:pt>
                <c:pt idx="25">
                  <c:v>960</c:v>
                </c:pt>
                <c:pt idx="26">
                  <c:v>1020</c:v>
                </c:pt>
                <c:pt idx="27">
                  <c:v>1080</c:v>
                </c:pt>
                <c:pt idx="28">
                  <c:v>1140</c:v>
                </c:pt>
                <c:pt idx="29">
                  <c:v>1200</c:v>
                </c:pt>
              </c:numCache>
            </c:numRef>
          </c:xVal>
          <c:yVal>
            <c:numRef>
              <c:f>Sheet2!$D$15:$D$44</c:f>
              <c:numCache>
                <c:formatCode>General</c:formatCode>
                <c:ptCount val="30"/>
                <c:pt idx="0">
                  <c:v>-8.2238098236971993E-2</c:v>
                </c:pt>
                <c:pt idx="1">
                  <c:v>-0.13102826240640403</c:v>
                </c:pt>
                <c:pt idx="2">
                  <c:v>-0.17185025692665901</c:v>
                </c:pt>
                <c:pt idx="3">
                  <c:v>-0.21440987134545506</c:v>
                </c:pt>
                <c:pt idx="4">
                  <c:v>-0.25886163391628875</c:v>
                </c:pt>
                <c:pt idx="5">
                  <c:v>-0.30538164955118191</c:v>
                </c:pt>
                <c:pt idx="6">
                  <c:v>-0.36675059592747405</c:v>
                </c:pt>
                <c:pt idx="7">
                  <c:v>-0.41871033485818493</c:v>
                </c:pt>
                <c:pt idx="8">
                  <c:v>-0.48770320634513642</c:v>
                </c:pt>
                <c:pt idx="9">
                  <c:v>-0.54654370636806948</c:v>
                </c:pt>
                <c:pt idx="10">
                  <c:v>-0.57731536503482361</c:v>
                </c:pt>
                <c:pt idx="11">
                  <c:v>-0.64185388617239458</c:v>
                </c:pt>
                <c:pt idx="12">
                  <c:v>-0.69314718055994529</c:v>
                </c:pt>
                <c:pt idx="13">
                  <c:v>-0.74721440183022125</c:v>
                </c:pt>
                <c:pt idx="14">
                  <c:v>-0.78495472981306813</c:v>
                </c:pt>
                <c:pt idx="15">
                  <c:v>-0.82417544296634937</c:v>
                </c:pt>
                <c:pt idx="16">
                  <c:v>-0.88605084668443623</c:v>
                </c:pt>
                <c:pt idx="17">
                  <c:v>-0.9295359586241756</c:v>
                </c:pt>
                <c:pt idx="18">
                  <c:v>-0.97499833270093361</c:v>
                </c:pt>
                <c:pt idx="19">
                  <c:v>-0.99852883011112625</c:v>
                </c:pt>
                <c:pt idx="20">
                  <c:v>-1.0986122886681102</c:v>
                </c:pt>
                <c:pt idx="21">
                  <c:v>-1.1526795099383851</c:v>
                </c:pt>
                <c:pt idx="22">
                  <c:v>-1.2396908869280159</c:v>
                </c:pt>
                <c:pt idx="23">
                  <c:v>-1.33500106673234</c:v>
                </c:pt>
                <c:pt idx="24">
                  <c:v>-1.4403615823901652</c:v>
                </c:pt>
                <c:pt idx="25">
                  <c:v>-1.6451559950361783</c:v>
                </c:pt>
                <c:pt idx="26">
                  <c:v>-1.8458266904983323</c:v>
                </c:pt>
                <c:pt idx="27">
                  <c:v>-2.0281482472922852</c:v>
                </c:pt>
                <c:pt idx="28">
                  <c:v>-2.2512917986064926</c:v>
                </c:pt>
                <c:pt idx="29">
                  <c:v>-2.3383031755961237</c:v>
                </c:pt>
              </c:numCache>
            </c:numRef>
          </c:yVal>
          <c:smooth val="0"/>
        </c:ser>
        <c:ser>
          <c:idx val="1"/>
          <c:order val="1"/>
          <c:tx>
            <c:v>part 2 </c:v>
          </c:tx>
          <c:trendline>
            <c:trendlineType val="linear"/>
            <c:dispRSqr val="0"/>
            <c:dispEq val="1"/>
            <c:trendlineLbl>
              <c:layout>
                <c:manualLayout>
                  <c:x val="0.15190230531528387"/>
                  <c:y val="-0.18435829536734685"/>
                </c:manualLayout>
              </c:layout>
              <c:numFmt formatCode="General" sourceLinked="0"/>
            </c:trendlineLbl>
          </c:trendline>
          <c:xVal>
            <c:numRef>
              <c:f>Sheet2!$B$44:$B$49</c:f>
              <c:numCache>
                <c:formatCode>General</c:formatCode>
                <c:ptCount val="6"/>
                <c:pt idx="0">
                  <c:v>1200</c:v>
                </c:pt>
                <c:pt idx="1">
                  <c:v>1260</c:v>
                </c:pt>
                <c:pt idx="2">
                  <c:v>1320</c:v>
                </c:pt>
                <c:pt idx="3">
                  <c:v>1380</c:v>
                </c:pt>
                <c:pt idx="4">
                  <c:v>1440</c:v>
                </c:pt>
                <c:pt idx="5">
                  <c:v>1500</c:v>
                </c:pt>
              </c:numCache>
            </c:numRef>
          </c:xVal>
          <c:yVal>
            <c:numRef>
              <c:f>Sheet2!$D$44:$D$49</c:f>
              <c:numCache>
                <c:formatCode>General</c:formatCode>
                <c:ptCount val="6"/>
                <c:pt idx="0">
                  <c:v>-2.3383031755961237</c:v>
                </c:pt>
                <c:pt idx="1">
                  <c:v>-2.7902882993391778</c:v>
                </c:pt>
                <c:pt idx="2">
                  <c:v>-2.944438979166438</c:v>
                </c:pt>
                <c:pt idx="3">
                  <c:v>-3.1267605359603952</c:v>
                </c:pt>
                <c:pt idx="4">
                  <c:v>-3.637586159726395</c:v>
                </c:pt>
                <c:pt idx="5">
                  <c:v>-4.7361984483944815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25056"/>
        <c:axId val="222135424"/>
      </c:scatterChart>
      <c:valAx>
        <c:axId val="22212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2135424"/>
        <c:crosses val="autoZero"/>
        <c:crossBetween val="midCat"/>
      </c:valAx>
      <c:valAx>
        <c:axId val="222135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Log((HS2-h)/(HS2-HS1))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2125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vs t</c:v>
          </c:tx>
          <c:xVal>
            <c:numRef>
              <c:f>Sheet3!$B$8:$B$22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210</c:v>
                </c:pt>
                <c:pt idx="10">
                  <c:v>240</c:v>
                </c:pt>
                <c:pt idx="11">
                  <c:v>270</c:v>
                </c:pt>
                <c:pt idx="12">
                  <c:v>300</c:v>
                </c:pt>
                <c:pt idx="13">
                  <c:v>330</c:v>
                </c:pt>
                <c:pt idx="14">
                  <c:v>360</c:v>
                </c:pt>
              </c:numCache>
            </c:numRef>
          </c:xVal>
          <c:yVal>
            <c:numRef>
              <c:f>Sheet3!$C$8:$C$22</c:f>
              <c:numCache>
                <c:formatCode>General</c:formatCode>
                <c:ptCount val="15"/>
                <c:pt idx="0">
                  <c:v>61</c:v>
                </c:pt>
                <c:pt idx="1">
                  <c:v>50</c:v>
                </c:pt>
                <c:pt idx="2">
                  <c:v>46</c:v>
                </c:pt>
                <c:pt idx="3">
                  <c:v>43</c:v>
                </c:pt>
                <c:pt idx="4">
                  <c:v>41</c:v>
                </c:pt>
                <c:pt idx="5">
                  <c:v>39</c:v>
                </c:pt>
                <c:pt idx="6">
                  <c:v>37</c:v>
                </c:pt>
                <c:pt idx="7">
                  <c:v>36</c:v>
                </c:pt>
                <c:pt idx="8">
                  <c:v>35</c:v>
                </c:pt>
                <c:pt idx="9">
                  <c:v>33</c:v>
                </c:pt>
                <c:pt idx="10">
                  <c:v>32</c:v>
                </c:pt>
                <c:pt idx="11">
                  <c:v>31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914048"/>
        <c:axId val="222915968"/>
      </c:scatterChart>
      <c:valAx>
        <c:axId val="22291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2915968"/>
        <c:crosses val="autoZero"/>
        <c:crossBetween val="midCat"/>
      </c:valAx>
      <c:valAx>
        <c:axId val="222915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degrees C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2914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constant 1 </c:v>
          </c:tx>
          <c:trendline>
            <c:trendlineType val="linear"/>
            <c:dispRSqr val="0"/>
            <c:dispEq val="1"/>
            <c:trendlineLbl>
              <c:layout>
                <c:manualLayout>
                  <c:x val="0.14935061242344708"/>
                  <c:y val="-0.17961614173228346"/>
                </c:manualLayout>
              </c:layout>
              <c:numFmt formatCode="General" sourceLinked="0"/>
            </c:trendlineLbl>
          </c:trendline>
          <c:xVal>
            <c:numRef>
              <c:f>Sheet3!$B$8:$B$16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</c:numCache>
            </c:numRef>
          </c:xVal>
          <c:yVal>
            <c:numRef>
              <c:f>Sheet3!$D$8:$D$16</c:f>
              <c:numCache>
                <c:formatCode>General</c:formatCode>
                <c:ptCount val="9"/>
                <c:pt idx="0">
                  <c:v>-0.80011930011211319</c:v>
                </c:pt>
                <c:pt idx="1">
                  <c:v>-1.2383742310432684</c:v>
                </c:pt>
                <c:pt idx="2">
                  <c:v>-1.4615177823574781</c:v>
                </c:pt>
                <c:pt idx="3">
                  <c:v>-1.6691571471357227</c:v>
                </c:pt>
                <c:pt idx="4">
                  <c:v>-1.836211231798889</c:v>
                </c:pt>
                <c:pt idx="5">
                  <c:v>-2.0368819272610401</c:v>
                </c:pt>
                <c:pt idx="6">
                  <c:v>-2.2881963555419462</c:v>
                </c:pt>
                <c:pt idx="7">
                  <c:v>-2.4423470353692043</c:v>
                </c:pt>
                <c:pt idx="8">
                  <c:v>-2.6246685921631592</c:v>
                </c:pt>
              </c:numCache>
            </c:numRef>
          </c:yVal>
          <c:smooth val="0"/>
        </c:ser>
        <c:ser>
          <c:idx val="1"/>
          <c:order val="1"/>
          <c:tx>
            <c:v>time constant 2</c:v>
          </c:tx>
          <c:trendline>
            <c:trendlineType val="linear"/>
            <c:dispRSqr val="0"/>
            <c:dispEq val="1"/>
            <c:trendlineLbl>
              <c:layout>
                <c:manualLayout>
                  <c:x val="-4.5090988626421698E-2"/>
                  <c:y val="-8.6940799066783314E-2"/>
                </c:manualLayout>
              </c:layout>
              <c:numFmt formatCode="General" sourceLinked="0"/>
            </c:trendlineLbl>
          </c:trendline>
          <c:xVal>
            <c:numRef>
              <c:f>Sheet3!$B$17:$B$19</c:f>
              <c:numCache>
                <c:formatCode>General</c:formatCode>
                <c:ptCount val="3"/>
                <c:pt idx="0">
                  <c:v>210</c:v>
                </c:pt>
                <c:pt idx="1">
                  <c:v>240</c:v>
                </c:pt>
                <c:pt idx="2">
                  <c:v>270</c:v>
                </c:pt>
              </c:numCache>
            </c:numRef>
          </c:xVal>
          <c:yVal>
            <c:numRef>
              <c:f>Sheet3!$D$17:$D$19</c:f>
              <c:numCache>
                <c:formatCode>General</c:formatCode>
                <c:ptCount val="3"/>
                <c:pt idx="0">
                  <c:v>-3.1354942159291497</c:v>
                </c:pt>
                <c:pt idx="1">
                  <c:v>-3.5409593240373143</c:v>
                </c:pt>
                <c:pt idx="2">
                  <c:v>-4.2341065045972597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951680"/>
        <c:axId val="222953856"/>
      </c:scatterChart>
      <c:valAx>
        <c:axId val="22295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2953856"/>
        <c:crosses val="autoZero"/>
        <c:crossBetween val="midCat"/>
      </c:valAx>
      <c:valAx>
        <c:axId val="222953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/>
                  <a:t>ln((Ts-T)/(Ts-T0)) 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2951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13</xdr:row>
      <xdr:rowOff>190499</xdr:rowOff>
    </xdr:from>
    <xdr:to>
      <xdr:col>18</xdr:col>
      <xdr:colOff>323850</xdr:colOff>
      <xdr:row>40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</xdr:row>
      <xdr:rowOff>104775</xdr:rowOff>
    </xdr:from>
    <xdr:to>
      <xdr:col>13</xdr:col>
      <xdr:colOff>381000</xdr:colOff>
      <xdr:row>15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561975</xdr:colOff>
      <xdr:row>16</xdr:row>
      <xdr:rowOff>123825</xdr:rowOff>
    </xdr:from>
    <xdr:to>
      <xdr:col>13</xdr:col>
      <xdr:colOff>257175</xdr:colOff>
      <xdr:row>31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topLeftCell="C1" workbookViewId="0">
      <selection activeCell="I16" sqref="I16"/>
    </sheetView>
  </sheetViews>
  <sheetFormatPr defaultRowHeight="15" x14ac:dyDescent="0.25"/>
  <cols>
    <col min="1" max="1" width="17.5703125" customWidth="1"/>
    <col min="2" max="2" width="16" customWidth="1"/>
    <col min="4" max="4" width="21" customWidth="1"/>
    <col min="5" max="5" width="11" customWidth="1"/>
    <col min="8" max="8" width="12.28515625" customWidth="1"/>
    <col min="9" max="9" width="16.140625" customWidth="1"/>
    <col min="10" max="10" width="9.85546875" customWidth="1"/>
    <col min="16" max="16" width="0" hidden="1" customWidth="1"/>
    <col min="17" max="17" width="13.140625" hidden="1" customWidth="1"/>
    <col min="18" max="18" width="11.28515625" hidden="1" customWidth="1"/>
    <col min="19" max="19" width="19.140625" hidden="1" customWidth="1"/>
  </cols>
  <sheetData>
    <row r="1" spans="1:20" x14ac:dyDescent="0.25">
      <c r="A1" t="s">
        <v>0</v>
      </c>
      <c r="H1" t="s">
        <v>8</v>
      </c>
    </row>
    <row r="3" spans="1:20" x14ac:dyDescent="0.25">
      <c r="A3" t="s">
        <v>1</v>
      </c>
      <c r="G3" t="s">
        <v>41</v>
      </c>
      <c r="H3" t="s">
        <v>42</v>
      </c>
      <c r="I3" t="s">
        <v>43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16</v>
      </c>
      <c r="Q3" t="s">
        <v>17</v>
      </c>
      <c r="R3" t="s">
        <v>19</v>
      </c>
      <c r="S3" t="s">
        <v>20</v>
      </c>
      <c r="T3" t="s">
        <v>15</v>
      </c>
    </row>
    <row r="4" spans="1:20" x14ac:dyDescent="0.25">
      <c r="A4" t="s">
        <v>3</v>
      </c>
      <c r="B4" t="s">
        <v>5</v>
      </c>
      <c r="D4" t="s">
        <v>40</v>
      </c>
      <c r="G4">
        <v>1</v>
      </c>
      <c r="H4">
        <f>0.55*B6-1.22</f>
        <v>5.2700000000000014</v>
      </c>
      <c r="I4">
        <f>0.6022*C6+0.62727</f>
        <v>5.3244299999999996</v>
      </c>
      <c r="J4">
        <f>0.05*H4/(H4+I4)</f>
        <v>2.4871559866835691E-2</v>
      </c>
      <c r="K4">
        <f>0.06*I4/(H4+I4)</f>
        <v>3.0154128159797171E-2</v>
      </c>
      <c r="L4">
        <f>ABS(J4-(K4-M4))</f>
        <v>6.9574317070385215E-3</v>
      </c>
      <c r="M4">
        <f>(25*0.102-D6*0.204)/25</f>
        <v>1.2240000000000003E-2</v>
      </c>
      <c r="N4">
        <f>490.3/(H4+I4)</f>
        <v>46.279035304400516</v>
      </c>
      <c r="O4">
        <f>(K4-M4)/K4</f>
        <v>0.5940854288628078</v>
      </c>
      <c r="P4">
        <f>J4/K4</f>
        <v>0.82481442458003362</v>
      </c>
      <c r="Q4">
        <f>0.218*N4*J4</f>
        <v>0.25092493177931036</v>
      </c>
      <c r="R4">
        <f>P4*Q4+Q4+1</f>
        <v>1.4578914349976464</v>
      </c>
      <c r="T4">
        <f>(R4-SQRT(R4^2-4*P4*Q4^2))/(2*P4*Q4)</f>
        <v>0.17653940265910875</v>
      </c>
    </row>
    <row r="5" spans="1:20" x14ac:dyDescent="0.25">
      <c r="B5" t="s">
        <v>4</v>
      </c>
      <c r="C5" t="s">
        <v>6</v>
      </c>
      <c r="G5">
        <v>2</v>
      </c>
      <c r="H5">
        <f t="shared" ref="H5:H11" si="0">0.55*B7-1.22</f>
        <v>3.7300000000000004</v>
      </c>
      <c r="I5">
        <f t="shared" ref="I5:I11" si="1">0.6022*C7+0.62727</f>
        <v>9.1182899999999982</v>
      </c>
      <c r="J5">
        <f t="shared" ref="J5:J11" si="2">0.05*H5/(H5+I5)</f>
        <v>1.4515550318369218E-2</v>
      </c>
      <c r="K5">
        <f t="shared" ref="K5:K11" si="3">0.06*I5/(H5+I5)</f>
        <v>4.2581339617956931E-2</v>
      </c>
      <c r="L5">
        <f t="shared" ref="L5:L11" si="4">ABS(J5-(K5-M5))</f>
        <v>3.5857892995877182E-3</v>
      </c>
      <c r="M5">
        <f t="shared" ref="M5:M11" si="5">(25*0.102-D7*0.204)/25</f>
        <v>2.4479999999999995E-2</v>
      </c>
      <c r="N5">
        <f t="shared" ref="N5:N7" si="6">490.3/(H5+I5)</f>
        <v>38.160720220356176</v>
      </c>
      <c r="O5">
        <f t="shared" ref="O5:O7" si="7">(K5-M5)/K5</f>
        <v>0.42510028525085292</v>
      </c>
      <c r="P5">
        <f t="shared" ref="P5:P11" si="8">J5/K5</f>
        <v>0.34088994025561098</v>
      </c>
      <c r="Q5">
        <f t="shared" ref="Q5:Q11" si="9">0.218*N5*J5</f>
        <v>0.12075540029054617</v>
      </c>
      <c r="R5">
        <f t="shared" ref="R5:R11" si="10">P5*Q5+Q5+1</f>
        <v>1.1619197014811329</v>
      </c>
      <c r="T5">
        <f>(R5-SQRT(R5^2-4*P5*Q5^2))/(2*P5*Q5)</f>
        <v>0.1043129892009497</v>
      </c>
    </row>
    <row r="6" spans="1:20" x14ac:dyDescent="0.25">
      <c r="A6" t="s">
        <v>2</v>
      </c>
      <c r="B6">
        <v>11.8</v>
      </c>
      <c r="C6">
        <v>7.8</v>
      </c>
      <c r="D6">
        <v>11</v>
      </c>
      <c r="G6">
        <v>3</v>
      </c>
      <c r="H6">
        <f t="shared" si="0"/>
        <v>6.7000000000000011</v>
      </c>
      <c r="I6">
        <f t="shared" si="1"/>
        <v>11.286209999999999</v>
      </c>
      <c r="J6">
        <f t="shared" si="2"/>
        <v>1.8625380221847742E-2</v>
      </c>
      <c r="K6">
        <f t="shared" si="3"/>
        <v>3.7649543733782709E-2</v>
      </c>
      <c r="L6">
        <f t="shared" si="4"/>
        <v>2.7041635119349691E-3</v>
      </c>
      <c r="M6">
        <f t="shared" si="5"/>
        <v>1.6319999999999998E-2</v>
      </c>
      <c r="N6">
        <f t="shared" si="6"/>
        <v>27.259772903796854</v>
      </c>
      <c r="O6">
        <f t="shared" si="7"/>
        <v>0.5665286114647875</v>
      </c>
      <c r="P6">
        <f t="shared" si="8"/>
        <v>0.49470400899268535</v>
      </c>
      <c r="Q6">
        <f t="shared" si="9"/>
        <v>0.11068375245058767</v>
      </c>
      <c r="R6">
        <f t="shared" si="10"/>
        <v>1.1654394485182473</v>
      </c>
      <c r="T6">
        <f>(R6-SQRT(R6^2-4*P6*Q6^2))/(2*P6*Q6)</f>
        <v>9.5399280871939635E-2</v>
      </c>
    </row>
    <row r="7" spans="1:20" x14ac:dyDescent="0.25">
      <c r="B7">
        <v>9</v>
      </c>
      <c r="C7">
        <v>14.1</v>
      </c>
      <c r="D7">
        <v>9.5</v>
      </c>
      <c r="G7">
        <v>4</v>
      </c>
      <c r="H7">
        <f t="shared" si="0"/>
        <v>11.265000000000001</v>
      </c>
      <c r="I7">
        <f t="shared" si="1"/>
        <v>14.598309999999998</v>
      </c>
      <c r="J7">
        <f t="shared" si="2"/>
        <v>2.1777954948535204E-2</v>
      </c>
      <c r="K7">
        <f t="shared" si="3"/>
        <v>3.3866454061757756E-2</v>
      </c>
      <c r="L7">
        <f t="shared" si="4"/>
        <v>4.7444991132225417E-3</v>
      </c>
      <c r="M7">
        <f t="shared" si="5"/>
        <v>7.3440000000000085E-3</v>
      </c>
      <c r="N7">
        <f t="shared" si="6"/>
        <v>18.957356966297045</v>
      </c>
      <c r="O7">
        <f t="shared" si="7"/>
        <v>0.78314824496808166</v>
      </c>
      <c r="P7">
        <f t="shared" si="8"/>
        <v>0.64305388774454031</v>
      </c>
      <c r="Q7">
        <f t="shared" si="9"/>
        <v>9.0001837578259108E-2</v>
      </c>
      <c r="R7">
        <f t="shared" si="10"/>
        <v>1.1478778691371112</v>
      </c>
      <c r="T7">
        <f>(R7-SQRT(R7^2-4*P7*Q7^2))/(2*P7*Q7)</f>
        <v>7.8719596172124026E-2</v>
      </c>
    </row>
    <row r="8" spans="1:20" x14ac:dyDescent="0.25">
      <c r="B8">
        <v>14.4</v>
      </c>
      <c r="C8">
        <v>17.7</v>
      </c>
      <c r="D8">
        <v>10.5</v>
      </c>
      <c r="G8">
        <v>1</v>
      </c>
      <c r="H8">
        <f t="shared" si="0"/>
        <v>2.41</v>
      </c>
      <c r="I8">
        <f t="shared" si="1"/>
        <v>5.9868500000000004</v>
      </c>
      <c r="J8">
        <f t="shared" si="2"/>
        <v>1.4350619577579687E-2</v>
      </c>
      <c r="K8">
        <f t="shared" si="3"/>
        <v>4.2779256506904374E-2</v>
      </c>
      <c r="L8">
        <f t="shared" si="4"/>
        <v>2.4348636929324693E-2</v>
      </c>
      <c r="M8">
        <f t="shared" si="5"/>
        <v>4.0799999999999951E-3</v>
      </c>
      <c r="N8">
        <f>190/(H8+I8)</f>
        <v>22.627532943901581</v>
      </c>
      <c r="O8">
        <f>(K8-M8)/K8</f>
        <v>0.9046266734593319</v>
      </c>
      <c r="P8">
        <f t="shared" si="8"/>
        <v>0.33545743309642523</v>
      </c>
      <c r="Q8">
        <f t="shared" si="9"/>
        <v>7.0788767562044178E-2</v>
      </c>
      <c r="R8">
        <f t="shared" si="10"/>
        <v>1.0945353858204669</v>
      </c>
      <c r="S8">
        <f>P8*EXP(Q8*(1-P8))</f>
        <v>0.35161513875864175</v>
      </c>
      <c r="T8">
        <f>(P8-S8)/(P8*(1-S8))*-10</f>
        <v>0.74286416143759504</v>
      </c>
    </row>
    <row r="9" spans="1:20" x14ac:dyDescent="0.25">
      <c r="B9">
        <v>22.7</v>
      </c>
      <c r="C9">
        <v>23.2</v>
      </c>
      <c r="D9">
        <v>11.6</v>
      </c>
      <c r="G9">
        <v>2</v>
      </c>
      <c r="H9">
        <f t="shared" si="0"/>
        <v>4.5000000000000009</v>
      </c>
      <c r="I9">
        <f t="shared" si="1"/>
        <v>8.0945499999999999</v>
      </c>
      <c r="J9">
        <f t="shared" si="2"/>
        <v>1.7864870122394214E-2</v>
      </c>
      <c r="K9">
        <f t="shared" si="3"/>
        <v>3.8562155853126938E-2</v>
      </c>
      <c r="L9">
        <f t="shared" si="4"/>
        <v>5.1932857307327267E-3</v>
      </c>
      <c r="M9">
        <f t="shared" si="5"/>
        <v>1.5503999999999997E-2</v>
      </c>
      <c r="N9">
        <f t="shared" ref="N9:N11" si="11">190/(H9+I9)</f>
        <v>15.085890325577331</v>
      </c>
      <c r="O9">
        <f t="shared" ref="O9:O11" si="12">(K9-M9)/K9</f>
        <v>0.59794778956211281</v>
      </c>
      <c r="P9">
        <f t="shared" si="8"/>
        <v>0.4632746724648068</v>
      </c>
      <c r="Q9">
        <f t="shared" si="9"/>
        <v>5.8752628753672681E-2</v>
      </c>
      <c r="R9">
        <f t="shared" si="10"/>
        <v>1.0859712335959768</v>
      </c>
      <c r="S9">
        <f t="shared" ref="S9:S11" si="13">P9*EXP(Q9*(1-P9))</f>
        <v>0.47811636637443933</v>
      </c>
      <c r="T9">
        <f t="shared" ref="T9:T11" si="14">(P9-S9)/(P9*(1-S9))*-10</f>
        <v>0.61386268608893901</v>
      </c>
    </row>
    <row r="10" spans="1:20" x14ac:dyDescent="0.25">
      <c r="A10" t="s">
        <v>7</v>
      </c>
      <c r="B10">
        <v>6.6</v>
      </c>
      <c r="C10">
        <v>8.9</v>
      </c>
      <c r="D10">
        <v>12</v>
      </c>
      <c r="G10">
        <v>3</v>
      </c>
      <c r="H10">
        <f t="shared" si="0"/>
        <v>6.8650000000000011</v>
      </c>
      <c r="I10">
        <f t="shared" si="1"/>
        <v>9.4796099999999974</v>
      </c>
      <c r="J10">
        <f t="shared" si="2"/>
        <v>2.1000806993865261E-2</v>
      </c>
      <c r="K10">
        <f t="shared" si="3"/>
        <v>3.4799031607361683E-2</v>
      </c>
      <c r="L10">
        <f t="shared" si="4"/>
        <v>7.3775386503580759E-5</v>
      </c>
      <c r="M10">
        <f t="shared" si="5"/>
        <v>1.3872000000000001E-2</v>
      </c>
      <c r="N10">
        <f t="shared" si="11"/>
        <v>11.624627323625342</v>
      </c>
      <c r="O10">
        <f t="shared" si="12"/>
        <v>0.60136821746886193</v>
      </c>
      <c r="P10">
        <f t="shared" si="8"/>
        <v>0.60348825883483992</v>
      </c>
      <c r="Q10">
        <f t="shared" si="9"/>
        <v>5.3219588946196883E-2</v>
      </c>
      <c r="R10">
        <f t="shared" si="10"/>
        <v>1.0853369860152431</v>
      </c>
      <c r="S10">
        <f t="shared" si="13"/>
        <v>0.61635850144047344</v>
      </c>
      <c r="T10">
        <f t="shared" si="14"/>
        <v>0.55589443917388082</v>
      </c>
    </row>
    <row r="11" spans="1:20" x14ac:dyDescent="0.25">
      <c r="B11">
        <v>10.4</v>
      </c>
      <c r="C11">
        <v>12.4</v>
      </c>
      <c r="D11">
        <v>10.6</v>
      </c>
      <c r="G11">
        <v>4</v>
      </c>
      <c r="H11">
        <f t="shared" si="0"/>
        <v>10.44</v>
      </c>
      <c r="I11">
        <f t="shared" si="1"/>
        <v>12.611049999999997</v>
      </c>
      <c r="J11">
        <f t="shared" si="2"/>
        <v>2.264538925558706E-2</v>
      </c>
      <c r="K11">
        <f t="shared" si="3"/>
        <v>3.2825532893295525E-2</v>
      </c>
      <c r="L11">
        <f t="shared" si="4"/>
        <v>2.8758563622915366E-3</v>
      </c>
      <c r="M11">
        <f t="shared" si="5"/>
        <v>1.3056000000000002E-2</v>
      </c>
      <c r="N11">
        <f t="shared" si="11"/>
        <v>8.2425746332596574</v>
      </c>
      <c r="O11">
        <f t="shared" si="12"/>
        <v>0.60226083633004379</v>
      </c>
      <c r="P11">
        <f t="shared" si="8"/>
        <v>0.68987118439781014</v>
      </c>
      <c r="Q11">
        <f t="shared" si="9"/>
        <v>4.069107580636961E-2</v>
      </c>
      <c r="R11">
        <f t="shared" si="10"/>
        <v>1.0687626764673308</v>
      </c>
      <c r="S11">
        <f t="shared" si="13"/>
        <v>0.69863215985287574</v>
      </c>
      <c r="T11">
        <f t="shared" si="14"/>
        <v>0.42139322893202757</v>
      </c>
    </row>
    <row r="12" spans="1:20" x14ac:dyDescent="0.25">
      <c r="B12">
        <v>14.7</v>
      </c>
      <c r="C12">
        <v>14.7</v>
      </c>
      <c r="D12">
        <v>10.8</v>
      </c>
    </row>
    <row r="13" spans="1:20" x14ac:dyDescent="0.25">
      <c r="B13">
        <v>21.2</v>
      </c>
      <c r="C13">
        <v>19.899999999999999</v>
      </c>
      <c r="D13">
        <v>10.9</v>
      </c>
      <c r="L13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topLeftCell="A7" workbookViewId="0">
      <selection activeCell="B15" sqref="B15"/>
    </sheetView>
  </sheetViews>
  <sheetFormatPr defaultRowHeight="15" x14ac:dyDescent="0.25"/>
  <cols>
    <col min="1" max="1" width="14.85546875" customWidth="1"/>
    <col min="3" max="3" width="11.85546875" customWidth="1"/>
    <col min="4" max="4" width="28.42578125" customWidth="1"/>
  </cols>
  <sheetData>
    <row r="1" spans="1:5" x14ac:dyDescent="0.25">
      <c r="A1" t="s">
        <v>21</v>
      </c>
    </row>
    <row r="3" spans="1:5" x14ac:dyDescent="0.25">
      <c r="A3" t="s">
        <v>29</v>
      </c>
      <c r="B3">
        <v>25.6</v>
      </c>
    </row>
    <row r="4" spans="1:5" x14ac:dyDescent="0.25">
      <c r="A4" t="s">
        <v>30</v>
      </c>
      <c r="B4">
        <v>37</v>
      </c>
    </row>
    <row r="5" spans="1:5" x14ac:dyDescent="0.25">
      <c r="A5" t="s">
        <v>31</v>
      </c>
      <c r="B5">
        <v>18.27</v>
      </c>
    </row>
    <row r="6" spans="1:5" x14ac:dyDescent="0.25">
      <c r="A6" t="s">
        <v>32</v>
      </c>
      <c r="B6">
        <v>21.15</v>
      </c>
    </row>
    <row r="8" spans="1:5" x14ac:dyDescent="0.25">
      <c r="A8" t="s">
        <v>22</v>
      </c>
      <c r="B8">
        <f>1.401</f>
        <v>1.401</v>
      </c>
    </row>
    <row r="9" spans="1:5" x14ac:dyDescent="0.25">
      <c r="A9" t="s">
        <v>23</v>
      </c>
      <c r="B9">
        <f>37/21.15</f>
        <v>1.7494089834515367</v>
      </c>
    </row>
    <row r="11" spans="1:5" x14ac:dyDescent="0.25">
      <c r="A11" t="s">
        <v>24</v>
      </c>
      <c r="B11">
        <f>AVERAGE(B8:B9)</f>
        <v>1.5752044917257684</v>
      </c>
    </row>
    <row r="12" spans="1:5" x14ac:dyDescent="0.25">
      <c r="A12" t="s">
        <v>25</v>
      </c>
      <c r="B12">
        <f>21.15-18.27</f>
        <v>2.879999999999999</v>
      </c>
    </row>
    <row r="14" spans="1:5" x14ac:dyDescent="0.25">
      <c r="A14" t="s">
        <v>26</v>
      </c>
      <c r="B14" t="s">
        <v>46</v>
      </c>
      <c r="C14" t="s">
        <v>28</v>
      </c>
      <c r="D14" t="s">
        <v>44</v>
      </c>
      <c r="E14" t="s">
        <v>45</v>
      </c>
    </row>
    <row r="15" spans="1:5" x14ac:dyDescent="0.25">
      <c r="A15">
        <v>1</v>
      </c>
      <c r="B15">
        <v>30</v>
      </c>
      <c r="C15">
        <v>26.5</v>
      </c>
      <c r="D15">
        <f>LN((37-C15)/(37-25.6))</f>
        <v>-8.2238098236971993E-2</v>
      </c>
      <c r="E15">
        <v>0.1</v>
      </c>
    </row>
    <row r="16" spans="1:5" x14ac:dyDescent="0.25">
      <c r="A16">
        <v>2</v>
      </c>
      <c r="B16">
        <v>60</v>
      </c>
      <c r="C16">
        <v>27</v>
      </c>
      <c r="D16">
        <f t="shared" ref="D16:D52" si="0">LN((37-C16)/(37-25.6))</f>
        <v>-0.13102826240640403</v>
      </c>
      <c r="E16">
        <v>0.1</v>
      </c>
    </row>
    <row r="17" spans="1:5" x14ac:dyDescent="0.25">
      <c r="A17">
        <v>3</v>
      </c>
      <c r="B17">
        <v>90</v>
      </c>
      <c r="C17">
        <v>27.4</v>
      </c>
      <c r="D17">
        <f t="shared" si="0"/>
        <v>-0.17185025692665901</v>
      </c>
      <c r="E17">
        <v>0.1</v>
      </c>
    </row>
    <row r="18" spans="1:5" x14ac:dyDescent="0.25">
      <c r="A18">
        <v>4</v>
      </c>
      <c r="B18">
        <v>120</v>
      </c>
      <c r="C18">
        <v>27.8</v>
      </c>
      <c r="D18">
        <f t="shared" si="0"/>
        <v>-0.21440987134545506</v>
      </c>
      <c r="E18">
        <v>0.1</v>
      </c>
    </row>
    <row r="19" spans="1:5" x14ac:dyDescent="0.25">
      <c r="A19">
        <v>5</v>
      </c>
      <c r="B19">
        <v>150</v>
      </c>
      <c r="C19">
        <v>28.2</v>
      </c>
      <c r="D19">
        <f t="shared" si="0"/>
        <v>-0.25886163391628875</v>
      </c>
      <c r="E19">
        <v>0.1</v>
      </c>
    </row>
    <row r="20" spans="1:5" x14ac:dyDescent="0.25">
      <c r="A20">
        <v>6</v>
      </c>
      <c r="B20">
        <v>180</v>
      </c>
      <c r="C20">
        <v>28.6</v>
      </c>
      <c r="D20">
        <f t="shared" si="0"/>
        <v>-0.30538164955118191</v>
      </c>
      <c r="E20">
        <v>0.1</v>
      </c>
    </row>
    <row r="21" spans="1:5" x14ac:dyDescent="0.25">
      <c r="A21">
        <v>7</v>
      </c>
      <c r="B21">
        <v>210</v>
      </c>
      <c r="C21">
        <v>29.1</v>
      </c>
      <c r="D21">
        <f t="shared" si="0"/>
        <v>-0.36675059592747405</v>
      </c>
      <c r="E21">
        <v>0.1</v>
      </c>
    </row>
    <row r="22" spans="1:5" x14ac:dyDescent="0.25">
      <c r="A22">
        <v>8</v>
      </c>
      <c r="B22">
        <v>240</v>
      </c>
      <c r="C22">
        <v>29.5</v>
      </c>
      <c r="D22">
        <f t="shared" si="0"/>
        <v>-0.41871033485818493</v>
      </c>
      <c r="E22">
        <v>0.1</v>
      </c>
    </row>
    <row r="23" spans="1:5" x14ac:dyDescent="0.25">
      <c r="A23">
        <v>9</v>
      </c>
      <c r="B23">
        <v>270</v>
      </c>
      <c r="C23">
        <v>30</v>
      </c>
      <c r="D23">
        <f t="shared" si="0"/>
        <v>-0.48770320634513642</v>
      </c>
      <c r="E23">
        <v>0.1</v>
      </c>
    </row>
    <row r="24" spans="1:5" x14ac:dyDescent="0.25">
      <c r="A24">
        <v>10</v>
      </c>
      <c r="B24">
        <v>300</v>
      </c>
      <c r="C24">
        <v>30.4</v>
      </c>
      <c r="D24">
        <f t="shared" si="0"/>
        <v>-0.54654370636806948</v>
      </c>
      <c r="E24">
        <v>0.1</v>
      </c>
    </row>
    <row r="25" spans="1:5" x14ac:dyDescent="0.25">
      <c r="A25">
        <v>11</v>
      </c>
      <c r="B25">
        <v>330</v>
      </c>
      <c r="C25">
        <v>30.6</v>
      </c>
      <c r="D25">
        <f t="shared" si="0"/>
        <v>-0.57731536503482361</v>
      </c>
      <c r="E25">
        <v>0.1</v>
      </c>
    </row>
    <row r="26" spans="1:5" x14ac:dyDescent="0.25">
      <c r="A26">
        <v>12</v>
      </c>
      <c r="B26">
        <v>360</v>
      </c>
      <c r="C26">
        <v>31</v>
      </c>
      <c r="D26">
        <f t="shared" si="0"/>
        <v>-0.64185388617239458</v>
      </c>
      <c r="E26">
        <v>0.1</v>
      </c>
    </row>
    <row r="27" spans="1:5" x14ac:dyDescent="0.25">
      <c r="A27">
        <v>13</v>
      </c>
      <c r="B27">
        <v>390</v>
      </c>
      <c r="C27">
        <v>31.3</v>
      </c>
      <c r="D27">
        <f t="shared" si="0"/>
        <v>-0.69314718055994529</v>
      </c>
      <c r="E27">
        <v>0.1</v>
      </c>
    </row>
    <row r="28" spans="1:5" x14ac:dyDescent="0.25">
      <c r="A28">
        <v>14</v>
      </c>
      <c r="B28">
        <v>420</v>
      </c>
      <c r="C28">
        <v>31.6</v>
      </c>
      <c r="D28">
        <f t="shared" si="0"/>
        <v>-0.74721440183022125</v>
      </c>
      <c r="E28">
        <v>0.1</v>
      </c>
    </row>
    <row r="29" spans="1:5" x14ac:dyDescent="0.25">
      <c r="A29">
        <v>15</v>
      </c>
      <c r="B29">
        <v>450</v>
      </c>
      <c r="C29">
        <v>31.8</v>
      </c>
      <c r="D29">
        <f t="shared" si="0"/>
        <v>-0.78495472981306813</v>
      </c>
      <c r="E29">
        <v>0.1</v>
      </c>
    </row>
    <row r="30" spans="1:5" x14ac:dyDescent="0.25">
      <c r="A30">
        <v>16</v>
      </c>
      <c r="B30">
        <v>480</v>
      </c>
      <c r="C30">
        <v>32</v>
      </c>
      <c r="D30">
        <f t="shared" si="0"/>
        <v>-0.82417544296634937</v>
      </c>
      <c r="E30">
        <v>0.1</v>
      </c>
    </row>
    <row r="31" spans="1:5" x14ac:dyDescent="0.25">
      <c r="A31">
        <v>17</v>
      </c>
      <c r="B31">
        <v>510</v>
      </c>
      <c r="C31">
        <v>32.299999999999997</v>
      </c>
      <c r="D31">
        <f t="shared" si="0"/>
        <v>-0.88605084668443623</v>
      </c>
      <c r="E31">
        <v>0.1</v>
      </c>
    </row>
    <row r="32" spans="1:5" x14ac:dyDescent="0.25">
      <c r="A32">
        <v>18</v>
      </c>
      <c r="B32">
        <v>540</v>
      </c>
      <c r="C32">
        <v>32.5</v>
      </c>
      <c r="D32">
        <f t="shared" si="0"/>
        <v>-0.9295359586241756</v>
      </c>
      <c r="E32">
        <v>0.1</v>
      </c>
    </row>
    <row r="33" spans="1:5" x14ac:dyDescent="0.25">
      <c r="A33">
        <v>19</v>
      </c>
      <c r="B33">
        <v>570</v>
      </c>
      <c r="C33">
        <v>32.700000000000003</v>
      </c>
      <c r="D33">
        <f t="shared" si="0"/>
        <v>-0.97499833270093361</v>
      </c>
      <c r="E33">
        <v>0.1</v>
      </c>
    </row>
    <row r="34" spans="1:5" x14ac:dyDescent="0.25">
      <c r="A34">
        <v>20</v>
      </c>
      <c r="B34">
        <v>600</v>
      </c>
      <c r="C34">
        <v>32.799999999999997</v>
      </c>
      <c r="D34">
        <f t="shared" si="0"/>
        <v>-0.99852883011112625</v>
      </c>
      <c r="E34">
        <v>0.1</v>
      </c>
    </row>
    <row r="35" spans="1:5" x14ac:dyDescent="0.25">
      <c r="A35">
        <v>21</v>
      </c>
      <c r="B35">
        <v>660</v>
      </c>
      <c r="C35">
        <v>33.200000000000003</v>
      </c>
      <c r="D35">
        <f t="shared" si="0"/>
        <v>-1.0986122886681102</v>
      </c>
      <c r="E35">
        <v>0.1</v>
      </c>
    </row>
    <row r="36" spans="1:5" x14ac:dyDescent="0.25">
      <c r="A36">
        <v>22</v>
      </c>
      <c r="B36">
        <v>720</v>
      </c>
      <c r="C36">
        <v>33.4</v>
      </c>
      <c r="D36">
        <f t="shared" si="0"/>
        <v>-1.1526795099383851</v>
      </c>
      <c r="E36">
        <v>0.1</v>
      </c>
    </row>
    <row r="37" spans="1:5" x14ac:dyDescent="0.25">
      <c r="A37">
        <v>23</v>
      </c>
      <c r="B37">
        <v>780</v>
      </c>
      <c r="C37">
        <v>33.700000000000003</v>
      </c>
      <c r="D37">
        <f t="shared" si="0"/>
        <v>-1.2396908869280159</v>
      </c>
      <c r="E37">
        <v>0.1</v>
      </c>
    </row>
    <row r="38" spans="1:5" x14ac:dyDescent="0.25">
      <c r="A38">
        <v>24</v>
      </c>
      <c r="B38">
        <v>840</v>
      </c>
      <c r="C38">
        <v>34</v>
      </c>
      <c r="D38">
        <f t="shared" si="0"/>
        <v>-1.33500106673234</v>
      </c>
      <c r="E38">
        <v>0.1</v>
      </c>
    </row>
    <row r="39" spans="1:5" x14ac:dyDescent="0.25">
      <c r="A39">
        <v>25</v>
      </c>
      <c r="B39">
        <v>900</v>
      </c>
      <c r="C39">
        <v>34.299999999999997</v>
      </c>
      <c r="D39">
        <f t="shared" si="0"/>
        <v>-1.4403615823901652</v>
      </c>
      <c r="E39">
        <v>0.1</v>
      </c>
    </row>
    <row r="40" spans="1:5" x14ac:dyDescent="0.25">
      <c r="A40">
        <v>26</v>
      </c>
      <c r="B40">
        <v>960</v>
      </c>
      <c r="C40">
        <v>34.799999999999997</v>
      </c>
      <c r="D40">
        <f t="shared" si="0"/>
        <v>-1.6451559950361783</v>
      </c>
      <c r="E40">
        <v>0.1</v>
      </c>
    </row>
    <row r="41" spans="1:5" x14ac:dyDescent="0.25">
      <c r="A41">
        <v>27</v>
      </c>
      <c r="B41">
        <v>1020</v>
      </c>
      <c r="C41">
        <v>35.200000000000003</v>
      </c>
      <c r="D41">
        <f t="shared" si="0"/>
        <v>-1.8458266904983323</v>
      </c>
      <c r="E41">
        <v>0.1</v>
      </c>
    </row>
    <row r="42" spans="1:5" x14ac:dyDescent="0.25">
      <c r="A42">
        <v>28</v>
      </c>
      <c r="B42">
        <v>1080</v>
      </c>
      <c r="C42">
        <v>35.5</v>
      </c>
      <c r="D42">
        <f t="shared" si="0"/>
        <v>-2.0281482472922852</v>
      </c>
      <c r="E42">
        <v>0.1</v>
      </c>
    </row>
    <row r="43" spans="1:5" x14ac:dyDescent="0.25">
      <c r="A43">
        <v>29</v>
      </c>
      <c r="B43">
        <v>1140</v>
      </c>
      <c r="C43">
        <v>35.799999999999997</v>
      </c>
      <c r="D43">
        <f t="shared" si="0"/>
        <v>-2.2512917986064926</v>
      </c>
      <c r="E43">
        <v>0.1</v>
      </c>
    </row>
    <row r="44" spans="1:5" x14ac:dyDescent="0.25">
      <c r="A44">
        <v>30</v>
      </c>
      <c r="B44">
        <v>1200</v>
      </c>
      <c r="C44">
        <v>35.9</v>
      </c>
      <c r="D44">
        <f t="shared" si="0"/>
        <v>-2.3383031755961237</v>
      </c>
      <c r="E44">
        <v>0.1</v>
      </c>
    </row>
    <row r="45" spans="1:5" x14ac:dyDescent="0.25">
      <c r="A45">
        <v>31</v>
      </c>
      <c r="B45">
        <v>1260</v>
      </c>
      <c r="C45">
        <v>36.299999999999997</v>
      </c>
      <c r="D45">
        <f t="shared" si="0"/>
        <v>-2.7902882993391778</v>
      </c>
      <c r="E45">
        <v>0.1</v>
      </c>
    </row>
    <row r="46" spans="1:5" x14ac:dyDescent="0.25">
      <c r="A46">
        <v>32</v>
      </c>
      <c r="B46">
        <v>1320</v>
      </c>
      <c r="C46">
        <v>36.4</v>
      </c>
      <c r="D46">
        <f t="shared" si="0"/>
        <v>-2.944438979166438</v>
      </c>
      <c r="E46">
        <v>0.1</v>
      </c>
    </row>
    <row r="47" spans="1:5" x14ac:dyDescent="0.25">
      <c r="A47">
        <v>33</v>
      </c>
      <c r="B47">
        <v>1380</v>
      </c>
      <c r="C47">
        <v>36.5</v>
      </c>
      <c r="D47">
        <f t="shared" si="0"/>
        <v>-3.1267605359603952</v>
      </c>
      <c r="E47">
        <v>0.1</v>
      </c>
    </row>
    <row r="48" spans="1:5" x14ac:dyDescent="0.25">
      <c r="A48">
        <v>34</v>
      </c>
      <c r="B48">
        <v>1440</v>
      </c>
      <c r="C48">
        <v>36.700000000000003</v>
      </c>
      <c r="D48">
        <f t="shared" si="0"/>
        <v>-3.637586159726395</v>
      </c>
      <c r="E48">
        <v>0.1</v>
      </c>
    </row>
    <row r="49" spans="1:5" x14ac:dyDescent="0.25">
      <c r="A49">
        <v>35</v>
      </c>
      <c r="B49">
        <v>1500</v>
      </c>
      <c r="C49">
        <v>36.9</v>
      </c>
      <c r="D49">
        <f t="shared" si="0"/>
        <v>-4.7361984483944815</v>
      </c>
      <c r="E49">
        <v>0.1</v>
      </c>
    </row>
    <row r="50" spans="1:5" x14ac:dyDescent="0.25">
      <c r="A50">
        <v>36</v>
      </c>
      <c r="B50">
        <v>1560</v>
      </c>
      <c r="C50">
        <v>37</v>
      </c>
      <c r="D50" t="e">
        <f t="shared" si="0"/>
        <v>#NUM!</v>
      </c>
      <c r="E50">
        <v>0.1</v>
      </c>
    </row>
    <row r="51" spans="1:5" x14ac:dyDescent="0.25">
      <c r="A51">
        <v>37</v>
      </c>
      <c r="B51">
        <v>1620</v>
      </c>
      <c r="C51">
        <v>37</v>
      </c>
      <c r="D51" t="e">
        <f t="shared" si="0"/>
        <v>#NUM!</v>
      </c>
      <c r="E51">
        <v>0.1</v>
      </c>
    </row>
    <row r="52" spans="1:5" x14ac:dyDescent="0.25">
      <c r="A52">
        <v>38</v>
      </c>
      <c r="B52">
        <v>1680</v>
      </c>
      <c r="C52">
        <v>37</v>
      </c>
      <c r="D52" t="e">
        <f t="shared" si="0"/>
        <v>#NUM!</v>
      </c>
      <c r="E52">
        <v>0.1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11" sqref="F11"/>
    </sheetView>
  </sheetViews>
  <sheetFormatPr defaultRowHeight="15" x14ac:dyDescent="0.25"/>
  <cols>
    <col min="3" max="3" width="22.140625" customWidth="1"/>
    <col min="4" max="4" width="16.7109375" customWidth="1"/>
  </cols>
  <sheetData>
    <row r="1" spans="1:4" x14ac:dyDescent="0.25">
      <c r="A1" t="s">
        <v>33</v>
      </c>
    </row>
    <row r="2" spans="1:4" x14ac:dyDescent="0.25">
      <c r="A2" t="s">
        <v>34</v>
      </c>
      <c r="B2" t="s">
        <v>35</v>
      </c>
    </row>
    <row r="4" spans="1:4" x14ac:dyDescent="0.25">
      <c r="A4" t="s">
        <v>36</v>
      </c>
      <c r="B4">
        <v>99</v>
      </c>
    </row>
    <row r="5" spans="1:4" x14ac:dyDescent="0.25">
      <c r="A5" t="s">
        <v>37</v>
      </c>
      <c r="B5">
        <v>30</v>
      </c>
    </row>
    <row r="7" spans="1:4" x14ac:dyDescent="0.25">
      <c r="A7" t="s">
        <v>26</v>
      </c>
      <c r="B7" t="s">
        <v>27</v>
      </c>
      <c r="C7" t="s">
        <v>38</v>
      </c>
      <c r="D7" t="s">
        <v>39</v>
      </c>
    </row>
    <row r="8" spans="1:4" x14ac:dyDescent="0.25">
      <c r="A8">
        <v>1</v>
      </c>
      <c r="B8">
        <v>10</v>
      </c>
      <c r="C8">
        <v>61</v>
      </c>
      <c r="D8">
        <f t="shared" ref="D8:D22" si="0">LN((Ts-C8)/(Ts-T0))</f>
        <v>-0.80011930011211319</v>
      </c>
    </row>
    <row r="9" spans="1:4" x14ac:dyDescent="0.25">
      <c r="A9">
        <v>2</v>
      </c>
      <c r="B9">
        <v>50</v>
      </c>
      <c r="C9">
        <v>50</v>
      </c>
      <c r="D9">
        <f t="shared" si="0"/>
        <v>-1.2383742310432684</v>
      </c>
    </row>
    <row r="10" spans="1:4" x14ac:dyDescent="0.25">
      <c r="A10">
        <v>3</v>
      </c>
      <c r="B10">
        <v>60</v>
      </c>
      <c r="C10">
        <v>46</v>
      </c>
      <c r="D10">
        <f t="shared" si="0"/>
        <v>-1.4615177823574781</v>
      </c>
    </row>
    <row r="11" spans="1:4" x14ac:dyDescent="0.25">
      <c r="A11">
        <v>4</v>
      </c>
      <c r="B11">
        <v>80</v>
      </c>
      <c r="C11">
        <v>43</v>
      </c>
      <c r="D11">
        <f t="shared" si="0"/>
        <v>-1.6691571471357227</v>
      </c>
    </row>
    <row r="12" spans="1:4" x14ac:dyDescent="0.25">
      <c r="A12">
        <v>5</v>
      </c>
      <c r="B12">
        <v>100</v>
      </c>
      <c r="C12">
        <v>41</v>
      </c>
      <c r="D12">
        <f t="shared" si="0"/>
        <v>-1.836211231798889</v>
      </c>
    </row>
    <row r="13" spans="1:4" x14ac:dyDescent="0.25">
      <c r="A13">
        <v>6</v>
      </c>
      <c r="B13">
        <v>120</v>
      </c>
      <c r="C13">
        <v>39</v>
      </c>
      <c r="D13">
        <f t="shared" si="0"/>
        <v>-2.0368819272610401</v>
      </c>
    </row>
    <row r="14" spans="1:4" x14ac:dyDescent="0.25">
      <c r="A14">
        <v>7</v>
      </c>
      <c r="B14">
        <v>140</v>
      </c>
      <c r="C14">
        <v>37</v>
      </c>
      <c r="D14">
        <f t="shared" si="0"/>
        <v>-2.2881963555419462</v>
      </c>
    </row>
    <row r="15" spans="1:4" x14ac:dyDescent="0.25">
      <c r="A15">
        <v>8</v>
      </c>
      <c r="B15">
        <v>160</v>
      </c>
      <c r="C15">
        <v>36</v>
      </c>
      <c r="D15">
        <f t="shared" si="0"/>
        <v>-2.4423470353692043</v>
      </c>
    </row>
    <row r="16" spans="1:4" x14ac:dyDescent="0.25">
      <c r="A16">
        <v>9</v>
      </c>
      <c r="B16">
        <v>180</v>
      </c>
      <c r="C16">
        <v>35</v>
      </c>
      <c r="D16">
        <f t="shared" si="0"/>
        <v>-2.6246685921631592</v>
      </c>
    </row>
    <row r="17" spans="1:4" x14ac:dyDescent="0.25">
      <c r="A17">
        <v>10</v>
      </c>
      <c r="B17">
        <v>210</v>
      </c>
      <c r="C17">
        <v>33</v>
      </c>
      <c r="D17">
        <f t="shared" si="0"/>
        <v>-3.1354942159291497</v>
      </c>
    </row>
    <row r="18" spans="1:4" x14ac:dyDescent="0.25">
      <c r="A18">
        <v>11</v>
      </c>
      <c r="B18">
        <v>240</v>
      </c>
      <c r="C18">
        <v>32</v>
      </c>
      <c r="D18">
        <f t="shared" si="0"/>
        <v>-3.5409593240373143</v>
      </c>
    </row>
    <row r="19" spans="1:4" x14ac:dyDescent="0.25">
      <c r="A19">
        <v>12</v>
      </c>
      <c r="B19">
        <v>270</v>
      </c>
      <c r="C19">
        <v>31</v>
      </c>
      <c r="D19">
        <f t="shared" si="0"/>
        <v>-4.2341065045972597</v>
      </c>
    </row>
    <row r="20" spans="1:4" x14ac:dyDescent="0.25">
      <c r="A20">
        <v>13</v>
      </c>
      <c r="B20">
        <v>300</v>
      </c>
      <c r="C20">
        <v>30</v>
      </c>
      <c r="D20" t="e">
        <f t="shared" si="0"/>
        <v>#NUM!</v>
      </c>
    </row>
    <row r="21" spans="1:4" x14ac:dyDescent="0.25">
      <c r="A21">
        <v>14</v>
      </c>
      <c r="B21">
        <v>330</v>
      </c>
      <c r="C21">
        <v>30</v>
      </c>
      <c r="D21" t="e">
        <f t="shared" si="0"/>
        <v>#NUM!</v>
      </c>
    </row>
    <row r="22" spans="1:4" x14ac:dyDescent="0.25">
      <c r="A22">
        <v>15</v>
      </c>
      <c r="B22">
        <v>360</v>
      </c>
      <c r="C22">
        <v>30</v>
      </c>
      <c r="D22" t="e">
        <f t="shared" si="0"/>
        <v>#NUM!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T0</vt:lpstr>
      <vt:lpstr>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2016-02-02T17:32:35Z</dcterms:modified>
</cp:coreProperties>
</file>