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ob Roque\Desktop\examen\"/>
    </mc:Choice>
  </mc:AlternateContent>
  <xr:revisionPtr revIDLastSave="0" documentId="13_ncr:1_{E0F3FAD6-C96D-4CAF-B4DB-FA6AFE2DDE0F}" xr6:coauthVersionLast="47" xr6:coauthVersionMax="47" xr10:uidLastSave="{00000000-0000-0000-0000-000000000000}"/>
  <bookViews>
    <workbookView xWindow="-120" yWindow="-120" windowWidth="20730" windowHeight="11310" tabRatio="926" activeTab="5" xr2:uid="{00000000-000D-0000-FFFF-FFFF00000000}"/>
  </bookViews>
  <sheets>
    <sheet name="TRAFICO DIARIO" sheetId="1" r:id="rId1"/>
    <sheet name="GRAFICAS" sheetId="4" r:id="rId2"/>
    <sheet name="TPD" sheetId="2" r:id="rId3"/>
    <sheet name="CALCULO DE ESALs" sheetId="3" r:id="rId4"/>
    <sheet name="P. FLEXIBLE" sheetId="5" r:id="rId5"/>
    <sheet name="P. RIGIDO CAPA GRANULAR" sheetId="6" r:id="rId6"/>
    <sheet name="P. RIGIDO BASE ESTABILIZAD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4" i="6" l="1"/>
  <c r="J154" i="6"/>
  <c r="H154" i="6"/>
  <c r="F130" i="6" a="1"/>
  <c r="F130" i="6" s="1"/>
  <c r="F135" i="6"/>
  <c r="F135" i="7"/>
  <c r="G128" i="6"/>
  <c r="L77" i="7"/>
  <c r="K77" i="7"/>
  <c r="F139" i="7"/>
  <c r="F137" i="7"/>
  <c r="F133" i="7" a="1"/>
  <c r="F133" i="7" s="1"/>
  <c r="C133" i="7"/>
  <c r="C134" i="7" s="1"/>
  <c r="G132" i="7"/>
  <c r="F131" i="7" a="1"/>
  <c r="F131" i="7" s="1"/>
  <c r="F130" i="7" a="1"/>
  <c r="F130" i="7" s="1"/>
  <c r="B130" i="7"/>
  <c r="B129" i="7"/>
  <c r="G128" i="7"/>
  <c r="F123" i="7" a="1"/>
  <c r="F123" i="7" s="1"/>
  <c r="I105" i="7"/>
  <c r="I103" i="7"/>
  <c r="I92" i="7"/>
  <c r="L91" i="7"/>
  <c r="L87" i="7"/>
  <c r="I91" i="7" s="1"/>
  <c r="F129" i="7" s="1" a="1"/>
  <c r="K76" i="7"/>
  <c r="L76" i="7" s="1"/>
  <c r="E58" i="7"/>
  <c r="E42" i="7"/>
  <c r="F127" i="7" s="1" a="1"/>
  <c r="F127" i="7" s="1"/>
  <c r="E21" i="7"/>
  <c r="F125" i="7" s="1" a="1"/>
  <c r="F125" i="7" s="1"/>
  <c r="H10" i="7"/>
  <c r="F124" i="7" s="1" a="1"/>
  <c r="E42" i="6"/>
  <c r="G12" i="2"/>
  <c r="AD91" i="1"/>
  <c r="AD90" i="1"/>
  <c r="AD89" i="1"/>
  <c r="AD88" i="1"/>
  <c r="AD87" i="1"/>
  <c r="AD86" i="1"/>
  <c r="AD85" i="1"/>
  <c r="AD78" i="1"/>
  <c r="AD77" i="1"/>
  <c r="AD76" i="1"/>
  <c r="AD75" i="1"/>
  <c r="AD74" i="1"/>
  <c r="AD73" i="1"/>
  <c r="AD72" i="1"/>
  <c r="AD65" i="1"/>
  <c r="AD64" i="1"/>
  <c r="AD63" i="1"/>
  <c r="AD62" i="1"/>
  <c r="AD61" i="1"/>
  <c r="AD60" i="1"/>
  <c r="AD59" i="1"/>
  <c r="AD52" i="1"/>
  <c r="AD51" i="1"/>
  <c r="AD50" i="1"/>
  <c r="AD49" i="1"/>
  <c r="AD48" i="1"/>
  <c r="AD47" i="1"/>
  <c r="AD46" i="1"/>
  <c r="AD39" i="1"/>
  <c r="AD38" i="1"/>
  <c r="AD37" i="1"/>
  <c r="AD36" i="1"/>
  <c r="AD35" i="1"/>
  <c r="AD34" i="1"/>
  <c r="AD33" i="1"/>
  <c r="AD26" i="1"/>
  <c r="AD25" i="1"/>
  <c r="AD24" i="1"/>
  <c r="AD23" i="1"/>
  <c r="AD22" i="1"/>
  <c r="AD21" i="1"/>
  <c r="AD20" i="1"/>
  <c r="AD13" i="1"/>
  <c r="AD12" i="1"/>
  <c r="AD11" i="1"/>
  <c r="AD10" i="1"/>
  <c r="AD9" i="1"/>
  <c r="AD8" i="1"/>
  <c r="AD7" i="1"/>
  <c r="F124" i="7" l="1"/>
  <c r="B127" i="7"/>
  <c r="B131" i="7"/>
  <c r="F129" i="7"/>
  <c r="E43" i="7"/>
  <c r="F126" i="7" s="1" a="1"/>
  <c r="B128" i="7" l="1"/>
  <c r="D135" i="7" s="1"/>
  <c r="D136" i="7" s="1"/>
  <c r="F126" i="7"/>
  <c r="B129" i="6"/>
  <c r="I19" i="3"/>
  <c r="B127" i="6"/>
  <c r="G132" i="6"/>
  <c r="F139" i="6"/>
  <c r="B130" i="6"/>
  <c r="F127" i="6" a="1"/>
  <c r="F127" i="6" s="1"/>
  <c r="F125" i="6" a="1"/>
  <c r="F125" i="6" s="1"/>
  <c r="F124" i="6" a="1"/>
  <c r="F124" i="6" s="1"/>
  <c r="F123" i="6" a="1"/>
  <c r="F123" i="6" s="1"/>
  <c r="K76" i="6"/>
  <c r="L76" i="6" s="1"/>
  <c r="I105" i="6"/>
  <c r="F131" i="6" s="1" a="1"/>
  <c r="F131" i="6" s="1"/>
  <c r="E58" i="6"/>
  <c r="E21" i="6"/>
  <c r="I23" i="3"/>
  <c r="I22" i="3"/>
  <c r="I103" i="6"/>
  <c r="E43" i="6"/>
  <c r="F126" i="6" s="1" a="1"/>
  <c r="H10" i="6"/>
  <c r="C142" i="5"/>
  <c r="C140" i="5"/>
  <c r="G140" i="5"/>
  <c r="F132" i="5"/>
  <c r="F126" i="6" l="1"/>
  <c r="B128" i="6"/>
  <c r="H154" i="5"/>
  <c r="H152" i="5"/>
  <c r="H150" i="5"/>
  <c r="D66" i="5"/>
  <c r="K132" i="5" s="1"/>
  <c r="I50" i="5"/>
  <c r="M13" i="2"/>
  <c r="M14" i="2"/>
  <c r="M15" i="2"/>
  <c r="M16" i="2"/>
  <c r="M18" i="2"/>
  <c r="M12" i="2"/>
  <c r="L14" i="2"/>
  <c r="K14" i="2"/>
  <c r="K15" i="2"/>
  <c r="K16" i="2"/>
  <c r="K17" i="2"/>
  <c r="K18" i="2"/>
  <c r="K12" i="2"/>
  <c r="J13" i="2"/>
  <c r="J14" i="2"/>
  <c r="J15" i="2"/>
  <c r="J16" i="2"/>
  <c r="J17" i="2"/>
  <c r="J18" i="2"/>
  <c r="I13" i="2"/>
  <c r="I14" i="2"/>
  <c r="I15" i="2"/>
  <c r="I16" i="2"/>
  <c r="I17" i="2"/>
  <c r="I18" i="2"/>
  <c r="I12" i="2"/>
  <c r="H13" i="2"/>
  <c r="H14" i="2"/>
  <c r="H15" i="2"/>
  <c r="H16" i="2"/>
  <c r="H17" i="2"/>
  <c r="H18" i="2"/>
  <c r="H12" i="2"/>
  <c r="G17" i="2"/>
  <c r="G14" i="2"/>
  <c r="G15" i="2"/>
  <c r="G16" i="2"/>
  <c r="G18" i="2"/>
  <c r="L18" i="2"/>
  <c r="M17" i="2"/>
  <c r="L17" i="2"/>
  <c r="L15" i="2"/>
  <c r="L13" i="2"/>
  <c r="K13" i="2"/>
  <c r="G13" i="2"/>
  <c r="L12" i="2"/>
  <c r="J12" i="2"/>
  <c r="I152" i="5" l="1"/>
  <c r="I150" i="5"/>
  <c r="K131" i="5"/>
  <c r="K130" i="5"/>
  <c r="K129" i="5"/>
  <c r="F131" i="5"/>
  <c r="B130" i="5"/>
  <c r="F130" i="5"/>
  <c r="F129" i="5"/>
  <c r="B131" i="5"/>
  <c r="M141" i="5"/>
  <c r="I154" i="5" s="1"/>
  <c r="H141" i="5"/>
  <c r="D141" i="5"/>
  <c r="F112" i="5"/>
  <c r="D116" i="5" s="1"/>
  <c r="D107" i="5"/>
  <c r="D109" i="5" s="1"/>
  <c r="F109" i="5" s="1"/>
  <c r="D102" i="5"/>
  <c r="F102" i="5" s="1"/>
  <c r="D101" i="5"/>
  <c r="F88" i="5"/>
  <c r="C91" i="5" s="1"/>
  <c r="F85" i="5"/>
  <c r="F75" i="5"/>
  <c r="C78" i="5" s="1"/>
  <c r="F72" i="5"/>
  <c r="I51" i="5"/>
  <c r="E43" i="5"/>
  <c r="H10" i="5"/>
  <c r="B129" i="5" s="1"/>
  <c r="E21" i="5"/>
  <c r="L7" i="3"/>
  <c r="BI9" i="4"/>
  <c r="BJ9" i="4"/>
  <c r="BK9" i="4"/>
  <c r="BL9" i="4"/>
  <c r="BM9" i="4"/>
  <c r="BN9" i="4"/>
  <c r="BH9" i="4"/>
  <c r="C79" i="5" l="1"/>
  <c r="D78" i="5"/>
  <c r="H136" i="5" s="1"/>
  <c r="D117" i="5"/>
  <c r="D118" i="5" s="1"/>
  <c r="C92" i="5"/>
  <c r="D91" i="5"/>
  <c r="N12" i="3"/>
  <c r="N11" i="3"/>
  <c r="N10" i="3"/>
  <c r="N8" i="3"/>
  <c r="N7" i="3"/>
  <c r="N6" i="3"/>
  <c r="M12" i="3"/>
  <c r="M11" i="3"/>
  <c r="M10" i="3"/>
  <c r="M9" i="3"/>
  <c r="M8" i="3"/>
  <c r="M7" i="3"/>
  <c r="M6" i="3"/>
  <c r="L12" i="3"/>
  <c r="L11" i="3"/>
  <c r="L10" i="3"/>
  <c r="L9" i="3"/>
  <c r="L8" i="3"/>
  <c r="L6" i="3"/>
  <c r="K7" i="3"/>
  <c r="K8" i="3"/>
  <c r="K9" i="3"/>
  <c r="K10" i="3"/>
  <c r="K11" i="3"/>
  <c r="K12" i="3"/>
  <c r="K6" i="3"/>
  <c r="J7" i="2"/>
  <c r="D92" i="5" l="1"/>
  <c r="M136" i="5"/>
  <c r="D79" i="5"/>
  <c r="G142" i="5" s="1"/>
  <c r="L140" i="5" s="1"/>
  <c r="B132" i="5"/>
  <c r="D136" i="5" s="1"/>
  <c r="H19" i="2"/>
  <c r="I19" i="2"/>
  <c r="J19" i="2"/>
  <c r="K19" i="2"/>
  <c r="L19" i="2"/>
  <c r="M19" i="2"/>
  <c r="G19" i="2"/>
  <c r="N13" i="2"/>
  <c r="N14" i="2"/>
  <c r="N15" i="2"/>
  <c r="N16" i="2"/>
  <c r="N17" i="2"/>
  <c r="N18" i="2"/>
  <c r="N12" i="2"/>
  <c r="AD92" i="1"/>
  <c r="AD79" i="1"/>
  <c r="AD66" i="1"/>
  <c r="AD53" i="1"/>
  <c r="AD40" i="1"/>
  <c r="AD27" i="1"/>
  <c r="AD14" i="1"/>
  <c r="P12" i="2" l="1"/>
  <c r="P15" i="2"/>
  <c r="Q9" i="3" s="1"/>
  <c r="R9" i="3" s="1"/>
  <c r="P18" i="2"/>
  <c r="Q12" i="3" s="1"/>
  <c r="R12" i="3" s="1"/>
  <c r="P14" i="2"/>
  <c r="Q8" i="3" s="1"/>
  <c r="R8" i="3" s="1"/>
  <c r="P17" i="2"/>
  <c r="Q11" i="3" s="1"/>
  <c r="R11" i="3" s="1"/>
  <c r="P13" i="2"/>
  <c r="Q7" i="3" s="1"/>
  <c r="R7" i="3" s="1"/>
  <c r="P16" i="2"/>
  <c r="Q10" i="3" s="1"/>
  <c r="R10" i="3" s="1"/>
  <c r="N19" i="2"/>
  <c r="I18" i="3" s="1"/>
  <c r="Q6" i="3" l="1"/>
  <c r="R6" i="3" s="1"/>
  <c r="R13" i="3" s="1"/>
  <c r="I17" i="3" s="1"/>
  <c r="I24" i="3" s="1"/>
  <c r="L87" i="6" s="1"/>
  <c r="P19" i="2"/>
  <c r="I91" i="6" l="1"/>
  <c r="L91" i="6"/>
  <c r="I92" i="6"/>
  <c r="C134" i="5"/>
  <c r="C135" i="5" s="1"/>
  <c r="D137" i="5" s="1"/>
  <c r="C133" i="6"/>
  <c r="C134" i="6" l="1"/>
  <c r="F133" i="6" a="1"/>
  <c r="F133" i="6" s="1"/>
  <c r="F129" i="6" a="1"/>
  <c r="G134" i="5"/>
  <c r="L134" i="5" s="1"/>
  <c r="L135" i="5" s="1"/>
  <c r="M137" i="5" s="1"/>
  <c r="F129" i="6" l="1"/>
  <c r="B131" i="6"/>
  <c r="D135" i="6" s="1"/>
  <c r="D136" i="6" s="1"/>
  <c r="G135" i="5"/>
  <c r="H13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<sst xmlns="http://schemas.openxmlformats.org/spreadsheetml/2006/main" count="949" uniqueCount="381">
  <si>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</si>
  <si>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</si>
  <si>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</si>
  <si>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</si>
  <si>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</si>
  <si>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</si>
  <si>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</si>
  <si>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</si>
  <si>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</si>
  <si>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</si>
  <si>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</si>
  <si>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</si>
  <si>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</si>
  <si>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</si>
  <si>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</si>
  <si>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</si>
  <si>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</si>
  <si>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</si>
  <si>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</si>
  <si>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</si>
  <si>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</si>
  <si>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</si>
  <si>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</si>
  <si>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</si>
  <si>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∑TOTAL</t>
  </si>
  <si>
    <t>Configuracion vehicular</t>
  </si>
  <si>
    <t>No de ejes/llantas</t>
  </si>
  <si>
    <t>Long. Max metros</t>
  </si>
  <si>
    <t>Lunes</t>
  </si>
  <si>
    <t>Martes</t>
  </si>
  <si>
    <t>Miercoles</t>
  </si>
  <si>
    <t>Jueves</t>
  </si>
  <si>
    <t>Viernes</t>
  </si>
  <si>
    <t>Sabado</t>
  </si>
  <si>
    <t>Domingo</t>
  </si>
  <si>
    <t>∑TOTAL TPD</t>
  </si>
  <si>
    <t>Fe.M= Factor de correccion estacional</t>
  </si>
  <si>
    <t>IMDA= INTENSIDAD MEDIA ANUAL DE LA UNIDAD DE PEAJE</t>
  </si>
  <si>
    <t>IMDM: INTENSIDAD PROMEDIO DIARIA DEL MES DE LA UNIDAD DE PEAJE</t>
  </si>
  <si>
    <t>Tn=To(1+r)´N-1</t>
  </si>
  <si>
    <t>FACTOR DE CRECIMIENTO</t>
  </si>
  <si>
    <t>r= TASA DE CRECIMIENTO DEL TRAFICO</t>
  </si>
  <si>
    <t>IMD</t>
  </si>
  <si>
    <t>1° EJE</t>
  </si>
  <si>
    <t>2° EJE</t>
  </si>
  <si>
    <t>3° EJE</t>
  </si>
  <si>
    <t>4° EJE</t>
  </si>
  <si>
    <t>5° EJE</t>
  </si>
  <si>
    <t>FACTOR DE EQUIVALENCIA</t>
  </si>
  <si>
    <t>IMDA PARA EL AÑO n</t>
  </si>
  <si>
    <t>F IMDA</t>
  </si>
  <si>
    <t>EJE DELANTERO</t>
  </si>
  <si>
    <t>EJES TRASEROS</t>
  </si>
  <si>
    <t>TPD</t>
  </si>
  <si>
    <t>Fca</t>
  </si>
  <si>
    <t>r%</t>
  </si>
  <si>
    <t>n</t>
  </si>
  <si>
    <t>Fd</t>
  </si>
  <si>
    <t>Fc</t>
  </si>
  <si>
    <t>FACTOR DE LA INTENSIDAD MEDIA DIARIA ANUAL</t>
  </si>
  <si>
    <t>TRAFICO PROMEDIO DIARIO</t>
  </si>
  <si>
    <t xml:space="preserve">TASA DE CRECIMIENTO </t>
  </si>
  <si>
    <t>NUMERO DE AÑOS DEL PERIODO DE DISEÑO</t>
  </si>
  <si>
    <t>FACTOR DIRECCIONAL Fd</t>
  </si>
  <si>
    <t>FACTOR DE DISTRIBUCION POR CARRIL Fc</t>
  </si>
  <si>
    <t>EE= ESALs</t>
  </si>
  <si>
    <t>N° DE CALZADAS</t>
  </si>
  <si>
    <t>1 CALZADA</t>
  </si>
  <si>
    <t>N° DE SENTIDOS</t>
  </si>
  <si>
    <t>CARRILES/SENTIDO</t>
  </si>
  <si>
    <t>DIRECCIONAL Fd</t>
  </si>
  <si>
    <t>CARRIL Fc</t>
  </si>
  <si>
    <t>1RS-1RS</t>
  </si>
  <si>
    <t>1RS-2RD</t>
  </si>
  <si>
    <t>1RS-1RD</t>
  </si>
  <si>
    <t>1RS-2RD-3RD</t>
  </si>
  <si>
    <t>1RS-2RD-2RD</t>
  </si>
  <si>
    <t>1RD-1RD-3RD</t>
  </si>
  <si>
    <t>Total trafico</t>
  </si>
  <si>
    <t>DIA 1 Lunes</t>
  </si>
  <si>
    <t>DIA 2 Martes</t>
  </si>
  <si>
    <t>DIA 3 Miercoles</t>
  </si>
  <si>
    <t>DIA 4 Jueves</t>
  </si>
  <si>
    <t>DIA 5 Viernes</t>
  </si>
  <si>
    <t>DIA 6 Sabado</t>
  </si>
  <si>
    <t>DIA 7 Domingo</t>
  </si>
  <si>
    <t>TOTAL PROMEDIO DIARIO (VEHICULOS/DIA)</t>
  </si>
  <si>
    <t>18,6</t>
  </si>
  <si>
    <t>SUMA</t>
  </si>
  <si>
    <t>Configuracion Vehicular</t>
  </si>
  <si>
    <t>CALZADA SEPARADA</t>
  </si>
  <si>
    <t>SUMA F IMDA</t>
  </si>
  <si>
    <t>FACTOR DE CRECIMIENTO ACUMULATIVO</t>
  </si>
  <si>
    <t>Miércoles</t>
  </si>
  <si>
    <t>Sábado</t>
  </si>
  <si>
    <t>PESO TOTAL PERMITIDO (Tn)</t>
  </si>
  <si>
    <t>Suma</t>
  </si>
  <si>
    <t>N= NUMERO DE AÑOS DE CONCTRUCCION</t>
  </si>
  <si>
    <t>Autopista interurbana, de prinera importancia</t>
  </si>
  <si>
    <t>Ejes equivalentes de 8.2 TN según el estudio de trafico</t>
  </si>
  <si>
    <t>Suelo Sub rasante CBR=7%</t>
  </si>
  <si>
    <t>Temperatura media anual promedio, T=23.5°</t>
  </si>
  <si>
    <t>Dias promedio en los que llueve en el año 55</t>
  </si>
  <si>
    <t>Velocidad media de circulacion de vehiculos pesados de 30km/h</t>
  </si>
  <si>
    <t>Tipo de camino</t>
  </si>
  <si>
    <t>arterias principales</t>
  </si>
  <si>
    <t>colectores</t>
  </si>
  <si>
    <t>locales</t>
  </si>
  <si>
    <t>85-99.9</t>
  </si>
  <si>
    <t>80-99</t>
  </si>
  <si>
    <t>80-95</t>
  </si>
  <si>
    <t>50-80</t>
  </si>
  <si>
    <t>80-99.9</t>
  </si>
  <si>
    <t>75-99</t>
  </si>
  <si>
    <t>75-95</t>
  </si>
  <si>
    <t>Pavimento Urbano Industrial</t>
  </si>
  <si>
    <t xml:space="preserve">1.5 - 2.0 </t>
  </si>
  <si>
    <t>1.5 - 2.0</t>
  </si>
  <si>
    <t>CBR&lt;7.2%</t>
  </si>
  <si>
    <t>7.2% &lt; CBR&lt; 20.0%</t>
  </si>
  <si>
    <t>CBR&gt;20.0%</t>
  </si>
  <si>
    <t>PSI</t>
  </si>
  <si>
    <t xml:space="preserve">Modulo Resiliente </t>
  </si>
  <si>
    <t>km/h</t>
  </si>
  <si>
    <t>R=</t>
  </si>
  <si>
    <t>Zr</t>
  </si>
  <si>
    <t>Zona Urbana</t>
  </si>
  <si>
    <t>Zona Rural</t>
  </si>
  <si>
    <t>CONFIABILIDAD RECOMENDADA</t>
  </si>
  <si>
    <t>Rutas Inter-estatales y autopistas</t>
  </si>
  <si>
    <t>CONFIABILIDAD ( R )</t>
  </si>
  <si>
    <t>VALOR Zr</t>
  </si>
  <si>
    <t>SOBRECAPAS</t>
  </si>
  <si>
    <t>PROYECTO DE PAVIMENTO</t>
  </si>
  <si>
    <t>0.40 - 0.50</t>
  </si>
  <si>
    <t>0.30 - 0.40</t>
  </si>
  <si>
    <t>P. Flexible</t>
  </si>
  <si>
    <t>P. Rigido</t>
  </si>
  <si>
    <t>Paso 2 DESVIACION ESTANDAR</t>
  </si>
  <si>
    <t>Pavimento urbanoSecundario</t>
  </si>
  <si>
    <t>Zonas Industriales</t>
  </si>
  <si>
    <t xml:space="preserve">Carreteras </t>
  </si>
  <si>
    <t>Autopistas</t>
  </si>
  <si>
    <t>2.5 - 3.0</t>
  </si>
  <si>
    <t>2.0 - 3.5</t>
  </si>
  <si>
    <t>Serviciabilidad D final</t>
  </si>
  <si>
    <t>Tipo de Via</t>
  </si>
  <si>
    <t>Paso 3 INDICE DE SERVICIO</t>
  </si>
  <si>
    <t>Po=</t>
  </si>
  <si>
    <t>Pf =</t>
  </si>
  <si>
    <t>ΔPSI =</t>
  </si>
  <si>
    <t>Dato adoptado de la tabla ( Serv. Final)</t>
  </si>
  <si>
    <t>Paso 4 COEFICIENTES DE DRENAJE</t>
  </si>
  <si>
    <t>CALIDAD DE DRENAJE</t>
  </si>
  <si>
    <t>% DE HUMEADS EN QUE EL PAVIMENTO ESTA EXPUESTO A NIVELES DE HUMEDAD PROXIMO A LA SATURACION DURANTE EL ANO</t>
  </si>
  <si>
    <t>EXCELENTE</t>
  </si>
  <si>
    <t>1.40-1.35</t>
  </si>
  <si>
    <t>1.35-1.30</t>
  </si>
  <si>
    <t>1.30-1.2</t>
  </si>
  <si>
    <t>BUENO</t>
  </si>
  <si>
    <t>1.35-1.25</t>
  </si>
  <si>
    <t>1.30-1.15</t>
  </si>
  <si>
    <t>1.2-1.00</t>
  </si>
  <si>
    <t xml:space="preserve">REGULAR </t>
  </si>
  <si>
    <t>1.25-1.15</t>
  </si>
  <si>
    <t>1.15-1.05</t>
  </si>
  <si>
    <t>1.00-0.80</t>
  </si>
  <si>
    <t>POBRE</t>
  </si>
  <si>
    <t>1.05-0.80</t>
  </si>
  <si>
    <t>0.80-0.60</t>
  </si>
  <si>
    <t>MUY POBRE</t>
  </si>
  <si>
    <t>1.05-0.95</t>
  </si>
  <si>
    <t>0.95-0.75</t>
  </si>
  <si>
    <t>0.75-0.40</t>
  </si>
  <si>
    <t>DIA DE LLUVIA/AÑO=</t>
  </si>
  <si>
    <t>% DIAS DE LLUVIA=</t>
  </si>
  <si>
    <t>m2=</t>
  </si>
  <si>
    <t>m3=</t>
  </si>
  <si>
    <t>Paso 5 CALCULO DEL MODULO RESILIENTE DE LA SUBRASANTE</t>
  </si>
  <si>
    <t>Paso 1 CONFIABILIDAD</t>
  </si>
  <si>
    <t>CONSTRUCCION NUEVA</t>
  </si>
  <si>
    <t>Mr=</t>
  </si>
  <si>
    <t>1500*CBR</t>
  </si>
  <si>
    <t>3500*CBR</t>
  </si>
  <si>
    <t>4326*LOG*(CBR)+241</t>
  </si>
  <si>
    <t>Tn</t>
  </si>
  <si>
    <t>%</t>
  </si>
  <si>
    <t>CALCULO DEL MODULO RESILIENTE DE LA BASE</t>
  </si>
  <si>
    <t>CALCULO DEL MODULO RESILIENTE DE LA SUBBASE</t>
  </si>
  <si>
    <t xml:space="preserve">Adoptamos un CBR min para la capa Base </t>
  </si>
  <si>
    <t>X=</t>
  </si>
  <si>
    <t xml:space="preserve">De 100 a 70 hay </t>
  </si>
  <si>
    <t>de 70 a 90 hay</t>
  </si>
  <si>
    <t>De 30 a 25 hay</t>
  </si>
  <si>
    <t>de 25 a la linea hay</t>
  </si>
  <si>
    <t>x</t>
  </si>
  <si>
    <t>Mr</t>
  </si>
  <si>
    <t>Modulo Resilienta Base</t>
  </si>
  <si>
    <r>
      <t>S</t>
    </r>
    <r>
      <rPr>
        <b/>
        <vertAlign val="subscript"/>
        <sz val="10"/>
        <color theme="1"/>
        <rFont val="Times New Roman"/>
        <family val="1"/>
      </rPr>
      <t>0</t>
    </r>
  </si>
  <si>
    <t xml:space="preserve">Adoptamos un CBR min para la capa Sub - Base </t>
  </si>
  <si>
    <t>De 20 a 15 hay</t>
  </si>
  <si>
    <t>Paso 6 MODULO RESILIENTE DE LA MEZCLA ASFALTICA</t>
  </si>
  <si>
    <t>V (km/h)=</t>
  </si>
  <si>
    <t>F (Hz)=</t>
  </si>
  <si>
    <r>
      <t>Ta (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C)=</t>
    </r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</si>
  <si>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s </t>
    </r>
    <r>
      <rPr>
        <b/>
        <sz val="11"/>
        <color theme="1"/>
        <rFont val="Calibri"/>
        <family val="2"/>
        <scheme val="minor"/>
      </rPr>
      <t>(mm)=</t>
    </r>
  </si>
  <si>
    <r>
      <t>Ts (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C)=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</si>
  <si>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 xml:space="preserve">R -CARP ASFLT </t>
    </r>
    <r>
      <rPr>
        <b/>
        <sz val="11"/>
        <color theme="1"/>
        <rFont val="Calibri"/>
        <family val="2"/>
        <scheme val="minor"/>
      </rPr>
      <t>(Mpa)=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</si>
  <si>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 xml:space="preserve">R -CARP ASFLT </t>
    </r>
    <r>
      <rPr>
        <b/>
        <sz val="11"/>
        <color theme="1"/>
        <rFont val="Calibri"/>
        <family val="2"/>
        <scheme val="minor"/>
      </rPr>
      <t>(PSI)=</t>
    </r>
  </si>
  <si>
    <r>
      <t>a</t>
    </r>
    <r>
      <rPr>
        <b/>
        <vertAlign val="subscript"/>
        <sz val="14"/>
        <color theme="1"/>
        <rFont val="Calibri"/>
        <family val="2"/>
        <scheme val="minor"/>
      </rPr>
      <t>1</t>
    </r>
  </si>
  <si>
    <t>Redondeado</t>
  </si>
  <si>
    <t>de 0 a 4 hay</t>
  </si>
  <si>
    <t xml:space="preserve">De 6.000 a 0 hay </t>
  </si>
  <si>
    <t>Se convierte a PSI</t>
  </si>
  <si>
    <t>Paso 7 CALCULO DEL NUMERO ESTRUCTURAL</t>
  </si>
  <si>
    <r>
      <t>W</t>
    </r>
    <r>
      <rPr>
        <b/>
        <vertAlign val="subscript"/>
        <sz val="11"/>
        <color theme="1"/>
        <rFont val="Calibri"/>
        <family val="2"/>
        <scheme val="minor"/>
      </rPr>
      <t>18</t>
    </r>
  </si>
  <si>
    <r>
      <t>log W</t>
    </r>
    <r>
      <rPr>
        <b/>
        <vertAlign val="subscript"/>
        <sz val="11"/>
        <color theme="1"/>
        <rFont val="Calibri"/>
        <family val="2"/>
        <scheme val="minor"/>
      </rPr>
      <t>18</t>
    </r>
  </si>
  <si>
    <r>
      <t>SN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=</t>
    </r>
  </si>
  <si>
    <r>
      <t>SN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=</t>
    </r>
  </si>
  <si>
    <r>
      <t>SN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=</t>
    </r>
  </si>
  <si>
    <t>D1 (")</t>
  </si>
  <si>
    <r>
      <t>SN1</t>
    </r>
    <r>
      <rPr>
        <b/>
        <vertAlign val="superscript"/>
        <sz val="12"/>
        <color theme="1"/>
        <rFont val="Calibri"/>
        <family val="2"/>
        <scheme val="minor"/>
      </rPr>
      <t>*</t>
    </r>
    <r>
      <rPr>
        <b/>
        <sz val="12"/>
        <color theme="1"/>
        <rFont val="Calibri"/>
        <family val="2"/>
        <scheme val="minor"/>
      </rPr>
      <t>=</t>
    </r>
  </si>
  <si>
    <t>D2 (")</t>
  </si>
  <si>
    <r>
      <t>SN2</t>
    </r>
    <r>
      <rPr>
        <b/>
        <vertAlign val="superscript"/>
        <sz val="12"/>
        <color theme="1"/>
        <rFont val="Calibri"/>
        <family val="2"/>
        <scheme val="minor"/>
      </rPr>
      <t>*</t>
    </r>
    <r>
      <rPr>
        <b/>
        <sz val="12"/>
        <color theme="1"/>
        <rFont val="Calibri"/>
        <family val="2"/>
        <scheme val="minor"/>
      </rPr>
      <t>=</t>
    </r>
  </si>
  <si>
    <t>D3 (")</t>
  </si>
  <si>
    <t>DAR VALOR</t>
  </si>
  <si>
    <t>Para el numero de ESALs que se tiene el espesor minimo tendra que ser de 6 plg Col 2</t>
  </si>
  <si>
    <t>(Cm)</t>
  </si>
  <si>
    <t>de 70 a 95 hay</t>
  </si>
  <si>
    <t>(plg)</t>
  </si>
  <si>
    <t>a3</t>
  </si>
  <si>
    <t>a2</t>
  </si>
  <si>
    <t>Para el numero de ESALs que se tiene el espesor minimo tendra que ser de 3 plg col 1</t>
  </si>
  <si>
    <t>CALLE COMERCIALES E Industrial</t>
  </si>
  <si>
    <t>CALLES RESIDENCIALES Y ESTACIONAMIENTOS</t>
  </si>
  <si>
    <t>4.0 - 4.2</t>
  </si>
  <si>
    <t xml:space="preserve">TIPO DE CARRETRA </t>
  </si>
  <si>
    <t>PERIODO DE DISEÑOS EN AÑOS</t>
  </si>
  <si>
    <t>urbano de transito elevado</t>
  </si>
  <si>
    <t xml:space="preserve">30 -50 </t>
  </si>
  <si>
    <t>Interurbano de transito elevado</t>
  </si>
  <si>
    <t>20-20</t>
  </si>
  <si>
    <t>Pavimento de baja intensidad de transito</t>
  </si>
  <si>
    <t>15-25</t>
  </si>
  <si>
    <t>De baja intensidad de tranmsito pavimentacion con grava</t>
  </si>
  <si>
    <t>10-20</t>
  </si>
  <si>
    <t>k=2.55+52.5*log(CBR)</t>
  </si>
  <si>
    <t>k Subrasante</t>
  </si>
  <si>
    <t>CAPA GRANULAR NO TRATADA</t>
  </si>
  <si>
    <t>10cm</t>
  </si>
  <si>
    <t>15cm</t>
  </si>
  <si>
    <t>22.5cm</t>
  </si>
  <si>
    <t>30cm</t>
  </si>
  <si>
    <t>Mpa/m</t>
  </si>
  <si>
    <t>pci</t>
  </si>
  <si>
    <t>BASE ESTABILIZADA CON CEMENTO</t>
  </si>
  <si>
    <t>rango de trafico</t>
  </si>
  <si>
    <t>Tipo de agragado y origen</t>
  </si>
  <si>
    <t>Modulo de elasticidad (Ec)</t>
  </si>
  <si>
    <t>En Mpa</t>
  </si>
  <si>
    <t>En kg/cm2</t>
  </si>
  <si>
    <t>w18 &lt;=5E6</t>
  </si>
  <si>
    <t>Grueso - Igneo</t>
  </si>
  <si>
    <t>5500raiz(fc)</t>
  </si>
  <si>
    <t>17500raiz(fc)</t>
  </si>
  <si>
    <t>5E6&lt;w18 &lt;=15E6</t>
  </si>
  <si>
    <t>Grueso - Metamorgico</t>
  </si>
  <si>
    <t>4700raiz(fc)</t>
  </si>
  <si>
    <t>15000raiz(fc)</t>
  </si>
  <si>
    <t>w18 &gt; 15E6</t>
  </si>
  <si>
    <t>Grueso - Sedimentario</t>
  </si>
  <si>
    <t>3600raiz(fc)</t>
  </si>
  <si>
    <t>11500raiz(fc)</t>
  </si>
  <si>
    <t>Sin Informacion</t>
  </si>
  <si>
    <t>3900raiz(fc)</t>
  </si>
  <si>
    <t>12500raiz(fc)</t>
  </si>
  <si>
    <t>a=1.99-3.18</t>
  </si>
  <si>
    <t>MR=a*f´c^0.5</t>
  </si>
  <si>
    <t>a=2.54</t>
  </si>
  <si>
    <t>se adopta</t>
  </si>
  <si>
    <t>fc=(kg/cm2)</t>
  </si>
  <si>
    <t>MR=Resistencia a flexo traccion Mpa</t>
  </si>
  <si>
    <t>Ec=57000(f´c)^0.5</t>
  </si>
  <si>
    <t>1.25-1.20</t>
  </si>
  <si>
    <t>1.20-1.15</t>
  </si>
  <si>
    <t>1.15-1.10</t>
  </si>
  <si>
    <t>1.20-1.10</t>
  </si>
  <si>
    <t>1.10-1.00</t>
  </si>
  <si>
    <t>Cd</t>
  </si>
  <si>
    <t>1.00-0.90</t>
  </si>
  <si>
    <t>0.90-0.80</t>
  </si>
  <si>
    <t>0.80-0.70</t>
  </si>
  <si>
    <t>confinada = bermas a los lados</t>
  </si>
  <si>
    <t>El coeficientes de tranferencia de carga (J) es un parametro adimensional que tiene en cuenta la capacidad que tienen los pasadores de transferir o distribuir las cargas en la zona mas propensa a falla.</t>
  </si>
  <si>
    <t>Condicion</t>
  </si>
  <si>
    <t>J</t>
  </si>
  <si>
    <t>Junta con pasadores - losa confinada</t>
  </si>
  <si>
    <t>Junta con pasadores - losa no confinada</t>
  </si>
  <si>
    <t>Junta sin pasadores - losa confinada</t>
  </si>
  <si>
    <t>Junta sin pasadores - losa no confinada</t>
  </si>
  <si>
    <t>PASADORES TRANSVERSALES</t>
  </si>
  <si>
    <t>Espesor de losa (cm)</t>
  </si>
  <si>
    <t>Diametro del pasaador (")</t>
  </si>
  <si>
    <t>Longitud del pasador en cm</t>
  </si>
  <si>
    <t>Separacion entre barras cm</t>
  </si>
  <si>
    <t>3/4</t>
  </si>
  <si>
    <t>16-18</t>
  </si>
  <si>
    <t>7/8</t>
  </si>
  <si>
    <t>1</t>
  </si>
  <si>
    <t>21-23</t>
  </si>
  <si>
    <t>1 1/8</t>
  </si>
  <si>
    <t>24-25</t>
  </si>
  <si>
    <t>1  1/4</t>
  </si>
  <si>
    <t>26-28</t>
  </si>
  <si>
    <t>1 3/8</t>
  </si>
  <si>
    <t>29-30</t>
  </si>
  <si>
    <t>1 1/2</t>
  </si>
  <si>
    <t>PASADORES LONGITUDINALES</t>
  </si>
  <si>
    <t>H cm</t>
  </si>
  <si>
    <t>Barra de 3/8"</t>
  </si>
  <si>
    <t>S (cm)</t>
  </si>
  <si>
    <t>L cm</t>
  </si>
  <si>
    <t>Paso 4 PERIODO DE DISEÑO</t>
  </si>
  <si>
    <t>Paso 5 SUB RASANTE</t>
  </si>
  <si>
    <t>K=46+9.08*(log(CBR))^4.34</t>
  </si>
  <si>
    <t>Paso 6 CONCRETO</t>
  </si>
  <si>
    <t>Paso 7 COEFICIENTES DE DRENAJE</t>
  </si>
  <si>
    <t>Paso 8 TRANSFERENCIA DE CARGA</t>
  </si>
  <si>
    <t>A</t>
  </si>
  <si>
    <t>B</t>
  </si>
  <si>
    <t>C</t>
  </si>
  <si>
    <t>D</t>
  </si>
  <si>
    <t>E</t>
  </si>
  <si>
    <t>D=</t>
  </si>
  <si>
    <r>
      <t>W</t>
    </r>
    <r>
      <rPr>
        <b/>
        <vertAlign val="subscript"/>
        <sz val="11"/>
        <color theme="1"/>
        <rFont val="Times New Roman"/>
        <family val="1"/>
      </rPr>
      <t>18</t>
    </r>
  </si>
  <si>
    <r>
      <t>log W</t>
    </r>
    <r>
      <rPr>
        <b/>
        <vertAlign val="subscript"/>
        <sz val="11"/>
        <color theme="1"/>
        <rFont val="Times New Roman"/>
        <family val="1"/>
      </rPr>
      <t>18</t>
    </r>
  </si>
  <si>
    <t>MR=</t>
  </si>
  <si>
    <t>EC=</t>
  </si>
  <si>
    <t>CBR%</t>
  </si>
  <si>
    <t>K</t>
  </si>
  <si>
    <t>&lt;010%</t>
  </si>
  <si>
    <t>adoptamos</t>
  </si>
  <si>
    <t>Capa Granular</t>
  </si>
  <si>
    <t>Base Estabilizada</t>
  </si>
  <si>
    <t>Espesor de capa</t>
  </si>
  <si>
    <t>SI(L87&lt;5000000;40*14.223;SI((L87&gt;15000000;45*14.223;42*14.223)))</t>
  </si>
  <si>
    <t>k adoptado=</t>
  </si>
  <si>
    <t>Resistencia minima a la flexo treaccion del concreto MR (kg/cm2)</t>
  </si>
  <si>
    <t>Resistencia minima a la compresion (f´c) (kg/cm2)</t>
  </si>
  <si>
    <t>En funcionn a la compresion</t>
  </si>
  <si>
    <t>redondeo</t>
  </si>
  <si>
    <t>K adoptado</t>
  </si>
  <si>
    <t>Tabla Resumen</t>
  </si>
  <si>
    <t>NO</t>
  </si>
  <si>
    <t>SI</t>
  </si>
  <si>
    <t>(cm) Losa Ho</t>
  </si>
  <si>
    <t>(cm) Capa Granular</t>
  </si>
  <si>
    <t>CBR - Sub Rasante</t>
  </si>
  <si>
    <t>J=</t>
  </si>
  <si>
    <t>Tantear V.</t>
  </si>
  <si>
    <t>Dadoptado=</t>
  </si>
  <si>
    <t>tas de c fecimientoi 3.1</t>
  </si>
  <si>
    <t>periodo de diseño construccion 2 años</t>
  </si>
  <si>
    <t>autopista de 1 calzada</t>
  </si>
  <si>
    <t>1 sentido</t>
  </si>
  <si>
    <t>2 carriles por sentido</t>
  </si>
  <si>
    <t>periodo de diseño 25 años</t>
  </si>
  <si>
    <t>construccion nueva</t>
  </si>
  <si>
    <t>dias de lluvia 65 dias al aaño</t>
  </si>
  <si>
    <t>junta con pasadores (confinada)</t>
  </si>
  <si>
    <t>Longitud del tramo 1200 (m)</t>
  </si>
  <si>
    <t>anoche de carill 3.50 (m)</t>
  </si>
  <si>
    <t>Diseñar el paquete estructural rigido</t>
  </si>
  <si>
    <t>factor estacional 1.1</t>
  </si>
  <si>
    <t>Cbr sub rasante 5%</t>
  </si>
  <si>
    <t>capa granular no 22.5 cm</t>
  </si>
  <si>
    <t>base estabilizada con cemento de 22.5 cm</t>
  </si>
  <si>
    <t>rural</t>
  </si>
  <si>
    <t>Pasoadores</t>
  </si>
  <si>
    <t xml:space="preserve">Longitud del pasador </t>
  </si>
  <si>
    <t>Diametro del pasador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</si>
</sst>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theme="0"/>
      <name val="Calibri"/>
      <family val="2"/>
    </font>
    <font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0"/>
      <name val="Calibri"/>
      <family val="2"/>
    </font>
    <font>
      <sz val="14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4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vertAlign val="subscript"/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b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vertAlign val="subscript"/>
      <sz val="11"/>
      <color theme="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slantDashDot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textRotation="90"/>
    </xf>
    <xf numFmtId="49" fontId="8" fillId="5" borderId="1" xfId="0" applyNumberFormat="1" applyFont="1" applyFill="1" applyBorder="1" applyAlignment="1">
      <alignment horizontal="center" vertical="center" textRotation="90"/>
    </xf>
    <xf numFmtId="49" fontId="6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9" fillId="9" borderId="1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/>
    </xf>
    <xf numFmtId="49" fontId="10" fillId="5" borderId="2" xfId="0" applyNumberFormat="1" applyFont="1" applyFill="1" applyBorder="1" applyAlignment="1">
      <alignment horizontal="center" vertical="center"/>
    </xf>
    <xf numFmtId="0" fontId="9" fillId="3" borderId="1" xfId="1" applyFont="1" applyBorder="1" applyAlignment="1">
      <alignment horizontal="center" vertical="center"/>
    </xf>
    <xf numFmtId="10" fontId="9" fillId="3" borderId="1" xfId="1" applyNumberFormat="1" applyFont="1" applyBorder="1" applyAlignment="1">
      <alignment horizontal="center" vertical="center"/>
    </xf>
    <xf numFmtId="0" fontId="9" fillId="3" borderId="6" xfId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 wrapText="1"/>
    </xf>
    <xf numFmtId="49" fontId="14" fillId="5" borderId="10" xfId="0" applyNumberFormat="1" applyFont="1" applyFill="1" applyBorder="1" applyAlignment="1">
      <alignment horizontal="center" vertical="center" wrapText="1"/>
    </xf>
    <xf numFmtId="49" fontId="14" fillId="5" borderId="10" xfId="0" applyNumberFormat="1" applyFont="1" applyFill="1" applyBorder="1" applyAlignment="1">
      <alignment horizontal="center" vertical="center"/>
    </xf>
    <xf numFmtId="49" fontId="15" fillId="5" borderId="10" xfId="0" applyNumberFormat="1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49" fontId="14" fillId="5" borderId="1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0" fillId="11" borderId="0" xfId="0" applyFill="1"/>
    <xf numFmtId="0" fontId="17" fillId="5" borderId="1" xfId="0" applyFont="1" applyFill="1" applyBorder="1"/>
    <xf numFmtId="0" fontId="0" fillId="9" borderId="1" xfId="0" applyFill="1" applyBorder="1"/>
    <xf numFmtId="0" fontId="0" fillId="2" borderId="1" xfId="0" applyFill="1" applyBorder="1"/>
    <xf numFmtId="0" fontId="0" fillId="11" borderId="1" xfId="0" applyFill="1" applyBorder="1"/>
    <xf numFmtId="0" fontId="18" fillId="0" borderId="0" xfId="0" applyFont="1" applyAlignment="1">
      <alignment horizontal="right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9" fontId="21" fillId="7" borderId="36" xfId="3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16" borderId="25" xfId="0" applyFont="1" applyFill="1" applyBorder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9" fillId="10" borderId="37" xfId="0" applyFont="1" applyFill="1" applyBorder="1" applyAlignment="1">
      <alignment horizontal="center" vertical="center"/>
    </xf>
    <xf numFmtId="0" fontId="9" fillId="16" borderId="37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18" fillId="0" borderId="0" xfId="0" applyFont="1"/>
    <xf numFmtId="0" fontId="18" fillId="18" borderId="1" xfId="0" applyFont="1" applyFill="1" applyBorder="1"/>
    <xf numFmtId="0" fontId="0" fillId="18" borderId="0" xfId="0" applyFill="1" applyAlignment="1">
      <alignment horizontal="center"/>
    </xf>
    <xf numFmtId="0" fontId="18" fillId="17" borderId="1" xfId="0" applyFont="1" applyFill="1" applyBorder="1"/>
    <xf numFmtId="0" fontId="18" fillId="0" borderId="37" xfId="0" applyFont="1" applyBorder="1" applyAlignment="1">
      <alignment horizontal="right"/>
    </xf>
    <xf numFmtId="0" fontId="18" fillId="17" borderId="37" xfId="0" applyFont="1" applyFill="1" applyBorder="1"/>
    <xf numFmtId="0" fontId="18" fillId="18" borderId="37" xfId="0" applyFont="1" applyFill="1" applyBorder="1"/>
    <xf numFmtId="2" fontId="9" fillId="11" borderId="1" xfId="0" applyNumberFormat="1" applyFont="1" applyFill="1" applyBorder="1" applyAlignment="1">
      <alignment horizontal="center" vertical="center"/>
    </xf>
    <xf numFmtId="11" fontId="10" fillId="5" borderId="1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right"/>
    </xf>
    <xf numFmtId="11" fontId="18" fillId="17" borderId="37" xfId="0" applyNumberFormat="1" applyFont="1" applyFill="1" applyBorder="1"/>
    <xf numFmtId="0" fontId="0" fillId="0" borderId="37" xfId="0" applyBorder="1"/>
    <xf numFmtId="164" fontId="18" fillId="18" borderId="37" xfId="0" applyNumberFormat="1" applyFont="1" applyFill="1" applyBorder="1"/>
    <xf numFmtId="0" fontId="9" fillId="10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18" fillId="19" borderId="37" xfId="0" applyFont="1" applyFill="1" applyBorder="1"/>
    <xf numFmtId="0" fontId="9" fillId="9" borderId="37" xfId="0" applyFont="1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/>
    </xf>
    <xf numFmtId="0" fontId="26" fillId="18" borderId="1" xfId="0" applyFont="1" applyFill="1" applyBorder="1"/>
    <xf numFmtId="0" fontId="18" fillId="9" borderId="1" xfId="0" applyFont="1" applyFill="1" applyBorder="1"/>
    <xf numFmtId="0" fontId="18" fillId="9" borderId="0" xfId="0" applyFont="1" applyFill="1"/>
    <xf numFmtId="4" fontId="18" fillId="0" borderId="37" xfId="0" applyNumberFormat="1" applyFont="1" applyBorder="1"/>
    <xf numFmtId="0" fontId="0" fillId="19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" fontId="9" fillId="10" borderId="1" xfId="0" applyNumberFormat="1" applyFont="1" applyFill="1" applyBorder="1" applyAlignment="1">
      <alignment horizontal="center" vertical="center"/>
    </xf>
    <xf numFmtId="0" fontId="9" fillId="0" borderId="0" xfId="0" applyFont="1"/>
    <xf numFmtId="49" fontId="9" fillId="0" borderId="1" xfId="0" applyNumberFormat="1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20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1" fillId="0" borderId="42" xfId="0" applyFont="1" applyBorder="1" applyAlignment="1">
      <alignment horizontal="right"/>
    </xf>
    <xf numFmtId="11" fontId="21" fillId="17" borderId="37" xfId="0" applyNumberFormat="1" applyFont="1" applyFill="1" applyBorder="1"/>
    <xf numFmtId="0" fontId="9" fillId="0" borderId="37" xfId="0" applyFont="1" applyBorder="1"/>
    <xf numFmtId="0" fontId="21" fillId="0" borderId="37" xfId="0" applyFont="1" applyBorder="1" applyAlignment="1">
      <alignment horizontal="right"/>
    </xf>
    <xf numFmtId="0" fontId="21" fillId="17" borderId="37" xfId="0" applyFont="1" applyFill="1" applyBorder="1"/>
    <xf numFmtId="0" fontId="21" fillId="19" borderId="37" xfId="0" applyFont="1" applyFill="1" applyBorder="1"/>
    <xf numFmtId="164" fontId="21" fillId="18" borderId="37" xfId="0" applyNumberFormat="1" applyFont="1" applyFill="1" applyBorder="1"/>
    <xf numFmtId="0" fontId="9" fillId="6" borderId="1" xfId="2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right"/>
    </xf>
    <xf numFmtId="11" fontId="21" fillId="17" borderId="1" xfId="0" applyNumberFormat="1" applyFont="1" applyFill="1" applyBorder="1"/>
    <xf numFmtId="0" fontId="9" fillId="17" borderId="1" xfId="0" applyFont="1" applyFill="1" applyBorder="1"/>
    <xf numFmtId="0" fontId="27" fillId="12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0" fontId="9" fillId="17" borderId="0" xfId="0" applyFont="1" applyFill="1"/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19" xfId="1" applyFont="1" applyFill="1" applyBorder="1" applyAlignment="1">
      <alignment horizontal="center" vertical="center"/>
    </xf>
    <xf numFmtId="0" fontId="10" fillId="5" borderId="3" xfId="1" applyFont="1" applyFill="1" applyBorder="1" applyAlignment="1">
      <alignment horizontal="center" vertical="center"/>
    </xf>
    <xf numFmtId="0" fontId="9" fillId="3" borderId="2" xfId="1" applyFont="1" applyBorder="1" applyAlignment="1">
      <alignment horizontal="center" vertical="center"/>
    </xf>
    <xf numFmtId="0" fontId="9" fillId="3" borderId="19" xfId="1" applyFont="1" applyBorder="1" applyAlignment="1">
      <alignment horizontal="center" vertical="center"/>
    </xf>
    <xf numFmtId="0" fontId="9" fillId="3" borderId="3" xfId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 wrapText="1"/>
    </xf>
    <xf numFmtId="0" fontId="9" fillId="9" borderId="1" xfId="2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9" borderId="1" xfId="2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9" fillId="12" borderId="37" xfId="0" applyFont="1" applyFill="1" applyBorder="1" applyAlignment="1">
      <alignment horizontal="center" vertical="center"/>
    </xf>
    <xf numFmtId="0" fontId="9" fillId="19" borderId="39" xfId="0" applyFont="1" applyFill="1" applyBorder="1" applyAlignment="1">
      <alignment horizontal="center" vertical="center"/>
    </xf>
    <xf numFmtId="0" fontId="9" fillId="19" borderId="4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5" borderId="24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 wrapText="1"/>
    </xf>
    <xf numFmtId="0" fontId="24" fillId="14" borderId="31" xfId="0" applyFont="1" applyFill="1" applyBorder="1" applyAlignment="1">
      <alignment horizontal="center" vertical="center" wrapText="1"/>
    </xf>
    <xf numFmtId="0" fontId="24" fillId="14" borderId="0" xfId="0" applyFont="1" applyFill="1" applyAlignment="1">
      <alignment horizontal="center" vertical="center"/>
    </xf>
    <xf numFmtId="0" fontId="24" fillId="14" borderId="38" xfId="0" applyFont="1" applyFill="1" applyBorder="1" applyAlignment="1">
      <alignment horizontal="center" vertical="center"/>
    </xf>
    <xf numFmtId="0" fontId="10" fillId="5" borderId="3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0" fontId="22" fillId="5" borderId="29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22" fillId="5" borderId="34" xfId="0" applyFont="1" applyFill="1" applyBorder="1" applyAlignment="1">
      <alignment horizontal="center" vertical="center"/>
    </xf>
    <xf numFmtId="0" fontId="22" fillId="5" borderId="27" xfId="0" applyFont="1" applyFill="1" applyBorder="1" applyAlignment="1">
      <alignment horizontal="center" vertical="center"/>
    </xf>
    <xf numFmtId="0" fontId="22" fillId="5" borderId="33" xfId="0" applyFont="1" applyFill="1" applyBorder="1" applyAlignment="1">
      <alignment horizontal="center" vertical="center"/>
    </xf>
    <xf numFmtId="0" fontId="22" fillId="5" borderId="19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2" fillId="5" borderId="21" xfId="0" applyFont="1" applyFill="1" applyBorder="1" applyAlignment="1">
      <alignment horizontal="center" vertical="center" wrapText="1"/>
    </xf>
    <xf numFmtId="0" fontId="22" fillId="5" borderId="23" xfId="0" applyFont="1" applyFill="1" applyBorder="1" applyAlignment="1">
      <alignment horizontal="center" vertical="center" wrapText="1"/>
    </xf>
    <xf numFmtId="0" fontId="22" fillId="5" borderId="24" xfId="0" applyFont="1" applyFill="1" applyBorder="1" applyAlignment="1">
      <alignment horizontal="center" vertical="center" wrapText="1"/>
    </xf>
    <xf numFmtId="0" fontId="22" fillId="5" borderId="25" xfId="0" applyFont="1" applyFill="1" applyBorder="1" applyAlignment="1">
      <alignment horizontal="center" vertical="center" wrapText="1"/>
    </xf>
    <xf numFmtId="0" fontId="22" fillId="5" borderId="27" xfId="0" applyFont="1" applyFill="1" applyBorder="1" applyAlignment="1">
      <alignment horizontal="center" vertical="center" wrapText="1"/>
    </xf>
    <xf numFmtId="0" fontId="22" fillId="5" borderId="33" xfId="0" applyFont="1" applyFill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22" fillId="5" borderId="43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22" fillId="5" borderId="0" xfId="0" applyFont="1" applyFill="1" applyAlignment="1">
      <alignment horizontal="center" wrapText="1"/>
    </xf>
    <xf numFmtId="0" fontId="22" fillId="5" borderId="1" xfId="0" applyFont="1" applyFill="1" applyBorder="1" applyAlignment="1">
      <alignment horizontal="center"/>
    </xf>
    <xf numFmtId="0" fontId="22" fillId="5" borderId="0" xfId="0" applyFont="1" applyFill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22" fillId="5" borderId="41" xfId="0" applyFont="1" applyFill="1" applyBorder="1" applyAlignment="1">
      <alignment horizontal="center" wrapText="1"/>
    </xf>
    <xf numFmtId="0" fontId="9" fillId="12" borderId="1" xfId="0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/>
    </xf>
    <xf numFmtId="0" fontId="9" fillId="12" borderId="0" xfId="0" applyFont="1" applyFill="1"/>
    <xf numFmtId="0" fontId="9" fillId="12" borderId="1" xfId="0" applyFont="1" applyFill="1" applyBorder="1"/>
    <xf numFmtId="0" fontId="9" fillId="12" borderId="1" xfId="0" applyFont="1" applyFill="1" applyBorder="1" applyAlignment="1">
      <alignment horizontal="center" wrapText="1"/>
    </xf>
  </cellXfs>
  <cellStyles count="4">
    <cellStyle name="40% - Énfasis4" xfId="1" builtinId="43"/>
    <cellStyle name="60% - Énfasis4" xfId="2" builtinId="4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LUNES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DIARIO'!$C$7:$C$13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'TRAFICO DIARIO'!$AD$7:$AD$13</c:f>
              <c:numCache>
                <c:formatCode>General</c:formatCode>
                <c:ptCount val="7"/>
                <c:pt idx="0">
                  <c:v>373</c:v>
                </c:pt>
                <c:pt idx="1">
                  <c:v>80</c:v>
                </c:pt>
                <c:pt idx="2">
                  <c:v>27</c:v>
                </c:pt>
                <c:pt idx="3">
                  <c:v>34</c:v>
                </c:pt>
                <c:pt idx="4">
                  <c:v>14</c:v>
                </c:pt>
                <c:pt idx="5">
                  <c:v>22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6-45E3-845E-D2EC66467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MARTES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DIARIO'!$C$20:$C$26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'TRAFICO DIARIO'!$AD$20:$AD$26</c:f>
              <c:numCache>
                <c:formatCode>General</c:formatCode>
                <c:ptCount val="7"/>
                <c:pt idx="0">
                  <c:v>306</c:v>
                </c:pt>
                <c:pt idx="1">
                  <c:v>80</c:v>
                </c:pt>
                <c:pt idx="2">
                  <c:v>34</c:v>
                </c:pt>
                <c:pt idx="3">
                  <c:v>36</c:v>
                </c:pt>
                <c:pt idx="4">
                  <c:v>19</c:v>
                </c:pt>
                <c:pt idx="5">
                  <c:v>32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B-4ED1-B4DA-C5C818F55F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MIERCOLES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'TRAFICO DIARIO'!$AD$33:$AD$39</c:f>
              <c:numCache>
                <c:formatCode>General</c:formatCode>
                <c:ptCount val="7"/>
                <c:pt idx="0">
                  <c:v>306</c:v>
                </c:pt>
                <c:pt idx="1">
                  <c:v>86</c:v>
                </c:pt>
                <c:pt idx="2">
                  <c:v>33</c:v>
                </c:pt>
                <c:pt idx="3">
                  <c:v>38</c:v>
                </c:pt>
                <c:pt idx="4">
                  <c:v>23</c:v>
                </c:pt>
                <c:pt idx="5">
                  <c:v>25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9-4A9D-9C9A-81AF8FC582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JUEVES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DIARIO'!$C$46:$C$52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'TRAFICO DIARIO'!$AD$46:$AD$52</c:f>
              <c:numCache>
                <c:formatCode>General</c:formatCode>
                <c:ptCount val="7"/>
                <c:pt idx="0">
                  <c:v>268</c:v>
                </c:pt>
                <c:pt idx="1">
                  <c:v>59</c:v>
                </c:pt>
                <c:pt idx="2">
                  <c:v>35</c:v>
                </c:pt>
                <c:pt idx="3">
                  <c:v>29</c:v>
                </c:pt>
                <c:pt idx="4">
                  <c:v>14</c:v>
                </c:pt>
                <c:pt idx="5">
                  <c:v>12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6-4FB5-BC59-7C5E3458AD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VIERNES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DIARIO'!$C$59:$C$65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'TRAFICO DIARIO'!$AD$59:$AD$65</c:f>
              <c:numCache>
                <c:formatCode>General</c:formatCode>
                <c:ptCount val="7"/>
                <c:pt idx="0">
                  <c:v>272</c:v>
                </c:pt>
                <c:pt idx="1">
                  <c:v>80</c:v>
                </c:pt>
                <c:pt idx="2">
                  <c:v>35</c:v>
                </c:pt>
                <c:pt idx="3">
                  <c:v>41</c:v>
                </c:pt>
                <c:pt idx="4">
                  <c:v>15</c:v>
                </c:pt>
                <c:pt idx="5">
                  <c:v>16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A-485E-92E1-6712936EAB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SABADO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DIARIO'!$C$72:$C$78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'TRAFICO DIARIO'!$AD$72:$AD$78</c:f>
              <c:numCache>
                <c:formatCode>General</c:formatCode>
                <c:ptCount val="7"/>
                <c:pt idx="0">
                  <c:v>202</c:v>
                </c:pt>
                <c:pt idx="1">
                  <c:v>42</c:v>
                </c:pt>
                <c:pt idx="2">
                  <c:v>27</c:v>
                </c:pt>
                <c:pt idx="3">
                  <c:v>30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F-4C57-B156-7D6FF73F0E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TIPOS</a:t>
            </a:r>
            <a:r>
              <a:rPr lang="en-US" baseline="0"/>
              <a:t> DE VEHICULOS EN DOMINGO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DIARIO'!$C$85:$C$91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'TRAFICO DIARIO'!$AD$85:$AD$91</c:f>
              <c:numCache>
                <c:formatCode>General</c:formatCode>
                <c:ptCount val="7"/>
                <c:pt idx="0">
                  <c:v>228</c:v>
                </c:pt>
                <c:pt idx="1">
                  <c:v>33</c:v>
                </c:pt>
                <c:pt idx="2">
                  <c:v>10</c:v>
                </c:pt>
                <c:pt idx="3">
                  <c:v>19</c:v>
                </c:pt>
                <c:pt idx="4">
                  <c:v>6</c:v>
                </c:pt>
                <c:pt idx="5">
                  <c:v>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0-494A-9767-0DC54F0385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  <c:max val="4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DIARIO'!$F$7:$AC$7</c:f>
              <c:numCache>
                <c:formatCode>General</c:formatCode>
                <c:ptCount val="24"/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15</c:v>
                </c:pt>
                <c:pt idx="6">
                  <c:v>18</c:v>
                </c:pt>
                <c:pt idx="7">
                  <c:v>22</c:v>
                </c:pt>
                <c:pt idx="8">
                  <c:v>12</c:v>
                </c:pt>
                <c:pt idx="9">
                  <c:v>40</c:v>
                </c:pt>
                <c:pt idx="10">
                  <c:v>12</c:v>
                </c:pt>
                <c:pt idx="11">
                  <c:v>12</c:v>
                </c:pt>
                <c:pt idx="12">
                  <c:v>15</c:v>
                </c:pt>
                <c:pt idx="13">
                  <c:v>5</c:v>
                </c:pt>
                <c:pt idx="14">
                  <c:v>20</c:v>
                </c:pt>
                <c:pt idx="15">
                  <c:v>15</c:v>
                </c:pt>
                <c:pt idx="16">
                  <c:v>22</c:v>
                </c:pt>
                <c:pt idx="17">
                  <c:v>25</c:v>
                </c:pt>
                <c:pt idx="18">
                  <c:v>41</c:v>
                </c:pt>
                <c:pt idx="19">
                  <c:v>50</c:v>
                </c:pt>
                <c:pt idx="20">
                  <c:v>15</c:v>
                </c:pt>
                <c:pt idx="21">
                  <c:v>12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E-4E33-80A6-5F0DF40D8B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DIARIO'!$F$8:$AC$8</c:f>
              <c:numCache>
                <c:formatCode>General</c:formatCode>
                <c:ptCount val="24"/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12</c:v>
                </c:pt>
                <c:pt idx="9">
                  <c:v>10</c:v>
                </c:pt>
                <c:pt idx="10">
                  <c:v>5</c:v>
                </c:pt>
                <c:pt idx="11">
                  <c:v>12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2</c:v>
                </c:pt>
                <c:pt idx="17">
                  <c:v>4</c:v>
                </c:pt>
                <c:pt idx="18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5-4E2F-BADB-8E50EA062F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DIARIO'!$F$9:$AC$9</c:f>
              <c:numCache>
                <c:formatCode>General</c:formatCode>
                <c:ptCount val="24"/>
                <c:pt idx="5">
                  <c:v>4</c:v>
                </c:pt>
                <c:pt idx="7">
                  <c:v>4</c:v>
                </c:pt>
                <c:pt idx="8">
                  <c:v>2</c:v>
                </c:pt>
                <c:pt idx="11">
                  <c:v>3</c:v>
                </c:pt>
                <c:pt idx="13">
                  <c:v>3</c:v>
                </c:pt>
                <c:pt idx="16">
                  <c:v>2</c:v>
                </c:pt>
                <c:pt idx="17">
                  <c:v>7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E-4BB6-8F6F-AF2CAFCB77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DIARIO'!$F$10:$AC$10</c:f>
              <c:numCache>
                <c:formatCode>General</c:formatCode>
                <c:ptCount val="24"/>
                <c:pt idx="5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1">
                  <c:v>4</c:v>
                </c:pt>
                <c:pt idx="15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3-41BE-A169-1A79189D66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DIARIO'!$F$11:$AC$11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6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C-4C81-9DAC-6A41EEBCA6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DIARIO'!$F$12:$AC$12</c:f>
              <c:numCache>
                <c:formatCode>General</c:formatCode>
                <c:ptCount val="24"/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2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4-416F-9232-3EBD20F166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LUNES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DIARIO'!$F$6:$AC$6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DIARIO'!$F$13:$AC$13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B27F-4721-8718-84E991671D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2BE-4AC8-A044-142D652178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2BE-4AC8-A044-142D652178C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3FA7-4C88-B165-0B75E76921C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FA7-4C88-B165-0B75E76921C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FA7-4C88-B165-0B75E76921C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3FA7-4C88-B165-0B75E76921C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FA7-4C88-B165-0B75E76921C8}"/>
              </c:ext>
            </c:extLst>
          </c:dPt>
          <c:dLbls>
            <c:dLbl>
              <c:idx val="2"/>
              <c:layout>
                <c:manualLayout>
                  <c:x val="4.8818241469816219E-2"/>
                  <c:y val="3.34886264216972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A7-4C88-B165-0B75E76921C8}"/>
                </c:ext>
              </c:extLst>
            </c:dLbl>
            <c:dLbl>
              <c:idx val="3"/>
              <c:layout>
                <c:manualLayout>
                  <c:x val="4.8080052493438323E-2"/>
                  <c:y val="7.121500437445317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7-4C88-B165-0B75E76921C8}"/>
                </c:ext>
              </c:extLst>
            </c:dLbl>
            <c:dLbl>
              <c:idx val="4"/>
              <c:layout>
                <c:manualLayout>
                  <c:x val="3.544728783902007E-2"/>
                  <c:y val="0.120513269174686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A7-4C88-B165-0B75E76921C8}"/>
                </c:ext>
              </c:extLst>
            </c:dLbl>
            <c:dLbl>
              <c:idx val="5"/>
              <c:layout>
                <c:manualLayout>
                  <c:x val="3.0943569553805773E-2"/>
                  <c:y val="7.90675123942840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A7-4C88-B165-0B75E76921C8}"/>
                </c:ext>
              </c:extLst>
            </c:dLbl>
            <c:dLbl>
              <c:idx val="6"/>
              <c:layout>
                <c:manualLayout>
                  <c:x val="2.45096237970252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A7-4C88-B165-0B75E7692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'TRAFICO DIARIO'!$AD$7:$AD$13</c:f>
              <c:numCache>
                <c:formatCode>General</c:formatCode>
                <c:ptCount val="7"/>
                <c:pt idx="0">
                  <c:v>373</c:v>
                </c:pt>
                <c:pt idx="1">
                  <c:v>80</c:v>
                </c:pt>
                <c:pt idx="2">
                  <c:v>27</c:v>
                </c:pt>
                <c:pt idx="3">
                  <c:v>34</c:v>
                </c:pt>
                <c:pt idx="4">
                  <c:v>14</c:v>
                </c:pt>
                <c:pt idx="5">
                  <c:v>22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7-4C88-B165-0B75E76921C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DIARIO'!$F$20:$AC$20</c:f>
              <c:numCache>
                <c:formatCode>General</c:formatCode>
                <c:ptCount val="24"/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15</c:v>
                </c:pt>
                <c:pt idx="6">
                  <c:v>18</c:v>
                </c:pt>
                <c:pt idx="7">
                  <c:v>22</c:v>
                </c:pt>
                <c:pt idx="8">
                  <c:v>18</c:v>
                </c:pt>
                <c:pt idx="9">
                  <c:v>15</c:v>
                </c:pt>
                <c:pt idx="10">
                  <c:v>12</c:v>
                </c:pt>
                <c:pt idx="11">
                  <c:v>12</c:v>
                </c:pt>
                <c:pt idx="12">
                  <c:v>15</c:v>
                </c:pt>
                <c:pt idx="13">
                  <c:v>5</c:v>
                </c:pt>
                <c:pt idx="14">
                  <c:v>15</c:v>
                </c:pt>
                <c:pt idx="15">
                  <c:v>15</c:v>
                </c:pt>
                <c:pt idx="16">
                  <c:v>23</c:v>
                </c:pt>
                <c:pt idx="17">
                  <c:v>25</c:v>
                </c:pt>
                <c:pt idx="18">
                  <c:v>22</c:v>
                </c:pt>
                <c:pt idx="19">
                  <c:v>25</c:v>
                </c:pt>
                <c:pt idx="20">
                  <c:v>15</c:v>
                </c:pt>
                <c:pt idx="21">
                  <c:v>12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C-4A14-A56E-FDBFCFF28C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DIARIO'!$F$21:$AC$21</c:f>
              <c:numCache>
                <c:formatCode>General</c:formatCode>
                <c:ptCount val="24"/>
                <c:pt idx="5">
                  <c:v>3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2-4EB9-A39B-F6420CF5AB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DIARIO'!$F$22:$AC$22</c:f>
              <c:numCache>
                <c:formatCode>General</c:formatCode>
                <c:ptCount val="24"/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11">
                  <c:v>5</c:v>
                </c:pt>
                <c:pt idx="13">
                  <c:v>5</c:v>
                </c:pt>
                <c:pt idx="16">
                  <c:v>2</c:v>
                </c:pt>
                <c:pt idx="17">
                  <c:v>7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8-43FD-90AF-333F2A9BA7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DIARIO'!$F$23:$AC$23</c:f>
              <c:numCache>
                <c:formatCode>General</c:formatCode>
                <c:ptCount val="24"/>
                <c:pt idx="5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1">
                  <c:v>5</c:v>
                </c:pt>
                <c:pt idx="15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2-4037-8F27-4E9B437B74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DIARIO'!$F$24:$AC$24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3-4BC3-A697-7D7A3BCCD3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DIARIO'!$F$25:$AC$25</c:f>
              <c:numCache>
                <c:formatCode>General</c:formatCode>
                <c:ptCount val="24"/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2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D-4C8D-BC1B-CC90016C7B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MARTES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DIARIO'!$F$26:$AC$26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1040-491C-BC7D-463CF1C638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0EC-497B-8202-0287A98ABB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0EC-497B-8202-0287A98ABB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0EC-497B-8202-0287A98ABB9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0EC-497B-8202-0287A98ABB9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60EC-497B-8202-0287A98ABB9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60EC-497B-8202-0287A98ABB9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60EC-497B-8202-0287A98ABB9B}"/>
              </c:ext>
            </c:extLst>
          </c:dPt>
          <c:dLbls>
            <c:dLbl>
              <c:idx val="4"/>
              <c:layout>
                <c:manualLayout>
                  <c:x val="2.4336176727909012E-2"/>
                  <c:y val="5.5698454359871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EC-497B-8202-0287A98ABB9B}"/>
                </c:ext>
              </c:extLst>
            </c:dLbl>
            <c:dLbl>
              <c:idx val="5"/>
              <c:layout>
                <c:manualLayout>
                  <c:x val="1.9832458442694715E-2"/>
                  <c:y val="8.8326771653543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EC-497B-8202-0287A98ABB9B}"/>
                </c:ext>
              </c:extLst>
            </c:dLbl>
            <c:dLbl>
              <c:idx val="6"/>
              <c:layout>
                <c:manualLayout>
                  <c:x val="1.895406824146981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EC-497B-8202-0287A98ABB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'TRAFICO DIARIO'!$C$20:$C$26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'TRAFICO DIARIO'!$AD$20:$AD$26</c:f>
              <c:numCache>
                <c:formatCode>General</c:formatCode>
                <c:ptCount val="7"/>
                <c:pt idx="0">
                  <c:v>306</c:v>
                </c:pt>
                <c:pt idx="1">
                  <c:v>80</c:v>
                </c:pt>
                <c:pt idx="2">
                  <c:v>34</c:v>
                </c:pt>
                <c:pt idx="3">
                  <c:v>36</c:v>
                </c:pt>
                <c:pt idx="4">
                  <c:v>19</c:v>
                </c:pt>
                <c:pt idx="5">
                  <c:v>32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0EC-497B-8202-0287A98ABB9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DIARIO'!$F$32:$AC$32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DIARIO'!$F$33:$AC$33</c:f>
              <c:numCache>
                <c:formatCode>General</c:formatCode>
                <c:ptCount val="24"/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15</c:v>
                </c:pt>
                <c:pt idx="6">
                  <c:v>8</c:v>
                </c:pt>
                <c:pt idx="7">
                  <c:v>22</c:v>
                </c:pt>
                <c:pt idx="8">
                  <c:v>22</c:v>
                </c:pt>
                <c:pt idx="9">
                  <c:v>15</c:v>
                </c:pt>
                <c:pt idx="10">
                  <c:v>3</c:v>
                </c:pt>
                <c:pt idx="11">
                  <c:v>12</c:v>
                </c:pt>
                <c:pt idx="12">
                  <c:v>16</c:v>
                </c:pt>
                <c:pt idx="13">
                  <c:v>22</c:v>
                </c:pt>
                <c:pt idx="14">
                  <c:v>15</c:v>
                </c:pt>
                <c:pt idx="15">
                  <c:v>15</c:v>
                </c:pt>
                <c:pt idx="16">
                  <c:v>23</c:v>
                </c:pt>
                <c:pt idx="17">
                  <c:v>25</c:v>
                </c:pt>
                <c:pt idx="18">
                  <c:v>22</c:v>
                </c:pt>
                <c:pt idx="19">
                  <c:v>25</c:v>
                </c:pt>
                <c:pt idx="20">
                  <c:v>15</c:v>
                </c:pt>
                <c:pt idx="21">
                  <c:v>12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7-434C-9AEA-11974BB273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DIARIO'!$F$32:$AC$32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DIARIO'!$F$34:$AC$34</c:f>
              <c:numCache>
                <c:formatCode>General</c:formatCode>
                <c:ptCount val="24"/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11</c:v>
                </c:pt>
                <c:pt idx="9">
                  <c:v>8</c:v>
                </c:pt>
                <c:pt idx="10">
                  <c:v>2</c:v>
                </c:pt>
                <c:pt idx="11">
                  <c:v>3</c:v>
                </c:pt>
                <c:pt idx="12">
                  <c:v>9</c:v>
                </c:pt>
                <c:pt idx="13">
                  <c:v>7</c:v>
                </c:pt>
                <c:pt idx="14">
                  <c:v>7</c:v>
                </c:pt>
                <c:pt idx="15">
                  <c:v>10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7-4EAC-A771-C0F5E68B19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DIARIO'!$F$32:$AC$32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DIARIO'!$F$35:$AC$35</c:f>
              <c:numCache>
                <c:formatCode>General</c:formatCode>
                <c:ptCount val="24"/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5</c:v>
                </c:pt>
                <c:pt idx="16">
                  <c:v>2</c:v>
                </c:pt>
                <c:pt idx="17">
                  <c:v>4</c:v>
                </c:pt>
                <c:pt idx="19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C-4A83-94E6-EDE6F7414A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DIARIO'!$F$32:$AC$32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DIARIO'!$F$36:$AC$36</c:f>
              <c:numCache>
                <c:formatCode>General</c:formatCode>
                <c:ptCount val="24"/>
                <c:pt idx="5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1">
                  <c:v>5</c:v>
                </c:pt>
                <c:pt idx="12">
                  <c:v>5</c:v>
                </c:pt>
                <c:pt idx="15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E-46D4-AC3D-6E33316D15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DIARIO'!$F$24:$AC$24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2-4354-ACF2-EC3AF3910F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DIARIO'!$F$25:$AC$25</c:f>
              <c:numCache>
                <c:formatCode>General</c:formatCode>
                <c:ptCount val="24"/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2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C-44D6-BD12-BD880CBB84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MIERCOLES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DIARIO'!$F$19:$AC$19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DIARIO'!$F$26:$AC$26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463E-4CBA-90B6-539088227D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99D-4F2A-B082-9A14F448C8E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99D-4F2A-B082-9A14F448C8E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99D-4F2A-B082-9A14F448C8E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99D-4F2A-B082-9A14F448C8E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99D-4F2A-B082-9A14F448C8E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F99D-4F2A-B082-9A14F448C8E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F99D-4F2A-B082-9A14F448C8EB}"/>
              </c:ext>
            </c:extLst>
          </c:dPt>
          <c:dLbls>
            <c:dLbl>
              <c:idx val="4"/>
              <c:layout>
                <c:manualLayout>
                  <c:x val="2.4336176727909012E-2"/>
                  <c:y val="5.5698454359871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9D-4F2A-B082-9A14F448C8EB}"/>
                </c:ext>
              </c:extLst>
            </c:dLbl>
            <c:dLbl>
              <c:idx val="5"/>
              <c:layout>
                <c:manualLayout>
                  <c:x val="1.9832458442694715E-2"/>
                  <c:y val="8.8326771653543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9D-4F2A-B082-9A14F448C8EB}"/>
                </c:ext>
              </c:extLst>
            </c:dLbl>
            <c:dLbl>
              <c:idx val="6"/>
              <c:layout>
                <c:manualLayout>
                  <c:x val="1.895406824146981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99D-4F2A-B082-9A14F448C8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'TRAFICO DIARIO'!$AD$33:$AD$39</c:f>
              <c:numCache>
                <c:formatCode>General</c:formatCode>
                <c:ptCount val="7"/>
                <c:pt idx="0">
                  <c:v>306</c:v>
                </c:pt>
                <c:pt idx="1">
                  <c:v>86</c:v>
                </c:pt>
                <c:pt idx="2">
                  <c:v>33</c:v>
                </c:pt>
                <c:pt idx="3">
                  <c:v>38</c:v>
                </c:pt>
                <c:pt idx="4">
                  <c:v>23</c:v>
                </c:pt>
                <c:pt idx="5">
                  <c:v>25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99D-4F2A-B082-9A14F448C8E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DIARIO'!$F$45:$AC$45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DIARIO'!$F$46:$AC$46</c:f>
              <c:numCache>
                <c:formatCode>General</c:formatCode>
                <c:ptCount val="24"/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10</c:v>
                </c:pt>
                <c:pt idx="5">
                  <c:v>15</c:v>
                </c:pt>
                <c:pt idx="6">
                  <c:v>18</c:v>
                </c:pt>
                <c:pt idx="7">
                  <c:v>12</c:v>
                </c:pt>
                <c:pt idx="8">
                  <c:v>18</c:v>
                </c:pt>
                <c:pt idx="9">
                  <c:v>40</c:v>
                </c:pt>
                <c:pt idx="10">
                  <c:v>12</c:v>
                </c:pt>
                <c:pt idx="12">
                  <c:v>15</c:v>
                </c:pt>
                <c:pt idx="14">
                  <c:v>20</c:v>
                </c:pt>
                <c:pt idx="15">
                  <c:v>15</c:v>
                </c:pt>
                <c:pt idx="16">
                  <c:v>22</c:v>
                </c:pt>
                <c:pt idx="18">
                  <c:v>12</c:v>
                </c:pt>
                <c:pt idx="19">
                  <c:v>15</c:v>
                </c:pt>
                <c:pt idx="20">
                  <c:v>15</c:v>
                </c:pt>
                <c:pt idx="21">
                  <c:v>12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1-4459-9DB1-CA0EF42468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DIARIO'!$F$45:$AC$45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DIARIO'!$F$47:$AC$47</c:f>
              <c:numCache>
                <c:formatCode>General</c:formatCode>
                <c:ptCount val="24"/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8</c:v>
                </c:pt>
                <c:pt idx="10">
                  <c:v>4</c:v>
                </c:pt>
                <c:pt idx="11">
                  <c:v>7</c:v>
                </c:pt>
                <c:pt idx="12">
                  <c:v>8</c:v>
                </c:pt>
                <c:pt idx="15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A-4759-9A9F-F7C720C213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DIARIO'!$F$45:$AC$45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DIARIO'!$F$48:$AC$48</c:f>
              <c:numCache>
                <c:formatCode>General</c:formatCode>
                <c:ptCount val="24"/>
                <c:pt idx="5">
                  <c:v>4</c:v>
                </c:pt>
                <c:pt idx="7">
                  <c:v>4</c:v>
                </c:pt>
                <c:pt idx="9">
                  <c:v>2</c:v>
                </c:pt>
                <c:pt idx="11">
                  <c:v>2</c:v>
                </c:pt>
                <c:pt idx="13">
                  <c:v>6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3-4D44-ABE7-8D6B4E0F96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DIARIO'!$F$45:$AC$45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DIARIO'!$F$49:$AC$49</c:f>
              <c:numCache>
                <c:formatCode>General</c:formatCode>
                <c:ptCount val="24"/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10">
                  <c:v>2</c:v>
                </c:pt>
                <c:pt idx="13">
                  <c:v>2</c:v>
                </c:pt>
                <c:pt idx="15">
                  <c:v>4</c:v>
                </c:pt>
                <c:pt idx="17">
                  <c:v>4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3-462E-B13B-52359EEF0C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DIARIO'!$F$45:$AC$45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DIARIO'!$F$50:$AC$50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2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A-4C03-A30F-C79FBDD9EC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DIARIO'!$F$45:$AC$45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DIARIO'!$F$51:$AC$51</c:f>
              <c:numCache>
                <c:formatCode>General</c:formatCode>
                <c:ptCount val="24"/>
                <c:pt idx="7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2-405B-A857-C102C3A981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JUEVES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DIARIO'!$F$58:$AC$58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DIARIO'!$F$52:$AC$52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EC22-4C18-BF03-D72E000BBA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E66-4684-8513-DF48CFC853D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E66-4684-8513-DF48CFC853D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E66-4684-8513-DF48CFC853D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E66-4684-8513-DF48CFC853D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AE66-4684-8513-DF48CFC853D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AE66-4684-8513-DF48CFC853D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AE66-4684-8513-DF48CFC853DD}"/>
              </c:ext>
            </c:extLst>
          </c:dPt>
          <c:dLbls>
            <c:dLbl>
              <c:idx val="4"/>
              <c:layout>
                <c:manualLayout>
                  <c:x val="2.4336176727909012E-2"/>
                  <c:y val="5.5698454359871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66-4684-8513-DF48CFC853DD}"/>
                </c:ext>
              </c:extLst>
            </c:dLbl>
            <c:dLbl>
              <c:idx val="5"/>
              <c:layout>
                <c:manualLayout>
                  <c:x val="1.9832458442694715E-2"/>
                  <c:y val="8.8326771653543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66-4684-8513-DF48CFC853DD}"/>
                </c:ext>
              </c:extLst>
            </c:dLbl>
            <c:dLbl>
              <c:idx val="6"/>
              <c:layout>
                <c:manualLayout>
                  <c:x val="1.895406824146981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66-4684-8513-DF48CFC853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'TRAFICO DIARIO'!$AD$46:$AD$52</c:f>
              <c:numCache>
                <c:formatCode>General</c:formatCode>
                <c:ptCount val="7"/>
                <c:pt idx="0">
                  <c:v>268</c:v>
                </c:pt>
                <c:pt idx="1">
                  <c:v>59</c:v>
                </c:pt>
                <c:pt idx="2">
                  <c:v>35</c:v>
                </c:pt>
                <c:pt idx="3">
                  <c:v>29</c:v>
                </c:pt>
                <c:pt idx="4">
                  <c:v>14</c:v>
                </c:pt>
                <c:pt idx="5">
                  <c:v>12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E66-4684-8513-DF48CFC853D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DIARIO'!$F$58:$AC$58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DIARIO'!$F$59:$AC$59</c:f>
              <c:numCache>
                <c:formatCode>General</c:formatCode>
                <c:ptCount val="24"/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10</c:v>
                </c:pt>
                <c:pt idx="5">
                  <c:v>12</c:v>
                </c:pt>
                <c:pt idx="6">
                  <c:v>18</c:v>
                </c:pt>
                <c:pt idx="8">
                  <c:v>12</c:v>
                </c:pt>
                <c:pt idx="9">
                  <c:v>25</c:v>
                </c:pt>
                <c:pt idx="10">
                  <c:v>12</c:v>
                </c:pt>
                <c:pt idx="11">
                  <c:v>5</c:v>
                </c:pt>
                <c:pt idx="14">
                  <c:v>20</c:v>
                </c:pt>
                <c:pt idx="15">
                  <c:v>15</c:v>
                </c:pt>
                <c:pt idx="16">
                  <c:v>22</c:v>
                </c:pt>
                <c:pt idx="17">
                  <c:v>12</c:v>
                </c:pt>
                <c:pt idx="18">
                  <c:v>41</c:v>
                </c:pt>
                <c:pt idx="19">
                  <c:v>18</c:v>
                </c:pt>
                <c:pt idx="20">
                  <c:v>15</c:v>
                </c:pt>
                <c:pt idx="21">
                  <c:v>12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0-464F-BB98-4133E9CBEA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DIARIO'!$F$58:$AC$58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DIARIO'!$F$60:$AC$60</c:f>
              <c:numCache>
                <c:formatCode>General</c:formatCode>
                <c:ptCount val="24"/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8">
                  <c:v>6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4">
                  <c:v>9</c:v>
                </c:pt>
                <c:pt idx="15">
                  <c:v>4</c:v>
                </c:pt>
                <c:pt idx="17">
                  <c:v>4</c:v>
                </c:pt>
                <c:pt idx="18">
                  <c:v>7</c:v>
                </c:pt>
                <c:pt idx="2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C-4728-91E7-302C64A68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DIARIO'!$F$58:$AC$58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DIARIO'!$F$61:$AC$61</c:f>
              <c:numCache>
                <c:formatCode>General</c:formatCode>
                <c:ptCount val="24"/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10">
                  <c:v>2</c:v>
                </c:pt>
                <c:pt idx="13">
                  <c:v>2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7-414E-8628-9220201AEB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DIARIO'!$F$58:$AC$58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DIARIO'!$F$62:$AC$62</c:f>
              <c:numCache>
                <c:formatCode>General</c:formatCode>
                <c:ptCount val="24"/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9">
                  <c:v>7</c:v>
                </c:pt>
                <c:pt idx="12">
                  <c:v>3</c:v>
                </c:pt>
                <c:pt idx="14">
                  <c:v>3</c:v>
                </c:pt>
                <c:pt idx="15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1-4163-BB39-8721DF8C6B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DIARIO'!$F$63:$AC$63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4-47B8-AF84-C30C9E3A86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DIARIO'!$F$58:$AC$58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DIARIO'!$F$64:$AC$64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2">
                  <c:v>2</c:v>
                </c:pt>
                <c:pt idx="15">
                  <c:v>3</c:v>
                </c:pt>
                <c:pt idx="17">
                  <c:v>2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F-40D1-A16D-AD7EDAC57F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VIERNES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DIARIO'!$F$65:$AC$65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3D6C-4A3E-BDCB-32B34A99D6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E83-4E03-89B0-2BF0CA1DF54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E83-4E03-89B0-2BF0CA1DF54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E83-4E03-89B0-2BF0CA1DF54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E83-4E03-89B0-2BF0CA1DF54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E83-4E03-89B0-2BF0CA1DF54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1E83-4E03-89B0-2BF0CA1DF54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1E83-4E03-89B0-2BF0CA1DF54C}"/>
              </c:ext>
            </c:extLst>
          </c:dPt>
          <c:dLbls>
            <c:dLbl>
              <c:idx val="4"/>
              <c:layout>
                <c:manualLayout>
                  <c:x val="2.4336176727909012E-2"/>
                  <c:y val="5.5698454359871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83-4E03-89B0-2BF0CA1DF54C}"/>
                </c:ext>
              </c:extLst>
            </c:dLbl>
            <c:dLbl>
              <c:idx val="5"/>
              <c:layout>
                <c:manualLayout>
                  <c:x val="1.9832458442694715E-2"/>
                  <c:y val="8.8326771653543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83-4E03-89B0-2BF0CA1DF54C}"/>
                </c:ext>
              </c:extLst>
            </c:dLbl>
            <c:dLbl>
              <c:idx val="6"/>
              <c:layout>
                <c:manualLayout>
                  <c:x val="1.895406824146981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E83-4E03-89B0-2BF0CA1DF5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'TRAFICO DIARIO'!$AD$59:$AD$65</c:f>
              <c:numCache>
                <c:formatCode>General</c:formatCode>
                <c:ptCount val="7"/>
                <c:pt idx="0">
                  <c:v>272</c:v>
                </c:pt>
                <c:pt idx="1">
                  <c:v>80</c:v>
                </c:pt>
                <c:pt idx="2">
                  <c:v>35</c:v>
                </c:pt>
                <c:pt idx="3">
                  <c:v>41</c:v>
                </c:pt>
                <c:pt idx="4">
                  <c:v>15</c:v>
                </c:pt>
                <c:pt idx="5">
                  <c:v>16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E83-4E03-89B0-2BF0CA1DF54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DIARIO'!$F$72:$AC$72</c:f>
              <c:numCache>
                <c:formatCode>General</c:formatCode>
                <c:ptCount val="24"/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10</c:v>
                </c:pt>
                <c:pt idx="5">
                  <c:v>15</c:v>
                </c:pt>
                <c:pt idx="6">
                  <c:v>12</c:v>
                </c:pt>
                <c:pt idx="7">
                  <c:v>6</c:v>
                </c:pt>
                <c:pt idx="8">
                  <c:v>6</c:v>
                </c:pt>
                <c:pt idx="9">
                  <c:v>25</c:v>
                </c:pt>
                <c:pt idx="11">
                  <c:v>3</c:v>
                </c:pt>
                <c:pt idx="12">
                  <c:v>15</c:v>
                </c:pt>
                <c:pt idx="15">
                  <c:v>15</c:v>
                </c:pt>
                <c:pt idx="16">
                  <c:v>22</c:v>
                </c:pt>
                <c:pt idx="17">
                  <c:v>11</c:v>
                </c:pt>
                <c:pt idx="19">
                  <c:v>12</c:v>
                </c:pt>
                <c:pt idx="20">
                  <c:v>15</c:v>
                </c:pt>
                <c:pt idx="21">
                  <c:v>12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3-4A59-BDC7-CC46E187E8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DIARIO'!$F$73:$AC$73</c:f>
              <c:numCache>
                <c:formatCode>General</c:formatCode>
                <c:ptCount val="24"/>
                <c:pt idx="4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10">
                  <c:v>4</c:v>
                </c:pt>
                <c:pt idx="11">
                  <c:v>1</c:v>
                </c:pt>
                <c:pt idx="13">
                  <c:v>4</c:v>
                </c:pt>
                <c:pt idx="15">
                  <c:v>4</c:v>
                </c:pt>
                <c:pt idx="17">
                  <c:v>4</c:v>
                </c:pt>
                <c:pt idx="2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8-4856-8C2D-1294C6D1B1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DIARIO'!$F$74:$AC$74</c:f>
              <c:numCache>
                <c:formatCode>General</c:formatCode>
                <c:ptCount val="24"/>
                <c:pt idx="5">
                  <c:v>2</c:v>
                </c:pt>
                <c:pt idx="6">
                  <c:v>2</c:v>
                </c:pt>
                <c:pt idx="10">
                  <c:v>5</c:v>
                </c:pt>
                <c:pt idx="13">
                  <c:v>5</c:v>
                </c:pt>
                <c:pt idx="15">
                  <c:v>1</c:v>
                </c:pt>
                <c:pt idx="17">
                  <c:v>5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7-4828-89C1-674C106AC6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DIARIO'!$F$75:$AC$75</c:f>
              <c:numCache>
                <c:formatCode>General</c:formatCode>
                <c:ptCount val="24"/>
                <c:pt idx="5">
                  <c:v>5</c:v>
                </c:pt>
                <c:pt idx="7">
                  <c:v>3</c:v>
                </c:pt>
                <c:pt idx="9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7">
                  <c:v>4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4-45D4-9077-3B40276ED7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DIARIO'!$F$71:$AC$71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DIARIO'!$F$76:$AC$76</c:f>
              <c:numCache>
                <c:formatCode>General</c:formatCode>
                <c:ptCount val="24"/>
                <c:pt idx="8">
                  <c:v>1</c:v>
                </c:pt>
                <c:pt idx="10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3-4F8B-BF93-FB1EE70411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DIARIO'!$F$77:$AC$77</c:f>
              <c:numCache>
                <c:formatCode>General</c:formatCode>
                <c:ptCount val="24"/>
                <c:pt idx="7">
                  <c:v>1</c:v>
                </c:pt>
                <c:pt idx="12">
                  <c:v>1</c:v>
                </c:pt>
                <c:pt idx="13">
                  <c:v>1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F-49CC-A136-4EBD89213F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SABADO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DIARIO'!$F$78:$AC$78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3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E-471D-9E07-86A08C530C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84B-49B0-8BA3-CB8F7E9982B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84B-49B0-8BA3-CB8F7E9982B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84B-49B0-8BA3-CB8F7E9982B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84B-49B0-8BA3-CB8F7E9982B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84B-49B0-8BA3-CB8F7E9982B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84B-49B0-8BA3-CB8F7E9982B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D84B-49B0-8BA3-CB8F7E9982B1}"/>
              </c:ext>
            </c:extLst>
          </c:dPt>
          <c:dLbls>
            <c:dLbl>
              <c:idx val="4"/>
              <c:layout>
                <c:manualLayout>
                  <c:x val="2.4336176727909012E-2"/>
                  <c:y val="5.5698454359871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4B-49B0-8BA3-CB8F7E9982B1}"/>
                </c:ext>
              </c:extLst>
            </c:dLbl>
            <c:dLbl>
              <c:idx val="5"/>
              <c:layout>
                <c:manualLayout>
                  <c:x val="1.9832458442694715E-2"/>
                  <c:y val="8.8326771653543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84B-49B0-8BA3-CB8F7E9982B1}"/>
                </c:ext>
              </c:extLst>
            </c:dLbl>
            <c:dLbl>
              <c:idx val="6"/>
              <c:layout>
                <c:manualLayout>
                  <c:x val="1.895406824146981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84B-49B0-8BA3-CB8F7E9982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'TRAFICO DIARIO'!$AD$72:$AD$78</c:f>
              <c:numCache>
                <c:formatCode>General</c:formatCode>
                <c:ptCount val="7"/>
                <c:pt idx="0">
                  <c:v>202</c:v>
                </c:pt>
                <c:pt idx="1">
                  <c:v>42</c:v>
                </c:pt>
                <c:pt idx="2">
                  <c:v>27</c:v>
                </c:pt>
                <c:pt idx="3">
                  <c:v>30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84B-49B0-8BA3-CB8F7E9982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DIARIO'!$F$85:$AC$85</c:f>
              <c:numCache>
                <c:formatCode>General</c:formatCode>
                <c:ptCount val="24"/>
                <c:pt idx="1">
                  <c:v>5</c:v>
                </c:pt>
                <c:pt idx="3">
                  <c:v>3</c:v>
                </c:pt>
                <c:pt idx="4">
                  <c:v>8</c:v>
                </c:pt>
                <c:pt idx="5">
                  <c:v>15</c:v>
                </c:pt>
                <c:pt idx="6">
                  <c:v>12</c:v>
                </c:pt>
                <c:pt idx="8">
                  <c:v>14</c:v>
                </c:pt>
                <c:pt idx="9">
                  <c:v>25</c:v>
                </c:pt>
                <c:pt idx="11">
                  <c:v>5</c:v>
                </c:pt>
                <c:pt idx="14">
                  <c:v>24</c:v>
                </c:pt>
                <c:pt idx="16">
                  <c:v>23</c:v>
                </c:pt>
                <c:pt idx="17">
                  <c:v>30</c:v>
                </c:pt>
                <c:pt idx="18">
                  <c:v>12</c:v>
                </c:pt>
                <c:pt idx="19">
                  <c:v>15</c:v>
                </c:pt>
                <c:pt idx="20">
                  <c:v>15</c:v>
                </c:pt>
                <c:pt idx="21">
                  <c:v>12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A-43C7-BFD9-C2567162DE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DIARIO'!$F$86:$AC$86</c:f>
              <c:numCache>
                <c:formatCode>General</c:formatCode>
                <c:ptCount val="24"/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2">
                  <c:v>6</c:v>
                </c:pt>
                <c:pt idx="15">
                  <c:v>4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B-4634-A4CB-F8199A444F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DIARIO'!$F$87:$AC$87</c:f>
              <c:numCache>
                <c:formatCode>General</c:formatCode>
                <c:ptCount val="24"/>
                <c:pt idx="5">
                  <c:v>2</c:v>
                </c:pt>
                <c:pt idx="6">
                  <c:v>2</c:v>
                </c:pt>
                <c:pt idx="10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7-4F60-95BD-80D4CAF0C7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DIARIO'!$F$88:$AC$88</c:f>
              <c:numCache>
                <c:formatCode>General</c:formatCode>
                <c:ptCount val="24"/>
                <c:pt idx="5">
                  <c:v>1</c:v>
                </c:pt>
                <c:pt idx="8">
                  <c:v>2</c:v>
                </c:pt>
                <c:pt idx="11">
                  <c:v>3</c:v>
                </c:pt>
                <c:pt idx="13">
                  <c:v>3</c:v>
                </c:pt>
                <c:pt idx="17">
                  <c:v>4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2-4A37-AEFB-CB4C97F831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DIARIO'!$F$89:$AC$89</c:f>
              <c:numCache>
                <c:formatCode>General</c:formatCode>
                <c:ptCount val="24"/>
                <c:pt idx="8">
                  <c:v>1</c:v>
                </c:pt>
                <c:pt idx="10">
                  <c:v>1</c:v>
                </c:pt>
                <c:pt idx="15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6-4823-90CD-51F7043016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'TRAFICO DIARIO'!$F$84:$AC$84</c:f>
              <c:strCache>
                <c:ptCount val="2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  <c:pt idx="18">
                  <c:v>18-19</c:v>
                </c:pt>
                <c:pt idx="19">
                  <c:v>19-20</c:v>
                </c:pt>
                <c:pt idx="20">
                  <c:v>20-21</c:v>
                </c:pt>
                <c:pt idx="21">
                  <c:v>21-22</c:v>
                </c:pt>
                <c:pt idx="22">
                  <c:v>22-23</c:v>
                </c:pt>
                <c:pt idx="23">
                  <c:v>23-24</c:v>
                </c:pt>
              </c:strCache>
            </c:strRef>
          </c:cat>
          <c:val>
            <c:numRef>
              <c:f>'TRAFICO DIARIO'!$F$90:$AC$90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2</c:v>
                </c:pt>
                <c:pt idx="13">
                  <c:v>2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E-4405-90B1-010A0C617E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TRAFICO HORARIO DE DIA DOMINGO  </a:t>
            </a:r>
          </a:p>
          <a:p>
            <a:pPr>
              <a:defRPr/>
            </a:pPr>
            <a:r>
              <a:rPr lang="en-US"/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'TRAFICO DIARIO'!$F$91:$AC$91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C4D0-42EA-A367-10FCF7B827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82212912"/>
        <c:axId val="1082206680"/>
      </c:barChart>
      <c:catAx>
        <c:axId val="108221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06680"/>
        <c:crosses val="autoZero"/>
        <c:auto val="1"/>
        <c:lblAlgn val="ctr"/>
        <c:lblOffset val="100"/>
        <c:noMultiLvlLbl val="0"/>
      </c:catAx>
      <c:valAx>
        <c:axId val="1082206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2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 DIARIO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2AE-4228-85C5-E61859FA177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2AE-4228-85C5-E61859FA177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2AE-4228-85C5-E61859FA177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22AE-4228-85C5-E61859FA177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22AE-4228-85C5-E61859FA177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22AE-4228-85C5-E61859FA177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22AE-4228-85C5-E61859FA177B}"/>
              </c:ext>
            </c:extLst>
          </c:dPt>
          <c:dLbls>
            <c:dLbl>
              <c:idx val="4"/>
              <c:layout>
                <c:manualLayout>
                  <c:x val="2.4336176727909012E-2"/>
                  <c:y val="5.5698454359871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AE-4228-85C5-E61859FA177B}"/>
                </c:ext>
              </c:extLst>
            </c:dLbl>
            <c:dLbl>
              <c:idx val="5"/>
              <c:layout>
                <c:manualLayout>
                  <c:x val="1.9832458442694715E-2"/>
                  <c:y val="8.8326771653543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2AE-4228-85C5-E61859FA177B}"/>
                </c:ext>
              </c:extLst>
            </c:dLbl>
            <c:dLbl>
              <c:idx val="6"/>
              <c:layout>
                <c:manualLayout>
                  <c:x val="1.8954068241469817E-2"/>
                  <c:y val="7.4437882764654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2AE-4228-85C5-E61859FA17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'TRAFICO DIARIO'!$AD$85:$AD$91</c:f>
              <c:numCache>
                <c:formatCode>General</c:formatCode>
                <c:ptCount val="7"/>
                <c:pt idx="0">
                  <c:v>228</c:v>
                </c:pt>
                <c:pt idx="1">
                  <c:v>33</c:v>
                </c:pt>
                <c:pt idx="2">
                  <c:v>10</c:v>
                </c:pt>
                <c:pt idx="3">
                  <c:v>19</c:v>
                </c:pt>
                <c:pt idx="4">
                  <c:v>6</c:v>
                </c:pt>
                <c:pt idx="5">
                  <c:v>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2AE-4228-85C5-E61859FA177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1</a:t>
            </a:r>
            <a:endParaRPr lang="es-B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GRAFICAS!$BH$2:$BN$2</c:f>
              <c:numCache>
                <c:formatCode>General</c:formatCode>
                <c:ptCount val="7"/>
                <c:pt idx="0">
                  <c:v>381</c:v>
                </c:pt>
                <c:pt idx="1">
                  <c:v>340</c:v>
                </c:pt>
                <c:pt idx="2">
                  <c:v>354</c:v>
                </c:pt>
                <c:pt idx="3">
                  <c:v>409</c:v>
                </c:pt>
                <c:pt idx="4">
                  <c:v>409</c:v>
                </c:pt>
                <c:pt idx="5">
                  <c:v>362</c:v>
                </c:pt>
                <c:pt idx="6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F-4F0D-8438-226C20B969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2</a:t>
            </a:r>
            <a:endParaRPr lang="es-B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GRAFICAS!$BH$3:$BN$3</c:f>
              <c:numCache>
                <c:formatCode>General</c:formatCode>
                <c:ptCount val="7"/>
                <c:pt idx="0">
                  <c:v>62</c:v>
                </c:pt>
                <c:pt idx="1">
                  <c:v>57</c:v>
                </c:pt>
                <c:pt idx="2">
                  <c:v>46</c:v>
                </c:pt>
                <c:pt idx="3">
                  <c:v>55</c:v>
                </c:pt>
                <c:pt idx="4">
                  <c:v>61</c:v>
                </c:pt>
                <c:pt idx="5">
                  <c:v>37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F-405B-93F0-C771FE718A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3</a:t>
            </a:r>
            <a:endParaRPr lang="es-B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GRAFICAS!$BH$4:$BN$4</c:f>
              <c:numCache>
                <c:formatCode>General</c:formatCode>
                <c:ptCount val="7"/>
                <c:pt idx="0">
                  <c:v>22</c:v>
                </c:pt>
                <c:pt idx="1">
                  <c:v>14</c:v>
                </c:pt>
                <c:pt idx="2">
                  <c:v>10</c:v>
                </c:pt>
                <c:pt idx="3">
                  <c:v>28</c:v>
                </c:pt>
                <c:pt idx="4">
                  <c:v>22</c:v>
                </c:pt>
                <c:pt idx="5">
                  <c:v>24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6-416D-AF40-E1B53278F3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4</a:t>
            </a:r>
            <a:endParaRPr lang="es-B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GRAFICAS!$BH$5:$BN$5</c:f>
              <c:numCache>
                <c:formatCode>General</c:formatCode>
                <c:ptCount val="7"/>
                <c:pt idx="0">
                  <c:v>29</c:v>
                </c:pt>
                <c:pt idx="1">
                  <c:v>31</c:v>
                </c:pt>
                <c:pt idx="2">
                  <c:v>22</c:v>
                </c:pt>
                <c:pt idx="3">
                  <c:v>25</c:v>
                </c:pt>
                <c:pt idx="4">
                  <c:v>26</c:v>
                </c:pt>
                <c:pt idx="5">
                  <c:v>22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5-4F08-9C53-090E140B72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5</a:t>
            </a:r>
            <a:endParaRPr lang="es-B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GRAFICAS!$BH$6:$BN$6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4-4725-8F47-47F85DF9C2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6</a:t>
            </a:r>
            <a:endParaRPr lang="es-B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GRAFICAS!$BH$7:$BN$7</c:f>
              <c:numCache>
                <c:formatCode>General</c:formatCode>
                <c:ptCount val="7"/>
                <c:pt idx="0">
                  <c:v>9</c:v>
                </c:pt>
                <c:pt idx="1">
                  <c:v>7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2-4CAA-AD97-8B05348C98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TRAFICO SEMANAL  </a:t>
            </a:r>
            <a:endParaRPr lang="es-BO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TIPO DE VEHICULO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GRAFICAS!$BH$8:$BN$8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9-4E54-A09D-27A5BCAB80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4986328"/>
        <c:axId val="1254984360"/>
      </c:barChart>
      <c:catAx>
        <c:axId val="12549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4984360"/>
        <c:crosses val="autoZero"/>
        <c:auto val="1"/>
        <c:lblAlgn val="ctr"/>
        <c:lblOffset val="100"/>
        <c:noMultiLvlLbl val="0"/>
      </c:catAx>
      <c:valAx>
        <c:axId val="1254984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98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BO"/>
              <a:t>Trafico</a:t>
            </a:r>
            <a:r>
              <a:rPr lang="es-BO" baseline="0"/>
              <a:t> semanal de todos los vehiculos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CE5-4C54-9006-4EFC02B479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CE5-4C54-9006-4EFC02B4797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CE5-4C54-9006-4EFC02B4797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CE5-4C54-9006-4EFC02B4797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CE5-4C54-9006-4EFC02B4797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CE5-4C54-9006-4EFC02B4797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DCE5-4C54-9006-4EFC02B479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GRAFICAS!$BH$1:$BN$1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GRAFICAS!$BH$9:$BN$9</c:f>
              <c:numCache>
                <c:formatCode>General</c:formatCode>
                <c:ptCount val="7"/>
                <c:pt idx="0">
                  <c:v>514</c:v>
                </c:pt>
                <c:pt idx="1">
                  <c:v>460</c:v>
                </c:pt>
                <c:pt idx="2">
                  <c:v>444</c:v>
                </c:pt>
                <c:pt idx="3">
                  <c:v>534</c:v>
                </c:pt>
                <c:pt idx="4">
                  <c:v>530</c:v>
                </c:pt>
                <c:pt idx="5">
                  <c:v>452</c:v>
                </c:pt>
                <c:pt idx="6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4-4E49-8F29-1B7D090477A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Vehiculo que tiene mayor incidencia en el calculo de ESALS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DIARIO'!$C$7:$C$13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'CALCULO DE ESALs'!$R$6:$R$12</c:f>
              <c:numCache>
                <c:formatCode>General</c:formatCode>
                <c:ptCount val="7"/>
                <c:pt idx="0">
                  <c:v>12.333087291043579</c:v>
                </c:pt>
                <c:pt idx="1">
                  <c:v>6967.4688437166178</c:v>
                </c:pt>
                <c:pt idx="2">
                  <c:v>3951.3610855518232</c:v>
                </c:pt>
                <c:pt idx="3">
                  <c:v>6118.7348958056227</c:v>
                </c:pt>
                <c:pt idx="4">
                  <c:v>2986.9235962891717</c:v>
                </c:pt>
                <c:pt idx="5">
                  <c:v>3809.2428032630205</c:v>
                </c:pt>
                <c:pt idx="6">
                  <c:v>148.66200950450622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6-4A44-9CCF-DD0290C081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322686752"/>
        <c:axId val="1322688392"/>
        <c:axId val="1370129160"/>
      </c:bar3DChart>
      <c:catAx>
        <c:axId val="132268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22688392"/>
        <c:crosses val="autoZero"/>
        <c:auto val="1"/>
        <c:lblAlgn val="ctr"/>
        <c:lblOffset val="100"/>
        <c:noMultiLvlLbl val="0"/>
      </c:catAx>
      <c:valAx>
        <c:axId val="132268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22686752"/>
        <c:crosses val="autoZero"/>
        <c:crossBetween val="between"/>
      </c:valAx>
      <c:serAx>
        <c:axId val="137012916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22688392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Vehiculo que tiene mayor incidencia en el calculo de ESALS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'TRAFICO DIARIO'!$C$7:$C$13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'CALCULO DE ESALs'!$R$6:$R$12</c:f>
              <c:numCache>
                <c:formatCode>General</c:formatCode>
                <c:ptCount val="7"/>
                <c:pt idx="0">
                  <c:v>12.333087291043579</c:v>
                </c:pt>
                <c:pt idx="1">
                  <c:v>6967.4688437166178</c:v>
                </c:pt>
                <c:pt idx="2">
                  <c:v>3951.3610855518232</c:v>
                </c:pt>
                <c:pt idx="3">
                  <c:v>6118.7348958056227</c:v>
                </c:pt>
                <c:pt idx="4">
                  <c:v>2986.9235962891717</c:v>
                </c:pt>
                <c:pt idx="5">
                  <c:v>3809.2428032630205</c:v>
                </c:pt>
                <c:pt idx="6">
                  <c:v>148.66200950450622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D-4E81-9B9B-AE9B1F2FED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322686752"/>
        <c:axId val="1322688392"/>
        <c:axId val="1370129160"/>
      </c:bar3DChart>
      <c:catAx>
        <c:axId val="132268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22688392"/>
        <c:crosses val="autoZero"/>
        <c:auto val="1"/>
        <c:lblAlgn val="ctr"/>
        <c:lblOffset val="100"/>
        <c:noMultiLvlLbl val="0"/>
      </c:catAx>
      <c:valAx>
        <c:axId val="132268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22686752"/>
        <c:crosses val="autoZero"/>
        <c:crossBetween val="between"/>
      </c:valAx>
      <c:serAx>
        <c:axId val="137012916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22688392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eg"/><Relationship Id="rId18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chart" Target="../charts/chart4.xml"/><Relationship Id="rId2" Type="http://schemas.openxmlformats.org/officeDocument/2006/relationships/image" Target="../media/image2.png"/><Relationship Id="rId16" Type="http://schemas.openxmlformats.org/officeDocument/2006/relationships/chart" Target="../charts/chart3.xml"/><Relationship Id="rId20" Type="http://schemas.openxmlformats.org/officeDocument/2006/relationships/chart" Target="../charts/chart7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2.xml"/><Relationship Id="rId10" Type="http://schemas.openxmlformats.org/officeDocument/2006/relationships/image" Target="../media/image10.png"/><Relationship Id="rId19" Type="http://schemas.openxmlformats.org/officeDocument/2006/relationships/chart" Target="../charts/chart6.xml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.png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76" Type="http://schemas.openxmlformats.org/officeDocument/2006/relationships/image" Target="../media/image17.png"/><Relationship Id="rId7" Type="http://schemas.openxmlformats.org/officeDocument/2006/relationships/chart" Target="../charts/chart14.xml"/><Relationship Id="rId71" Type="http://schemas.openxmlformats.org/officeDocument/2006/relationships/chart" Target="../charts/chart71.xml"/><Relationship Id="rId2" Type="http://schemas.openxmlformats.org/officeDocument/2006/relationships/chart" Target="../charts/chart9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image" Target="../media/image4.emf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74" Type="http://schemas.openxmlformats.org/officeDocument/2006/relationships/image" Target="../media/image15.jpeg"/><Relationship Id="rId5" Type="http://schemas.openxmlformats.org/officeDocument/2006/relationships/chart" Target="../charts/chart12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61" Type="http://schemas.openxmlformats.org/officeDocument/2006/relationships/chart" Target="../charts/chart61.xml"/><Relationship Id="rId10" Type="http://schemas.openxmlformats.org/officeDocument/2006/relationships/image" Target="../media/image13.jpeg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image" Target="../media/image14.jpeg"/><Relationship Id="rId4" Type="http://schemas.openxmlformats.org/officeDocument/2006/relationships/chart" Target="../charts/chart11.xml"/><Relationship Id="rId9" Type="http://schemas.openxmlformats.org/officeDocument/2006/relationships/image" Target="../media/image11.jpeg"/><Relationship Id="rId14" Type="http://schemas.openxmlformats.org/officeDocument/2006/relationships/image" Target="../media/image7.png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image" Target="../media/image9.jpeg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3" Type="http://schemas.openxmlformats.org/officeDocument/2006/relationships/chart" Target="../charts/chart10.xml"/><Relationship Id="rId12" Type="http://schemas.openxmlformats.org/officeDocument/2006/relationships/image" Target="../media/image5.emf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image" Target="../media/image16.jpeg"/><Relationship Id="rId1" Type="http://schemas.openxmlformats.org/officeDocument/2006/relationships/chart" Target="../charts/chart8.xml"/><Relationship Id="rId6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image" Target="../media/image18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8.emf"/><Relationship Id="rId18" Type="http://schemas.openxmlformats.org/officeDocument/2006/relationships/image" Target="../media/image16.jpeg"/><Relationship Id="rId3" Type="http://schemas.openxmlformats.org/officeDocument/2006/relationships/image" Target="../media/image4.emf"/><Relationship Id="rId21" Type="http://schemas.openxmlformats.org/officeDocument/2006/relationships/image" Target="../media/image23.jpeg"/><Relationship Id="rId7" Type="http://schemas.openxmlformats.org/officeDocument/2006/relationships/image" Target="../media/image8.jpg"/><Relationship Id="rId12" Type="http://schemas.openxmlformats.org/officeDocument/2006/relationships/image" Target="../media/image13.jpeg"/><Relationship Id="rId17" Type="http://schemas.openxmlformats.org/officeDocument/2006/relationships/image" Target="../media/image15.jpeg"/><Relationship Id="rId2" Type="http://schemas.openxmlformats.org/officeDocument/2006/relationships/image" Target="../media/image3.png"/><Relationship Id="rId16" Type="http://schemas.openxmlformats.org/officeDocument/2006/relationships/image" Target="../media/image20.jpeg"/><Relationship Id="rId20" Type="http://schemas.openxmlformats.org/officeDocument/2006/relationships/image" Target="../media/image22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chart" Target="../charts/chart73.xml"/><Relationship Id="rId10" Type="http://schemas.openxmlformats.org/officeDocument/2006/relationships/image" Target="../media/image11.jpeg"/><Relationship Id="rId19" Type="http://schemas.openxmlformats.org/officeDocument/2006/relationships/image" Target="../media/image21.png"/><Relationship Id="rId4" Type="http://schemas.openxmlformats.org/officeDocument/2006/relationships/image" Target="../media/image5.emf"/><Relationship Id="rId9" Type="http://schemas.openxmlformats.org/officeDocument/2006/relationships/image" Target="../media/image10.png"/><Relationship Id="rId14" Type="http://schemas.openxmlformats.org/officeDocument/2006/relationships/image" Target="../media/image19.png"/><Relationship Id="rId22" Type="http://schemas.openxmlformats.org/officeDocument/2006/relationships/image" Target="../media/image2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2" Type="http://schemas.openxmlformats.org/officeDocument/2006/relationships/image" Target="../media/image26.png"/><Relationship Id="rId1" Type="http://schemas.openxmlformats.org/officeDocument/2006/relationships/image" Target="../media/image25.jpe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5" Type="http://schemas.openxmlformats.org/officeDocument/2006/relationships/image" Target="../media/image29.png"/><Relationship Id="rId10" Type="http://schemas.openxmlformats.org/officeDocument/2006/relationships/image" Target="../media/image34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373601</xdr:rowOff>
    </xdr:from>
    <xdr:to>
      <xdr:col>3</xdr:col>
      <xdr:colOff>640080</xdr:colOff>
      <xdr:row>7</xdr:row>
      <xdr:rowOff>375237</xdr:rowOff>
    </xdr:to>
    <xdr:pic>
      <xdr:nvPicPr>
        <xdr:cNvPr id="22" name="21 Imagen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" y="4396961"/>
          <a:ext cx="640080" cy="1636"/>
        </a:xfrm>
        <a:prstGeom prst="rect">
          <a:avLst/>
        </a:prstGeom>
      </xdr:spPr>
    </xdr:pic>
    <xdr:clientData/>
  </xdr:twoCellAnchor>
  <xdr:twoCellAnchor editAs="oneCell">
    <xdr:from>
      <xdr:col>3</xdr:col>
      <xdr:colOff>370030</xdr:colOff>
      <xdr:row>7</xdr:row>
      <xdr:rowOff>100367</xdr:rowOff>
    </xdr:from>
    <xdr:to>
      <xdr:col>3</xdr:col>
      <xdr:colOff>1669968</xdr:colOff>
      <xdr:row>7</xdr:row>
      <xdr:rowOff>1299713</xdr:rowOff>
    </xdr:to>
    <xdr:pic>
      <xdr:nvPicPr>
        <xdr:cNvPr id="23" name="22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56030" y="3183003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124641</xdr:colOff>
      <xdr:row>9</xdr:row>
      <xdr:rowOff>155121</xdr:rowOff>
    </xdr:from>
    <xdr:to>
      <xdr:col>3</xdr:col>
      <xdr:colOff>1306284</xdr:colOff>
      <xdr:row>9</xdr:row>
      <xdr:rowOff>1260022</xdr:rowOff>
    </xdr:to>
    <xdr:pic>
      <xdr:nvPicPr>
        <xdr:cNvPr id="25" name="24 Imagen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5298621"/>
          <a:ext cx="1181643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149677</xdr:colOff>
      <xdr:row>9</xdr:row>
      <xdr:rowOff>217715</xdr:rowOff>
    </xdr:from>
    <xdr:to>
      <xdr:col>4</xdr:col>
      <xdr:colOff>2832552</xdr:colOff>
      <xdr:row>9</xdr:row>
      <xdr:rowOff>989240</xdr:rowOff>
    </xdr:to>
    <xdr:pic>
      <xdr:nvPicPr>
        <xdr:cNvPr id="2" name="Picture 55">
          <a:extLst>
            <a:ext uri="{FF2B5EF4-FFF2-40B4-BE49-F238E27FC236}">
              <a16:creationId xmlns:a16="http://schemas.microsoft.com/office/drawing/2014/main" id="{6109FACD-9B89-42CA-B2C6-3D3823F8C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5361215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299357</xdr:colOff>
      <xdr:row>10</xdr:row>
      <xdr:rowOff>244929</xdr:rowOff>
    </xdr:from>
    <xdr:to>
      <xdr:col>4</xdr:col>
      <xdr:colOff>2849789</xdr:colOff>
      <xdr:row>10</xdr:row>
      <xdr:rowOff>1149804</xdr:rowOff>
    </xdr:to>
    <xdr:pic>
      <xdr:nvPicPr>
        <xdr:cNvPr id="3" name="Picture 58">
          <a:extLst>
            <a:ext uri="{FF2B5EF4-FFF2-40B4-BE49-F238E27FC236}">
              <a16:creationId xmlns:a16="http://schemas.microsoft.com/office/drawing/2014/main" id="{91E13BD2-BB63-4A88-A5E6-170C25AF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6721929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517071</xdr:colOff>
      <xdr:row>11</xdr:row>
      <xdr:rowOff>108857</xdr:rowOff>
    </xdr:from>
    <xdr:to>
      <xdr:col>4</xdr:col>
      <xdr:colOff>2544535</xdr:colOff>
      <xdr:row>11</xdr:row>
      <xdr:rowOff>1258056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15768E-F019-8FA6-F4E2-6253F65F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7919357"/>
          <a:ext cx="4014107" cy="1149199"/>
        </a:xfrm>
        <a:prstGeom prst="rect">
          <a:avLst/>
        </a:prstGeom>
      </xdr:spPr>
    </xdr:pic>
    <xdr:clientData/>
  </xdr:twoCellAnchor>
  <xdr:twoCellAnchor editAs="oneCell">
    <xdr:from>
      <xdr:col>3</xdr:col>
      <xdr:colOff>1061359</xdr:colOff>
      <xdr:row>12</xdr:row>
      <xdr:rowOff>9385</xdr:rowOff>
    </xdr:from>
    <xdr:to>
      <xdr:col>4</xdr:col>
      <xdr:colOff>1986644</xdr:colOff>
      <xdr:row>13</xdr:row>
      <xdr:rowOff>1</xdr:rowOff>
    </xdr:to>
    <xdr:pic>
      <xdr:nvPicPr>
        <xdr:cNvPr id="5" name="Imagen 4" descr="Camión de 5 ejes en formato PSD, descarga gratuita">
          <a:extLst>
            <a:ext uri="{FF2B5EF4-FFF2-40B4-BE49-F238E27FC236}">
              <a16:creationId xmlns:a16="http://schemas.microsoft.com/office/drawing/2014/main" id="{B0915B11-39D9-7355-3E38-1329D54756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9153385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367395</xdr:colOff>
      <xdr:row>8</xdr:row>
      <xdr:rowOff>183243</xdr:rowOff>
    </xdr:from>
    <xdr:to>
      <xdr:col>4</xdr:col>
      <xdr:colOff>2</xdr:colOff>
      <xdr:row>8</xdr:row>
      <xdr:rowOff>1262743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D3659FD-68FB-EAEB-982B-030D67B46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3993243"/>
          <a:ext cx="1619250" cy="1079500"/>
        </a:xfrm>
        <a:prstGeom prst="rect">
          <a:avLst/>
        </a:prstGeom>
      </xdr:spPr>
    </xdr:pic>
    <xdr:clientData/>
  </xdr:twoCellAnchor>
  <xdr:twoCellAnchor editAs="oneCell">
    <xdr:from>
      <xdr:col>4</xdr:col>
      <xdr:colOff>1456287</xdr:colOff>
      <xdr:row>6</xdr:row>
      <xdr:rowOff>67238</xdr:rowOff>
    </xdr:from>
    <xdr:to>
      <xdr:col>4</xdr:col>
      <xdr:colOff>2952751</xdr:colOff>
      <xdr:row>6</xdr:row>
      <xdr:rowOff>1189586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2777CEA-F429-25AA-A1C2-AB44E0274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1210238"/>
          <a:ext cx="1496464" cy="1122348"/>
        </a:xfrm>
        <a:prstGeom prst="rect">
          <a:avLst/>
        </a:prstGeom>
      </xdr:spPr>
    </xdr:pic>
    <xdr:clientData/>
  </xdr:twoCellAnchor>
  <xdr:twoCellAnchor editAs="oneCell">
    <xdr:from>
      <xdr:col>3</xdr:col>
      <xdr:colOff>1755964</xdr:colOff>
      <xdr:row>6</xdr:row>
      <xdr:rowOff>367394</xdr:rowOff>
    </xdr:from>
    <xdr:to>
      <xdr:col>4</xdr:col>
      <xdr:colOff>1338149</xdr:colOff>
      <xdr:row>6</xdr:row>
      <xdr:rowOff>1151808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B61A09E-46B1-A056-67AC-C5D4FE65C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1510394"/>
          <a:ext cx="1568828" cy="784414"/>
        </a:xfrm>
        <a:prstGeom prst="rect">
          <a:avLst/>
        </a:prstGeom>
      </xdr:spPr>
    </xdr:pic>
    <xdr:clientData/>
  </xdr:twoCellAnchor>
  <xdr:twoCellAnchor editAs="oneCell">
    <xdr:from>
      <xdr:col>4</xdr:col>
      <xdr:colOff>545250</xdr:colOff>
      <xdr:row>7</xdr:row>
      <xdr:rowOff>140999</xdr:rowOff>
    </xdr:from>
    <xdr:to>
      <xdr:col>4</xdr:col>
      <xdr:colOff>2519559</xdr:colOff>
      <xdr:row>7</xdr:row>
      <xdr:rowOff>1292679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6E88F4C-DD64-B79B-D205-A64CB4E1F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2617499"/>
          <a:ext cx="1974309" cy="1151680"/>
        </a:xfrm>
        <a:prstGeom prst="rect">
          <a:avLst/>
        </a:prstGeom>
      </xdr:spPr>
    </xdr:pic>
    <xdr:clientData/>
  </xdr:twoCellAnchor>
  <xdr:twoCellAnchor editAs="oneCell">
    <xdr:from>
      <xdr:col>2</xdr:col>
      <xdr:colOff>680358</xdr:colOff>
      <xdr:row>6</xdr:row>
      <xdr:rowOff>147392</xdr:rowOff>
    </xdr:from>
    <xdr:to>
      <xdr:col>3</xdr:col>
      <xdr:colOff>1673679</xdr:colOff>
      <xdr:row>6</xdr:row>
      <xdr:rowOff>1134760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319D3A1-27E5-22E4-EB2D-31C2F7C4E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1896528"/>
          <a:ext cx="1755321" cy="987368"/>
        </a:xfrm>
        <a:prstGeom prst="rect">
          <a:avLst/>
        </a:prstGeom>
      </xdr:spPr>
    </xdr:pic>
    <xdr:clientData/>
  </xdr:twoCellAnchor>
  <xdr:twoCellAnchor editAs="oneCell">
    <xdr:from>
      <xdr:col>4</xdr:col>
      <xdr:colOff>709177</xdr:colOff>
      <xdr:row>8</xdr:row>
      <xdr:rowOff>77380</xdr:rowOff>
    </xdr:from>
    <xdr:to>
      <xdr:col>4</xdr:col>
      <xdr:colOff>2775857</xdr:colOff>
      <xdr:row>8</xdr:row>
      <xdr:rowOff>1282943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4C128BD-9CC6-A2F3-8BF3-8570BE213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4295594"/>
          <a:ext cx="2066680" cy="1205563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20</xdr:row>
      <xdr:rowOff>373601</xdr:rowOff>
    </xdr:from>
    <xdr:ext cx="640080" cy="1636"/>
    <xdr:pic>
      <xdr:nvPicPr>
        <xdr:cNvPr id="84" name="21 Imagen">
          <a:extLst>
            <a:ext uri="{FF2B5EF4-FFF2-40B4-BE49-F238E27FC236}">
              <a16:creationId xmlns:a16="http://schemas.microsoft.com/office/drawing/2014/main" id="{F27FBFA6-4EF3-487E-BA96-27207EA3B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3367172"/>
          <a:ext cx="640080" cy="1636"/>
        </a:xfrm>
        <a:prstGeom prst="rect">
          <a:avLst/>
        </a:prstGeom>
      </xdr:spPr>
    </xdr:pic>
    <xdr:clientData/>
  </xdr:oneCellAnchor>
  <xdr:oneCellAnchor>
    <xdr:from>
      <xdr:col>3</xdr:col>
      <xdr:colOff>387348</xdr:colOff>
      <xdr:row>20</xdr:row>
      <xdr:rowOff>117686</xdr:rowOff>
    </xdr:from>
    <xdr:ext cx="1299938" cy="1199346"/>
    <xdr:pic>
      <xdr:nvPicPr>
        <xdr:cNvPr id="85" name="22 Imagen">
          <a:extLst>
            <a:ext uri="{FF2B5EF4-FFF2-40B4-BE49-F238E27FC236}">
              <a16:creationId xmlns:a16="http://schemas.microsoft.com/office/drawing/2014/main" id="{6F978EFC-279B-4C2A-B4D1-A52E0C4FFC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3111257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124641</xdr:colOff>
      <xdr:row>22</xdr:row>
      <xdr:rowOff>155121</xdr:rowOff>
    </xdr:from>
    <xdr:ext cx="1181643" cy="1104901"/>
    <xdr:pic>
      <xdr:nvPicPr>
        <xdr:cNvPr id="86" name="24 Imagen">
          <a:extLst>
            <a:ext uri="{FF2B5EF4-FFF2-40B4-BE49-F238E27FC236}">
              <a16:creationId xmlns:a16="http://schemas.microsoft.com/office/drawing/2014/main" id="{AD19F464-271F-4EF4-B386-115B0BF2C0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5815692"/>
          <a:ext cx="1181643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4</xdr:col>
      <xdr:colOff>149677</xdr:colOff>
      <xdr:row>22</xdr:row>
      <xdr:rowOff>217715</xdr:rowOff>
    </xdr:from>
    <xdr:ext cx="2682875" cy="771525"/>
    <xdr:pic>
      <xdr:nvPicPr>
        <xdr:cNvPr id="87" name="Picture 55">
          <a:extLst>
            <a:ext uri="{FF2B5EF4-FFF2-40B4-BE49-F238E27FC236}">
              <a16:creationId xmlns:a16="http://schemas.microsoft.com/office/drawing/2014/main" id="{ABB52390-BB61-4097-98F6-8BF995671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5878286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299357</xdr:colOff>
      <xdr:row>23</xdr:row>
      <xdr:rowOff>244929</xdr:rowOff>
    </xdr:from>
    <xdr:ext cx="4537075" cy="904875"/>
    <xdr:pic>
      <xdr:nvPicPr>
        <xdr:cNvPr id="88" name="Picture 58">
          <a:extLst>
            <a:ext uri="{FF2B5EF4-FFF2-40B4-BE49-F238E27FC236}">
              <a16:creationId xmlns:a16="http://schemas.microsoft.com/office/drawing/2014/main" id="{F6529256-B9A0-447F-AF6E-C402BC19A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7239000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517071</xdr:colOff>
      <xdr:row>24</xdr:row>
      <xdr:rowOff>108857</xdr:rowOff>
    </xdr:from>
    <xdr:ext cx="4014107" cy="1149199"/>
    <xdr:pic>
      <xdr:nvPicPr>
        <xdr:cNvPr id="89" name="Imagen 88">
          <a:extLst>
            <a:ext uri="{FF2B5EF4-FFF2-40B4-BE49-F238E27FC236}">
              <a16:creationId xmlns:a16="http://schemas.microsoft.com/office/drawing/2014/main" id="{BE2C38FE-90EE-4D45-BD01-CED8ABE8D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8436428"/>
          <a:ext cx="4014107" cy="1149199"/>
        </a:xfrm>
        <a:prstGeom prst="rect">
          <a:avLst/>
        </a:prstGeom>
      </xdr:spPr>
    </xdr:pic>
    <xdr:clientData/>
  </xdr:oneCellAnchor>
  <xdr:oneCellAnchor>
    <xdr:from>
      <xdr:col>3</xdr:col>
      <xdr:colOff>1061359</xdr:colOff>
      <xdr:row>25</xdr:row>
      <xdr:rowOff>9385</xdr:rowOff>
    </xdr:from>
    <xdr:ext cx="2911928" cy="1324116"/>
    <xdr:pic>
      <xdr:nvPicPr>
        <xdr:cNvPr id="90" name="Imagen 89" descr="Camión de 5 ejes en formato PSD, descarga gratuita">
          <a:extLst>
            <a:ext uri="{FF2B5EF4-FFF2-40B4-BE49-F238E27FC236}">
              <a16:creationId xmlns:a16="http://schemas.microsoft.com/office/drawing/2014/main" id="{75452B9A-7E19-4F93-A10B-5C40059F59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9670456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367395</xdr:colOff>
      <xdr:row>21</xdr:row>
      <xdr:rowOff>183243</xdr:rowOff>
    </xdr:from>
    <xdr:ext cx="1619250" cy="1079500"/>
    <xdr:pic>
      <xdr:nvPicPr>
        <xdr:cNvPr id="91" name="Imagen 90">
          <a:extLst>
            <a:ext uri="{FF2B5EF4-FFF2-40B4-BE49-F238E27FC236}">
              <a16:creationId xmlns:a16="http://schemas.microsoft.com/office/drawing/2014/main" id="{B139B172-7A5D-416A-9157-1AF9BD486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4510314"/>
          <a:ext cx="1619250" cy="1079500"/>
        </a:xfrm>
        <a:prstGeom prst="rect">
          <a:avLst/>
        </a:prstGeom>
      </xdr:spPr>
    </xdr:pic>
    <xdr:clientData/>
  </xdr:oneCellAnchor>
  <xdr:oneCellAnchor>
    <xdr:from>
      <xdr:col>4</xdr:col>
      <xdr:colOff>1456287</xdr:colOff>
      <xdr:row>19</xdr:row>
      <xdr:rowOff>67238</xdr:rowOff>
    </xdr:from>
    <xdr:ext cx="1496464" cy="1122348"/>
    <xdr:pic>
      <xdr:nvPicPr>
        <xdr:cNvPr id="92" name="Imagen 91">
          <a:extLst>
            <a:ext uri="{FF2B5EF4-FFF2-40B4-BE49-F238E27FC236}">
              <a16:creationId xmlns:a16="http://schemas.microsoft.com/office/drawing/2014/main" id="{1E52096B-EA69-41FA-B60E-96266B395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1727309"/>
          <a:ext cx="1496464" cy="1122348"/>
        </a:xfrm>
        <a:prstGeom prst="rect">
          <a:avLst/>
        </a:prstGeom>
      </xdr:spPr>
    </xdr:pic>
    <xdr:clientData/>
  </xdr:oneCellAnchor>
  <xdr:oneCellAnchor>
    <xdr:from>
      <xdr:col>3</xdr:col>
      <xdr:colOff>1755964</xdr:colOff>
      <xdr:row>19</xdr:row>
      <xdr:rowOff>367394</xdr:rowOff>
    </xdr:from>
    <xdr:ext cx="1568828" cy="784414"/>
    <xdr:pic>
      <xdr:nvPicPr>
        <xdr:cNvPr id="93" name="Imagen 92">
          <a:extLst>
            <a:ext uri="{FF2B5EF4-FFF2-40B4-BE49-F238E27FC236}">
              <a16:creationId xmlns:a16="http://schemas.microsoft.com/office/drawing/2014/main" id="{0BA47CE3-18AA-4FF9-AB37-AC8B7ABD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2027465"/>
          <a:ext cx="1568828" cy="784414"/>
        </a:xfrm>
        <a:prstGeom prst="rect">
          <a:avLst/>
        </a:prstGeom>
      </xdr:spPr>
    </xdr:pic>
    <xdr:clientData/>
  </xdr:oneCellAnchor>
  <xdr:oneCellAnchor>
    <xdr:from>
      <xdr:col>4</xdr:col>
      <xdr:colOff>545250</xdr:colOff>
      <xdr:row>20</xdr:row>
      <xdr:rowOff>140999</xdr:rowOff>
    </xdr:from>
    <xdr:ext cx="1974309" cy="1151680"/>
    <xdr:pic>
      <xdr:nvPicPr>
        <xdr:cNvPr id="94" name="Imagen 93">
          <a:extLst>
            <a:ext uri="{FF2B5EF4-FFF2-40B4-BE49-F238E27FC236}">
              <a16:creationId xmlns:a16="http://schemas.microsoft.com/office/drawing/2014/main" id="{203A6319-0B67-4D00-8B4B-194962D3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3134570"/>
          <a:ext cx="1974309" cy="1151680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19</xdr:row>
      <xdr:rowOff>147392</xdr:rowOff>
    </xdr:from>
    <xdr:ext cx="1755321" cy="987368"/>
    <xdr:pic>
      <xdr:nvPicPr>
        <xdr:cNvPr id="95" name="Imagen 94">
          <a:extLst>
            <a:ext uri="{FF2B5EF4-FFF2-40B4-BE49-F238E27FC236}">
              <a16:creationId xmlns:a16="http://schemas.microsoft.com/office/drawing/2014/main" id="{62C62133-3BF7-4451-B426-979C0AED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1807463"/>
          <a:ext cx="1755321" cy="987368"/>
        </a:xfrm>
        <a:prstGeom prst="rect">
          <a:avLst/>
        </a:prstGeom>
      </xdr:spPr>
    </xdr:pic>
    <xdr:clientData/>
  </xdr:oneCellAnchor>
  <xdr:oneCellAnchor>
    <xdr:from>
      <xdr:col>4</xdr:col>
      <xdr:colOff>709177</xdr:colOff>
      <xdr:row>21</xdr:row>
      <xdr:rowOff>77380</xdr:rowOff>
    </xdr:from>
    <xdr:ext cx="2066680" cy="1205563"/>
    <xdr:pic>
      <xdr:nvPicPr>
        <xdr:cNvPr id="96" name="Imagen 95">
          <a:extLst>
            <a:ext uri="{FF2B5EF4-FFF2-40B4-BE49-F238E27FC236}">
              <a16:creationId xmlns:a16="http://schemas.microsoft.com/office/drawing/2014/main" id="{9223EE2D-2091-42B9-91F4-DA9B5D6A5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4404451"/>
          <a:ext cx="2066680" cy="12055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373601</xdr:rowOff>
    </xdr:from>
    <xdr:ext cx="640080" cy="1636"/>
    <xdr:pic>
      <xdr:nvPicPr>
        <xdr:cNvPr id="110" name="21 Imagen">
          <a:extLst>
            <a:ext uri="{FF2B5EF4-FFF2-40B4-BE49-F238E27FC236}">
              <a16:creationId xmlns:a16="http://schemas.microsoft.com/office/drawing/2014/main" id="{37B853FC-A8A2-406C-B19E-9C0728A77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13980744"/>
          <a:ext cx="640080" cy="1636"/>
        </a:xfrm>
        <a:prstGeom prst="rect">
          <a:avLst/>
        </a:prstGeom>
      </xdr:spPr>
    </xdr:pic>
    <xdr:clientData/>
  </xdr:oneCellAnchor>
  <xdr:oneCellAnchor>
    <xdr:from>
      <xdr:col>3</xdr:col>
      <xdr:colOff>387348</xdr:colOff>
      <xdr:row>33</xdr:row>
      <xdr:rowOff>117686</xdr:rowOff>
    </xdr:from>
    <xdr:ext cx="1299938" cy="1199346"/>
    <xdr:pic>
      <xdr:nvPicPr>
        <xdr:cNvPr id="111" name="22 Imagen">
          <a:extLst>
            <a:ext uri="{FF2B5EF4-FFF2-40B4-BE49-F238E27FC236}">
              <a16:creationId xmlns:a16="http://schemas.microsoft.com/office/drawing/2014/main" id="{F3158669-3F4C-4620-AA22-14D3AFADF8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13724829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124641</xdr:colOff>
      <xdr:row>35</xdr:row>
      <xdr:rowOff>155121</xdr:rowOff>
    </xdr:from>
    <xdr:ext cx="1181643" cy="1104901"/>
    <xdr:pic>
      <xdr:nvPicPr>
        <xdr:cNvPr id="112" name="24 Imagen">
          <a:extLst>
            <a:ext uri="{FF2B5EF4-FFF2-40B4-BE49-F238E27FC236}">
              <a16:creationId xmlns:a16="http://schemas.microsoft.com/office/drawing/2014/main" id="{2227A6D1-0F1B-4411-944F-4EB8E857B0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16470085"/>
          <a:ext cx="1181643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4</xdr:col>
      <xdr:colOff>149677</xdr:colOff>
      <xdr:row>35</xdr:row>
      <xdr:rowOff>217715</xdr:rowOff>
    </xdr:from>
    <xdr:ext cx="2682875" cy="771525"/>
    <xdr:pic>
      <xdr:nvPicPr>
        <xdr:cNvPr id="113" name="Picture 55">
          <a:extLst>
            <a:ext uri="{FF2B5EF4-FFF2-40B4-BE49-F238E27FC236}">
              <a16:creationId xmlns:a16="http://schemas.microsoft.com/office/drawing/2014/main" id="{43B64DDD-D093-42F0-97F7-B28A9928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16532679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299357</xdr:colOff>
      <xdr:row>36</xdr:row>
      <xdr:rowOff>244929</xdr:rowOff>
    </xdr:from>
    <xdr:ext cx="4537075" cy="904875"/>
    <xdr:pic>
      <xdr:nvPicPr>
        <xdr:cNvPr id="114" name="Picture 58">
          <a:extLst>
            <a:ext uri="{FF2B5EF4-FFF2-40B4-BE49-F238E27FC236}">
              <a16:creationId xmlns:a16="http://schemas.microsoft.com/office/drawing/2014/main" id="{B9DE95C2-DC74-4406-B1F6-FB1DB9EAE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17975036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517071</xdr:colOff>
      <xdr:row>37</xdr:row>
      <xdr:rowOff>108857</xdr:rowOff>
    </xdr:from>
    <xdr:ext cx="4014107" cy="1149199"/>
    <xdr:pic>
      <xdr:nvPicPr>
        <xdr:cNvPr id="115" name="Imagen 114">
          <a:extLst>
            <a:ext uri="{FF2B5EF4-FFF2-40B4-BE49-F238E27FC236}">
              <a16:creationId xmlns:a16="http://schemas.microsoft.com/office/drawing/2014/main" id="{FD071133-67AA-4EFC-8B65-46422BA5E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19131643"/>
          <a:ext cx="4014107" cy="1149199"/>
        </a:xfrm>
        <a:prstGeom prst="rect">
          <a:avLst/>
        </a:prstGeom>
      </xdr:spPr>
    </xdr:pic>
    <xdr:clientData/>
  </xdr:oneCellAnchor>
  <xdr:oneCellAnchor>
    <xdr:from>
      <xdr:col>3</xdr:col>
      <xdr:colOff>1061359</xdr:colOff>
      <xdr:row>38</xdr:row>
      <xdr:rowOff>9385</xdr:rowOff>
    </xdr:from>
    <xdr:ext cx="2911928" cy="1324116"/>
    <xdr:pic>
      <xdr:nvPicPr>
        <xdr:cNvPr id="116" name="Imagen 115" descr="Camión de 5 ejes en formato PSD, descarga gratuita">
          <a:extLst>
            <a:ext uri="{FF2B5EF4-FFF2-40B4-BE49-F238E27FC236}">
              <a16:creationId xmlns:a16="http://schemas.microsoft.com/office/drawing/2014/main" id="{48F128DE-FCF5-4CE6-A0CB-053B2E987C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20324849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367395</xdr:colOff>
      <xdr:row>34</xdr:row>
      <xdr:rowOff>183243</xdr:rowOff>
    </xdr:from>
    <xdr:ext cx="1619250" cy="1079500"/>
    <xdr:pic>
      <xdr:nvPicPr>
        <xdr:cNvPr id="117" name="Imagen 116">
          <a:extLst>
            <a:ext uri="{FF2B5EF4-FFF2-40B4-BE49-F238E27FC236}">
              <a16:creationId xmlns:a16="http://schemas.microsoft.com/office/drawing/2014/main" id="{0C86E6E6-4B03-498B-AAB1-25250F44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15110279"/>
          <a:ext cx="1619250" cy="1079500"/>
        </a:xfrm>
        <a:prstGeom prst="rect">
          <a:avLst/>
        </a:prstGeom>
      </xdr:spPr>
    </xdr:pic>
    <xdr:clientData/>
  </xdr:oneCellAnchor>
  <xdr:oneCellAnchor>
    <xdr:from>
      <xdr:col>4</xdr:col>
      <xdr:colOff>1456287</xdr:colOff>
      <xdr:row>32</xdr:row>
      <xdr:rowOff>12809</xdr:rowOff>
    </xdr:from>
    <xdr:ext cx="1496464" cy="1122348"/>
    <xdr:pic>
      <xdr:nvPicPr>
        <xdr:cNvPr id="118" name="Imagen 117">
          <a:extLst>
            <a:ext uri="{FF2B5EF4-FFF2-40B4-BE49-F238E27FC236}">
              <a16:creationId xmlns:a16="http://schemas.microsoft.com/office/drawing/2014/main" id="{928B8527-F928-4C7E-B89E-BD83BB2B5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23485130"/>
          <a:ext cx="1496464" cy="1122348"/>
        </a:xfrm>
        <a:prstGeom prst="rect">
          <a:avLst/>
        </a:prstGeom>
      </xdr:spPr>
    </xdr:pic>
    <xdr:clientData/>
  </xdr:oneCellAnchor>
  <xdr:oneCellAnchor>
    <xdr:from>
      <xdr:col>3</xdr:col>
      <xdr:colOff>1755964</xdr:colOff>
      <xdr:row>32</xdr:row>
      <xdr:rowOff>367394</xdr:rowOff>
    </xdr:from>
    <xdr:ext cx="1568828" cy="784414"/>
    <xdr:pic>
      <xdr:nvPicPr>
        <xdr:cNvPr id="119" name="Imagen 118">
          <a:extLst>
            <a:ext uri="{FF2B5EF4-FFF2-40B4-BE49-F238E27FC236}">
              <a16:creationId xmlns:a16="http://schemas.microsoft.com/office/drawing/2014/main" id="{4F96DDEE-E491-40A0-87EE-A9BEC4918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12913180"/>
          <a:ext cx="1568828" cy="784414"/>
        </a:xfrm>
        <a:prstGeom prst="rect">
          <a:avLst/>
        </a:prstGeom>
      </xdr:spPr>
    </xdr:pic>
    <xdr:clientData/>
  </xdr:oneCellAnchor>
  <xdr:oneCellAnchor>
    <xdr:from>
      <xdr:col>4</xdr:col>
      <xdr:colOff>545250</xdr:colOff>
      <xdr:row>33</xdr:row>
      <xdr:rowOff>140999</xdr:rowOff>
    </xdr:from>
    <xdr:ext cx="1974309" cy="1151680"/>
    <xdr:pic>
      <xdr:nvPicPr>
        <xdr:cNvPr id="120" name="Imagen 119">
          <a:extLst>
            <a:ext uri="{FF2B5EF4-FFF2-40B4-BE49-F238E27FC236}">
              <a16:creationId xmlns:a16="http://schemas.microsoft.com/office/drawing/2014/main" id="{DB2ABA4B-16C0-4461-A3BC-7C79F0C86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13748142"/>
          <a:ext cx="1974309" cy="1151680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32</xdr:row>
      <xdr:rowOff>147392</xdr:rowOff>
    </xdr:from>
    <xdr:ext cx="1755321" cy="987368"/>
    <xdr:pic>
      <xdr:nvPicPr>
        <xdr:cNvPr id="121" name="Imagen 120">
          <a:extLst>
            <a:ext uri="{FF2B5EF4-FFF2-40B4-BE49-F238E27FC236}">
              <a16:creationId xmlns:a16="http://schemas.microsoft.com/office/drawing/2014/main" id="{9DDEF612-7A1D-4C27-A95D-D3921F62E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12693178"/>
          <a:ext cx="1755321" cy="987368"/>
        </a:xfrm>
        <a:prstGeom prst="rect">
          <a:avLst/>
        </a:prstGeom>
      </xdr:spPr>
    </xdr:pic>
    <xdr:clientData/>
  </xdr:oneCellAnchor>
  <xdr:oneCellAnchor>
    <xdr:from>
      <xdr:col>4</xdr:col>
      <xdr:colOff>709177</xdr:colOff>
      <xdr:row>34</xdr:row>
      <xdr:rowOff>77380</xdr:rowOff>
    </xdr:from>
    <xdr:ext cx="2066680" cy="1205563"/>
    <xdr:pic>
      <xdr:nvPicPr>
        <xdr:cNvPr id="122" name="Imagen 121">
          <a:extLst>
            <a:ext uri="{FF2B5EF4-FFF2-40B4-BE49-F238E27FC236}">
              <a16:creationId xmlns:a16="http://schemas.microsoft.com/office/drawing/2014/main" id="{25C3DC79-006B-49EB-B965-3727FC6B6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15004416"/>
          <a:ext cx="2066680" cy="12055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373601</xdr:rowOff>
    </xdr:from>
    <xdr:ext cx="640080" cy="1636"/>
    <xdr:pic>
      <xdr:nvPicPr>
        <xdr:cNvPr id="123" name="21 Imagen">
          <a:extLst>
            <a:ext uri="{FF2B5EF4-FFF2-40B4-BE49-F238E27FC236}">
              <a16:creationId xmlns:a16="http://schemas.microsoft.com/office/drawing/2014/main" id="{5E126503-7794-43A8-AAD4-3CDE8E5B0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24934494"/>
          <a:ext cx="640080" cy="1636"/>
        </a:xfrm>
        <a:prstGeom prst="rect">
          <a:avLst/>
        </a:prstGeom>
      </xdr:spPr>
    </xdr:pic>
    <xdr:clientData/>
  </xdr:oneCellAnchor>
  <xdr:oneCellAnchor>
    <xdr:from>
      <xdr:col>3</xdr:col>
      <xdr:colOff>387348</xdr:colOff>
      <xdr:row>46</xdr:row>
      <xdr:rowOff>117686</xdr:rowOff>
    </xdr:from>
    <xdr:ext cx="1299938" cy="1199346"/>
    <xdr:pic>
      <xdr:nvPicPr>
        <xdr:cNvPr id="124" name="22 Imagen">
          <a:extLst>
            <a:ext uri="{FF2B5EF4-FFF2-40B4-BE49-F238E27FC236}">
              <a16:creationId xmlns:a16="http://schemas.microsoft.com/office/drawing/2014/main" id="{CE008D73-00F1-473A-B4F8-7098040671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24678579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124641</xdr:colOff>
      <xdr:row>48</xdr:row>
      <xdr:rowOff>155121</xdr:rowOff>
    </xdr:from>
    <xdr:ext cx="1481002" cy="1104901"/>
    <xdr:pic>
      <xdr:nvPicPr>
        <xdr:cNvPr id="125" name="24 Imagen">
          <a:extLst>
            <a:ext uri="{FF2B5EF4-FFF2-40B4-BE49-F238E27FC236}">
              <a16:creationId xmlns:a16="http://schemas.microsoft.com/office/drawing/2014/main" id="{3F0F76EA-9A35-4CB3-A8BD-C43C2D1CF3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38309550"/>
          <a:ext cx="1481002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4</xdr:col>
      <xdr:colOff>149677</xdr:colOff>
      <xdr:row>48</xdr:row>
      <xdr:rowOff>217715</xdr:rowOff>
    </xdr:from>
    <xdr:ext cx="2682875" cy="771525"/>
    <xdr:pic>
      <xdr:nvPicPr>
        <xdr:cNvPr id="126" name="Picture 55">
          <a:extLst>
            <a:ext uri="{FF2B5EF4-FFF2-40B4-BE49-F238E27FC236}">
              <a16:creationId xmlns:a16="http://schemas.microsoft.com/office/drawing/2014/main" id="{DDD5B0BD-77AD-4EC1-82AE-DE87D2236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27472822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299357</xdr:colOff>
      <xdr:row>49</xdr:row>
      <xdr:rowOff>244929</xdr:rowOff>
    </xdr:from>
    <xdr:ext cx="4537075" cy="904875"/>
    <xdr:pic>
      <xdr:nvPicPr>
        <xdr:cNvPr id="127" name="Picture 58">
          <a:extLst>
            <a:ext uri="{FF2B5EF4-FFF2-40B4-BE49-F238E27FC236}">
              <a16:creationId xmlns:a16="http://schemas.microsoft.com/office/drawing/2014/main" id="{563833F8-E77E-4BD3-BC24-9388D03A0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28847143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517071</xdr:colOff>
      <xdr:row>50</xdr:row>
      <xdr:rowOff>108857</xdr:rowOff>
    </xdr:from>
    <xdr:ext cx="4014107" cy="1149199"/>
    <xdr:pic>
      <xdr:nvPicPr>
        <xdr:cNvPr id="128" name="Imagen 127">
          <a:extLst>
            <a:ext uri="{FF2B5EF4-FFF2-40B4-BE49-F238E27FC236}">
              <a16:creationId xmlns:a16="http://schemas.microsoft.com/office/drawing/2014/main" id="{97A61021-5BD2-463C-8304-B67F3ED14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29867678"/>
          <a:ext cx="4014107" cy="1149199"/>
        </a:xfrm>
        <a:prstGeom prst="rect">
          <a:avLst/>
        </a:prstGeom>
      </xdr:spPr>
    </xdr:pic>
    <xdr:clientData/>
  </xdr:oneCellAnchor>
  <xdr:oneCellAnchor>
    <xdr:from>
      <xdr:col>3</xdr:col>
      <xdr:colOff>1061359</xdr:colOff>
      <xdr:row>51</xdr:row>
      <xdr:rowOff>9385</xdr:rowOff>
    </xdr:from>
    <xdr:ext cx="2911928" cy="1324116"/>
    <xdr:pic>
      <xdr:nvPicPr>
        <xdr:cNvPr id="129" name="Imagen 128" descr="Camión de 5 ejes en formato PSD, descarga gratuita">
          <a:extLst>
            <a:ext uri="{FF2B5EF4-FFF2-40B4-BE49-F238E27FC236}">
              <a16:creationId xmlns:a16="http://schemas.microsoft.com/office/drawing/2014/main" id="{2F170873-1532-4372-A168-22A74CB1D8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31060885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367395</xdr:colOff>
      <xdr:row>47</xdr:row>
      <xdr:rowOff>183243</xdr:rowOff>
    </xdr:from>
    <xdr:ext cx="1619250" cy="1079500"/>
    <xdr:pic>
      <xdr:nvPicPr>
        <xdr:cNvPr id="130" name="Imagen 129">
          <a:extLst>
            <a:ext uri="{FF2B5EF4-FFF2-40B4-BE49-F238E27FC236}">
              <a16:creationId xmlns:a16="http://schemas.microsoft.com/office/drawing/2014/main" id="{F7818684-A610-41FF-9526-160DB1BCD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26091243"/>
          <a:ext cx="1619250" cy="1079500"/>
        </a:xfrm>
        <a:prstGeom prst="rect">
          <a:avLst/>
        </a:prstGeom>
      </xdr:spPr>
    </xdr:pic>
    <xdr:clientData/>
  </xdr:oneCellAnchor>
  <xdr:oneCellAnchor>
    <xdr:from>
      <xdr:col>4</xdr:col>
      <xdr:colOff>1456287</xdr:colOff>
      <xdr:row>45</xdr:row>
      <xdr:rowOff>12809</xdr:rowOff>
    </xdr:from>
    <xdr:ext cx="1496464" cy="1122348"/>
    <xdr:pic>
      <xdr:nvPicPr>
        <xdr:cNvPr id="131" name="Imagen 130">
          <a:extLst>
            <a:ext uri="{FF2B5EF4-FFF2-40B4-BE49-F238E27FC236}">
              <a16:creationId xmlns:a16="http://schemas.microsoft.com/office/drawing/2014/main" id="{5F894DE6-4871-4AA3-8DDE-224DC884B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23485130"/>
          <a:ext cx="1496464" cy="1122348"/>
        </a:xfrm>
        <a:prstGeom prst="rect">
          <a:avLst/>
        </a:prstGeom>
      </xdr:spPr>
    </xdr:pic>
    <xdr:clientData/>
  </xdr:oneCellAnchor>
  <xdr:oneCellAnchor>
    <xdr:from>
      <xdr:col>3</xdr:col>
      <xdr:colOff>1755964</xdr:colOff>
      <xdr:row>45</xdr:row>
      <xdr:rowOff>367394</xdr:rowOff>
    </xdr:from>
    <xdr:ext cx="1568828" cy="784414"/>
    <xdr:pic>
      <xdr:nvPicPr>
        <xdr:cNvPr id="132" name="Imagen 131">
          <a:extLst>
            <a:ext uri="{FF2B5EF4-FFF2-40B4-BE49-F238E27FC236}">
              <a16:creationId xmlns:a16="http://schemas.microsoft.com/office/drawing/2014/main" id="{4087FDCA-62C1-47E1-85CD-00FDB261E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23839715"/>
          <a:ext cx="1568828" cy="784414"/>
        </a:xfrm>
        <a:prstGeom prst="rect">
          <a:avLst/>
        </a:prstGeom>
      </xdr:spPr>
    </xdr:pic>
    <xdr:clientData/>
  </xdr:oneCellAnchor>
  <xdr:oneCellAnchor>
    <xdr:from>
      <xdr:col>4</xdr:col>
      <xdr:colOff>545250</xdr:colOff>
      <xdr:row>46</xdr:row>
      <xdr:rowOff>140999</xdr:rowOff>
    </xdr:from>
    <xdr:ext cx="1974309" cy="1151680"/>
    <xdr:pic>
      <xdr:nvPicPr>
        <xdr:cNvPr id="133" name="Imagen 132">
          <a:extLst>
            <a:ext uri="{FF2B5EF4-FFF2-40B4-BE49-F238E27FC236}">
              <a16:creationId xmlns:a16="http://schemas.microsoft.com/office/drawing/2014/main" id="{CD87FD1C-5A7B-4543-A30F-786EFE46A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24701892"/>
          <a:ext cx="1974309" cy="1151680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45</xdr:row>
      <xdr:rowOff>147392</xdr:rowOff>
    </xdr:from>
    <xdr:ext cx="1755321" cy="987368"/>
    <xdr:pic>
      <xdr:nvPicPr>
        <xdr:cNvPr id="134" name="Imagen 133">
          <a:extLst>
            <a:ext uri="{FF2B5EF4-FFF2-40B4-BE49-F238E27FC236}">
              <a16:creationId xmlns:a16="http://schemas.microsoft.com/office/drawing/2014/main" id="{231F2EDE-6BAD-42B1-A240-FF2E6469C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23619713"/>
          <a:ext cx="1755321" cy="987368"/>
        </a:xfrm>
        <a:prstGeom prst="rect">
          <a:avLst/>
        </a:prstGeom>
      </xdr:spPr>
    </xdr:pic>
    <xdr:clientData/>
  </xdr:oneCellAnchor>
  <xdr:oneCellAnchor>
    <xdr:from>
      <xdr:col>4</xdr:col>
      <xdr:colOff>709177</xdr:colOff>
      <xdr:row>47</xdr:row>
      <xdr:rowOff>77380</xdr:rowOff>
    </xdr:from>
    <xdr:ext cx="2066680" cy="1205563"/>
    <xdr:pic>
      <xdr:nvPicPr>
        <xdr:cNvPr id="135" name="Imagen 134">
          <a:extLst>
            <a:ext uri="{FF2B5EF4-FFF2-40B4-BE49-F238E27FC236}">
              <a16:creationId xmlns:a16="http://schemas.microsoft.com/office/drawing/2014/main" id="{29C7C982-2A88-44A0-A386-1FC7A7B13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25985380"/>
          <a:ext cx="2066680" cy="12055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373601</xdr:rowOff>
    </xdr:from>
    <xdr:ext cx="640080" cy="1636"/>
    <xdr:pic>
      <xdr:nvPicPr>
        <xdr:cNvPr id="136" name="21 Imagen">
          <a:extLst>
            <a:ext uri="{FF2B5EF4-FFF2-40B4-BE49-F238E27FC236}">
              <a16:creationId xmlns:a16="http://schemas.microsoft.com/office/drawing/2014/main" id="{162836A3-9F98-43F7-83B2-6344D9C41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35779387"/>
          <a:ext cx="640080" cy="1636"/>
        </a:xfrm>
        <a:prstGeom prst="rect">
          <a:avLst/>
        </a:prstGeom>
      </xdr:spPr>
    </xdr:pic>
    <xdr:clientData/>
  </xdr:oneCellAnchor>
  <xdr:oneCellAnchor>
    <xdr:from>
      <xdr:col>3</xdr:col>
      <xdr:colOff>387348</xdr:colOff>
      <xdr:row>59</xdr:row>
      <xdr:rowOff>117686</xdr:rowOff>
    </xdr:from>
    <xdr:ext cx="1299938" cy="1199346"/>
    <xdr:pic>
      <xdr:nvPicPr>
        <xdr:cNvPr id="137" name="22 Imagen">
          <a:extLst>
            <a:ext uri="{FF2B5EF4-FFF2-40B4-BE49-F238E27FC236}">
              <a16:creationId xmlns:a16="http://schemas.microsoft.com/office/drawing/2014/main" id="{DD29A1A4-822D-42BD-B890-89044C025E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35523472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124641</xdr:colOff>
      <xdr:row>61</xdr:row>
      <xdr:rowOff>155121</xdr:rowOff>
    </xdr:from>
    <xdr:ext cx="1481002" cy="1104901"/>
    <xdr:pic>
      <xdr:nvPicPr>
        <xdr:cNvPr id="138" name="24 Imagen">
          <a:extLst>
            <a:ext uri="{FF2B5EF4-FFF2-40B4-BE49-F238E27FC236}">
              <a16:creationId xmlns:a16="http://schemas.microsoft.com/office/drawing/2014/main" id="{A39F67B3-C363-43E7-BB5D-CB09F0C19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38309550"/>
          <a:ext cx="1481002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4</xdr:col>
      <xdr:colOff>149677</xdr:colOff>
      <xdr:row>61</xdr:row>
      <xdr:rowOff>217715</xdr:rowOff>
    </xdr:from>
    <xdr:ext cx="2682875" cy="771525"/>
    <xdr:pic>
      <xdr:nvPicPr>
        <xdr:cNvPr id="139" name="Picture 55">
          <a:extLst>
            <a:ext uri="{FF2B5EF4-FFF2-40B4-BE49-F238E27FC236}">
              <a16:creationId xmlns:a16="http://schemas.microsoft.com/office/drawing/2014/main" id="{732A00ED-46BF-4AB6-8D06-4DD247A39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38372144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299357</xdr:colOff>
      <xdr:row>62</xdr:row>
      <xdr:rowOff>244929</xdr:rowOff>
    </xdr:from>
    <xdr:ext cx="4537075" cy="904875"/>
    <xdr:pic>
      <xdr:nvPicPr>
        <xdr:cNvPr id="140" name="Picture 58">
          <a:extLst>
            <a:ext uri="{FF2B5EF4-FFF2-40B4-BE49-F238E27FC236}">
              <a16:creationId xmlns:a16="http://schemas.microsoft.com/office/drawing/2014/main" id="{13CF8A13-A94C-4FCC-A798-51C764072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39692036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517071</xdr:colOff>
      <xdr:row>63</xdr:row>
      <xdr:rowOff>108857</xdr:rowOff>
    </xdr:from>
    <xdr:ext cx="4014107" cy="1149199"/>
    <xdr:pic>
      <xdr:nvPicPr>
        <xdr:cNvPr id="141" name="Imagen 140">
          <a:extLst>
            <a:ext uri="{FF2B5EF4-FFF2-40B4-BE49-F238E27FC236}">
              <a16:creationId xmlns:a16="http://schemas.microsoft.com/office/drawing/2014/main" id="{289280B7-AEBC-4FA6-A0B9-01B802490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40998321"/>
          <a:ext cx="4014107" cy="1149199"/>
        </a:xfrm>
        <a:prstGeom prst="rect">
          <a:avLst/>
        </a:prstGeom>
      </xdr:spPr>
    </xdr:pic>
    <xdr:clientData/>
  </xdr:oneCellAnchor>
  <xdr:oneCellAnchor>
    <xdr:from>
      <xdr:col>3</xdr:col>
      <xdr:colOff>1061359</xdr:colOff>
      <xdr:row>64</xdr:row>
      <xdr:rowOff>9385</xdr:rowOff>
    </xdr:from>
    <xdr:ext cx="2911928" cy="1324116"/>
    <xdr:pic>
      <xdr:nvPicPr>
        <xdr:cNvPr id="142" name="Imagen 141" descr="Camión de 5 ejes en formato PSD, descarga gratuita">
          <a:extLst>
            <a:ext uri="{FF2B5EF4-FFF2-40B4-BE49-F238E27FC236}">
              <a16:creationId xmlns:a16="http://schemas.microsoft.com/office/drawing/2014/main" id="{9B1557F0-4963-45C1-86B7-A112A9F490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42245956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367395</xdr:colOff>
      <xdr:row>60</xdr:row>
      <xdr:rowOff>183243</xdr:rowOff>
    </xdr:from>
    <xdr:ext cx="1619250" cy="1079500"/>
    <xdr:pic>
      <xdr:nvPicPr>
        <xdr:cNvPr id="143" name="Imagen 142">
          <a:extLst>
            <a:ext uri="{FF2B5EF4-FFF2-40B4-BE49-F238E27FC236}">
              <a16:creationId xmlns:a16="http://schemas.microsoft.com/office/drawing/2014/main" id="{26E1E8D3-445C-41CA-BA48-1F6E25646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36922529"/>
          <a:ext cx="1619250" cy="1079500"/>
        </a:xfrm>
        <a:prstGeom prst="rect">
          <a:avLst/>
        </a:prstGeom>
      </xdr:spPr>
    </xdr:pic>
    <xdr:clientData/>
  </xdr:oneCellAnchor>
  <xdr:oneCellAnchor>
    <xdr:from>
      <xdr:col>4</xdr:col>
      <xdr:colOff>1456287</xdr:colOff>
      <xdr:row>58</xdr:row>
      <xdr:rowOff>12809</xdr:rowOff>
    </xdr:from>
    <xdr:ext cx="1496464" cy="1122348"/>
    <xdr:pic>
      <xdr:nvPicPr>
        <xdr:cNvPr id="144" name="Imagen 143">
          <a:extLst>
            <a:ext uri="{FF2B5EF4-FFF2-40B4-BE49-F238E27FC236}">
              <a16:creationId xmlns:a16="http://schemas.microsoft.com/office/drawing/2014/main" id="{235B0503-CBA3-4C3F-8CA8-3B577B2A8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34261988"/>
          <a:ext cx="1496464" cy="1122348"/>
        </a:xfrm>
        <a:prstGeom prst="rect">
          <a:avLst/>
        </a:prstGeom>
      </xdr:spPr>
    </xdr:pic>
    <xdr:clientData/>
  </xdr:oneCellAnchor>
  <xdr:oneCellAnchor>
    <xdr:from>
      <xdr:col>3</xdr:col>
      <xdr:colOff>1755964</xdr:colOff>
      <xdr:row>58</xdr:row>
      <xdr:rowOff>367394</xdr:rowOff>
    </xdr:from>
    <xdr:ext cx="1568828" cy="784414"/>
    <xdr:pic>
      <xdr:nvPicPr>
        <xdr:cNvPr id="145" name="Imagen 144">
          <a:extLst>
            <a:ext uri="{FF2B5EF4-FFF2-40B4-BE49-F238E27FC236}">
              <a16:creationId xmlns:a16="http://schemas.microsoft.com/office/drawing/2014/main" id="{C396F21C-BAAC-4479-99DA-751EC48A8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34616573"/>
          <a:ext cx="1568828" cy="784414"/>
        </a:xfrm>
        <a:prstGeom prst="rect">
          <a:avLst/>
        </a:prstGeom>
      </xdr:spPr>
    </xdr:pic>
    <xdr:clientData/>
  </xdr:oneCellAnchor>
  <xdr:oneCellAnchor>
    <xdr:from>
      <xdr:col>4</xdr:col>
      <xdr:colOff>545250</xdr:colOff>
      <xdr:row>59</xdr:row>
      <xdr:rowOff>140999</xdr:rowOff>
    </xdr:from>
    <xdr:ext cx="1974309" cy="1151680"/>
    <xdr:pic>
      <xdr:nvPicPr>
        <xdr:cNvPr id="146" name="Imagen 145">
          <a:extLst>
            <a:ext uri="{FF2B5EF4-FFF2-40B4-BE49-F238E27FC236}">
              <a16:creationId xmlns:a16="http://schemas.microsoft.com/office/drawing/2014/main" id="{83780551-036D-4006-A4D7-9BEE824D8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35546785"/>
          <a:ext cx="1974309" cy="1151680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58</xdr:row>
      <xdr:rowOff>147392</xdr:rowOff>
    </xdr:from>
    <xdr:ext cx="1755321" cy="987368"/>
    <xdr:pic>
      <xdr:nvPicPr>
        <xdr:cNvPr id="147" name="Imagen 146">
          <a:extLst>
            <a:ext uri="{FF2B5EF4-FFF2-40B4-BE49-F238E27FC236}">
              <a16:creationId xmlns:a16="http://schemas.microsoft.com/office/drawing/2014/main" id="{FE49B36E-8F5F-4712-8C84-CB02D3533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34396571"/>
          <a:ext cx="1755321" cy="987368"/>
        </a:xfrm>
        <a:prstGeom prst="rect">
          <a:avLst/>
        </a:prstGeom>
      </xdr:spPr>
    </xdr:pic>
    <xdr:clientData/>
  </xdr:oneCellAnchor>
  <xdr:oneCellAnchor>
    <xdr:from>
      <xdr:col>4</xdr:col>
      <xdr:colOff>709177</xdr:colOff>
      <xdr:row>60</xdr:row>
      <xdr:rowOff>77380</xdr:rowOff>
    </xdr:from>
    <xdr:ext cx="2066680" cy="1205563"/>
    <xdr:pic>
      <xdr:nvPicPr>
        <xdr:cNvPr id="148" name="Imagen 147">
          <a:extLst>
            <a:ext uri="{FF2B5EF4-FFF2-40B4-BE49-F238E27FC236}">
              <a16:creationId xmlns:a16="http://schemas.microsoft.com/office/drawing/2014/main" id="{7F44371A-DA2C-442B-A41D-EF4FB6357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36816666"/>
          <a:ext cx="2066680" cy="12055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72</xdr:row>
      <xdr:rowOff>373601</xdr:rowOff>
    </xdr:from>
    <xdr:ext cx="640080" cy="1636"/>
    <xdr:pic>
      <xdr:nvPicPr>
        <xdr:cNvPr id="149" name="21 Imagen">
          <a:extLst>
            <a:ext uri="{FF2B5EF4-FFF2-40B4-BE49-F238E27FC236}">
              <a16:creationId xmlns:a16="http://schemas.microsoft.com/office/drawing/2014/main" id="{8F96B864-2CC0-4480-8919-1B154317A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46637887"/>
          <a:ext cx="640080" cy="1636"/>
        </a:xfrm>
        <a:prstGeom prst="rect">
          <a:avLst/>
        </a:prstGeom>
      </xdr:spPr>
    </xdr:pic>
    <xdr:clientData/>
  </xdr:oneCellAnchor>
  <xdr:oneCellAnchor>
    <xdr:from>
      <xdr:col>3</xdr:col>
      <xdr:colOff>387348</xdr:colOff>
      <xdr:row>72</xdr:row>
      <xdr:rowOff>117686</xdr:rowOff>
    </xdr:from>
    <xdr:ext cx="1299938" cy="1199346"/>
    <xdr:pic>
      <xdr:nvPicPr>
        <xdr:cNvPr id="150" name="22 Imagen">
          <a:extLst>
            <a:ext uri="{FF2B5EF4-FFF2-40B4-BE49-F238E27FC236}">
              <a16:creationId xmlns:a16="http://schemas.microsoft.com/office/drawing/2014/main" id="{8D179857-EF0F-40A7-B6DF-1224662BE4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46381972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124641</xdr:colOff>
      <xdr:row>74</xdr:row>
      <xdr:rowOff>155121</xdr:rowOff>
    </xdr:from>
    <xdr:ext cx="1481002" cy="1104901"/>
    <xdr:pic>
      <xdr:nvPicPr>
        <xdr:cNvPr id="151" name="24 Imagen">
          <a:extLst>
            <a:ext uri="{FF2B5EF4-FFF2-40B4-BE49-F238E27FC236}">
              <a16:creationId xmlns:a16="http://schemas.microsoft.com/office/drawing/2014/main" id="{40BFA67B-2697-449B-B8FC-8356E035D9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49100014"/>
          <a:ext cx="1481002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4</xdr:col>
      <xdr:colOff>149677</xdr:colOff>
      <xdr:row>74</xdr:row>
      <xdr:rowOff>217715</xdr:rowOff>
    </xdr:from>
    <xdr:ext cx="2682875" cy="771525"/>
    <xdr:pic>
      <xdr:nvPicPr>
        <xdr:cNvPr id="152" name="Picture 55">
          <a:extLst>
            <a:ext uri="{FF2B5EF4-FFF2-40B4-BE49-F238E27FC236}">
              <a16:creationId xmlns:a16="http://schemas.microsoft.com/office/drawing/2014/main" id="{12FED9BC-FB2D-4A91-9D28-9FF5F7F67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49162608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299357</xdr:colOff>
      <xdr:row>75</xdr:row>
      <xdr:rowOff>244929</xdr:rowOff>
    </xdr:from>
    <xdr:ext cx="4537075" cy="904875"/>
    <xdr:pic>
      <xdr:nvPicPr>
        <xdr:cNvPr id="153" name="Picture 58">
          <a:extLst>
            <a:ext uri="{FF2B5EF4-FFF2-40B4-BE49-F238E27FC236}">
              <a16:creationId xmlns:a16="http://schemas.microsoft.com/office/drawing/2014/main" id="{2834B9F6-B527-4D44-9C59-9C674691F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50632179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517071</xdr:colOff>
      <xdr:row>76</xdr:row>
      <xdr:rowOff>108857</xdr:rowOff>
    </xdr:from>
    <xdr:ext cx="4014107" cy="1149199"/>
    <xdr:pic>
      <xdr:nvPicPr>
        <xdr:cNvPr id="154" name="Imagen 153">
          <a:extLst>
            <a:ext uri="{FF2B5EF4-FFF2-40B4-BE49-F238E27FC236}">
              <a16:creationId xmlns:a16="http://schemas.microsoft.com/office/drawing/2014/main" id="{073B6192-2DFC-404B-AF86-555B57E8E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51720750"/>
          <a:ext cx="4014107" cy="1149199"/>
        </a:xfrm>
        <a:prstGeom prst="rect">
          <a:avLst/>
        </a:prstGeom>
      </xdr:spPr>
    </xdr:pic>
    <xdr:clientData/>
  </xdr:oneCellAnchor>
  <xdr:oneCellAnchor>
    <xdr:from>
      <xdr:col>3</xdr:col>
      <xdr:colOff>1061359</xdr:colOff>
      <xdr:row>77</xdr:row>
      <xdr:rowOff>9385</xdr:rowOff>
    </xdr:from>
    <xdr:ext cx="2911928" cy="1324116"/>
    <xdr:pic>
      <xdr:nvPicPr>
        <xdr:cNvPr id="155" name="Imagen 154" descr="Camión de 5 ejes en formato PSD, descarga gratuita">
          <a:extLst>
            <a:ext uri="{FF2B5EF4-FFF2-40B4-BE49-F238E27FC236}">
              <a16:creationId xmlns:a16="http://schemas.microsoft.com/office/drawing/2014/main" id="{984A5FA4-431B-4539-981F-36A5837D8C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52995599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367395</xdr:colOff>
      <xdr:row>73</xdr:row>
      <xdr:rowOff>183243</xdr:rowOff>
    </xdr:from>
    <xdr:ext cx="1619250" cy="1079500"/>
    <xdr:pic>
      <xdr:nvPicPr>
        <xdr:cNvPr id="156" name="Imagen 155">
          <a:extLst>
            <a:ext uri="{FF2B5EF4-FFF2-40B4-BE49-F238E27FC236}">
              <a16:creationId xmlns:a16="http://schemas.microsoft.com/office/drawing/2014/main" id="{017465BD-7C20-4C8D-BF1E-6716DCD1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47781029"/>
          <a:ext cx="1619250" cy="1079500"/>
        </a:xfrm>
        <a:prstGeom prst="rect">
          <a:avLst/>
        </a:prstGeom>
      </xdr:spPr>
    </xdr:pic>
    <xdr:clientData/>
  </xdr:oneCellAnchor>
  <xdr:oneCellAnchor>
    <xdr:from>
      <xdr:col>4</xdr:col>
      <xdr:colOff>1456287</xdr:colOff>
      <xdr:row>71</xdr:row>
      <xdr:rowOff>12809</xdr:rowOff>
    </xdr:from>
    <xdr:ext cx="1496464" cy="1122348"/>
    <xdr:pic>
      <xdr:nvPicPr>
        <xdr:cNvPr id="157" name="Imagen 156">
          <a:extLst>
            <a:ext uri="{FF2B5EF4-FFF2-40B4-BE49-F238E27FC236}">
              <a16:creationId xmlns:a16="http://schemas.microsoft.com/office/drawing/2014/main" id="{0393C6C7-21B9-4706-903C-0231BEE93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45215738"/>
          <a:ext cx="1496464" cy="1122348"/>
        </a:xfrm>
        <a:prstGeom prst="rect">
          <a:avLst/>
        </a:prstGeom>
      </xdr:spPr>
    </xdr:pic>
    <xdr:clientData/>
  </xdr:oneCellAnchor>
  <xdr:oneCellAnchor>
    <xdr:from>
      <xdr:col>3</xdr:col>
      <xdr:colOff>1755964</xdr:colOff>
      <xdr:row>71</xdr:row>
      <xdr:rowOff>367394</xdr:rowOff>
    </xdr:from>
    <xdr:ext cx="1568828" cy="784414"/>
    <xdr:pic>
      <xdr:nvPicPr>
        <xdr:cNvPr id="158" name="Imagen 157">
          <a:extLst>
            <a:ext uri="{FF2B5EF4-FFF2-40B4-BE49-F238E27FC236}">
              <a16:creationId xmlns:a16="http://schemas.microsoft.com/office/drawing/2014/main" id="{99CD87EA-8DB8-4656-9649-E7626C158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45570323"/>
          <a:ext cx="1568828" cy="784414"/>
        </a:xfrm>
        <a:prstGeom prst="rect">
          <a:avLst/>
        </a:prstGeom>
      </xdr:spPr>
    </xdr:pic>
    <xdr:clientData/>
  </xdr:oneCellAnchor>
  <xdr:oneCellAnchor>
    <xdr:from>
      <xdr:col>4</xdr:col>
      <xdr:colOff>545250</xdr:colOff>
      <xdr:row>72</xdr:row>
      <xdr:rowOff>140999</xdr:rowOff>
    </xdr:from>
    <xdr:ext cx="1974309" cy="1151680"/>
    <xdr:pic>
      <xdr:nvPicPr>
        <xdr:cNvPr id="159" name="Imagen 158">
          <a:extLst>
            <a:ext uri="{FF2B5EF4-FFF2-40B4-BE49-F238E27FC236}">
              <a16:creationId xmlns:a16="http://schemas.microsoft.com/office/drawing/2014/main" id="{A8F051F3-AC01-4389-93E8-733D57CB0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46405285"/>
          <a:ext cx="1974309" cy="1151680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71</xdr:row>
      <xdr:rowOff>147392</xdr:rowOff>
    </xdr:from>
    <xdr:ext cx="1755321" cy="987368"/>
    <xdr:pic>
      <xdr:nvPicPr>
        <xdr:cNvPr id="160" name="Imagen 159">
          <a:extLst>
            <a:ext uri="{FF2B5EF4-FFF2-40B4-BE49-F238E27FC236}">
              <a16:creationId xmlns:a16="http://schemas.microsoft.com/office/drawing/2014/main" id="{9A8403E2-85F9-44C4-BA13-1D333CA68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45350321"/>
          <a:ext cx="1755321" cy="987368"/>
        </a:xfrm>
        <a:prstGeom prst="rect">
          <a:avLst/>
        </a:prstGeom>
      </xdr:spPr>
    </xdr:pic>
    <xdr:clientData/>
  </xdr:oneCellAnchor>
  <xdr:oneCellAnchor>
    <xdr:from>
      <xdr:col>4</xdr:col>
      <xdr:colOff>709177</xdr:colOff>
      <xdr:row>73</xdr:row>
      <xdr:rowOff>77380</xdr:rowOff>
    </xdr:from>
    <xdr:ext cx="2066680" cy="1205563"/>
    <xdr:pic>
      <xdr:nvPicPr>
        <xdr:cNvPr id="161" name="Imagen 160">
          <a:extLst>
            <a:ext uri="{FF2B5EF4-FFF2-40B4-BE49-F238E27FC236}">
              <a16:creationId xmlns:a16="http://schemas.microsoft.com/office/drawing/2014/main" id="{03E5DF39-A91C-4256-BAFF-B81FF07C1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47675166"/>
          <a:ext cx="2066680" cy="12055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373601</xdr:rowOff>
    </xdr:from>
    <xdr:ext cx="640080" cy="1636"/>
    <xdr:pic>
      <xdr:nvPicPr>
        <xdr:cNvPr id="175" name="21 Imagen">
          <a:extLst>
            <a:ext uri="{FF2B5EF4-FFF2-40B4-BE49-F238E27FC236}">
              <a16:creationId xmlns:a16="http://schemas.microsoft.com/office/drawing/2014/main" id="{5B543358-448A-4602-A114-803847DC6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57401137"/>
          <a:ext cx="640080" cy="1636"/>
        </a:xfrm>
        <a:prstGeom prst="rect">
          <a:avLst/>
        </a:prstGeom>
      </xdr:spPr>
    </xdr:pic>
    <xdr:clientData/>
  </xdr:oneCellAnchor>
  <xdr:oneCellAnchor>
    <xdr:from>
      <xdr:col>3</xdr:col>
      <xdr:colOff>387348</xdr:colOff>
      <xdr:row>85</xdr:row>
      <xdr:rowOff>117686</xdr:rowOff>
    </xdr:from>
    <xdr:ext cx="1299938" cy="1199346"/>
    <xdr:pic>
      <xdr:nvPicPr>
        <xdr:cNvPr id="176" name="22 Imagen">
          <a:extLst>
            <a:ext uri="{FF2B5EF4-FFF2-40B4-BE49-F238E27FC236}">
              <a16:creationId xmlns:a16="http://schemas.microsoft.com/office/drawing/2014/main" id="{E5609C49-8EA4-4219-B44C-AB069675D1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57145222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124641</xdr:colOff>
      <xdr:row>87</xdr:row>
      <xdr:rowOff>155121</xdr:rowOff>
    </xdr:from>
    <xdr:ext cx="1481002" cy="1104901"/>
    <xdr:pic>
      <xdr:nvPicPr>
        <xdr:cNvPr id="177" name="24 Imagen">
          <a:extLst>
            <a:ext uri="{FF2B5EF4-FFF2-40B4-BE49-F238E27FC236}">
              <a16:creationId xmlns:a16="http://schemas.microsoft.com/office/drawing/2014/main" id="{73FD2F9B-DA2D-4921-BCC8-9A9ABB4C81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2410641" y="59890478"/>
          <a:ext cx="1481002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4</xdr:col>
      <xdr:colOff>149677</xdr:colOff>
      <xdr:row>87</xdr:row>
      <xdr:rowOff>217715</xdr:rowOff>
    </xdr:from>
    <xdr:ext cx="2682875" cy="771525"/>
    <xdr:pic>
      <xdr:nvPicPr>
        <xdr:cNvPr id="178" name="Picture 55">
          <a:extLst>
            <a:ext uri="{FF2B5EF4-FFF2-40B4-BE49-F238E27FC236}">
              <a16:creationId xmlns:a16="http://schemas.microsoft.com/office/drawing/2014/main" id="{608727F3-7658-4D9C-829E-E0599B00F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2320" y="59953072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299357</xdr:colOff>
      <xdr:row>88</xdr:row>
      <xdr:rowOff>244929</xdr:rowOff>
    </xdr:from>
    <xdr:ext cx="4537075" cy="904875"/>
    <xdr:pic>
      <xdr:nvPicPr>
        <xdr:cNvPr id="179" name="Picture 58">
          <a:extLst>
            <a:ext uri="{FF2B5EF4-FFF2-40B4-BE49-F238E27FC236}">
              <a16:creationId xmlns:a16="http://schemas.microsoft.com/office/drawing/2014/main" id="{FC8B1EDB-D45A-42B0-BC91-F84A0506D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5357" y="61272965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517071</xdr:colOff>
      <xdr:row>89</xdr:row>
      <xdr:rowOff>108857</xdr:rowOff>
    </xdr:from>
    <xdr:ext cx="4014107" cy="1149199"/>
    <xdr:pic>
      <xdr:nvPicPr>
        <xdr:cNvPr id="180" name="Imagen 179">
          <a:extLst>
            <a:ext uri="{FF2B5EF4-FFF2-40B4-BE49-F238E27FC236}">
              <a16:creationId xmlns:a16="http://schemas.microsoft.com/office/drawing/2014/main" id="{7B2AC2F6-06FD-46C4-BDF1-BB0990A70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62361536"/>
          <a:ext cx="4014107" cy="1149199"/>
        </a:xfrm>
        <a:prstGeom prst="rect">
          <a:avLst/>
        </a:prstGeom>
      </xdr:spPr>
    </xdr:pic>
    <xdr:clientData/>
  </xdr:oneCellAnchor>
  <xdr:oneCellAnchor>
    <xdr:from>
      <xdr:col>3</xdr:col>
      <xdr:colOff>1061359</xdr:colOff>
      <xdr:row>90</xdr:row>
      <xdr:rowOff>9385</xdr:rowOff>
    </xdr:from>
    <xdr:ext cx="2911928" cy="1324116"/>
    <xdr:pic>
      <xdr:nvPicPr>
        <xdr:cNvPr id="181" name="Imagen 180" descr="Camión de 5 ejes en formato PSD, descarga gratuita">
          <a:extLst>
            <a:ext uri="{FF2B5EF4-FFF2-40B4-BE49-F238E27FC236}">
              <a16:creationId xmlns:a16="http://schemas.microsoft.com/office/drawing/2014/main" id="{F1D7CE9D-4FE1-4583-8618-E700400F99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3347359" y="63581956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367395</xdr:colOff>
      <xdr:row>86</xdr:row>
      <xdr:rowOff>183243</xdr:rowOff>
    </xdr:from>
    <xdr:ext cx="1619250" cy="1079500"/>
    <xdr:pic>
      <xdr:nvPicPr>
        <xdr:cNvPr id="182" name="Imagen 181">
          <a:extLst>
            <a:ext uri="{FF2B5EF4-FFF2-40B4-BE49-F238E27FC236}">
              <a16:creationId xmlns:a16="http://schemas.microsoft.com/office/drawing/2014/main" id="{A9B126AE-DA7D-4C9E-A2BE-5DEFB8A6F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5" y="58530672"/>
          <a:ext cx="1619250" cy="1079500"/>
        </a:xfrm>
        <a:prstGeom prst="rect">
          <a:avLst/>
        </a:prstGeom>
      </xdr:spPr>
    </xdr:pic>
    <xdr:clientData/>
  </xdr:oneCellAnchor>
  <xdr:oneCellAnchor>
    <xdr:from>
      <xdr:col>4</xdr:col>
      <xdr:colOff>1456287</xdr:colOff>
      <xdr:row>84</xdr:row>
      <xdr:rowOff>12809</xdr:rowOff>
    </xdr:from>
    <xdr:ext cx="1496464" cy="1122348"/>
    <xdr:pic>
      <xdr:nvPicPr>
        <xdr:cNvPr id="183" name="Imagen 182">
          <a:extLst>
            <a:ext uri="{FF2B5EF4-FFF2-40B4-BE49-F238E27FC236}">
              <a16:creationId xmlns:a16="http://schemas.microsoft.com/office/drawing/2014/main" id="{AEDECC40-2647-4761-A926-0D343707B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930" y="55951773"/>
          <a:ext cx="1496464" cy="1122348"/>
        </a:xfrm>
        <a:prstGeom prst="rect">
          <a:avLst/>
        </a:prstGeom>
      </xdr:spPr>
    </xdr:pic>
    <xdr:clientData/>
  </xdr:oneCellAnchor>
  <xdr:oneCellAnchor>
    <xdr:from>
      <xdr:col>3</xdr:col>
      <xdr:colOff>1755964</xdr:colOff>
      <xdr:row>84</xdr:row>
      <xdr:rowOff>367394</xdr:rowOff>
    </xdr:from>
    <xdr:ext cx="1568828" cy="784414"/>
    <xdr:pic>
      <xdr:nvPicPr>
        <xdr:cNvPr id="184" name="Imagen 183">
          <a:extLst>
            <a:ext uri="{FF2B5EF4-FFF2-40B4-BE49-F238E27FC236}">
              <a16:creationId xmlns:a16="http://schemas.microsoft.com/office/drawing/2014/main" id="{F6DA94EC-6924-4A6E-BE7A-43C7E3B5F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964" y="56306358"/>
          <a:ext cx="1568828" cy="784414"/>
        </a:xfrm>
        <a:prstGeom prst="rect">
          <a:avLst/>
        </a:prstGeom>
      </xdr:spPr>
    </xdr:pic>
    <xdr:clientData/>
  </xdr:oneCellAnchor>
  <xdr:oneCellAnchor>
    <xdr:from>
      <xdr:col>4</xdr:col>
      <xdr:colOff>545250</xdr:colOff>
      <xdr:row>85</xdr:row>
      <xdr:rowOff>140999</xdr:rowOff>
    </xdr:from>
    <xdr:ext cx="1974309" cy="1151680"/>
    <xdr:pic>
      <xdr:nvPicPr>
        <xdr:cNvPr id="185" name="Imagen 184">
          <a:extLst>
            <a:ext uri="{FF2B5EF4-FFF2-40B4-BE49-F238E27FC236}">
              <a16:creationId xmlns:a16="http://schemas.microsoft.com/office/drawing/2014/main" id="{970D02AC-274B-47A0-8EE3-8CC19494F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893" y="57168535"/>
          <a:ext cx="1974309" cy="1151680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84</xdr:row>
      <xdr:rowOff>147392</xdr:rowOff>
    </xdr:from>
    <xdr:ext cx="1755321" cy="987368"/>
    <xdr:pic>
      <xdr:nvPicPr>
        <xdr:cNvPr id="186" name="Imagen 185">
          <a:extLst>
            <a:ext uri="{FF2B5EF4-FFF2-40B4-BE49-F238E27FC236}">
              <a16:creationId xmlns:a16="http://schemas.microsoft.com/office/drawing/2014/main" id="{BB05318A-E966-4DF2-95AD-B26FA4E45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56086356"/>
          <a:ext cx="1755321" cy="987368"/>
        </a:xfrm>
        <a:prstGeom prst="rect">
          <a:avLst/>
        </a:prstGeom>
      </xdr:spPr>
    </xdr:pic>
    <xdr:clientData/>
  </xdr:oneCellAnchor>
  <xdr:oneCellAnchor>
    <xdr:from>
      <xdr:col>4</xdr:col>
      <xdr:colOff>709177</xdr:colOff>
      <xdr:row>86</xdr:row>
      <xdr:rowOff>77380</xdr:rowOff>
    </xdr:from>
    <xdr:ext cx="2066680" cy="1205563"/>
    <xdr:pic>
      <xdr:nvPicPr>
        <xdr:cNvPr id="187" name="Imagen 186">
          <a:extLst>
            <a:ext uri="{FF2B5EF4-FFF2-40B4-BE49-F238E27FC236}">
              <a16:creationId xmlns:a16="http://schemas.microsoft.com/office/drawing/2014/main" id="{B69E0CCA-FB56-459C-9CDB-46F24FF6E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820" y="58424809"/>
          <a:ext cx="2066680" cy="1205563"/>
        </a:xfrm>
        <a:prstGeom prst="rect">
          <a:avLst/>
        </a:prstGeom>
      </xdr:spPr>
    </xdr:pic>
    <xdr:clientData/>
  </xdr:oneCellAnchor>
  <xdr:twoCellAnchor>
    <xdr:from>
      <xdr:col>36</xdr:col>
      <xdr:colOff>478270</xdr:colOff>
      <xdr:row>6</xdr:row>
      <xdr:rowOff>308901</xdr:rowOff>
    </xdr:from>
    <xdr:to>
      <xdr:col>43</xdr:col>
      <xdr:colOff>193885</xdr:colOff>
      <xdr:row>7</xdr:row>
      <xdr:rowOff>1280139</xdr:rowOff>
    </xdr:to>
    <xdr:graphicFrame macro="">
      <xdr:nvGraphicFramePr>
        <xdr:cNvPr id="97" name="Gráfico 96">
          <a:extLst>
            <a:ext uri="{FF2B5EF4-FFF2-40B4-BE49-F238E27FC236}">
              <a16:creationId xmlns:a16="http://schemas.microsoft.com/office/drawing/2014/main" id="{D8A5C713-A7C2-44FC-BF56-D23CE9762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36</xdr:col>
      <xdr:colOff>499182</xdr:colOff>
      <xdr:row>19</xdr:row>
      <xdr:rowOff>769925</xdr:rowOff>
    </xdr:from>
    <xdr:to>
      <xdr:col>43</xdr:col>
      <xdr:colOff>214798</xdr:colOff>
      <xdr:row>21</xdr:row>
      <xdr:rowOff>689781</xdr:rowOff>
    </xdr:to>
    <xdr:graphicFrame macro="">
      <xdr:nvGraphicFramePr>
        <xdr:cNvPr id="98" name="Gráfico 97">
          <a:extLst>
            <a:ext uri="{FF2B5EF4-FFF2-40B4-BE49-F238E27FC236}">
              <a16:creationId xmlns:a16="http://schemas.microsoft.com/office/drawing/2014/main" id="{96DE9C16-2DB1-4ED6-ADD7-4FBA20249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36</xdr:col>
      <xdr:colOff>538626</xdr:colOff>
      <xdr:row>32</xdr:row>
      <xdr:rowOff>142655</xdr:rowOff>
    </xdr:from>
    <xdr:to>
      <xdr:col>43</xdr:col>
      <xdr:colOff>263927</xdr:colOff>
      <xdr:row>34</xdr:row>
      <xdr:rowOff>3621</xdr:rowOff>
    </xdr:to>
    <xdr:graphicFrame macro="">
      <xdr:nvGraphicFramePr>
        <xdr:cNvPr id="99" name="Gráfico 98">
          <a:extLst>
            <a:ext uri="{FF2B5EF4-FFF2-40B4-BE49-F238E27FC236}">
              <a16:creationId xmlns:a16="http://schemas.microsoft.com/office/drawing/2014/main" id="{51BF4C4E-ABD9-4E78-ABE1-887BA9E4C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37</xdr:col>
      <xdr:colOff>128125</xdr:colOff>
      <xdr:row>45</xdr:row>
      <xdr:rowOff>543762</xdr:rowOff>
    </xdr:from>
    <xdr:to>
      <xdr:col>43</xdr:col>
      <xdr:colOff>612198</xdr:colOff>
      <xdr:row>47</xdr:row>
      <xdr:rowOff>351013</xdr:rowOff>
    </xdr:to>
    <xdr:graphicFrame macro="">
      <xdr:nvGraphicFramePr>
        <xdr:cNvPr id="100" name="Gráfico 99">
          <a:extLst>
            <a:ext uri="{FF2B5EF4-FFF2-40B4-BE49-F238E27FC236}">
              <a16:creationId xmlns:a16="http://schemas.microsoft.com/office/drawing/2014/main" id="{6836AA30-78C1-4E68-B798-86533B0E3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37</xdr:col>
      <xdr:colOff>519546</xdr:colOff>
      <xdr:row>59</xdr:row>
      <xdr:rowOff>848590</xdr:rowOff>
    </xdr:from>
    <xdr:to>
      <xdr:col>44</xdr:col>
      <xdr:colOff>241619</xdr:colOff>
      <xdr:row>61</xdr:row>
      <xdr:rowOff>475615</xdr:rowOff>
    </xdr:to>
    <xdr:graphicFrame macro="">
      <xdr:nvGraphicFramePr>
        <xdr:cNvPr id="101" name="Gráfico 100">
          <a:extLst>
            <a:ext uri="{FF2B5EF4-FFF2-40B4-BE49-F238E27FC236}">
              <a16:creationId xmlns:a16="http://schemas.microsoft.com/office/drawing/2014/main" id="{804F451A-8DFF-44AE-9877-1BFF5A157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37</xdr:col>
      <xdr:colOff>0</xdr:colOff>
      <xdr:row>71</xdr:row>
      <xdr:rowOff>329046</xdr:rowOff>
    </xdr:from>
    <xdr:to>
      <xdr:col>43</xdr:col>
      <xdr:colOff>484073</xdr:colOff>
      <xdr:row>73</xdr:row>
      <xdr:rowOff>226263</xdr:rowOff>
    </xdr:to>
    <xdr:graphicFrame macro="">
      <xdr:nvGraphicFramePr>
        <xdr:cNvPr id="102" name="Gráfico 101">
          <a:extLst>
            <a:ext uri="{FF2B5EF4-FFF2-40B4-BE49-F238E27FC236}">
              <a16:creationId xmlns:a16="http://schemas.microsoft.com/office/drawing/2014/main" id="{75F35FB9-969F-4CE1-AFAB-CA4F8697A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37</xdr:col>
      <xdr:colOff>42123</xdr:colOff>
      <xdr:row>84</xdr:row>
      <xdr:rowOff>380266</xdr:rowOff>
    </xdr:from>
    <xdr:to>
      <xdr:col>43</xdr:col>
      <xdr:colOff>529424</xdr:colOff>
      <xdr:row>86</xdr:row>
      <xdr:rowOff>86690</xdr:rowOff>
    </xdr:to>
    <xdr:graphicFrame macro="">
      <xdr:nvGraphicFramePr>
        <xdr:cNvPr id="103" name="Gráfico 102">
          <a:extLst>
            <a:ext uri="{FF2B5EF4-FFF2-40B4-BE49-F238E27FC236}">
              <a16:creationId xmlns:a16="http://schemas.microsoft.com/office/drawing/2014/main" id="{3F6EDDCF-C1A9-43E1-A65C-001D0A9B4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oneCellAnchor>
    <xdr:from>
      <xdr:col>2</xdr:col>
      <xdr:colOff>680358</xdr:colOff>
      <xdr:row>19</xdr:row>
      <xdr:rowOff>147392</xdr:rowOff>
    </xdr:from>
    <xdr:ext cx="1755321" cy="987368"/>
    <xdr:pic>
      <xdr:nvPicPr>
        <xdr:cNvPr id="6" name="Imagen 5">
          <a:extLst>
            <a:ext uri="{FF2B5EF4-FFF2-40B4-BE49-F238E27FC236}">
              <a16:creationId xmlns:a16="http://schemas.microsoft.com/office/drawing/2014/main" id="{5BADDDE9-547E-4225-9F0F-9107ABEEF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1896528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32</xdr:row>
      <xdr:rowOff>147392</xdr:rowOff>
    </xdr:from>
    <xdr:ext cx="1755321" cy="987368"/>
    <xdr:pic>
      <xdr:nvPicPr>
        <xdr:cNvPr id="8" name="Imagen 7">
          <a:extLst>
            <a:ext uri="{FF2B5EF4-FFF2-40B4-BE49-F238E27FC236}">
              <a16:creationId xmlns:a16="http://schemas.microsoft.com/office/drawing/2014/main" id="{2028126B-6613-42E6-B1A9-AA7AB9341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1896528"/>
          <a:ext cx="1755321" cy="987368"/>
        </a:xfrm>
        <a:prstGeom prst="rect">
          <a:avLst/>
        </a:prstGeom>
      </xdr:spPr>
    </xdr:pic>
    <xdr:clientData/>
  </xdr:oneCellAnchor>
  <xdr:twoCellAnchor editAs="oneCell">
    <xdr:from>
      <xdr:col>5</xdr:col>
      <xdr:colOff>0</xdr:colOff>
      <xdr:row>8</xdr:row>
      <xdr:rowOff>0</xdr:rowOff>
    </xdr:from>
    <xdr:to>
      <xdr:col>5</xdr:col>
      <xdr:colOff>295275</xdr:colOff>
      <xdr:row>9</xdr:row>
      <xdr:rowOff>438150</xdr:rowOff>
    </xdr:to>
    <xdr:sp macro="" textlink="">
      <xdr:nvSpPr>
        <xdr:cNvPr id="10" name="AutoShape 5" descr="Autos y Camionetas | MercadoLibre.com.bo">
          <a:extLst>
            <a:ext uri="{FF2B5EF4-FFF2-40B4-BE49-F238E27FC236}">
              <a16:creationId xmlns:a16="http://schemas.microsoft.com/office/drawing/2014/main" id="{65664AA3-0DDD-4CE0-95F6-9A12586CC899}"/>
            </a:ext>
          </a:extLst>
        </xdr:cNvPr>
        <xdr:cNvSpPr>
          <a:spLocks noChangeAspect="1" noChangeArrowheads="1"/>
        </xdr:cNvSpPr>
      </xdr:nvSpPr>
      <xdr:spPr bwMode="auto">
        <a:xfrm>
          <a:off x="8105775" y="7667625"/>
          <a:ext cx="295275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295275</xdr:colOff>
      <xdr:row>11</xdr:row>
      <xdr:rowOff>438150</xdr:rowOff>
    </xdr:to>
    <xdr:sp macro="" textlink="">
      <xdr:nvSpPr>
        <xdr:cNvPr id="12" name="AutoShape 7" descr="Autos y Camionetas | MercadoLibre.com.bo">
          <a:extLst>
            <a:ext uri="{FF2B5EF4-FFF2-40B4-BE49-F238E27FC236}">
              <a16:creationId xmlns:a16="http://schemas.microsoft.com/office/drawing/2014/main" id="{44A9D6B0-0FAA-4226-B0B6-5BC9FDF8D082}"/>
            </a:ext>
          </a:extLst>
        </xdr:cNvPr>
        <xdr:cNvSpPr>
          <a:spLocks noChangeAspect="1" noChangeArrowheads="1"/>
        </xdr:cNvSpPr>
      </xdr:nvSpPr>
      <xdr:spPr bwMode="auto">
        <a:xfrm>
          <a:off x="8105775" y="11210925"/>
          <a:ext cx="295275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295275</xdr:colOff>
      <xdr:row>8</xdr:row>
      <xdr:rowOff>438150</xdr:rowOff>
    </xdr:to>
    <xdr:sp macro="" textlink="">
      <xdr:nvSpPr>
        <xdr:cNvPr id="14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EAA166E0-288B-4E1E-9286-0DF0BB51A4EC}"/>
            </a:ext>
          </a:extLst>
        </xdr:cNvPr>
        <xdr:cNvSpPr>
          <a:spLocks noChangeAspect="1" noChangeArrowheads="1"/>
        </xdr:cNvSpPr>
      </xdr:nvSpPr>
      <xdr:spPr bwMode="auto">
        <a:xfrm>
          <a:off x="8105775" y="5895975"/>
          <a:ext cx="295275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8</xdr:row>
      <xdr:rowOff>0</xdr:rowOff>
    </xdr:from>
    <xdr:ext cx="304800" cy="1771650"/>
    <xdr:sp macro="" textlink="">
      <xdr:nvSpPr>
        <xdr:cNvPr id="19" name="AutoShape 5" descr="Autos y Camionetas | MercadoLibre.com.bo">
          <a:extLst>
            <a:ext uri="{FF2B5EF4-FFF2-40B4-BE49-F238E27FC236}">
              <a16:creationId xmlns:a16="http://schemas.microsoft.com/office/drawing/2014/main" id="{E19AD28B-C47D-4C91-BA85-4CFCDB083967}"/>
            </a:ext>
          </a:extLst>
        </xdr:cNvPr>
        <xdr:cNvSpPr>
          <a:spLocks noChangeAspect="1" noChangeArrowheads="1"/>
        </xdr:cNvSpPr>
      </xdr:nvSpPr>
      <xdr:spPr bwMode="auto">
        <a:xfrm>
          <a:off x="8105775" y="76676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1771650"/>
    <xdr:sp macro="" textlink="">
      <xdr:nvSpPr>
        <xdr:cNvPr id="20" name="AutoShape 7" descr="Autos y Camionetas | MercadoLibre.com.bo">
          <a:extLst>
            <a:ext uri="{FF2B5EF4-FFF2-40B4-BE49-F238E27FC236}">
              <a16:creationId xmlns:a16="http://schemas.microsoft.com/office/drawing/2014/main" id="{0DC99A54-C576-48FB-9918-E641D49D0720}"/>
            </a:ext>
          </a:extLst>
        </xdr:cNvPr>
        <xdr:cNvSpPr>
          <a:spLocks noChangeAspect="1" noChangeArrowheads="1"/>
        </xdr:cNvSpPr>
      </xdr:nvSpPr>
      <xdr:spPr bwMode="auto">
        <a:xfrm>
          <a:off x="8105775" y="112109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1771650"/>
    <xdr:sp macro="" textlink="">
      <xdr:nvSpPr>
        <xdr:cNvPr id="21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FCCEBE16-7F35-4707-B9B3-A87E78CB6313}"/>
            </a:ext>
          </a:extLst>
        </xdr:cNvPr>
        <xdr:cNvSpPr>
          <a:spLocks noChangeAspect="1" noChangeArrowheads="1"/>
        </xdr:cNvSpPr>
      </xdr:nvSpPr>
      <xdr:spPr bwMode="auto">
        <a:xfrm>
          <a:off x="8105775" y="58959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</xdr:row>
      <xdr:rowOff>0</xdr:rowOff>
    </xdr:from>
    <xdr:ext cx="304800" cy="1771650"/>
    <xdr:sp macro="" textlink="">
      <xdr:nvSpPr>
        <xdr:cNvPr id="24" name="AutoShape 5" descr="Autos y Camionetas | MercadoLibre.com.bo">
          <a:extLst>
            <a:ext uri="{FF2B5EF4-FFF2-40B4-BE49-F238E27FC236}">
              <a16:creationId xmlns:a16="http://schemas.microsoft.com/office/drawing/2014/main" id="{AFC19EB7-5D52-435E-84A5-BC8BFFF14E08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50317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</xdr:row>
      <xdr:rowOff>0</xdr:rowOff>
    </xdr:from>
    <xdr:ext cx="304800" cy="1771650"/>
    <xdr:sp macro="" textlink="">
      <xdr:nvSpPr>
        <xdr:cNvPr id="26" name="AutoShape 7" descr="Autos y Camionetas | MercadoLibre.com.bo">
          <a:extLst>
            <a:ext uri="{FF2B5EF4-FFF2-40B4-BE49-F238E27FC236}">
              <a16:creationId xmlns:a16="http://schemas.microsoft.com/office/drawing/2014/main" id="{53E7B309-F578-4441-AF91-F2D86410E7C3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85750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1771650"/>
    <xdr:sp macro="" textlink="">
      <xdr:nvSpPr>
        <xdr:cNvPr id="27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621ADBD8-8DE4-48E0-83F0-BB2D71FD02D1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326005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</xdr:row>
      <xdr:rowOff>0</xdr:rowOff>
    </xdr:from>
    <xdr:ext cx="304800" cy="1771650"/>
    <xdr:sp macro="" textlink="">
      <xdr:nvSpPr>
        <xdr:cNvPr id="64" name="AutoShape 5" descr="Autos y Camionetas | MercadoLibre.com.bo">
          <a:extLst>
            <a:ext uri="{FF2B5EF4-FFF2-40B4-BE49-F238E27FC236}">
              <a16:creationId xmlns:a16="http://schemas.microsoft.com/office/drawing/2014/main" id="{CA46830A-C842-4318-B3FD-48D806D52A4E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50317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</xdr:row>
      <xdr:rowOff>0</xdr:rowOff>
    </xdr:from>
    <xdr:ext cx="304800" cy="1771650"/>
    <xdr:sp macro="" textlink="">
      <xdr:nvSpPr>
        <xdr:cNvPr id="65" name="AutoShape 7" descr="Autos y Camionetas | MercadoLibre.com.bo">
          <a:extLst>
            <a:ext uri="{FF2B5EF4-FFF2-40B4-BE49-F238E27FC236}">
              <a16:creationId xmlns:a16="http://schemas.microsoft.com/office/drawing/2014/main" id="{DCB5E835-BF96-40FE-9FC4-54084168A29D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85750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1771650"/>
    <xdr:sp macro="" textlink="">
      <xdr:nvSpPr>
        <xdr:cNvPr id="66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3CFFA5C1-B3AA-4BCE-AA8D-F76E3B7BE5AE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326005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</xdr:row>
      <xdr:rowOff>0</xdr:rowOff>
    </xdr:from>
    <xdr:ext cx="304800" cy="1771650"/>
    <xdr:sp macro="" textlink="">
      <xdr:nvSpPr>
        <xdr:cNvPr id="67" name="AutoShape 5" descr="Autos y Camionetas | MercadoLibre.com.bo">
          <a:extLst>
            <a:ext uri="{FF2B5EF4-FFF2-40B4-BE49-F238E27FC236}">
              <a16:creationId xmlns:a16="http://schemas.microsoft.com/office/drawing/2014/main" id="{29279A54-FA8F-4FD3-8156-D0AFDC5CF125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50317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</xdr:row>
      <xdr:rowOff>0</xdr:rowOff>
    </xdr:from>
    <xdr:ext cx="304800" cy="1771650"/>
    <xdr:sp macro="" textlink="">
      <xdr:nvSpPr>
        <xdr:cNvPr id="68" name="AutoShape 7" descr="Autos y Camionetas | MercadoLibre.com.bo">
          <a:extLst>
            <a:ext uri="{FF2B5EF4-FFF2-40B4-BE49-F238E27FC236}">
              <a16:creationId xmlns:a16="http://schemas.microsoft.com/office/drawing/2014/main" id="{7644874F-2EED-4B1A-BD49-5B95D5587255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85750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1771650"/>
    <xdr:sp macro="" textlink="">
      <xdr:nvSpPr>
        <xdr:cNvPr id="69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01CE2B3B-C650-48A7-B391-48D01EC26FE4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326005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</xdr:row>
      <xdr:rowOff>0</xdr:rowOff>
    </xdr:from>
    <xdr:ext cx="302079" cy="1768928"/>
    <xdr:sp macro="" textlink="">
      <xdr:nvSpPr>
        <xdr:cNvPr id="70" name="AutoShape 5" descr="Autos y Camionetas | MercadoLibre.com.bo">
          <a:extLst>
            <a:ext uri="{FF2B5EF4-FFF2-40B4-BE49-F238E27FC236}">
              <a16:creationId xmlns:a16="http://schemas.microsoft.com/office/drawing/2014/main" id="{6481D9D6-4BF6-400E-A300-0A38A748E380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5031700"/>
          <a:ext cx="302079" cy="1768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</xdr:row>
      <xdr:rowOff>0</xdr:rowOff>
    </xdr:from>
    <xdr:ext cx="302079" cy="1768928"/>
    <xdr:sp macro="" textlink="">
      <xdr:nvSpPr>
        <xdr:cNvPr id="71" name="AutoShape 7" descr="Autos y Camionetas | MercadoLibre.com.bo">
          <a:extLst>
            <a:ext uri="{FF2B5EF4-FFF2-40B4-BE49-F238E27FC236}">
              <a16:creationId xmlns:a16="http://schemas.microsoft.com/office/drawing/2014/main" id="{45B9CFBA-7F2D-4A27-BFAD-A6E158AF65F3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8575000"/>
          <a:ext cx="302079" cy="1768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2079" cy="1768929"/>
    <xdr:sp macro="" textlink="">
      <xdr:nvSpPr>
        <xdr:cNvPr id="72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CD252D69-8EFC-4672-87DF-B6AB8C0C3F6D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3260050"/>
          <a:ext cx="302079" cy="1768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</xdr:row>
      <xdr:rowOff>0</xdr:rowOff>
    </xdr:from>
    <xdr:ext cx="304800" cy="1771650"/>
    <xdr:sp macro="" textlink="">
      <xdr:nvSpPr>
        <xdr:cNvPr id="73" name="AutoShape 5" descr="Autos y Camionetas | MercadoLibre.com.bo">
          <a:extLst>
            <a:ext uri="{FF2B5EF4-FFF2-40B4-BE49-F238E27FC236}">
              <a16:creationId xmlns:a16="http://schemas.microsoft.com/office/drawing/2014/main" id="{AA335083-7938-4F24-A50B-8365E53DE76B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50317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</xdr:row>
      <xdr:rowOff>0</xdr:rowOff>
    </xdr:from>
    <xdr:ext cx="304800" cy="1771650"/>
    <xdr:sp macro="" textlink="">
      <xdr:nvSpPr>
        <xdr:cNvPr id="74" name="AutoShape 7" descr="Autos y Camionetas | MercadoLibre.com.bo">
          <a:extLst>
            <a:ext uri="{FF2B5EF4-FFF2-40B4-BE49-F238E27FC236}">
              <a16:creationId xmlns:a16="http://schemas.microsoft.com/office/drawing/2014/main" id="{36FDDD7C-C7F6-4406-8167-B50AEBFB242D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85750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1771650"/>
    <xdr:sp macro="" textlink="">
      <xdr:nvSpPr>
        <xdr:cNvPr id="75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340A48EA-5986-41B4-941F-734B06BFAFD1}"/>
            </a:ext>
          </a:extLst>
        </xdr:cNvPr>
        <xdr:cNvSpPr>
          <a:spLocks noChangeAspect="1" noChangeArrowheads="1"/>
        </xdr:cNvSpPr>
      </xdr:nvSpPr>
      <xdr:spPr bwMode="auto">
        <a:xfrm>
          <a:off x="8105775" y="2326005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1771650"/>
    <xdr:sp macro="" textlink="">
      <xdr:nvSpPr>
        <xdr:cNvPr id="196" name="AutoShape 5" descr="Autos y Camionetas | MercadoLibre.com.bo">
          <a:extLst>
            <a:ext uri="{FF2B5EF4-FFF2-40B4-BE49-F238E27FC236}">
              <a16:creationId xmlns:a16="http://schemas.microsoft.com/office/drawing/2014/main" id="{E21E3139-9996-4DAF-B028-25BB5F1B95EE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23957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1771650"/>
    <xdr:sp macro="" textlink="">
      <xdr:nvSpPr>
        <xdr:cNvPr id="197" name="AutoShape 7" descr="Autos y Camionetas | MercadoLibre.com.bo">
          <a:extLst>
            <a:ext uri="{FF2B5EF4-FFF2-40B4-BE49-F238E27FC236}">
              <a16:creationId xmlns:a16="http://schemas.microsoft.com/office/drawing/2014/main" id="{EBE06A44-B145-4B45-A768-9696C4AE1B25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59390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1771650"/>
    <xdr:sp macro="" textlink="">
      <xdr:nvSpPr>
        <xdr:cNvPr id="198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ED09E8D4-C995-43CE-8CFD-1302B9542C13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06241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1771650"/>
    <xdr:sp macro="" textlink="">
      <xdr:nvSpPr>
        <xdr:cNvPr id="203" name="AutoShape 5" descr="Autos y Camionetas | MercadoLibre.com.bo">
          <a:extLst>
            <a:ext uri="{FF2B5EF4-FFF2-40B4-BE49-F238E27FC236}">
              <a16:creationId xmlns:a16="http://schemas.microsoft.com/office/drawing/2014/main" id="{984B2F02-9DBD-4B0F-88A8-B91CBD270D3D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23957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1771650"/>
    <xdr:sp macro="" textlink="">
      <xdr:nvSpPr>
        <xdr:cNvPr id="204" name="AutoShape 7" descr="Autos y Camionetas | MercadoLibre.com.bo">
          <a:extLst>
            <a:ext uri="{FF2B5EF4-FFF2-40B4-BE49-F238E27FC236}">
              <a16:creationId xmlns:a16="http://schemas.microsoft.com/office/drawing/2014/main" id="{C2930666-B18E-41FF-9959-614D64930CE4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59390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1771650"/>
    <xdr:sp macro="" textlink="">
      <xdr:nvSpPr>
        <xdr:cNvPr id="205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770C71D6-6E38-472E-8E7F-969DFB2CD1AE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06241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1771650"/>
    <xdr:sp macro="" textlink="">
      <xdr:nvSpPr>
        <xdr:cNvPr id="206" name="AutoShape 5" descr="Autos y Camionetas | MercadoLibre.com.bo">
          <a:extLst>
            <a:ext uri="{FF2B5EF4-FFF2-40B4-BE49-F238E27FC236}">
              <a16:creationId xmlns:a16="http://schemas.microsoft.com/office/drawing/2014/main" id="{AB78BCA9-9F4B-4613-BC6F-914D2C6EF972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23957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1771650"/>
    <xdr:sp macro="" textlink="">
      <xdr:nvSpPr>
        <xdr:cNvPr id="207" name="AutoShape 7" descr="Autos y Camionetas | MercadoLibre.com.bo">
          <a:extLst>
            <a:ext uri="{FF2B5EF4-FFF2-40B4-BE49-F238E27FC236}">
              <a16:creationId xmlns:a16="http://schemas.microsoft.com/office/drawing/2014/main" id="{53F15938-94A1-41B0-A4A3-08ED1EC0DAF9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59390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1771650"/>
    <xdr:sp macro="" textlink="">
      <xdr:nvSpPr>
        <xdr:cNvPr id="208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30BE9CCE-90BF-401C-81E3-13AAECA20D17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06241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1771650"/>
    <xdr:sp macro="" textlink="">
      <xdr:nvSpPr>
        <xdr:cNvPr id="209" name="AutoShape 5" descr="Autos y Camionetas | MercadoLibre.com.bo">
          <a:extLst>
            <a:ext uri="{FF2B5EF4-FFF2-40B4-BE49-F238E27FC236}">
              <a16:creationId xmlns:a16="http://schemas.microsoft.com/office/drawing/2014/main" id="{26CC372F-ECA8-49CC-867E-67A2A276DD1A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23957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1771650"/>
    <xdr:sp macro="" textlink="">
      <xdr:nvSpPr>
        <xdr:cNvPr id="210" name="AutoShape 7" descr="Autos y Camionetas | MercadoLibre.com.bo">
          <a:extLst>
            <a:ext uri="{FF2B5EF4-FFF2-40B4-BE49-F238E27FC236}">
              <a16:creationId xmlns:a16="http://schemas.microsoft.com/office/drawing/2014/main" id="{DE4DDA11-F7F2-4D1F-8BB3-13C2F7E3E055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59390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1771650"/>
    <xdr:sp macro="" textlink="">
      <xdr:nvSpPr>
        <xdr:cNvPr id="211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5F28FD3F-0ECE-404E-B32E-60EE51290F48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06241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1771650"/>
    <xdr:sp macro="" textlink="">
      <xdr:nvSpPr>
        <xdr:cNvPr id="212" name="AutoShape 5" descr="Autos y Camionetas | MercadoLibre.com.bo">
          <a:extLst>
            <a:ext uri="{FF2B5EF4-FFF2-40B4-BE49-F238E27FC236}">
              <a16:creationId xmlns:a16="http://schemas.microsoft.com/office/drawing/2014/main" id="{15DCDC7E-86EF-4E17-AF38-0D416727BA3C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23957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1771650"/>
    <xdr:sp macro="" textlink="">
      <xdr:nvSpPr>
        <xdr:cNvPr id="213" name="AutoShape 7" descr="Autos y Camionetas | MercadoLibre.com.bo">
          <a:extLst>
            <a:ext uri="{FF2B5EF4-FFF2-40B4-BE49-F238E27FC236}">
              <a16:creationId xmlns:a16="http://schemas.microsoft.com/office/drawing/2014/main" id="{B19762EB-303B-44C9-8425-F34528E8B4D5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59390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1771650"/>
    <xdr:sp macro="" textlink="">
      <xdr:nvSpPr>
        <xdr:cNvPr id="214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2E6CFB40-6A0E-4FBF-9F04-7FCBE9CE5272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06241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1771650"/>
    <xdr:sp macro="" textlink="">
      <xdr:nvSpPr>
        <xdr:cNvPr id="219" name="AutoShape 5" descr="Autos y Camionetas | MercadoLibre.com.bo">
          <a:extLst>
            <a:ext uri="{FF2B5EF4-FFF2-40B4-BE49-F238E27FC236}">
              <a16:creationId xmlns:a16="http://schemas.microsoft.com/office/drawing/2014/main" id="{A1589BED-DE86-4E0C-B057-A2DA20626E08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23957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1771650"/>
    <xdr:sp macro="" textlink="">
      <xdr:nvSpPr>
        <xdr:cNvPr id="220" name="AutoShape 7" descr="Autos y Camionetas | MercadoLibre.com.bo">
          <a:extLst>
            <a:ext uri="{FF2B5EF4-FFF2-40B4-BE49-F238E27FC236}">
              <a16:creationId xmlns:a16="http://schemas.microsoft.com/office/drawing/2014/main" id="{9801FD35-8714-4A2C-A422-BB927E646949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59390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1771650"/>
    <xdr:sp macro="" textlink="">
      <xdr:nvSpPr>
        <xdr:cNvPr id="221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268F1B80-0DD6-4660-9F4F-020583E12CF4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06241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1771650"/>
    <xdr:sp macro="" textlink="">
      <xdr:nvSpPr>
        <xdr:cNvPr id="222" name="AutoShape 5" descr="Autos y Camionetas | MercadoLibre.com.bo">
          <a:extLst>
            <a:ext uri="{FF2B5EF4-FFF2-40B4-BE49-F238E27FC236}">
              <a16:creationId xmlns:a16="http://schemas.microsoft.com/office/drawing/2014/main" id="{9084F41A-BD55-42D5-B7F5-75B4252F03BD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23957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1771650"/>
    <xdr:sp macro="" textlink="">
      <xdr:nvSpPr>
        <xdr:cNvPr id="223" name="AutoShape 7" descr="Autos y Camionetas | MercadoLibre.com.bo">
          <a:extLst>
            <a:ext uri="{FF2B5EF4-FFF2-40B4-BE49-F238E27FC236}">
              <a16:creationId xmlns:a16="http://schemas.microsoft.com/office/drawing/2014/main" id="{DE5DD5C3-057D-4A8F-9FD8-6FE7FC62A6D2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59390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1771650"/>
    <xdr:sp macro="" textlink="">
      <xdr:nvSpPr>
        <xdr:cNvPr id="224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B3D6B835-01BC-4710-8649-A70F9F8C7A8F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06241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2079" cy="1768928"/>
    <xdr:sp macro="" textlink="">
      <xdr:nvSpPr>
        <xdr:cNvPr id="225" name="AutoShape 5" descr="Autos y Camionetas | MercadoLibre.com.bo">
          <a:extLst>
            <a:ext uri="{FF2B5EF4-FFF2-40B4-BE49-F238E27FC236}">
              <a16:creationId xmlns:a16="http://schemas.microsoft.com/office/drawing/2014/main" id="{49027D0D-0D6A-49F5-9C7D-4E718B8C960C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2395775"/>
          <a:ext cx="302079" cy="1768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2079" cy="1768928"/>
    <xdr:sp macro="" textlink="">
      <xdr:nvSpPr>
        <xdr:cNvPr id="226" name="AutoShape 7" descr="Autos y Camionetas | MercadoLibre.com.bo">
          <a:extLst>
            <a:ext uri="{FF2B5EF4-FFF2-40B4-BE49-F238E27FC236}">
              <a16:creationId xmlns:a16="http://schemas.microsoft.com/office/drawing/2014/main" id="{61F4D0D3-752C-442F-90AC-CCCD1A9B6508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5939075"/>
          <a:ext cx="302079" cy="1768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2079" cy="1768929"/>
    <xdr:sp macro="" textlink="">
      <xdr:nvSpPr>
        <xdr:cNvPr id="227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D7C6E479-3FDF-44B0-B0DD-544BE13CD2D4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0624125"/>
          <a:ext cx="302079" cy="1768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</xdr:row>
      <xdr:rowOff>0</xdr:rowOff>
    </xdr:from>
    <xdr:ext cx="304800" cy="1771650"/>
    <xdr:sp macro="" textlink="">
      <xdr:nvSpPr>
        <xdr:cNvPr id="228" name="AutoShape 5" descr="Autos y Camionetas | MercadoLibre.com.bo">
          <a:extLst>
            <a:ext uri="{FF2B5EF4-FFF2-40B4-BE49-F238E27FC236}">
              <a16:creationId xmlns:a16="http://schemas.microsoft.com/office/drawing/2014/main" id="{AD051980-52CB-4196-A6F8-210CD3EA2DCD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23957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</xdr:row>
      <xdr:rowOff>0</xdr:rowOff>
    </xdr:from>
    <xdr:ext cx="304800" cy="1771650"/>
    <xdr:sp macro="" textlink="">
      <xdr:nvSpPr>
        <xdr:cNvPr id="229" name="AutoShape 7" descr="Autos y Camionetas | MercadoLibre.com.bo">
          <a:extLst>
            <a:ext uri="{FF2B5EF4-FFF2-40B4-BE49-F238E27FC236}">
              <a16:creationId xmlns:a16="http://schemas.microsoft.com/office/drawing/2014/main" id="{7123BC99-4B31-44A3-A432-D9B8A72425DA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59390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1771650"/>
    <xdr:sp macro="" textlink="">
      <xdr:nvSpPr>
        <xdr:cNvPr id="230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70FD4C03-4C64-455A-A7AB-9761BA8C10CC}"/>
            </a:ext>
          </a:extLst>
        </xdr:cNvPr>
        <xdr:cNvSpPr>
          <a:spLocks noChangeAspect="1" noChangeArrowheads="1"/>
        </xdr:cNvSpPr>
      </xdr:nvSpPr>
      <xdr:spPr bwMode="auto">
        <a:xfrm>
          <a:off x="8105775" y="406241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47</xdr:row>
      <xdr:rowOff>0</xdr:rowOff>
    </xdr:from>
    <xdr:ext cx="304800" cy="1771650"/>
    <xdr:sp macro="" textlink="">
      <xdr:nvSpPr>
        <xdr:cNvPr id="231" name="AutoShape 5" descr="Autos y Camionetas | MercadoLibre.com.bo">
          <a:extLst>
            <a:ext uri="{FF2B5EF4-FFF2-40B4-BE49-F238E27FC236}">
              <a16:creationId xmlns:a16="http://schemas.microsoft.com/office/drawing/2014/main" id="{331E42F6-FC56-4979-A130-492F4509D3C1}"/>
            </a:ext>
          </a:extLst>
        </xdr:cNvPr>
        <xdr:cNvSpPr>
          <a:spLocks noChangeAspect="1" noChangeArrowheads="1"/>
        </xdr:cNvSpPr>
      </xdr:nvSpPr>
      <xdr:spPr bwMode="auto">
        <a:xfrm>
          <a:off x="8105775" y="5975985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49</xdr:row>
      <xdr:rowOff>0</xdr:rowOff>
    </xdr:from>
    <xdr:ext cx="304800" cy="1771650"/>
    <xdr:sp macro="" textlink="">
      <xdr:nvSpPr>
        <xdr:cNvPr id="232" name="AutoShape 7" descr="Autos y Camionetas | MercadoLibre.com.bo">
          <a:extLst>
            <a:ext uri="{FF2B5EF4-FFF2-40B4-BE49-F238E27FC236}">
              <a16:creationId xmlns:a16="http://schemas.microsoft.com/office/drawing/2014/main" id="{95DB13AB-7EB5-4B50-8A09-7858E49BCE1D}"/>
            </a:ext>
          </a:extLst>
        </xdr:cNvPr>
        <xdr:cNvSpPr>
          <a:spLocks noChangeAspect="1" noChangeArrowheads="1"/>
        </xdr:cNvSpPr>
      </xdr:nvSpPr>
      <xdr:spPr bwMode="auto">
        <a:xfrm>
          <a:off x="8105775" y="6330315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46</xdr:row>
      <xdr:rowOff>0</xdr:rowOff>
    </xdr:from>
    <xdr:ext cx="304800" cy="1771650"/>
    <xdr:sp macro="" textlink="">
      <xdr:nvSpPr>
        <xdr:cNvPr id="233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6967C2A6-27DA-46EA-8F12-B85808FB4BC3}"/>
            </a:ext>
          </a:extLst>
        </xdr:cNvPr>
        <xdr:cNvSpPr>
          <a:spLocks noChangeAspect="1" noChangeArrowheads="1"/>
        </xdr:cNvSpPr>
      </xdr:nvSpPr>
      <xdr:spPr bwMode="auto">
        <a:xfrm>
          <a:off x="8105775" y="579882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60</xdr:row>
      <xdr:rowOff>0</xdr:rowOff>
    </xdr:from>
    <xdr:ext cx="304800" cy="1771650"/>
    <xdr:sp macro="" textlink="">
      <xdr:nvSpPr>
        <xdr:cNvPr id="237" name="AutoShape 5" descr="Autos y Camionetas | MercadoLibre.com.bo">
          <a:extLst>
            <a:ext uri="{FF2B5EF4-FFF2-40B4-BE49-F238E27FC236}">
              <a16:creationId xmlns:a16="http://schemas.microsoft.com/office/drawing/2014/main" id="{C1CCFE1C-EC0E-44E1-91AF-4607ECAE5A0E}"/>
            </a:ext>
          </a:extLst>
        </xdr:cNvPr>
        <xdr:cNvSpPr>
          <a:spLocks noChangeAspect="1" noChangeArrowheads="1"/>
        </xdr:cNvSpPr>
      </xdr:nvSpPr>
      <xdr:spPr bwMode="auto">
        <a:xfrm>
          <a:off x="8105775" y="771239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</xdr:row>
      <xdr:rowOff>0</xdr:rowOff>
    </xdr:from>
    <xdr:ext cx="304800" cy="1771650"/>
    <xdr:sp macro="" textlink="">
      <xdr:nvSpPr>
        <xdr:cNvPr id="238" name="AutoShape 7" descr="Autos y Camionetas | MercadoLibre.com.bo">
          <a:extLst>
            <a:ext uri="{FF2B5EF4-FFF2-40B4-BE49-F238E27FC236}">
              <a16:creationId xmlns:a16="http://schemas.microsoft.com/office/drawing/2014/main" id="{B39DB701-FF7D-4F7C-BD53-5395D93984BA}"/>
            </a:ext>
          </a:extLst>
        </xdr:cNvPr>
        <xdr:cNvSpPr>
          <a:spLocks noChangeAspect="1" noChangeArrowheads="1"/>
        </xdr:cNvSpPr>
      </xdr:nvSpPr>
      <xdr:spPr bwMode="auto">
        <a:xfrm>
          <a:off x="8105775" y="806672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59</xdr:row>
      <xdr:rowOff>0</xdr:rowOff>
    </xdr:from>
    <xdr:ext cx="304800" cy="1771650"/>
    <xdr:sp macro="" textlink="">
      <xdr:nvSpPr>
        <xdr:cNvPr id="239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3CE2E42A-1FD6-4C4D-BAC8-0DBACEA5582E}"/>
            </a:ext>
          </a:extLst>
        </xdr:cNvPr>
        <xdr:cNvSpPr>
          <a:spLocks noChangeAspect="1" noChangeArrowheads="1"/>
        </xdr:cNvSpPr>
      </xdr:nvSpPr>
      <xdr:spPr bwMode="auto">
        <a:xfrm>
          <a:off x="8105775" y="753522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60</xdr:row>
      <xdr:rowOff>0</xdr:rowOff>
    </xdr:from>
    <xdr:ext cx="304800" cy="1771650"/>
    <xdr:sp macro="" textlink="">
      <xdr:nvSpPr>
        <xdr:cNvPr id="244" name="AutoShape 5" descr="Autos y Camionetas | MercadoLibre.com.bo">
          <a:extLst>
            <a:ext uri="{FF2B5EF4-FFF2-40B4-BE49-F238E27FC236}">
              <a16:creationId xmlns:a16="http://schemas.microsoft.com/office/drawing/2014/main" id="{4CA250E0-FAAE-4540-9D9E-0E581764989C}"/>
            </a:ext>
          </a:extLst>
        </xdr:cNvPr>
        <xdr:cNvSpPr>
          <a:spLocks noChangeAspect="1" noChangeArrowheads="1"/>
        </xdr:cNvSpPr>
      </xdr:nvSpPr>
      <xdr:spPr bwMode="auto">
        <a:xfrm>
          <a:off x="8105775" y="771239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</xdr:row>
      <xdr:rowOff>0</xdr:rowOff>
    </xdr:from>
    <xdr:ext cx="304800" cy="1771650"/>
    <xdr:sp macro="" textlink="">
      <xdr:nvSpPr>
        <xdr:cNvPr id="245" name="AutoShape 7" descr="Autos y Camionetas | MercadoLibre.com.bo">
          <a:extLst>
            <a:ext uri="{FF2B5EF4-FFF2-40B4-BE49-F238E27FC236}">
              <a16:creationId xmlns:a16="http://schemas.microsoft.com/office/drawing/2014/main" id="{61472B46-9C5B-412F-8485-3444B8EF40A5}"/>
            </a:ext>
          </a:extLst>
        </xdr:cNvPr>
        <xdr:cNvSpPr>
          <a:spLocks noChangeAspect="1" noChangeArrowheads="1"/>
        </xdr:cNvSpPr>
      </xdr:nvSpPr>
      <xdr:spPr bwMode="auto">
        <a:xfrm>
          <a:off x="8105775" y="806672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59</xdr:row>
      <xdr:rowOff>0</xdr:rowOff>
    </xdr:from>
    <xdr:ext cx="304800" cy="1771650"/>
    <xdr:sp macro="" textlink="">
      <xdr:nvSpPr>
        <xdr:cNvPr id="246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D5C9F650-89F9-40D9-901C-4399922132AE}"/>
            </a:ext>
          </a:extLst>
        </xdr:cNvPr>
        <xdr:cNvSpPr>
          <a:spLocks noChangeAspect="1" noChangeArrowheads="1"/>
        </xdr:cNvSpPr>
      </xdr:nvSpPr>
      <xdr:spPr bwMode="auto">
        <a:xfrm>
          <a:off x="8105775" y="753522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73</xdr:row>
      <xdr:rowOff>0</xdr:rowOff>
    </xdr:from>
    <xdr:ext cx="304800" cy="1771650"/>
    <xdr:sp macro="" textlink="">
      <xdr:nvSpPr>
        <xdr:cNvPr id="247" name="AutoShape 5" descr="Autos y Camionetas | MercadoLibre.com.bo">
          <a:extLst>
            <a:ext uri="{FF2B5EF4-FFF2-40B4-BE49-F238E27FC236}">
              <a16:creationId xmlns:a16="http://schemas.microsoft.com/office/drawing/2014/main" id="{36E11595-2584-41C9-B1E2-EC2353FB9BB0}"/>
            </a:ext>
          </a:extLst>
        </xdr:cNvPr>
        <xdr:cNvSpPr>
          <a:spLocks noChangeAspect="1" noChangeArrowheads="1"/>
        </xdr:cNvSpPr>
      </xdr:nvSpPr>
      <xdr:spPr bwMode="auto">
        <a:xfrm>
          <a:off x="8105775" y="944880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75</xdr:row>
      <xdr:rowOff>0</xdr:rowOff>
    </xdr:from>
    <xdr:ext cx="304800" cy="1771650"/>
    <xdr:sp macro="" textlink="">
      <xdr:nvSpPr>
        <xdr:cNvPr id="248" name="AutoShape 7" descr="Autos y Camionetas | MercadoLibre.com.bo">
          <a:extLst>
            <a:ext uri="{FF2B5EF4-FFF2-40B4-BE49-F238E27FC236}">
              <a16:creationId xmlns:a16="http://schemas.microsoft.com/office/drawing/2014/main" id="{140542BB-0E81-4E00-A0DA-3D6F29E8CC9A}"/>
            </a:ext>
          </a:extLst>
        </xdr:cNvPr>
        <xdr:cNvSpPr>
          <a:spLocks noChangeAspect="1" noChangeArrowheads="1"/>
        </xdr:cNvSpPr>
      </xdr:nvSpPr>
      <xdr:spPr bwMode="auto">
        <a:xfrm>
          <a:off x="8105775" y="980313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</xdr:row>
      <xdr:rowOff>0</xdr:rowOff>
    </xdr:from>
    <xdr:ext cx="304800" cy="1771650"/>
    <xdr:sp macro="" textlink="">
      <xdr:nvSpPr>
        <xdr:cNvPr id="249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4C59A4E0-3246-4834-9845-B5794CF9E168}"/>
            </a:ext>
          </a:extLst>
        </xdr:cNvPr>
        <xdr:cNvSpPr>
          <a:spLocks noChangeAspect="1" noChangeArrowheads="1"/>
        </xdr:cNvSpPr>
      </xdr:nvSpPr>
      <xdr:spPr bwMode="auto">
        <a:xfrm>
          <a:off x="8105775" y="9271635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73</xdr:row>
      <xdr:rowOff>0</xdr:rowOff>
    </xdr:from>
    <xdr:ext cx="304800" cy="1771650"/>
    <xdr:sp macro="" textlink="">
      <xdr:nvSpPr>
        <xdr:cNvPr id="254" name="AutoShape 5" descr="Autos y Camionetas | MercadoLibre.com.bo">
          <a:extLst>
            <a:ext uri="{FF2B5EF4-FFF2-40B4-BE49-F238E27FC236}">
              <a16:creationId xmlns:a16="http://schemas.microsoft.com/office/drawing/2014/main" id="{73C2878A-89FA-49A4-B7B0-A2C3CE54BF42}"/>
            </a:ext>
          </a:extLst>
        </xdr:cNvPr>
        <xdr:cNvSpPr>
          <a:spLocks noChangeAspect="1" noChangeArrowheads="1"/>
        </xdr:cNvSpPr>
      </xdr:nvSpPr>
      <xdr:spPr bwMode="auto">
        <a:xfrm>
          <a:off x="8105775" y="944880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75</xdr:row>
      <xdr:rowOff>0</xdr:rowOff>
    </xdr:from>
    <xdr:ext cx="304800" cy="1771650"/>
    <xdr:sp macro="" textlink="">
      <xdr:nvSpPr>
        <xdr:cNvPr id="255" name="AutoShape 7" descr="Autos y Camionetas | MercadoLibre.com.bo">
          <a:extLst>
            <a:ext uri="{FF2B5EF4-FFF2-40B4-BE49-F238E27FC236}">
              <a16:creationId xmlns:a16="http://schemas.microsoft.com/office/drawing/2014/main" id="{1472679E-467F-4F52-9552-B28B328AD6F9}"/>
            </a:ext>
          </a:extLst>
        </xdr:cNvPr>
        <xdr:cNvSpPr>
          <a:spLocks noChangeAspect="1" noChangeArrowheads="1"/>
        </xdr:cNvSpPr>
      </xdr:nvSpPr>
      <xdr:spPr bwMode="auto">
        <a:xfrm>
          <a:off x="8105775" y="980313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</xdr:row>
      <xdr:rowOff>0</xdr:rowOff>
    </xdr:from>
    <xdr:ext cx="304800" cy="1771650"/>
    <xdr:sp macro="" textlink="">
      <xdr:nvSpPr>
        <xdr:cNvPr id="256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D4259B69-D213-4917-BED3-9DEC403F94C4}"/>
            </a:ext>
          </a:extLst>
        </xdr:cNvPr>
        <xdr:cNvSpPr>
          <a:spLocks noChangeAspect="1" noChangeArrowheads="1"/>
        </xdr:cNvSpPr>
      </xdr:nvSpPr>
      <xdr:spPr bwMode="auto">
        <a:xfrm>
          <a:off x="8105775" y="9271635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73</xdr:row>
      <xdr:rowOff>0</xdr:rowOff>
    </xdr:from>
    <xdr:ext cx="304800" cy="1771650"/>
    <xdr:sp macro="" textlink="">
      <xdr:nvSpPr>
        <xdr:cNvPr id="257" name="AutoShape 5" descr="Autos y Camionetas | MercadoLibre.com.bo">
          <a:extLst>
            <a:ext uri="{FF2B5EF4-FFF2-40B4-BE49-F238E27FC236}">
              <a16:creationId xmlns:a16="http://schemas.microsoft.com/office/drawing/2014/main" id="{B1504621-9A48-44D3-AE70-BD07327AAA9D}"/>
            </a:ext>
          </a:extLst>
        </xdr:cNvPr>
        <xdr:cNvSpPr>
          <a:spLocks noChangeAspect="1" noChangeArrowheads="1"/>
        </xdr:cNvSpPr>
      </xdr:nvSpPr>
      <xdr:spPr bwMode="auto">
        <a:xfrm>
          <a:off x="8105775" y="944880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75</xdr:row>
      <xdr:rowOff>0</xdr:rowOff>
    </xdr:from>
    <xdr:ext cx="304800" cy="1771650"/>
    <xdr:sp macro="" textlink="">
      <xdr:nvSpPr>
        <xdr:cNvPr id="258" name="AutoShape 7" descr="Autos y Camionetas | MercadoLibre.com.bo">
          <a:extLst>
            <a:ext uri="{FF2B5EF4-FFF2-40B4-BE49-F238E27FC236}">
              <a16:creationId xmlns:a16="http://schemas.microsoft.com/office/drawing/2014/main" id="{DE2C9117-B83A-489D-A99C-C2CF3A556001}"/>
            </a:ext>
          </a:extLst>
        </xdr:cNvPr>
        <xdr:cNvSpPr>
          <a:spLocks noChangeAspect="1" noChangeArrowheads="1"/>
        </xdr:cNvSpPr>
      </xdr:nvSpPr>
      <xdr:spPr bwMode="auto">
        <a:xfrm>
          <a:off x="8105775" y="9803130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</xdr:row>
      <xdr:rowOff>0</xdr:rowOff>
    </xdr:from>
    <xdr:ext cx="304800" cy="1771650"/>
    <xdr:sp macro="" textlink="">
      <xdr:nvSpPr>
        <xdr:cNvPr id="259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3DF1BF48-CFAC-40C0-98E2-72F5F1E692E3}"/>
            </a:ext>
          </a:extLst>
        </xdr:cNvPr>
        <xdr:cNvSpPr>
          <a:spLocks noChangeAspect="1" noChangeArrowheads="1"/>
        </xdr:cNvSpPr>
      </xdr:nvSpPr>
      <xdr:spPr bwMode="auto">
        <a:xfrm>
          <a:off x="8105775" y="92716350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</xdr:row>
      <xdr:rowOff>0</xdr:rowOff>
    </xdr:from>
    <xdr:ext cx="304800" cy="1771650"/>
    <xdr:sp macro="" textlink="">
      <xdr:nvSpPr>
        <xdr:cNvPr id="260" name="AutoShape 5" descr="Autos y Camionetas | MercadoLibre.com.bo">
          <a:extLst>
            <a:ext uri="{FF2B5EF4-FFF2-40B4-BE49-F238E27FC236}">
              <a16:creationId xmlns:a16="http://schemas.microsoft.com/office/drawing/2014/main" id="{E40A246E-E46C-4519-878C-83B42BE48053}"/>
            </a:ext>
          </a:extLst>
        </xdr:cNvPr>
        <xdr:cNvSpPr>
          <a:spLocks noChangeAspect="1" noChangeArrowheads="1"/>
        </xdr:cNvSpPr>
      </xdr:nvSpPr>
      <xdr:spPr bwMode="auto">
        <a:xfrm>
          <a:off x="8105775" y="1118520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88</xdr:row>
      <xdr:rowOff>0</xdr:rowOff>
    </xdr:from>
    <xdr:ext cx="304800" cy="1771650"/>
    <xdr:sp macro="" textlink="">
      <xdr:nvSpPr>
        <xdr:cNvPr id="261" name="AutoShape 7" descr="Autos y Camionetas | MercadoLibre.com.bo">
          <a:extLst>
            <a:ext uri="{FF2B5EF4-FFF2-40B4-BE49-F238E27FC236}">
              <a16:creationId xmlns:a16="http://schemas.microsoft.com/office/drawing/2014/main" id="{4CF0D702-B9CA-4ADA-A621-798CC3F2A5A3}"/>
            </a:ext>
          </a:extLst>
        </xdr:cNvPr>
        <xdr:cNvSpPr>
          <a:spLocks noChangeAspect="1" noChangeArrowheads="1"/>
        </xdr:cNvSpPr>
      </xdr:nvSpPr>
      <xdr:spPr bwMode="auto">
        <a:xfrm>
          <a:off x="8105775" y="1153953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1771650"/>
    <xdr:sp macro="" textlink="">
      <xdr:nvSpPr>
        <xdr:cNvPr id="262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17143765-704F-4D49-8767-DEB0BFA6D902}"/>
            </a:ext>
          </a:extLst>
        </xdr:cNvPr>
        <xdr:cNvSpPr>
          <a:spLocks noChangeAspect="1" noChangeArrowheads="1"/>
        </xdr:cNvSpPr>
      </xdr:nvSpPr>
      <xdr:spPr bwMode="auto">
        <a:xfrm>
          <a:off x="8105775" y="1100804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</xdr:row>
      <xdr:rowOff>0</xdr:rowOff>
    </xdr:from>
    <xdr:ext cx="304800" cy="1771650"/>
    <xdr:sp macro="" textlink="">
      <xdr:nvSpPr>
        <xdr:cNvPr id="266" name="AutoShape 5" descr="Autos y Camionetas | MercadoLibre.com.bo">
          <a:extLst>
            <a:ext uri="{FF2B5EF4-FFF2-40B4-BE49-F238E27FC236}">
              <a16:creationId xmlns:a16="http://schemas.microsoft.com/office/drawing/2014/main" id="{BDB63487-2DD6-4222-A3B7-7EA0D67BC5E5}"/>
            </a:ext>
          </a:extLst>
        </xdr:cNvPr>
        <xdr:cNvSpPr>
          <a:spLocks noChangeAspect="1" noChangeArrowheads="1"/>
        </xdr:cNvSpPr>
      </xdr:nvSpPr>
      <xdr:spPr bwMode="auto">
        <a:xfrm>
          <a:off x="8105775" y="1118520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88</xdr:row>
      <xdr:rowOff>0</xdr:rowOff>
    </xdr:from>
    <xdr:ext cx="304800" cy="1771650"/>
    <xdr:sp macro="" textlink="">
      <xdr:nvSpPr>
        <xdr:cNvPr id="267" name="AutoShape 7" descr="Autos y Camionetas | MercadoLibre.com.bo">
          <a:extLst>
            <a:ext uri="{FF2B5EF4-FFF2-40B4-BE49-F238E27FC236}">
              <a16:creationId xmlns:a16="http://schemas.microsoft.com/office/drawing/2014/main" id="{C2F075DA-C693-478A-AEC5-38395DEF7BCA}"/>
            </a:ext>
          </a:extLst>
        </xdr:cNvPr>
        <xdr:cNvSpPr>
          <a:spLocks noChangeAspect="1" noChangeArrowheads="1"/>
        </xdr:cNvSpPr>
      </xdr:nvSpPr>
      <xdr:spPr bwMode="auto">
        <a:xfrm>
          <a:off x="8105775" y="1153953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1771650"/>
    <xdr:sp macro="" textlink="">
      <xdr:nvSpPr>
        <xdr:cNvPr id="268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177B35C7-626C-4EE2-AFE3-E8BC87631DC0}"/>
            </a:ext>
          </a:extLst>
        </xdr:cNvPr>
        <xdr:cNvSpPr>
          <a:spLocks noChangeAspect="1" noChangeArrowheads="1"/>
        </xdr:cNvSpPr>
      </xdr:nvSpPr>
      <xdr:spPr bwMode="auto">
        <a:xfrm>
          <a:off x="8105775" y="1100804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</xdr:row>
      <xdr:rowOff>0</xdr:rowOff>
    </xdr:from>
    <xdr:ext cx="304800" cy="1771650"/>
    <xdr:sp macro="" textlink="">
      <xdr:nvSpPr>
        <xdr:cNvPr id="269" name="AutoShape 5" descr="Autos y Camionetas | MercadoLibre.com.bo">
          <a:extLst>
            <a:ext uri="{FF2B5EF4-FFF2-40B4-BE49-F238E27FC236}">
              <a16:creationId xmlns:a16="http://schemas.microsoft.com/office/drawing/2014/main" id="{9F65508F-A144-4450-A071-CFA390BB3DD1}"/>
            </a:ext>
          </a:extLst>
        </xdr:cNvPr>
        <xdr:cNvSpPr>
          <a:spLocks noChangeAspect="1" noChangeArrowheads="1"/>
        </xdr:cNvSpPr>
      </xdr:nvSpPr>
      <xdr:spPr bwMode="auto">
        <a:xfrm>
          <a:off x="8105775" y="1118520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88</xdr:row>
      <xdr:rowOff>0</xdr:rowOff>
    </xdr:from>
    <xdr:ext cx="304800" cy="1771650"/>
    <xdr:sp macro="" textlink="">
      <xdr:nvSpPr>
        <xdr:cNvPr id="270" name="AutoShape 7" descr="Autos y Camionetas | MercadoLibre.com.bo">
          <a:extLst>
            <a:ext uri="{FF2B5EF4-FFF2-40B4-BE49-F238E27FC236}">
              <a16:creationId xmlns:a16="http://schemas.microsoft.com/office/drawing/2014/main" id="{FBEB7F23-2742-4E9B-BAAC-B02EFA5D01E9}"/>
            </a:ext>
          </a:extLst>
        </xdr:cNvPr>
        <xdr:cNvSpPr>
          <a:spLocks noChangeAspect="1" noChangeArrowheads="1"/>
        </xdr:cNvSpPr>
      </xdr:nvSpPr>
      <xdr:spPr bwMode="auto">
        <a:xfrm>
          <a:off x="8105775" y="11539537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1771650"/>
    <xdr:sp macro="" textlink="">
      <xdr:nvSpPr>
        <xdr:cNvPr id="271" name="AutoShape 11" descr="Conozca las opciones de camionetas medianas en el mercado boliviano -  Tendencias - Opinión Bolivia">
          <a:extLst>
            <a:ext uri="{FF2B5EF4-FFF2-40B4-BE49-F238E27FC236}">
              <a16:creationId xmlns:a16="http://schemas.microsoft.com/office/drawing/2014/main" id="{F43FFBD6-5A73-405E-9549-C36F857BC0DE}"/>
            </a:ext>
          </a:extLst>
        </xdr:cNvPr>
        <xdr:cNvSpPr>
          <a:spLocks noChangeAspect="1" noChangeArrowheads="1"/>
        </xdr:cNvSpPr>
      </xdr:nvSpPr>
      <xdr:spPr bwMode="auto">
        <a:xfrm>
          <a:off x="8105775" y="110080425"/>
          <a:ext cx="304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680358</xdr:colOff>
      <xdr:row>71</xdr:row>
      <xdr:rowOff>147392</xdr:rowOff>
    </xdr:from>
    <xdr:ext cx="1755321" cy="987368"/>
    <xdr:pic>
      <xdr:nvPicPr>
        <xdr:cNvPr id="272" name="Imagen 271">
          <a:extLst>
            <a:ext uri="{FF2B5EF4-FFF2-40B4-BE49-F238E27FC236}">
              <a16:creationId xmlns:a16="http://schemas.microsoft.com/office/drawing/2014/main" id="{517BF731-47D4-4694-9E0C-95E48BC19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67428528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58</xdr:row>
      <xdr:rowOff>147392</xdr:rowOff>
    </xdr:from>
    <xdr:ext cx="1755321" cy="987368"/>
    <xdr:pic>
      <xdr:nvPicPr>
        <xdr:cNvPr id="273" name="Imagen 272">
          <a:extLst>
            <a:ext uri="{FF2B5EF4-FFF2-40B4-BE49-F238E27FC236}">
              <a16:creationId xmlns:a16="http://schemas.microsoft.com/office/drawing/2014/main" id="{0C40F71B-B1FC-42A3-828C-6D005ECA7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56518074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58</xdr:row>
      <xdr:rowOff>147392</xdr:rowOff>
    </xdr:from>
    <xdr:ext cx="1755321" cy="987368"/>
    <xdr:pic>
      <xdr:nvPicPr>
        <xdr:cNvPr id="274" name="Imagen 273">
          <a:extLst>
            <a:ext uri="{FF2B5EF4-FFF2-40B4-BE49-F238E27FC236}">
              <a16:creationId xmlns:a16="http://schemas.microsoft.com/office/drawing/2014/main" id="{3EAB82BD-E5AE-4A38-A99D-A206F81D7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56518074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45</xdr:row>
      <xdr:rowOff>147392</xdr:rowOff>
    </xdr:from>
    <xdr:ext cx="1755321" cy="987368"/>
    <xdr:pic>
      <xdr:nvPicPr>
        <xdr:cNvPr id="275" name="Imagen 274">
          <a:extLst>
            <a:ext uri="{FF2B5EF4-FFF2-40B4-BE49-F238E27FC236}">
              <a16:creationId xmlns:a16="http://schemas.microsoft.com/office/drawing/2014/main" id="{54D2084C-82AF-4315-A12E-FF6C8FE83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56518074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45</xdr:row>
      <xdr:rowOff>147392</xdr:rowOff>
    </xdr:from>
    <xdr:ext cx="1755321" cy="987368"/>
    <xdr:pic>
      <xdr:nvPicPr>
        <xdr:cNvPr id="276" name="Imagen 275">
          <a:extLst>
            <a:ext uri="{FF2B5EF4-FFF2-40B4-BE49-F238E27FC236}">
              <a16:creationId xmlns:a16="http://schemas.microsoft.com/office/drawing/2014/main" id="{A3050B01-5EBC-42F7-94F6-EEA83BDC1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56518074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32</xdr:row>
      <xdr:rowOff>147392</xdr:rowOff>
    </xdr:from>
    <xdr:ext cx="1755321" cy="987368"/>
    <xdr:pic>
      <xdr:nvPicPr>
        <xdr:cNvPr id="277" name="Imagen 276">
          <a:extLst>
            <a:ext uri="{FF2B5EF4-FFF2-40B4-BE49-F238E27FC236}">
              <a16:creationId xmlns:a16="http://schemas.microsoft.com/office/drawing/2014/main" id="{4E7A6A46-B83B-451E-BA5C-D75062938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56518074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32</xdr:row>
      <xdr:rowOff>147392</xdr:rowOff>
    </xdr:from>
    <xdr:ext cx="1755321" cy="987368"/>
    <xdr:pic>
      <xdr:nvPicPr>
        <xdr:cNvPr id="278" name="Imagen 277">
          <a:extLst>
            <a:ext uri="{FF2B5EF4-FFF2-40B4-BE49-F238E27FC236}">
              <a16:creationId xmlns:a16="http://schemas.microsoft.com/office/drawing/2014/main" id="{268AC794-68E0-4041-81CB-F4346E8FC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56518074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19</xdr:row>
      <xdr:rowOff>147392</xdr:rowOff>
    </xdr:from>
    <xdr:ext cx="1755321" cy="987368"/>
    <xdr:pic>
      <xdr:nvPicPr>
        <xdr:cNvPr id="279" name="Imagen 278">
          <a:extLst>
            <a:ext uri="{FF2B5EF4-FFF2-40B4-BE49-F238E27FC236}">
              <a16:creationId xmlns:a16="http://schemas.microsoft.com/office/drawing/2014/main" id="{29BBB2A2-D08C-4044-89DA-664E223E2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56518074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19</xdr:row>
      <xdr:rowOff>147392</xdr:rowOff>
    </xdr:from>
    <xdr:ext cx="1755321" cy="987368"/>
    <xdr:pic>
      <xdr:nvPicPr>
        <xdr:cNvPr id="280" name="Imagen 279">
          <a:extLst>
            <a:ext uri="{FF2B5EF4-FFF2-40B4-BE49-F238E27FC236}">
              <a16:creationId xmlns:a16="http://schemas.microsoft.com/office/drawing/2014/main" id="{2E5AF1F5-907C-4E87-A451-9354BB78C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56518074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6</xdr:row>
      <xdr:rowOff>147392</xdr:rowOff>
    </xdr:from>
    <xdr:ext cx="1755321" cy="987368"/>
    <xdr:pic>
      <xdr:nvPicPr>
        <xdr:cNvPr id="281" name="Imagen 280">
          <a:extLst>
            <a:ext uri="{FF2B5EF4-FFF2-40B4-BE49-F238E27FC236}">
              <a16:creationId xmlns:a16="http://schemas.microsoft.com/office/drawing/2014/main" id="{768777F0-64A7-4257-831A-9379D78AC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56518074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680358</xdr:colOff>
      <xdr:row>6</xdr:row>
      <xdr:rowOff>147392</xdr:rowOff>
    </xdr:from>
    <xdr:ext cx="1755321" cy="987368"/>
    <xdr:pic>
      <xdr:nvPicPr>
        <xdr:cNvPr id="282" name="Imagen 281">
          <a:extLst>
            <a:ext uri="{FF2B5EF4-FFF2-40B4-BE49-F238E27FC236}">
              <a16:creationId xmlns:a16="http://schemas.microsoft.com/office/drawing/2014/main" id="{992E531E-E573-42BA-9383-9212D966D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8" y="56518074"/>
          <a:ext cx="1755321" cy="9873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1</xdr:row>
      <xdr:rowOff>1</xdr:rowOff>
    </xdr:from>
    <xdr:to>
      <xdr:col>10</xdr:col>
      <xdr:colOff>526678</xdr:colOff>
      <xdr:row>12</xdr:row>
      <xdr:rowOff>168089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DB232A-9D0D-4A7C-8268-D2DEDC1E0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22411</xdr:colOff>
      <xdr:row>13</xdr:row>
      <xdr:rowOff>78442</xdr:rowOff>
    </xdr:from>
    <xdr:to>
      <xdr:col>10</xdr:col>
      <xdr:colOff>526677</xdr:colOff>
      <xdr:row>25</xdr:row>
      <xdr:rowOff>112060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2BE114-9438-49C9-8DF3-7A91F25B3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26</xdr:row>
      <xdr:rowOff>112058</xdr:rowOff>
    </xdr:from>
    <xdr:to>
      <xdr:col>10</xdr:col>
      <xdr:colOff>504267</xdr:colOff>
      <xdr:row>38</xdr:row>
      <xdr:rowOff>145676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5454B9C-C9D4-487F-81FC-BA87ACAD3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750794</xdr:colOff>
      <xdr:row>39</xdr:row>
      <xdr:rowOff>134471</xdr:rowOff>
    </xdr:from>
    <xdr:to>
      <xdr:col>10</xdr:col>
      <xdr:colOff>493060</xdr:colOff>
      <xdr:row>51</xdr:row>
      <xdr:rowOff>168089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7A5CBC3-A3C2-4D38-9654-AA427C889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728383</xdr:colOff>
      <xdr:row>52</xdr:row>
      <xdr:rowOff>78441</xdr:rowOff>
    </xdr:from>
    <xdr:to>
      <xdr:col>10</xdr:col>
      <xdr:colOff>470649</xdr:colOff>
      <xdr:row>64</xdr:row>
      <xdr:rowOff>112059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6158E13-B857-41A6-BA3F-0CFC57F26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705970</xdr:colOff>
      <xdr:row>65</xdr:row>
      <xdr:rowOff>89646</xdr:rowOff>
    </xdr:from>
    <xdr:to>
      <xdr:col>10</xdr:col>
      <xdr:colOff>448236</xdr:colOff>
      <xdr:row>77</xdr:row>
      <xdr:rowOff>123264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E232CCF-6C42-476F-8E54-D247DC7BA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705971</xdr:colOff>
      <xdr:row>79</xdr:row>
      <xdr:rowOff>11206</xdr:rowOff>
    </xdr:from>
    <xdr:to>
      <xdr:col>10</xdr:col>
      <xdr:colOff>448237</xdr:colOff>
      <xdr:row>91</xdr:row>
      <xdr:rowOff>44824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A9F7677-EA1F-4BE0-BE15-5977DD5D3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212911</xdr:colOff>
      <xdr:row>1</xdr:row>
      <xdr:rowOff>179293</xdr:rowOff>
    </xdr:from>
    <xdr:to>
      <xdr:col>3</xdr:col>
      <xdr:colOff>63500</xdr:colOff>
      <xdr:row>10</xdr:row>
      <xdr:rowOff>67235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E545DB0-F178-4B23-B1CC-FCAA879D0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1" y="369793"/>
          <a:ext cx="2136589" cy="1602442"/>
        </a:xfrm>
        <a:prstGeom prst="rect">
          <a:avLst/>
        </a:prstGeom>
      </xdr:spPr>
    </xdr:pic>
    <xdr:clientData/>
  </xdr:twoCellAnchor>
  <xdr:twoCellAnchor editAs="oneCell">
    <xdr:from>
      <xdr:col>0</xdr:col>
      <xdr:colOff>168090</xdr:colOff>
      <xdr:row>15</xdr:row>
      <xdr:rowOff>156882</xdr:rowOff>
    </xdr:from>
    <xdr:to>
      <xdr:col>3</xdr:col>
      <xdr:colOff>560296</xdr:colOff>
      <xdr:row>24</xdr:row>
      <xdr:rowOff>4668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6002076-8269-4471-BA35-3B75C354D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90" y="3014382"/>
          <a:ext cx="2678206" cy="1562286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134471</xdr:colOff>
      <xdr:row>27</xdr:row>
      <xdr:rowOff>134470</xdr:rowOff>
    </xdr:from>
    <xdr:to>
      <xdr:col>3</xdr:col>
      <xdr:colOff>653144</xdr:colOff>
      <xdr:row>36</xdr:row>
      <xdr:rowOff>56029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5D5035B-8A2A-49BD-B421-8BF78D5C3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5277970"/>
          <a:ext cx="2804673" cy="1636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11207</xdr:rowOff>
    </xdr:from>
    <xdr:to>
      <xdr:col>3</xdr:col>
      <xdr:colOff>649941</xdr:colOff>
      <xdr:row>46</xdr:row>
      <xdr:rowOff>128584</xdr:rowOff>
    </xdr:to>
    <xdr:pic>
      <xdr:nvPicPr>
        <xdr:cNvPr id="12" name="Picture 55">
          <a:extLst>
            <a:ext uri="{FF2B5EF4-FFF2-40B4-BE49-F238E27FC236}">
              <a16:creationId xmlns:a16="http://schemas.microsoft.com/office/drawing/2014/main" id="{D52D7C0A-FE9C-400D-938E-78D651C43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1707"/>
          <a:ext cx="2935941" cy="106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112057</xdr:rowOff>
    </xdr:from>
    <xdr:to>
      <xdr:col>3</xdr:col>
      <xdr:colOff>683559</xdr:colOff>
      <xdr:row>60</xdr:row>
      <xdr:rowOff>3859</xdr:rowOff>
    </xdr:to>
    <xdr:pic>
      <xdr:nvPicPr>
        <xdr:cNvPr id="13" name="Picture 58">
          <a:extLst>
            <a:ext uri="{FF2B5EF4-FFF2-40B4-BE49-F238E27FC236}">
              <a16:creationId xmlns:a16="http://schemas.microsoft.com/office/drawing/2014/main" id="{C6D2A4F9-8A35-4E07-B02F-81BF0AD34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99057"/>
          <a:ext cx="2969559" cy="1034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134469</xdr:rowOff>
    </xdr:from>
    <xdr:to>
      <xdr:col>3</xdr:col>
      <xdr:colOff>638735</xdr:colOff>
      <xdr:row>73</xdr:row>
      <xdr:rowOff>23624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8792F05-50E7-46B6-A6BF-7F346F270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897969"/>
          <a:ext cx="2924735" cy="10321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134470</xdr:rowOff>
    </xdr:from>
    <xdr:to>
      <xdr:col>3</xdr:col>
      <xdr:colOff>582706</xdr:colOff>
      <xdr:row>87</xdr:row>
      <xdr:rowOff>105432</xdr:rowOff>
    </xdr:to>
    <xdr:pic>
      <xdr:nvPicPr>
        <xdr:cNvPr id="15" name="Imagen 14" descr="Camión de 5 ejes en formato PSD, descarga gratuita">
          <a:extLst>
            <a:ext uri="{FF2B5EF4-FFF2-40B4-BE49-F238E27FC236}">
              <a16:creationId xmlns:a16="http://schemas.microsoft.com/office/drawing/2014/main" id="{F2DF6006-DC79-4BF2-A675-DD8DB0A917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0" y="15374470"/>
          <a:ext cx="2868706" cy="1304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173691</xdr:colOff>
      <xdr:row>93</xdr:row>
      <xdr:rowOff>57150</xdr:rowOff>
    </xdr:from>
    <xdr:to>
      <xdr:col>10</xdr:col>
      <xdr:colOff>173691</xdr:colOff>
      <xdr:row>107</xdr:row>
      <xdr:rowOff>133350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1D1FCE9-B4D2-B673-D551-B7A133094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17</xdr:col>
      <xdr:colOff>515472</xdr:colOff>
      <xdr:row>12</xdr:row>
      <xdr:rowOff>168088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CDCA6B2-2340-43D9-B460-57FCF4686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11206</xdr:colOff>
      <xdr:row>13</xdr:row>
      <xdr:rowOff>89647</xdr:rowOff>
    </xdr:from>
    <xdr:to>
      <xdr:col>17</xdr:col>
      <xdr:colOff>526678</xdr:colOff>
      <xdr:row>25</xdr:row>
      <xdr:rowOff>67235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27F7B01-3E02-4C25-A566-4174F308A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750794</xdr:colOff>
      <xdr:row>26</xdr:row>
      <xdr:rowOff>123265</xdr:rowOff>
    </xdr:from>
    <xdr:to>
      <xdr:col>17</xdr:col>
      <xdr:colOff>504266</xdr:colOff>
      <xdr:row>38</xdr:row>
      <xdr:rowOff>100853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C9AB090-47D4-4FF6-BE9D-391C611B7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0</xdr:colOff>
      <xdr:row>39</xdr:row>
      <xdr:rowOff>145676</xdr:rowOff>
    </xdr:from>
    <xdr:to>
      <xdr:col>17</xdr:col>
      <xdr:colOff>515472</xdr:colOff>
      <xdr:row>51</xdr:row>
      <xdr:rowOff>123264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17314962-B81B-4822-8E43-76832ECBF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11206</xdr:colOff>
      <xdr:row>52</xdr:row>
      <xdr:rowOff>100853</xdr:rowOff>
    </xdr:from>
    <xdr:to>
      <xdr:col>17</xdr:col>
      <xdr:colOff>526678</xdr:colOff>
      <xdr:row>64</xdr:row>
      <xdr:rowOff>78441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C8F7D006-C073-4BD3-B292-44E7B44D1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0</xdr:colOff>
      <xdr:row>65</xdr:row>
      <xdr:rowOff>112058</xdr:rowOff>
    </xdr:from>
    <xdr:to>
      <xdr:col>17</xdr:col>
      <xdr:colOff>515472</xdr:colOff>
      <xdr:row>77</xdr:row>
      <xdr:rowOff>89646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3E5AE784-8437-4682-B1ED-A32E614EA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0</xdr:colOff>
      <xdr:row>79</xdr:row>
      <xdr:rowOff>0</xdr:rowOff>
    </xdr:from>
    <xdr:to>
      <xdr:col>17</xdr:col>
      <xdr:colOff>515472</xdr:colOff>
      <xdr:row>90</xdr:row>
      <xdr:rowOff>168088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6498DAE8-228A-45F0-8180-D99C3706F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334140</xdr:colOff>
      <xdr:row>92</xdr:row>
      <xdr:rowOff>148732</xdr:rowOff>
    </xdr:from>
    <xdr:to>
      <xdr:col>17</xdr:col>
      <xdr:colOff>334140</xdr:colOff>
      <xdr:row>107</xdr:row>
      <xdr:rowOff>34432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7DD7A5BD-FE52-45C6-B37F-FE4384674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11206</xdr:colOff>
      <xdr:row>1</xdr:row>
      <xdr:rowOff>0</xdr:rowOff>
    </xdr:from>
    <xdr:to>
      <xdr:col>24</xdr:col>
      <xdr:colOff>526678</xdr:colOff>
      <xdr:row>12</xdr:row>
      <xdr:rowOff>168088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95B67F06-710D-49D9-A71C-A0B8979C1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18</xdr:col>
      <xdr:colOff>22412</xdr:colOff>
      <xdr:row>13</xdr:row>
      <xdr:rowOff>89647</xdr:rowOff>
    </xdr:from>
    <xdr:to>
      <xdr:col>24</xdr:col>
      <xdr:colOff>537884</xdr:colOff>
      <xdr:row>25</xdr:row>
      <xdr:rowOff>67235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C110445D-22DB-4764-AD08-F1854319C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18</xdr:col>
      <xdr:colOff>0</xdr:colOff>
      <xdr:row>26</xdr:row>
      <xdr:rowOff>123265</xdr:rowOff>
    </xdr:from>
    <xdr:to>
      <xdr:col>24</xdr:col>
      <xdr:colOff>515472</xdr:colOff>
      <xdr:row>38</xdr:row>
      <xdr:rowOff>100853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97721A62-E2B4-4BEA-85B6-96DF4705D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18</xdr:col>
      <xdr:colOff>11206</xdr:colOff>
      <xdr:row>39</xdr:row>
      <xdr:rowOff>145676</xdr:rowOff>
    </xdr:from>
    <xdr:to>
      <xdr:col>24</xdr:col>
      <xdr:colOff>526678</xdr:colOff>
      <xdr:row>51</xdr:row>
      <xdr:rowOff>123264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D144F962-95EC-4091-B14E-28F332B83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18</xdr:col>
      <xdr:colOff>22412</xdr:colOff>
      <xdr:row>52</xdr:row>
      <xdr:rowOff>100853</xdr:rowOff>
    </xdr:from>
    <xdr:to>
      <xdr:col>24</xdr:col>
      <xdr:colOff>537884</xdr:colOff>
      <xdr:row>64</xdr:row>
      <xdr:rowOff>78441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473CA303-3D7C-4EAB-9CC2-3324B719A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11206</xdr:colOff>
      <xdr:row>65</xdr:row>
      <xdr:rowOff>112058</xdr:rowOff>
    </xdr:from>
    <xdr:to>
      <xdr:col>24</xdr:col>
      <xdr:colOff>526678</xdr:colOff>
      <xdr:row>77</xdr:row>
      <xdr:rowOff>89646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DB25975A-0C2F-4343-9D61-4B78EE764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18</xdr:col>
      <xdr:colOff>11206</xdr:colOff>
      <xdr:row>79</xdr:row>
      <xdr:rowOff>0</xdr:rowOff>
    </xdr:from>
    <xdr:to>
      <xdr:col>24</xdr:col>
      <xdr:colOff>526678</xdr:colOff>
      <xdr:row>90</xdr:row>
      <xdr:rowOff>168088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45BFD18D-38F9-407D-B8FE-BB030BACC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18</xdr:col>
      <xdr:colOff>345346</xdr:colOff>
      <xdr:row>92</xdr:row>
      <xdr:rowOff>148732</xdr:rowOff>
    </xdr:from>
    <xdr:to>
      <xdr:col>24</xdr:col>
      <xdr:colOff>345346</xdr:colOff>
      <xdr:row>107</xdr:row>
      <xdr:rowOff>34432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67D0C43C-441D-4938-8C2F-E47EEB8EE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25</xdr:col>
      <xdr:colOff>11206</xdr:colOff>
      <xdr:row>1</xdr:row>
      <xdr:rowOff>0</xdr:rowOff>
    </xdr:from>
    <xdr:to>
      <xdr:col>31</xdr:col>
      <xdr:colOff>526678</xdr:colOff>
      <xdr:row>12</xdr:row>
      <xdr:rowOff>168088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9516FF34-E47F-4960-BF30-8696367F1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25</xdr:col>
      <xdr:colOff>22412</xdr:colOff>
      <xdr:row>13</xdr:row>
      <xdr:rowOff>89647</xdr:rowOff>
    </xdr:from>
    <xdr:to>
      <xdr:col>31</xdr:col>
      <xdr:colOff>537884</xdr:colOff>
      <xdr:row>25</xdr:row>
      <xdr:rowOff>67235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4CE61FDA-A512-4DA5-9A6F-53B0C5B5F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25</xdr:col>
      <xdr:colOff>0</xdr:colOff>
      <xdr:row>26</xdr:row>
      <xdr:rowOff>123265</xdr:rowOff>
    </xdr:from>
    <xdr:to>
      <xdr:col>31</xdr:col>
      <xdr:colOff>515472</xdr:colOff>
      <xdr:row>38</xdr:row>
      <xdr:rowOff>100853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A489A6AE-21E4-41E8-BE9D-82F93636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25</xdr:col>
      <xdr:colOff>11206</xdr:colOff>
      <xdr:row>39</xdr:row>
      <xdr:rowOff>145676</xdr:rowOff>
    </xdr:from>
    <xdr:to>
      <xdr:col>31</xdr:col>
      <xdr:colOff>526678</xdr:colOff>
      <xdr:row>51</xdr:row>
      <xdr:rowOff>123264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9E511E9F-E176-4C1D-B9A8-0E715EE5C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25</xdr:col>
      <xdr:colOff>22412</xdr:colOff>
      <xdr:row>52</xdr:row>
      <xdr:rowOff>100853</xdr:rowOff>
    </xdr:from>
    <xdr:to>
      <xdr:col>31</xdr:col>
      <xdr:colOff>537884</xdr:colOff>
      <xdr:row>64</xdr:row>
      <xdr:rowOff>78441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7C597C0-4E0D-4532-A5B7-1FA464F0B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25</xdr:col>
      <xdr:colOff>11206</xdr:colOff>
      <xdr:row>65</xdr:row>
      <xdr:rowOff>112058</xdr:rowOff>
    </xdr:from>
    <xdr:to>
      <xdr:col>31</xdr:col>
      <xdr:colOff>526678</xdr:colOff>
      <xdr:row>77</xdr:row>
      <xdr:rowOff>89646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EAAE3018-81DD-43D2-8AAE-AB52B85FD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25</xdr:col>
      <xdr:colOff>11206</xdr:colOff>
      <xdr:row>79</xdr:row>
      <xdr:rowOff>0</xdr:rowOff>
    </xdr:from>
    <xdr:to>
      <xdr:col>31</xdr:col>
      <xdr:colOff>526678</xdr:colOff>
      <xdr:row>90</xdr:row>
      <xdr:rowOff>168088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19431960-E175-4402-974E-89124447A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25</xdr:col>
      <xdr:colOff>345346</xdr:colOff>
      <xdr:row>92</xdr:row>
      <xdr:rowOff>148732</xdr:rowOff>
    </xdr:from>
    <xdr:to>
      <xdr:col>31</xdr:col>
      <xdr:colOff>345346</xdr:colOff>
      <xdr:row>107</xdr:row>
      <xdr:rowOff>34432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88E6B558-E40A-4845-BE6A-8646F339B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32</xdr:col>
      <xdr:colOff>11206</xdr:colOff>
      <xdr:row>1</xdr:row>
      <xdr:rowOff>0</xdr:rowOff>
    </xdr:from>
    <xdr:to>
      <xdr:col>38</xdr:col>
      <xdr:colOff>526678</xdr:colOff>
      <xdr:row>12</xdr:row>
      <xdr:rowOff>168088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CA9D9548-FABF-45AA-949D-E33ED57BC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32</xdr:col>
      <xdr:colOff>22412</xdr:colOff>
      <xdr:row>13</xdr:row>
      <xdr:rowOff>89647</xdr:rowOff>
    </xdr:from>
    <xdr:to>
      <xdr:col>38</xdr:col>
      <xdr:colOff>537884</xdr:colOff>
      <xdr:row>25</xdr:row>
      <xdr:rowOff>67235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8BC66047-46D1-4518-BF22-C5894F012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32</xdr:col>
      <xdr:colOff>0</xdr:colOff>
      <xdr:row>26</xdr:row>
      <xdr:rowOff>123265</xdr:rowOff>
    </xdr:from>
    <xdr:to>
      <xdr:col>38</xdr:col>
      <xdr:colOff>515472</xdr:colOff>
      <xdr:row>38</xdr:row>
      <xdr:rowOff>100853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FEBA09B0-35D4-407D-BE20-ECCA97930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32</xdr:col>
      <xdr:colOff>11206</xdr:colOff>
      <xdr:row>39</xdr:row>
      <xdr:rowOff>145676</xdr:rowOff>
    </xdr:from>
    <xdr:to>
      <xdr:col>38</xdr:col>
      <xdr:colOff>526678</xdr:colOff>
      <xdr:row>51</xdr:row>
      <xdr:rowOff>123264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67176BBC-1090-4A40-BBA4-1F671D87F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32</xdr:col>
      <xdr:colOff>22412</xdr:colOff>
      <xdr:row>52</xdr:row>
      <xdr:rowOff>100853</xdr:rowOff>
    </xdr:from>
    <xdr:to>
      <xdr:col>38</xdr:col>
      <xdr:colOff>537884</xdr:colOff>
      <xdr:row>64</xdr:row>
      <xdr:rowOff>78441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E90DCD67-EA0D-4608-89C9-34176D769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32</xdr:col>
      <xdr:colOff>11206</xdr:colOff>
      <xdr:row>65</xdr:row>
      <xdr:rowOff>112058</xdr:rowOff>
    </xdr:from>
    <xdr:to>
      <xdr:col>38</xdr:col>
      <xdr:colOff>526678</xdr:colOff>
      <xdr:row>77</xdr:row>
      <xdr:rowOff>89646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DD396B4A-2972-4F41-998D-7C6DB7C66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32</xdr:col>
      <xdr:colOff>11206</xdr:colOff>
      <xdr:row>79</xdr:row>
      <xdr:rowOff>0</xdr:rowOff>
    </xdr:from>
    <xdr:to>
      <xdr:col>38</xdr:col>
      <xdr:colOff>526678</xdr:colOff>
      <xdr:row>90</xdr:row>
      <xdr:rowOff>168088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CA315268-4EF9-4DF1-95F6-D2E09FBCA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32</xdr:col>
      <xdr:colOff>345346</xdr:colOff>
      <xdr:row>92</xdr:row>
      <xdr:rowOff>148732</xdr:rowOff>
    </xdr:from>
    <xdr:to>
      <xdr:col>38</xdr:col>
      <xdr:colOff>345346</xdr:colOff>
      <xdr:row>107</xdr:row>
      <xdr:rowOff>34432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FB84831D-D3AB-45C4-83AC-5893F33BA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39</xdr:col>
      <xdr:colOff>11206</xdr:colOff>
      <xdr:row>1</xdr:row>
      <xdr:rowOff>0</xdr:rowOff>
    </xdr:from>
    <xdr:to>
      <xdr:col>45</xdr:col>
      <xdr:colOff>526678</xdr:colOff>
      <xdr:row>12</xdr:row>
      <xdr:rowOff>168088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A7B9625E-80C6-477E-9D09-D7A83618F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39</xdr:col>
      <xdr:colOff>22412</xdr:colOff>
      <xdr:row>13</xdr:row>
      <xdr:rowOff>89647</xdr:rowOff>
    </xdr:from>
    <xdr:to>
      <xdr:col>45</xdr:col>
      <xdr:colOff>537884</xdr:colOff>
      <xdr:row>25</xdr:row>
      <xdr:rowOff>67235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36C77F5F-B509-4E76-8F08-F02D906A2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39</xdr:col>
      <xdr:colOff>0</xdr:colOff>
      <xdr:row>26</xdr:row>
      <xdr:rowOff>123265</xdr:rowOff>
    </xdr:from>
    <xdr:to>
      <xdr:col>45</xdr:col>
      <xdr:colOff>515472</xdr:colOff>
      <xdr:row>38</xdr:row>
      <xdr:rowOff>100853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D4D8107E-1D82-4BD1-BA91-6257ADB1A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39</xdr:col>
      <xdr:colOff>11206</xdr:colOff>
      <xdr:row>39</xdr:row>
      <xdr:rowOff>145676</xdr:rowOff>
    </xdr:from>
    <xdr:to>
      <xdr:col>45</xdr:col>
      <xdr:colOff>526678</xdr:colOff>
      <xdr:row>51</xdr:row>
      <xdr:rowOff>123264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AA822FBD-874F-42DF-9A49-0DE885ECD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39</xdr:col>
      <xdr:colOff>22412</xdr:colOff>
      <xdr:row>52</xdr:row>
      <xdr:rowOff>100853</xdr:rowOff>
    </xdr:from>
    <xdr:to>
      <xdr:col>45</xdr:col>
      <xdr:colOff>537884</xdr:colOff>
      <xdr:row>64</xdr:row>
      <xdr:rowOff>78441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76B4FDC8-5951-464C-8704-A4A8F79CB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39</xdr:col>
      <xdr:colOff>11206</xdr:colOff>
      <xdr:row>65</xdr:row>
      <xdr:rowOff>112058</xdr:rowOff>
    </xdr:from>
    <xdr:to>
      <xdr:col>45</xdr:col>
      <xdr:colOff>526678</xdr:colOff>
      <xdr:row>77</xdr:row>
      <xdr:rowOff>89646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7032503E-BC2F-4E78-A97B-38B8A43C8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39</xdr:col>
      <xdr:colOff>11206</xdr:colOff>
      <xdr:row>79</xdr:row>
      <xdr:rowOff>0</xdr:rowOff>
    </xdr:from>
    <xdr:to>
      <xdr:col>45</xdr:col>
      <xdr:colOff>526678</xdr:colOff>
      <xdr:row>90</xdr:row>
      <xdr:rowOff>168088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4073889E-5125-4525-A9ED-D993DA431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39</xdr:col>
      <xdr:colOff>345346</xdr:colOff>
      <xdr:row>92</xdr:row>
      <xdr:rowOff>148732</xdr:rowOff>
    </xdr:from>
    <xdr:to>
      <xdr:col>45</xdr:col>
      <xdr:colOff>345346</xdr:colOff>
      <xdr:row>107</xdr:row>
      <xdr:rowOff>34432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1F98F7B3-2B5E-4B61-9D09-2081B11B6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46</xdr:col>
      <xdr:colOff>11206</xdr:colOff>
      <xdr:row>1</xdr:row>
      <xdr:rowOff>0</xdr:rowOff>
    </xdr:from>
    <xdr:to>
      <xdr:col>52</xdr:col>
      <xdr:colOff>526678</xdr:colOff>
      <xdr:row>12</xdr:row>
      <xdr:rowOff>168088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40BCECC1-FD1F-47CD-827D-31A563F9D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46</xdr:col>
      <xdr:colOff>22412</xdr:colOff>
      <xdr:row>13</xdr:row>
      <xdr:rowOff>89647</xdr:rowOff>
    </xdr:from>
    <xdr:to>
      <xdr:col>52</xdr:col>
      <xdr:colOff>537884</xdr:colOff>
      <xdr:row>25</xdr:row>
      <xdr:rowOff>67235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B9F5B18A-5B32-4E2A-ADBC-3CD3CBA8D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46</xdr:col>
      <xdr:colOff>0</xdr:colOff>
      <xdr:row>26</xdr:row>
      <xdr:rowOff>123265</xdr:rowOff>
    </xdr:from>
    <xdr:to>
      <xdr:col>52</xdr:col>
      <xdr:colOff>515472</xdr:colOff>
      <xdr:row>38</xdr:row>
      <xdr:rowOff>100853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4CDECC14-25B8-43AA-B286-65C20991D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46</xdr:col>
      <xdr:colOff>11206</xdr:colOff>
      <xdr:row>39</xdr:row>
      <xdr:rowOff>145676</xdr:rowOff>
    </xdr:from>
    <xdr:to>
      <xdr:col>52</xdr:col>
      <xdr:colOff>526678</xdr:colOff>
      <xdr:row>51</xdr:row>
      <xdr:rowOff>123264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DC329229-AB5F-49A3-9E3C-32467CC1C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46</xdr:col>
      <xdr:colOff>22412</xdr:colOff>
      <xdr:row>52</xdr:row>
      <xdr:rowOff>100853</xdr:rowOff>
    </xdr:from>
    <xdr:to>
      <xdr:col>52</xdr:col>
      <xdr:colOff>537884</xdr:colOff>
      <xdr:row>64</xdr:row>
      <xdr:rowOff>78441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7281BA10-7FFB-4991-B3ED-6D042F816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46</xdr:col>
      <xdr:colOff>11206</xdr:colOff>
      <xdr:row>65</xdr:row>
      <xdr:rowOff>112058</xdr:rowOff>
    </xdr:from>
    <xdr:to>
      <xdr:col>52</xdr:col>
      <xdr:colOff>526678</xdr:colOff>
      <xdr:row>77</xdr:row>
      <xdr:rowOff>89646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D342D24E-827E-4E96-945B-2C6010D4C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46</xdr:col>
      <xdr:colOff>11206</xdr:colOff>
      <xdr:row>79</xdr:row>
      <xdr:rowOff>0</xdr:rowOff>
    </xdr:from>
    <xdr:to>
      <xdr:col>52</xdr:col>
      <xdr:colOff>526678</xdr:colOff>
      <xdr:row>90</xdr:row>
      <xdr:rowOff>168088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CB25CA2C-B1CA-44C3-9660-D44551B05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46</xdr:col>
      <xdr:colOff>345346</xdr:colOff>
      <xdr:row>92</xdr:row>
      <xdr:rowOff>148732</xdr:rowOff>
    </xdr:from>
    <xdr:to>
      <xdr:col>52</xdr:col>
      <xdr:colOff>345346</xdr:colOff>
      <xdr:row>107</xdr:row>
      <xdr:rowOff>34432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7AC1BC07-4FE5-4846-918A-384DD50E0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212911</xdr:colOff>
      <xdr:row>118</xdr:row>
      <xdr:rowOff>179292</xdr:rowOff>
    </xdr:from>
    <xdr:to>
      <xdr:col>3</xdr:col>
      <xdr:colOff>63500</xdr:colOff>
      <xdr:row>127</xdr:row>
      <xdr:rowOff>67234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73CC08C9-CF37-49A5-AEC6-5EFD8FCC6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1" y="22658292"/>
          <a:ext cx="2136589" cy="1602442"/>
        </a:xfrm>
        <a:prstGeom prst="rect">
          <a:avLst/>
        </a:prstGeom>
      </xdr:spPr>
    </xdr:pic>
    <xdr:clientData/>
  </xdr:twoCellAnchor>
  <xdr:twoCellAnchor editAs="oneCell">
    <xdr:from>
      <xdr:col>0</xdr:col>
      <xdr:colOff>168090</xdr:colOff>
      <xdr:row>132</xdr:row>
      <xdr:rowOff>156881</xdr:rowOff>
    </xdr:from>
    <xdr:to>
      <xdr:col>3</xdr:col>
      <xdr:colOff>560296</xdr:colOff>
      <xdr:row>141</xdr:row>
      <xdr:rowOff>4667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BF46F050-FBA9-48C0-A4BA-E5D84070F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90" y="25302881"/>
          <a:ext cx="2678206" cy="1562286"/>
        </a:xfrm>
        <a:prstGeom prst="rect">
          <a:avLst/>
        </a:prstGeom>
      </xdr:spPr>
    </xdr:pic>
    <xdr:clientData/>
  </xdr:twoCellAnchor>
  <xdr:twoCellAnchor editAs="oneCell">
    <xdr:from>
      <xdr:col>0</xdr:col>
      <xdr:colOff>99834</xdr:colOff>
      <xdr:row>147</xdr:row>
      <xdr:rowOff>117151</xdr:rowOff>
    </xdr:from>
    <xdr:to>
      <xdr:col>3</xdr:col>
      <xdr:colOff>618507</xdr:colOff>
      <xdr:row>156</xdr:row>
      <xdr:rowOff>38710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B716B829-E0C6-47A1-863F-D8A644E1A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4" y="28120651"/>
          <a:ext cx="2804673" cy="1636059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165</xdr:row>
      <xdr:rowOff>11206</xdr:rowOff>
    </xdr:from>
    <xdr:to>
      <xdr:col>3</xdr:col>
      <xdr:colOff>736532</xdr:colOff>
      <xdr:row>170</xdr:row>
      <xdr:rowOff>128583</xdr:rowOff>
    </xdr:to>
    <xdr:pic>
      <xdr:nvPicPr>
        <xdr:cNvPr id="75" name="Picture 55">
          <a:extLst>
            <a:ext uri="{FF2B5EF4-FFF2-40B4-BE49-F238E27FC236}">
              <a16:creationId xmlns:a16="http://schemas.microsoft.com/office/drawing/2014/main" id="{D6B1BE1A-C28C-4599-B8BE-8B68935C1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1443706"/>
          <a:ext cx="2935941" cy="106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103909</xdr:colOff>
      <xdr:row>181</xdr:row>
      <xdr:rowOff>164011</xdr:rowOff>
    </xdr:from>
    <xdr:to>
      <xdr:col>4</xdr:col>
      <xdr:colOff>25468</xdr:colOff>
      <xdr:row>187</xdr:row>
      <xdr:rowOff>55813</xdr:rowOff>
    </xdr:to>
    <xdr:pic>
      <xdr:nvPicPr>
        <xdr:cNvPr id="76" name="Picture 58">
          <a:extLst>
            <a:ext uri="{FF2B5EF4-FFF2-40B4-BE49-F238E27FC236}">
              <a16:creationId xmlns:a16="http://schemas.microsoft.com/office/drawing/2014/main" id="{AD200A17-F1F8-4562-8F98-E98D4E18E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09" y="34644511"/>
          <a:ext cx="2969559" cy="1034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155864</xdr:colOff>
      <xdr:row>198</xdr:row>
      <xdr:rowOff>82514</xdr:rowOff>
    </xdr:from>
    <xdr:to>
      <xdr:col>4</xdr:col>
      <xdr:colOff>32599</xdr:colOff>
      <xdr:row>203</xdr:row>
      <xdr:rowOff>162169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4BC08041-C36A-4AE9-8B8E-DA8C67148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5864" y="37801514"/>
          <a:ext cx="2924735" cy="1032155"/>
        </a:xfrm>
        <a:prstGeom prst="rect">
          <a:avLst/>
        </a:prstGeom>
      </xdr:spPr>
    </xdr:pic>
    <xdr:clientData/>
  </xdr:twoCellAnchor>
  <xdr:twoCellAnchor editAs="oneCell">
    <xdr:from>
      <xdr:col>0</xdr:col>
      <xdr:colOff>69272</xdr:colOff>
      <xdr:row>213</xdr:row>
      <xdr:rowOff>186423</xdr:rowOff>
    </xdr:from>
    <xdr:to>
      <xdr:col>3</xdr:col>
      <xdr:colOff>651978</xdr:colOff>
      <xdr:row>220</xdr:row>
      <xdr:rowOff>157385</xdr:rowOff>
    </xdr:to>
    <xdr:pic>
      <xdr:nvPicPr>
        <xdr:cNvPr id="78" name="Imagen 77" descr="Camión de 5 ejes en formato PSD, descarga gratuita">
          <a:extLst>
            <a:ext uri="{FF2B5EF4-FFF2-40B4-BE49-F238E27FC236}">
              <a16:creationId xmlns:a16="http://schemas.microsoft.com/office/drawing/2014/main" id="{C32F5D79-DA02-4333-BEDC-ED39BDD3E3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69272" y="40762923"/>
          <a:ext cx="2868706" cy="1304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710045</xdr:colOff>
      <xdr:row>114</xdr:row>
      <xdr:rowOff>34636</xdr:rowOff>
    </xdr:from>
    <xdr:to>
      <xdr:col>9</xdr:col>
      <xdr:colOff>710045</xdr:colOff>
      <xdr:row>128</xdr:row>
      <xdr:rowOff>110836</xdr:rowOff>
    </xdr:to>
    <xdr:graphicFrame macro="">
      <xdr:nvGraphicFramePr>
        <xdr:cNvPr id="87" name="Gráfico 86">
          <a:extLst>
            <a:ext uri="{FF2B5EF4-FFF2-40B4-BE49-F238E27FC236}">
              <a16:creationId xmlns:a16="http://schemas.microsoft.com/office/drawing/2014/main" id="{7E80D069-3571-472E-9B88-FD863FD8C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3</xdr:col>
      <xdr:colOff>744063</xdr:colOff>
      <xdr:row>130</xdr:row>
      <xdr:rowOff>18307</xdr:rowOff>
    </xdr:from>
    <xdr:to>
      <xdr:col>9</xdr:col>
      <xdr:colOff>744063</xdr:colOff>
      <xdr:row>144</xdr:row>
      <xdr:rowOff>94507</xdr:rowOff>
    </xdr:to>
    <xdr:graphicFrame macro="">
      <xdr:nvGraphicFramePr>
        <xdr:cNvPr id="88" name="Gráfico 87">
          <a:extLst>
            <a:ext uri="{FF2B5EF4-FFF2-40B4-BE49-F238E27FC236}">
              <a16:creationId xmlns:a16="http://schemas.microsoft.com/office/drawing/2014/main" id="{44CDD195-F6FB-42CA-ACF2-425BEC056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3</xdr:col>
      <xdr:colOff>757670</xdr:colOff>
      <xdr:row>145</xdr:row>
      <xdr:rowOff>154378</xdr:rowOff>
    </xdr:from>
    <xdr:to>
      <xdr:col>9</xdr:col>
      <xdr:colOff>757670</xdr:colOff>
      <xdr:row>160</xdr:row>
      <xdr:rowOff>40078</xdr:rowOff>
    </xdr:to>
    <xdr:graphicFrame macro="">
      <xdr:nvGraphicFramePr>
        <xdr:cNvPr id="89" name="Gráfico 88">
          <a:extLst>
            <a:ext uri="{FF2B5EF4-FFF2-40B4-BE49-F238E27FC236}">
              <a16:creationId xmlns:a16="http://schemas.microsoft.com/office/drawing/2014/main" id="{FC885F31-3BD4-454B-BD01-52EA1A9E2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4</xdr:col>
      <xdr:colOff>9278</xdr:colOff>
      <xdr:row>161</xdr:row>
      <xdr:rowOff>140772</xdr:rowOff>
    </xdr:from>
    <xdr:to>
      <xdr:col>10</xdr:col>
      <xdr:colOff>9278</xdr:colOff>
      <xdr:row>176</xdr:row>
      <xdr:rowOff>26472</xdr:rowOff>
    </xdr:to>
    <xdr:graphicFrame macro="">
      <xdr:nvGraphicFramePr>
        <xdr:cNvPr id="90" name="Gráfico 89">
          <a:extLst>
            <a:ext uri="{FF2B5EF4-FFF2-40B4-BE49-F238E27FC236}">
              <a16:creationId xmlns:a16="http://schemas.microsoft.com/office/drawing/2014/main" id="{BD4EC50A-CA5D-40C1-A7D6-8D92D1483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4</xdr:col>
      <xdr:colOff>36491</xdr:colOff>
      <xdr:row>177</xdr:row>
      <xdr:rowOff>154379</xdr:rowOff>
    </xdr:from>
    <xdr:to>
      <xdr:col>10</xdr:col>
      <xdr:colOff>36491</xdr:colOff>
      <xdr:row>192</xdr:row>
      <xdr:rowOff>40079</xdr:rowOff>
    </xdr:to>
    <xdr:graphicFrame macro="">
      <xdr:nvGraphicFramePr>
        <xdr:cNvPr id="91" name="Gráfico 90">
          <a:extLst>
            <a:ext uri="{FF2B5EF4-FFF2-40B4-BE49-F238E27FC236}">
              <a16:creationId xmlns:a16="http://schemas.microsoft.com/office/drawing/2014/main" id="{08B644DE-B384-4709-9C00-57E2BB4B1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4</xdr:col>
      <xdr:colOff>63706</xdr:colOff>
      <xdr:row>194</xdr:row>
      <xdr:rowOff>99950</xdr:rowOff>
    </xdr:from>
    <xdr:to>
      <xdr:col>10</xdr:col>
      <xdr:colOff>63706</xdr:colOff>
      <xdr:row>208</xdr:row>
      <xdr:rowOff>176150</xdr:rowOff>
    </xdr:to>
    <xdr:graphicFrame macro="">
      <xdr:nvGraphicFramePr>
        <xdr:cNvPr id="92" name="Gráfico 91">
          <a:extLst>
            <a:ext uri="{FF2B5EF4-FFF2-40B4-BE49-F238E27FC236}">
              <a16:creationId xmlns:a16="http://schemas.microsoft.com/office/drawing/2014/main" id="{BD0A4EAA-2A5A-4983-BFEA-BD6FD7D8E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4</xdr:col>
      <xdr:colOff>63706</xdr:colOff>
      <xdr:row>211</xdr:row>
      <xdr:rowOff>106136</xdr:rowOff>
    </xdr:from>
    <xdr:to>
      <xdr:col>10</xdr:col>
      <xdr:colOff>63706</xdr:colOff>
      <xdr:row>225</xdr:row>
      <xdr:rowOff>182336</xdr:rowOff>
    </xdr:to>
    <xdr:graphicFrame macro="">
      <xdr:nvGraphicFramePr>
        <xdr:cNvPr id="93" name="Gráfico 92">
          <a:extLst>
            <a:ext uri="{FF2B5EF4-FFF2-40B4-BE49-F238E27FC236}">
              <a16:creationId xmlns:a16="http://schemas.microsoft.com/office/drawing/2014/main" id="{1E1CBE0D-500D-492C-A767-0D84651CE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59</xdr:col>
      <xdr:colOff>387803</xdr:colOff>
      <xdr:row>11</xdr:row>
      <xdr:rowOff>125185</xdr:rowOff>
    </xdr:from>
    <xdr:to>
      <xdr:col>65</xdr:col>
      <xdr:colOff>748393</xdr:colOff>
      <xdr:row>27</xdr:row>
      <xdr:rowOff>136070</xdr:rowOff>
    </xdr:to>
    <xdr:graphicFrame macro="">
      <xdr:nvGraphicFramePr>
        <xdr:cNvPr id="94" name="Gráfico 93">
          <a:extLst>
            <a:ext uri="{FF2B5EF4-FFF2-40B4-BE49-F238E27FC236}">
              <a16:creationId xmlns:a16="http://schemas.microsoft.com/office/drawing/2014/main" id="{C8FBEFF6-A7AF-999C-43D2-93E295AB1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16</xdr:col>
      <xdr:colOff>755194</xdr:colOff>
      <xdr:row>114</xdr:row>
      <xdr:rowOff>32411</xdr:rowOff>
    </xdr:from>
    <xdr:to>
      <xdr:col>32</xdr:col>
      <xdr:colOff>381000</xdr:colOff>
      <xdr:row>136</xdr:row>
      <xdr:rowOff>97725</xdr:rowOff>
    </xdr:to>
    <xdr:graphicFrame macro="">
      <xdr:nvGraphicFramePr>
        <xdr:cNvPr id="95" name="Gráfico 94">
          <a:extLst>
            <a:ext uri="{FF2B5EF4-FFF2-40B4-BE49-F238E27FC236}">
              <a16:creationId xmlns:a16="http://schemas.microsoft.com/office/drawing/2014/main" id="{79EC3276-3E2F-531C-89BE-8A1624865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18</xdr:col>
      <xdr:colOff>542204</xdr:colOff>
      <xdr:row>124</xdr:row>
      <xdr:rowOff>176324</xdr:rowOff>
    </xdr:from>
    <xdr:to>
      <xdr:col>20</xdr:col>
      <xdr:colOff>95249</xdr:colOff>
      <xdr:row>129</xdr:row>
      <xdr:rowOff>31608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54AFB989-CE64-47A4-A2EA-7D3E35225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8204" y="23798324"/>
          <a:ext cx="1077045" cy="807784"/>
        </a:xfrm>
        <a:prstGeom prst="rect">
          <a:avLst/>
        </a:prstGeom>
      </xdr:spPr>
    </xdr:pic>
    <xdr:clientData/>
  </xdr:twoCellAnchor>
  <xdr:twoCellAnchor editAs="oneCell">
    <xdr:from>
      <xdr:col>20</xdr:col>
      <xdr:colOff>297522</xdr:colOff>
      <xdr:row>117</xdr:row>
      <xdr:rowOff>0</xdr:rowOff>
    </xdr:from>
    <xdr:to>
      <xdr:col>21</xdr:col>
      <xdr:colOff>748395</xdr:colOff>
      <xdr:row>120</xdr:row>
      <xdr:rowOff>136010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CE0C04FD-8F58-4A51-BC1D-E9D191667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37522" y="22288500"/>
          <a:ext cx="1212873" cy="707510"/>
        </a:xfrm>
        <a:prstGeom prst="rect">
          <a:avLst/>
        </a:prstGeom>
      </xdr:spPr>
    </xdr:pic>
    <xdr:clientData/>
  </xdr:twoCellAnchor>
  <xdr:twoCellAnchor editAs="oneCell">
    <xdr:from>
      <xdr:col>22</xdr:col>
      <xdr:colOff>197600</xdr:colOff>
      <xdr:row>121</xdr:row>
      <xdr:rowOff>53892</xdr:rowOff>
    </xdr:from>
    <xdr:to>
      <xdr:col>23</xdr:col>
      <xdr:colOff>660243</xdr:colOff>
      <xdr:row>125</xdr:row>
      <xdr:rowOff>6267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818F729D-CD3E-49D6-8295-C38A5CA8D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61600" y="23104392"/>
          <a:ext cx="1224643" cy="714375"/>
        </a:xfrm>
        <a:prstGeom prst="rect">
          <a:avLst/>
        </a:prstGeom>
      </xdr:spPr>
    </xdr:pic>
    <xdr:clientData/>
  </xdr:twoCellAnchor>
  <xdr:twoCellAnchor editAs="oneCell">
    <xdr:from>
      <xdr:col>23</xdr:col>
      <xdr:colOff>704614</xdr:colOff>
      <xdr:row>118</xdr:row>
      <xdr:rowOff>61052</xdr:rowOff>
    </xdr:from>
    <xdr:to>
      <xdr:col>26</xdr:col>
      <xdr:colOff>10649</xdr:colOff>
      <xdr:row>121</xdr:row>
      <xdr:rowOff>183747</xdr:rowOff>
    </xdr:to>
    <xdr:pic>
      <xdr:nvPicPr>
        <xdr:cNvPr id="99" name="Picture 55">
          <a:extLst>
            <a:ext uri="{FF2B5EF4-FFF2-40B4-BE49-F238E27FC236}">
              <a16:creationId xmlns:a16="http://schemas.microsoft.com/office/drawing/2014/main" id="{6C9BD5FA-DD9E-448D-9E7D-7A50A864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30614" y="22540052"/>
          <a:ext cx="1592035" cy="694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531864</xdr:colOff>
      <xdr:row>123</xdr:row>
      <xdr:rowOff>66382</xdr:rowOff>
    </xdr:from>
    <xdr:to>
      <xdr:col>27</xdr:col>
      <xdr:colOff>629480</xdr:colOff>
      <xdr:row>127</xdr:row>
      <xdr:rowOff>156954</xdr:rowOff>
    </xdr:to>
    <xdr:pic>
      <xdr:nvPicPr>
        <xdr:cNvPr id="100" name="Picture 58">
          <a:extLst>
            <a:ext uri="{FF2B5EF4-FFF2-40B4-BE49-F238E27FC236}">
              <a16:creationId xmlns:a16="http://schemas.microsoft.com/office/drawing/2014/main" id="{4C272DB9-EEF4-4AD4-933E-0BBC3819E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1864" y="23497882"/>
          <a:ext cx="1621616" cy="852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694557</xdr:colOff>
      <xdr:row>123</xdr:row>
      <xdr:rowOff>124364</xdr:rowOff>
    </xdr:from>
    <xdr:to>
      <xdr:col>29</xdr:col>
      <xdr:colOff>640127</xdr:colOff>
      <xdr:row>127</xdr:row>
      <xdr:rowOff>95736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E852C43D-9F8F-4C9F-980D-7D1D90AE3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268557" y="23555864"/>
          <a:ext cx="1469570" cy="733372"/>
        </a:xfrm>
        <a:prstGeom prst="rect">
          <a:avLst/>
        </a:prstGeom>
      </xdr:spPr>
    </xdr:pic>
    <xdr:clientData/>
  </xdr:twoCellAnchor>
  <xdr:twoCellAnchor editAs="oneCell">
    <xdr:from>
      <xdr:col>30</xdr:col>
      <xdr:colOff>69812</xdr:colOff>
      <xdr:row>124</xdr:row>
      <xdr:rowOff>57977</xdr:rowOff>
    </xdr:from>
    <xdr:to>
      <xdr:col>32</xdr:col>
      <xdr:colOff>46050</xdr:colOff>
      <xdr:row>127</xdr:row>
      <xdr:rowOff>168668</xdr:rowOff>
    </xdr:to>
    <xdr:pic>
      <xdr:nvPicPr>
        <xdr:cNvPr id="102" name="Imagen 101" descr="Camión de 5 ejes en formato PSD, descarga gratuita">
          <a:extLst>
            <a:ext uri="{FF2B5EF4-FFF2-40B4-BE49-F238E27FC236}">
              <a16:creationId xmlns:a16="http://schemas.microsoft.com/office/drawing/2014/main" id="{0D083148-6967-4775-9913-3383B46765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22929812" y="23679977"/>
          <a:ext cx="1500238" cy="682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373601</xdr:rowOff>
    </xdr:from>
    <xdr:to>
      <xdr:col>2</xdr:col>
      <xdr:colOff>640080</xdr:colOff>
      <xdr:row>12</xdr:row>
      <xdr:rowOff>375237</xdr:rowOff>
    </xdr:to>
    <xdr:pic>
      <xdr:nvPicPr>
        <xdr:cNvPr id="2" name="21 Imagen">
          <a:extLst>
            <a:ext uri="{FF2B5EF4-FFF2-40B4-BE49-F238E27FC236}">
              <a16:creationId xmlns:a16="http://schemas.microsoft.com/office/drawing/2014/main" id="{C245DCE7-B6C5-4EC1-A90F-9EADEB718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" y="2850101"/>
          <a:ext cx="640080" cy="1636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12</xdr:row>
      <xdr:rowOff>373601</xdr:rowOff>
    </xdr:from>
    <xdr:ext cx="640080" cy="1636"/>
    <xdr:pic>
      <xdr:nvPicPr>
        <xdr:cNvPr id="12" name="21 Imagen">
          <a:extLst>
            <a:ext uri="{FF2B5EF4-FFF2-40B4-BE49-F238E27FC236}">
              <a16:creationId xmlns:a16="http://schemas.microsoft.com/office/drawing/2014/main" id="{12ABF99B-676B-4CC1-ACAF-CDD4D992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68058251"/>
          <a:ext cx="640080" cy="1636"/>
        </a:xfrm>
        <a:prstGeom prst="rect">
          <a:avLst/>
        </a:prstGeom>
      </xdr:spPr>
    </xdr:pic>
    <xdr:clientData/>
  </xdr:oneCellAnchor>
  <xdr:oneCellAnchor>
    <xdr:from>
      <xdr:col>2</xdr:col>
      <xdr:colOff>387348</xdr:colOff>
      <xdr:row>12</xdr:row>
      <xdr:rowOff>117686</xdr:rowOff>
    </xdr:from>
    <xdr:ext cx="1299938" cy="1199346"/>
    <xdr:pic>
      <xdr:nvPicPr>
        <xdr:cNvPr id="13" name="22 Imagen">
          <a:extLst>
            <a:ext uri="{FF2B5EF4-FFF2-40B4-BE49-F238E27FC236}">
              <a16:creationId xmlns:a16="http://schemas.microsoft.com/office/drawing/2014/main" id="{8B767DA3-5079-4AEC-A34F-18E5CAE486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50" t="4759" b="1"/>
        <a:stretch/>
      </xdr:blipFill>
      <xdr:spPr>
        <a:xfrm>
          <a:off x="2673348" y="67802336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2</xdr:col>
      <xdr:colOff>147052</xdr:colOff>
      <xdr:row>14</xdr:row>
      <xdr:rowOff>166327</xdr:rowOff>
    </xdr:from>
    <xdr:ext cx="1481002" cy="1104901"/>
    <xdr:pic>
      <xdr:nvPicPr>
        <xdr:cNvPr id="14" name="24 Imagen">
          <a:extLst>
            <a:ext uri="{FF2B5EF4-FFF2-40B4-BE49-F238E27FC236}">
              <a16:creationId xmlns:a16="http://schemas.microsoft.com/office/drawing/2014/main" id="{153548A5-21CF-46EB-8998-64A875AB0B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420" t="4321" b="5555"/>
        <a:stretch/>
      </xdr:blipFill>
      <xdr:spPr>
        <a:xfrm>
          <a:off x="1671052" y="7001915"/>
          <a:ext cx="1481002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3</xdr:col>
      <xdr:colOff>441030</xdr:colOff>
      <xdr:row>14</xdr:row>
      <xdr:rowOff>240127</xdr:rowOff>
    </xdr:from>
    <xdr:ext cx="2682875" cy="771525"/>
    <xdr:pic>
      <xdr:nvPicPr>
        <xdr:cNvPr id="15" name="Picture 55">
          <a:extLst>
            <a:ext uri="{FF2B5EF4-FFF2-40B4-BE49-F238E27FC236}">
              <a16:creationId xmlns:a16="http://schemas.microsoft.com/office/drawing/2014/main" id="{C49F4844-8F04-4819-BC3E-F73457DCE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7971" y="7075715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389005</xdr:colOff>
      <xdr:row>15</xdr:row>
      <xdr:rowOff>233723</xdr:rowOff>
    </xdr:from>
    <xdr:ext cx="4537075" cy="904875"/>
    <xdr:pic>
      <xdr:nvPicPr>
        <xdr:cNvPr id="16" name="Picture 58">
          <a:extLst>
            <a:ext uri="{FF2B5EF4-FFF2-40B4-BE49-F238E27FC236}">
              <a16:creationId xmlns:a16="http://schemas.microsoft.com/office/drawing/2014/main" id="{A4862D9E-DD1F-4E38-9D20-B63340D8E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3005" y="8582105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517071</xdr:colOff>
      <xdr:row>16</xdr:row>
      <xdr:rowOff>108857</xdr:rowOff>
    </xdr:from>
    <xdr:ext cx="4014107" cy="1149199"/>
    <xdr:pic>
      <xdr:nvPicPr>
        <xdr:cNvPr id="17" name="Imagen 16">
          <a:extLst>
            <a:ext uri="{FF2B5EF4-FFF2-40B4-BE49-F238E27FC236}">
              <a16:creationId xmlns:a16="http://schemas.microsoft.com/office/drawing/2014/main" id="{70A90C2B-6EF7-455A-ABFC-2D5706982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3071" y="73241807"/>
          <a:ext cx="4014107" cy="1149199"/>
        </a:xfrm>
        <a:prstGeom prst="rect">
          <a:avLst/>
        </a:prstGeom>
      </xdr:spPr>
    </xdr:pic>
    <xdr:clientData/>
  </xdr:oneCellAnchor>
  <xdr:oneCellAnchor>
    <xdr:from>
      <xdr:col>2</xdr:col>
      <xdr:colOff>938094</xdr:colOff>
      <xdr:row>17</xdr:row>
      <xdr:rowOff>199885</xdr:rowOff>
    </xdr:from>
    <xdr:ext cx="2911928" cy="1324116"/>
    <xdr:pic>
      <xdr:nvPicPr>
        <xdr:cNvPr id="18" name="Imagen 17" descr="Camión de 5 ejes en formato PSD, descarga gratuita">
          <a:extLst>
            <a:ext uri="{FF2B5EF4-FFF2-40B4-BE49-F238E27FC236}">
              <a16:creationId xmlns:a16="http://schemas.microsoft.com/office/drawing/2014/main" id="{73DB3E8B-BEA8-4DD7-8509-A07A40CDA7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2462094" y="11181650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232925</xdr:colOff>
      <xdr:row>13</xdr:row>
      <xdr:rowOff>48772</xdr:rowOff>
    </xdr:from>
    <xdr:ext cx="1619250" cy="1079500"/>
    <xdr:pic>
      <xdr:nvPicPr>
        <xdr:cNvPr id="19" name="Imagen 18">
          <a:extLst>
            <a:ext uri="{FF2B5EF4-FFF2-40B4-BE49-F238E27FC236}">
              <a16:creationId xmlns:a16="http://schemas.microsoft.com/office/drawing/2014/main" id="{9C359D8F-E027-4F42-B39C-339E413AB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6925" y="5438801"/>
          <a:ext cx="1619250" cy="1079500"/>
        </a:xfrm>
        <a:prstGeom prst="rect">
          <a:avLst/>
        </a:prstGeom>
      </xdr:spPr>
    </xdr:pic>
    <xdr:clientData/>
  </xdr:oneCellAnchor>
  <xdr:oneCellAnchor>
    <xdr:from>
      <xdr:col>3</xdr:col>
      <xdr:colOff>1848492</xdr:colOff>
      <xdr:row>11</xdr:row>
      <xdr:rowOff>80044</xdr:rowOff>
    </xdr:from>
    <xdr:ext cx="1496464" cy="1122348"/>
    <xdr:pic>
      <xdr:nvPicPr>
        <xdr:cNvPr id="20" name="Imagen 19">
          <a:extLst>
            <a:ext uri="{FF2B5EF4-FFF2-40B4-BE49-F238E27FC236}">
              <a16:creationId xmlns:a16="http://schemas.microsoft.com/office/drawing/2014/main" id="{29ADBD8B-70FC-4591-B883-12E9CBA76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5433" y="2489309"/>
          <a:ext cx="1496464" cy="1122348"/>
        </a:xfrm>
        <a:prstGeom prst="rect">
          <a:avLst/>
        </a:prstGeom>
      </xdr:spPr>
    </xdr:pic>
    <xdr:clientData/>
  </xdr:oneCellAnchor>
  <xdr:oneCellAnchor>
    <xdr:from>
      <xdr:col>2</xdr:col>
      <xdr:colOff>1751480</xdr:colOff>
      <xdr:row>11</xdr:row>
      <xdr:rowOff>165688</xdr:rowOff>
    </xdr:from>
    <xdr:ext cx="1568828" cy="784414"/>
    <xdr:pic>
      <xdr:nvPicPr>
        <xdr:cNvPr id="21" name="Imagen 20">
          <a:extLst>
            <a:ext uri="{FF2B5EF4-FFF2-40B4-BE49-F238E27FC236}">
              <a16:creationId xmlns:a16="http://schemas.microsoft.com/office/drawing/2014/main" id="{4203C0D5-366B-43B4-82A1-76717DDF6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5480" y="2574953"/>
          <a:ext cx="1568828" cy="784414"/>
        </a:xfrm>
        <a:prstGeom prst="rect">
          <a:avLst/>
        </a:prstGeom>
      </xdr:spPr>
    </xdr:pic>
    <xdr:clientData/>
  </xdr:oneCellAnchor>
  <xdr:oneCellAnchor>
    <xdr:from>
      <xdr:col>3</xdr:col>
      <xdr:colOff>657308</xdr:colOff>
      <xdr:row>12</xdr:row>
      <xdr:rowOff>163412</xdr:rowOff>
    </xdr:from>
    <xdr:ext cx="1974309" cy="1151680"/>
    <xdr:pic>
      <xdr:nvPicPr>
        <xdr:cNvPr id="22" name="Imagen 21">
          <a:extLst>
            <a:ext uri="{FF2B5EF4-FFF2-40B4-BE49-F238E27FC236}">
              <a16:creationId xmlns:a16="http://schemas.microsoft.com/office/drawing/2014/main" id="{8D996C69-D71B-40F8-B7B0-625F4A13F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4249" y="3939794"/>
          <a:ext cx="1974309" cy="1151680"/>
        </a:xfrm>
        <a:prstGeom prst="rect">
          <a:avLst/>
        </a:prstGeom>
      </xdr:spPr>
    </xdr:pic>
    <xdr:clientData/>
  </xdr:oneCellAnchor>
  <xdr:oneCellAnchor>
    <xdr:from>
      <xdr:col>1</xdr:col>
      <xdr:colOff>759818</xdr:colOff>
      <xdr:row>11</xdr:row>
      <xdr:rowOff>148411</xdr:rowOff>
    </xdr:from>
    <xdr:ext cx="1755321" cy="987368"/>
    <xdr:pic>
      <xdr:nvPicPr>
        <xdr:cNvPr id="23" name="Imagen 22">
          <a:extLst>
            <a:ext uri="{FF2B5EF4-FFF2-40B4-BE49-F238E27FC236}">
              <a16:creationId xmlns:a16="http://schemas.microsoft.com/office/drawing/2014/main" id="{BA761CDD-A916-48C9-96A3-5031F626A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1818" y="2902002"/>
          <a:ext cx="1755321" cy="987368"/>
        </a:xfrm>
        <a:prstGeom prst="rect">
          <a:avLst/>
        </a:prstGeom>
      </xdr:spPr>
    </xdr:pic>
    <xdr:clientData/>
  </xdr:oneCellAnchor>
  <xdr:oneCellAnchor>
    <xdr:from>
      <xdr:col>3</xdr:col>
      <xdr:colOff>720382</xdr:colOff>
      <xdr:row>13</xdr:row>
      <xdr:rowOff>122205</xdr:rowOff>
    </xdr:from>
    <xdr:ext cx="2066680" cy="1205563"/>
    <xdr:pic>
      <xdr:nvPicPr>
        <xdr:cNvPr id="24" name="Imagen 23">
          <a:extLst>
            <a:ext uri="{FF2B5EF4-FFF2-40B4-BE49-F238E27FC236}">
              <a16:creationId xmlns:a16="http://schemas.microsoft.com/office/drawing/2014/main" id="{910EDCF0-3574-4FAC-A85D-BDC68E82F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7323" y="5512234"/>
          <a:ext cx="2066680" cy="1205563"/>
        </a:xfrm>
        <a:prstGeom prst="rect">
          <a:avLst/>
        </a:prstGeom>
      </xdr:spPr>
    </xdr:pic>
    <xdr:clientData/>
  </xdr:oneCellAnchor>
  <xdr:twoCellAnchor editAs="oneCell">
    <xdr:from>
      <xdr:col>21</xdr:col>
      <xdr:colOff>0</xdr:colOff>
      <xdr:row>10</xdr:row>
      <xdr:rowOff>0</xdr:rowOff>
    </xdr:from>
    <xdr:to>
      <xdr:col>39</xdr:col>
      <xdr:colOff>209550</xdr:colOff>
      <xdr:row>17</xdr:row>
      <xdr:rowOff>1328304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984F4B07-219A-DD0F-2707-BEEB686C3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54900" y="1914525"/>
          <a:ext cx="13925550" cy="1074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544231</xdr:colOff>
      <xdr:row>6</xdr:row>
      <xdr:rowOff>95275</xdr:rowOff>
    </xdr:from>
    <xdr:ext cx="1299938" cy="1199346"/>
    <xdr:pic>
      <xdr:nvPicPr>
        <xdr:cNvPr id="14" name="22 Imagen">
          <a:extLst>
            <a:ext uri="{FF2B5EF4-FFF2-40B4-BE49-F238E27FC236}">
              <a16:creationId xmlns:a16="http://schemas.microsoft.com/office/drawing/2014/main" id="{10D1588B-281D-4E66-A58D-FA6AB3805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50" t="4759" b="1"/>
        <a:stretch/>
      </xdr:blipFill>
      <xdr:spPr>
        <a:xfrm>
          <a:off x="1272613" y="3008804"/>
          <a:ext cx="1299938" cy="11993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1</xdr:col>
      <xdr:colOff>147052</xdr:colOff>
      <xdr:row>8</xdr:row>
      <xdr:rowOff>166327</xdr:rowOff>
    </xdr:from>
    <xdr:ext cx="1481002" cy="1104901"/>
    <xdr:pic>
      <xdr:nvPicPr>
        <xdr:cNvPr id="15" name="24 Imagen">
          <a:extLst>
            <a:ext uri="{FF2B5EF4-FFF2-40B4-BE49-F238E27FC236}">
              <a16:creationId xmlns:a16="http://schemas.microsoft.com/office/drawing/2014/main" id="{91C5FE16-DFB6-485F-AA48-4BCF667421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420" t="4321" b="5555"/>
        <a:stretch/>
      </xdr:blipFill>
      <xdr:spPr>
        <a:xfrm>
          <a:off x="1671052" y="7005277"/>
          <a:ext cx="1481002" cy="11049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2</xdr:col>
      <xdr:colOff>441030</xdr:colOff>
      <xdr:row>8</xdr:row>
      <xdr:rowOff>240127</xdr:rowOff>
    </xdr:from>
    <xdr:ext cx="2682875" cy="771525"/>
    <xdr:pic>
      <xdr:nvPicPr>
        <xdr:cNvPr id="16" name="Picture 55">
          <a:extLst>
            <a:ext uri="{FF2B5EF4-FFF2-40B4-BE49-F238E27FC236}">
              <a16:creationId xmlns:a16="http://schemas.microsoft.com/office/drawing/2014/main" id="{ABD121A3-6915-47F9-B01B-242698FEF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5730" y="7079077"/>
          <a:ext cx="26828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389005</xdr:colOff>
      <xdr:row>9</xdr:row>
      <xdr:rowOff>233723</xdr:rowOff>
    </xdr:from>
    <xdr:ext cx="4537075" cy="904875"/>
    <xdr:pic>
      <xdr:nvPicPr>
        <xdr:cNvPr id="17" name="Picture 58">
          <a:extLst>
            <a:ext uri="{FF2B5EF4-FFF2-40B4-BE49-F238E27FC236}">
              <a16:creationId xmlns:a16="http://schemas.microsoft.com/office/drawing/2014/main" id="{91D2254C-A13E-4F82-B252-132F2BF9B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3005" y="8587148"/>
          <a:ext cx="45370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517071</xdr:colOff>
      <xdr:row>10</xdr:row>
      <xdr:rowOff>108857</xdr:rowOff>
    </xdr:from>
    <xdr:ext cx="4014107" cy="1149199"/>
    <xdr:pic>
      <xdr:nvPicPr>
        <xdr:cNvPr id="18" name="Imagen 17">
          <a:extLst>
            <a:ext uri="{FF2B5EF4-FFF2-40B4-BE49-F238E27FC236}">
              <a16:creationId xmlns:a16="http://schemas.microsoft.com/office/drawing/2014/main" id="{9544FC77-4256-4279-AE99-196C7AE4B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41071" y="9767207"/>
          <a:ext cx="4014107" cy="1149199"/>
        </a:xfrm>
        <a:prstGeom prst="rect">
          <a:avLst/>
        </a:prstGeom>
      </xdr:spPr>
    </xdr:pic>
    <xdr:clientData/>
  </xdr:oneCellAnchor>
  <xdr:oneCellAnchor>
    <xdr:from>
      <xdr:col>1</xdr:col>
      <xdr:colOff>938094</xdr:colOff>
      <xdr:row>11</xdr:row>
      <xdr:rowOff>199885</xdr:rowOff>
    </xdr:from>
    <xdr:ext cx="2911928" cy="1324116"/>
    <xdr:pic>
      <xdr:nvPicPr>
        <xdr:cNvPr id="19" name="Imagen 18" descr="Camión de 5 ejes en formato PSD, descarga gratuita">
          <a:extLst>
            <a:ext uri="{FF2B5EF4-FFF2-40B4-BE49-F238E27FC236}">
              <a16:creationId xmlns:a16="http://schemas.microsoft.com/office/drawing/2014/main" id="{CC16BBD9-B0BC-41D2-A46C-7D82236297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2462094" y="11191735"/>
          <a:ext cx="2911928" cy="132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232925</xdr:colOff>
      <xdr:row>7</xdr:row>
      <xdr:rowOff>48772</xdr:rowOff>
    </xdr:from>
    <xdr:ext cx="1619250" cy="1079500"/>
    <xdr:pic>
      <xdr:nvPicPr>
        <xdr:cNvPr id="20" name="Imagen 19">
          <a:extLst>
            <a:ext uri="{FF2B5EF4-FFF2-40B4-BE49-F238E27FC236}">
              <a16:creationId xmlns:a16="http://schemas.microsoft.com/office/drawing/2014/main" id="{CD0F9C19-C4F3-40D2-AD20-A2C96FF6C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6925" y="5439922"/>
          <a:ext cx="1619250" cy="1079500"/>
        </a:xfrm>
        <a:prstGeom prst="rect">
          <a:avLst/>
        </a:prstGeom>
      </xdr:spPr>
    </xdr:pic>
    <xdr:clientData/>
  </xdr:oneCellAnchor>
  <xdr:oneCellAnchor>
    <xdr:from>
      <xdr:col>2</xdr:col>
      <xdr:colOff>1456286</xdr:colOff>
      <xdr:row>5</xdr:row>
      <xdr:rowOff>102456</xdr:rowOff>
    </xdr:from>
    <xdr:ext cx="1496464" cy="1122348"/>
    <xdr:pic>
      <xdr:nvPicPr>
        <xdr:cNvPr id="21" name="Imagen 20">
          <a:extLst>
            <a:ext uri="{FF2B5EF4-FFF2-40B4-BE49-F238E27FC236}">
              <a16:creationId xmlns:a16="http://schemas.microsoft.com/office/drawing/2014/main" id="{84FB01BF-277A-4817-97DF-FEA8710E3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080" y="1749721"/>
          <a:ext cx="1496464" cy="1122348"/>
        </a:xfrm>
        <a:prstGeom prst="rect">
          <a:avLst/>
        </a:prstGeom>
      </xdr:spPr>
    </xdr:pic>
    <xdr:clientData/>
  </xdr:oneCellAnchor>
  <xdr:oneCellAnchor>
    <xdr:from>
      <xdr:col>1</xdr:col>
      <xdr:colOff>1751480</xdr:colOff>
      <xdr:row>5</xdr:row>
      <xdr:rowOff>165688</xdr:rowOff>
    </xdr:from>
    <xdr:ext cx="1568828" cy="784414"/>
    <xdr:pic>
      <xdr:nvPicPr>
        <xdr:cNvPr id="22" name="Imagen 21">
          <a:extLst>
            <a:ext uri="{FF2B5EF4-FFF2-40B4-BE49-F238E27FC236}">
              <a16:creationId xmlns:a16="http://schemas.microsoft.com/office/drawing/2014/main" id="{FE8624F2-841D-46BB-9C33-6213A7144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5480" y="2575513"/>
          <a:ext cx="1568828" cy="784414"/>
        </a:xfrm>
        <a:prstGeom prst="rect">
          <a:avLst/>
        </a:prstGeom>
      </xdr:spPr>
    </xdr:pic>
    <xdr:clientData/>
  </xdr:oneCellAnchor>
  <xdr:oneCellAnchor>
    <xdr:from>
      <xdr:col>2</xdr:col>
      <xdr:colOff>702132</xdr:colOff>
      <xdr:row>6</xdr:row>
      <xdr:rowOff>84971</xdr:rowOff>
    </xdr:from>
    <xdr:ext cx="1974309" cy="1151680"/>
    <xdr:pic>
      <xdr:nvPicPr>
        <xdr:cNvPr id="23" name="Imagen 22">
          <a:extLst>
            <a:ext uri="{FF2B5EF4-FFF2-40B4-BE49-F238E27FC236}">
              <a16:creationId xmlns:a16="http://schemas.microsoft.com/office/drawing/2014/main" id="{8E1859A0-6AE9-4862-82BC-917404F27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8926" y="2998500"/>
          <a:ext cx="1974309" cy="1151680"/>
        </a:xfrm>
        <a:prstGeom prst="rect">
          <a:avLst/>
        </a:prstGeom>
      </xdr:spPr>
    </xdr:pic>
    <xdr:clientData/>
  </xdr:oneCellAnchor>
  <xdr:oneCellAnchor>
    <xdr:from>
      <xdr:col>0</xdr:col>
      <xdr:colOff>725181</xdr:colOff>
      <xdr:row>5</xdr:row>
      <xdr:rowOff>80158</xdr:rowOff>
    </xdr:from>
    <xdr:ext cx="1755321" cy="987368"/>
    <xdr:pic>
      <xdr:nvPicPr>
        <xdr:cNvPr id="24" name="Imagen 23">
          <a:extLst>
            <a:ext uri="{FF2B5EF4-FFF2-40B4-BE49-F238E27FC236}">
              <a16:creationId xmlns:a16="http://schemas.microsoft.com/office/drawing/2014/main" id="{E9C0EAF6-E19F-46F2-9945-A17D72391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181" y="1727423"/>
          <a:ext cx="1755321" cy="987368"/>
        </a:xfrm>
        <a:prstGeom prst="rect">
          <a:avLst/>
        </a:prstGeom>
      </xdr:spPr>
    </xdr:pic>
    <xdr:clientData/>
  </xdr:oneCellAnchor>
  <xdr:oneCellAnchor>
    <xdr:from>
      <xdr:col>2</xdr:col>
      <xdr:colOff>720382</xdr:colOff>
      <xdr:row>7</xdr:row>
      <xdr:rowOff>122205</xdr:rowOff>
    </xdr:from>
    <xdr:ext cx="2066680" cy="1205563"/>
    <xdr:pic>
      <xdr:nvPicPr>
        <xdr:cNvPr id="25" name="Imagen 24">
          <a:extLst>
            <a:ext uri="{FF2B5EF4-FFF2-40B4-BE49-F238E27FC236}">
              <a16:creationId xmlns:a16="http://schemas.microsoft.com/office/drawing/2014/main" id="{2A592921-9392-4089-B3BC-78ABD7507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5082" y="5513355"/>
          <a:ext cx="2066680" cy="1205563"/>
        </a:xfrm>
        <a:prstGeom prst="rect">
          <a:avLst/>
        </a:prstGeom>
      </xdr:spPr>
    </xdr:pic>
    <xdr:clientData/>
  </xdr:oneCellAnchor>
  <xdr:twoCellAnchor editAs="oneCell">
    <xdr:from>
      <xdr:col>23</xdr:col>
      <xdr:colOff>675409</xdr:colOff>
      <xdr:row>1</xdr:row>
      <xdr:rowOff>51954</xdr:rowOff>
    </xdr:from>
    <xdr:to>
      <xdr:col>43</xdr:col>
      <xdr:colOff>53685</xdr:colOff>
      <xdr:row>13</xdr:row>
      <xdr:rowOff>44284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1CDE8-97DD-4E81-96B8-9388D8C5C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44364" y="242454"/>
          <a:ext cx="13925549" cy="10732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303068</xdr:colOff>
      <xdr:row>3</xdr:row>
      <xdr:rowOff>121227</xdr:rowOff>
    </xdr:from>
    <xdr:to>
      <xdr:col>23</xdr:col>
      <xdr:colOff>329344</xdr:colOff>
      <xdr:row>6</xdr:row>
      <xdr:rowOff>259772</xdr:rowOff>
    </xdr:to>
    <xdr:pic>
      <xdr:nvPicPr>
        <xdr:cNvPr id="3" name="Imagen 2" descr="DISEÑO DE LA ESTRUCTURA DE PAVIMENTO FLEXIBLE APLICANDO EL MÉTODO AASHTO 93  PARA LA VÍA AEROPUERTO EL EDÉN -CLUB CAMPESTRE">
          <a:extLst>
            <a:ext uri="{FF2B5EF4-FFF2-40B4-BE49-F238E27FC236}">
              <a16:creationId xmlns:a16="http://schemas.microsoft.com/office/drawing/2014/main" id="{4516C32B-3ED0-2F7F-907B-3111480BC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5204" y="623454"/>
          <a:ext cx="3663095" cy="235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898072</xdr:colOff>
      <xdr:row>35</xdr:row>
      <xdr:rowOff>149678</xdr:rowOff>
    </xdr:from>
    <xdr:to>
      <xdr:col>15</xdr:col>
      <xdr:colOff>61235</xdr:colOff>
      <xdr:row>58</xdr:row>
      <xdr:rowOff>24492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E3AE0F-3D27-4896-B33E-FA3589A32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</xdr:col>
      <xdr:colOff>2209082</xdr:colOff>
      <xdr:row>46</xdr:row>
      <xdr:rowOff>103091</xdr:rowOff>
    </xdr:from>
    <xdr:to>
      <xdr:col>3</xdr:col>
      <xdr:colOff>88449</xdr:colOff>
      <xdr:row>50</xdr:row>
      <xdr:rowOff>148875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94DA02F-FBB0-4A05-9446-94BC3CF50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3475" y="17316127"/>
          <a:ext cx="1077045" cy="807784"/>
        </a:xfrm>
        <a:prstGeom prst="rect">
          <a:avLst/>
        </a:prstGeom>
      </xdr:spPr>
    </xdr:pic>
    <xdr:clientData/>
  </xdr:twoCellAnchor>
  <xdr:twoCellAnchor editAs="oneCell">
    <xdr:from>
      <xdr:col>3</xdr:col>
      <xdr:colOff>290722</xdr:colOff>
      <xdr:row>38</xdr:row>
      <xdr:rowOff>117267</xdr:rowOff>
    </xdr:from>
    <xdr:to>
      <xdr:col>4</xdr:col>
      <xdr:colOff>646345</xdr:colOff>
      <xdr:row>42</xdr:row>
      <xdr:rowOff>62777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063002-5669-4BB4-A782-72345164C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793" y="15806303"/>
          <a:ext cx="1212873" cy="707510"/>
        </a:xfrm>
        <a:prstGeom prst="rect">
          <a:avLst/>
        </a:prstGeom>
      </xdr:spPr>
    </xdr:pic>
    <xdr:clientData/>
  </xdr:twoCellAnchor>
  <xdr:twoCellAnchor editAs="oneCell">
    <xdr:from>
      <xdr:col>5</xdr:col>
      <xdr:colOff>122764</xdr:colOff>
      <xdr:row>42</xdr:row>
      <xdr:rowOff>171159</xdr:rowOff>
    </xdr:from>
    <xdr:to>
      <xdr:col>6</xdr:col>
      <xdr:colOff>381300</xdr:colOff>
      <xdr:row>46</xdr:row>
      <xdr:rowOff>123534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7CE1C4E-24C5-489E-932E-9B69FE2A1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6871" y="16622195"/>
          <a:ext cx="1224643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425671</xdr:colOff>
      <xdr:row>39</xdr:row>
      <xdr:rowOff>178319</xdr:rowOff>
    </xdr:from>
    <xdr:to>
      <xdr:col>8</xdr:col>
      <xdr:colOff>548134</xdr:colOff>
      <xdr:row>43</xdr:row>
      <xdr:rowOff>110514</xdr:rowOff>
    </xdr:to>
    <xdr:pic>
      <xdr:nvPicPr>
        <xdr:cNvPr id="8" name="Picture 55">
          <a:extLst>
            <a:ext uri="{FF2B5EF4-FFF2-40B4-BE49-F238E27FC236}">
              <a16:creationId xmlns:a16="http://schemas.microsoft.com/office/drawing/2014/main" id="{905BF9DB-FB5E-4370-BB98-CD62C6A9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5885" y="16057855"/>
          <a:ext cx="1592035" cy="694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307349</xdr:colOff>
      <xdr:row>44</xdr:row>
      <xdr:rowOff>183649</xdr:rowOff>
    </xdr:from>
    <xdr:to>
      <xdr:col>10</xdr:col>
      <xdr:colOff>377751</xdr:colOff>
      <xdr:row>49</xdr:row>
      <xdr:rowOff>83721</xdr:rowOff>
    </xdr:to>
    <xdr:pic>
      <xdr:nvPicPr>
        <xdr:cNvPr id="9" name="Picture 58">
          <a:extLst>
            <a:ext uri="{FF2B5EF4-FFF2-40B4-BE49-F238E27FC236}">
              <a16:creationId xmlns:a16="http://schemas.microsoft.com/office/drawing/2014/main" id="{298B640A-EB23-460A-B02A-F5D9AE26B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7135" y="17015685"/>
          <a:ext cx="1621616" cy="852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442828</xdr:colOff>
      <xdr:row>45</xdr:row>
      <xdr:rowOff>51131</xdr:rowOff>
    </xdr:from>
    <xdr:to>
      <xdr:col>12</xdr:col>
      <xdr:colOff>238719</xdr:colOff>
      <xdr:row>49</xdr:row>
      <xdr:rowOff>22503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5B57D6C-DB11-4BDB-9E9A-55ED27858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53828" y="17073667"/>
          <a:ext cx="1469570" cy="733372"/>
        </a:xfrm>
        <a:prstGeom prst="rect">
          <a:avLst/>
        </a:prstGeom>
      </xdr:spPr>
    </xdr:pic>
    <xdr:clientData/>
  </xdr:twoCellAnchor>
  <xdr:twoCellAnchor editAs="oneCell">
    <xdr:from>
      <xdr:col>12</xdr:col>
      <xdr:colOff>430404</xdr:colOff>
      <xdr:row>45</xdr:row>
      <xdr:rowOff>175244</xdr:rowOff>
    </xdr:from>
    <xdr:to>
      <xdr:col>14</xdr:col>
      <xdr:colOff>461071</xdr:colOff>
      <xdr:row>49</xdr:row>
      <xdr:rowOff>95435</xdr:rowOff>
    </xdr:to>
    <xdr:pic>
      <xdr:nvPicPr>
        <xdr:cNvPr id="11" name="Imagen 10" descr="Camión de 5 ejes en formato PSD, descarga gratuita">
          <a:extLst>
            <a:ext uri="{FF2B5EF4-FFF2-40B4-BE49-F238E27FC236}">
              <a16:creationId xmlns:a16="http://schemas.microsoft.com/office/drawing/2014/main" id="{7A8D9D57-BA03-4E00-B797-B596CAD8A6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6" t="24039" b="16498"/>
        <a:stretch/>
      </xdr:blipFill>
      <xdr:spPr bwMode="auto">
        <a:xfrm>
          <a:off x="13915083" y="17197780"/>
          <a:ext cx="1500238" cy="682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914400</xdr:colOff>
      <xdr:row>15</xdr:row>
      <xdr:rowOff>0</xdr:rowOff>
    </xdr:from>
    <xdr:to>
      <xdr:col>2</xdr:col>
      <xdr:colOff>2162175</xdr:colOff>
      <xdr:row>25</xdr:row>
      <xdr:rowOff>133350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1BEF161-DC29-F6CC-7649-FAF9AA54F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49186" y="11307536"/>
          <a:ext cx="3547382" cy="2038350"/>
        </a:xfrm>
        <a:prstGeom prst="rect">
          <a:avLst/>
        </a:prstGeom>
      </xdr:spPr>
    </xdr:pic>
    <xdr:clientData/>
  </xdr:twoCellAnchor>
  <xdr:twoCellAnchor editAs="oneCell">
    <xdr:from>
      <xdr:col>16</xdr:col>
      <xdr:colOff>538099</xdr:colOff>
      <xdr:row>22</xdr:row>
      <xdr:rowOff>111332</xdr:rowOff>
    </xdr:from>
    <xdr:to>
      <xdr:col>22</xdr:col>
      <xdr:colOff>152028</xdr:colOff>
      <xdr:row>27</xdr:row>
      <xdr:rowOff>130382</xdr:rowOff>
    </xdr:to>
    <xdr:pic>
      <xdr:nvPicPr>
        <xdr:cNvPr id="13" name="Picture 2" descr="Ejes equivalentes">
          <a:extLst>
            <a:ext uri="{FF2B5EF4-FFF2-40B4-BE49-F238E27FC236}">
              <a16:creationId xmlns:a16="http://schemas.microsoft.com/office/drawing/2014/main" id="{657AFECE-EBBD-EECC-395C-E7BCFC6A0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1920" y="12752368"/>
          <a:ext cx="4553322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2209993</xdr:colOff>
      <xdr:row>31</xdr:row>
      <xdr:rowOff>127661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4174D373-78F4-EDAC-8F53-3D8B30C0E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34393" y="13784036"/>
          <a:ext cx="2209993" cy="6991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751835</xdr:colOff>
      <xdr:row>122</xdr:row>
      <xdr:rowOff>81804</xdr:rowOff>
    </xdr:from>
    <xdr:to>
      <xdr:col>10</xdr:col>
      <xdr:colOff>423183</xdr:colOff>
      <xdr:row>126</xdr:row>
      <xdr:rowOff>119904</xdr:rowOff>
    </xdr:to>
    <xdr:pic>
      <xdr:nvPicPr>
        <xdr:cNvPr id="3" name="Imagen 2" descr="Documento complementario al Estudio Informativo de la Circunvalación  exterior de Valencia (expediente EI4-V-33)">
          <a:extLst>
            <a:ext uri="{FF2B5EF4-FFF2-40B4-BE49-F238E27FC236}">
              <a16:creationId xmlns:a16="http://schemas.microsoft.com/office/drawing/2014/main" id="{081A7A82-C24E-311D-CD77-E8AE5ED09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6014" y="23649375"/>
          <a:ext cx="7807058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122773</xdr:colOff>
      <xdr:row>61</xdr:row>
      <xdr:rowOff>54738</xdr:rowOff>
    </xdr:from>
    <xdr:to>
      <xdr:col>28</xdr:col>
      <xdr:colOff>354095</xdr:colOff>
      <xdr:row>85</xdr:row>
      <xdr:rowOff>165272</xdr:rowOff>
    </xdr:to>
    <xdr:pic>
      <xdr:nvPicPr>
        <xdr:cNvPr id="4" name="16 Imagen">
          <a:extLst>
            <a:ext uri="{FF2B5EF4-FFF2-40B4-BE49-F238E27FC236}">
              <a16:creationId xmlns:a16="http://schemas.microsoft.com/office/drawing/2014/main" id="{6EF08AC8-D505-451D-8BED-35068FB1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1546" y="11675238"/>
          <a:ext cx="8613322" cy="475180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108858</xdr:colOff>
      <xdr:row>78</xdr:row>
      <xdr:rowOff>0</xdr:rowOff>
    </xdr:from>
    <xdr:to>
      <xdr:col>6</xdr:col>
      <xdr:colOff>373795</xdr:colOff>
      <xdr:row>78</xdr:row>
      <xdr:rowOff>236103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D68A1EF-6E24-2024-4F4B-1F1C609FA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5894" y="14859000"/>
          <a:ext cx="1945820" cy="236103"/>
        </a:xfrm>
        <a:prstGeom prst="rect">
          <a:avLst/>
        </a:prstGeom>
      </xdr:spPr>
    </xdr:pic>
    <xdr:clientData/>
  </xdr:twoCellAnchor>
  <xdr:twoCellAnchor editAs="oneCell">
    <xdr:from>
      <xdr:col>4</xdr:col>
      <xdr:colOff>51955</xdr:colOff>
      <xdr:row>91</xdr:row>
      <xdr:rowOff>34636</xdr:rowOff>
    </xdr:from>
    <xdr:to>
      <xdr:col>6</xdr:col>
      <xdr:colOff>199643</xdr:colOff>
      <xdr:row>92</xdr:row>
      <xdr:rowOff>32007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213E7DF-F8A8-445D-0A87-69B37F294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50228" y="17439409"/>
          <a:ext cx="1828571" cy="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22410</xdr:colOff>
      <xdr:row>99</xdr:row>
      <xdr:rowOff>0</xdr:rowOff>
    </xdr:from>
    <xdr:to>
      <xdr:col>1</xdr:col>
      <xdr:colOff>20807</xdr:colOff>
      <xdr:row>102</xdr:row>
      <xdr:rowOff>67234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CEA2487-AA35-203B-525B-D4751BE74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10" y="18993971"/>
          <a:ext cx="760397" cy="638734"/>
        </a:xfrm>
        <a:prstGeom prst="rect">
          <a:avLst/>
        </a:prstGeom>
      </xdr:spPr>
    </xdr:pic>
    <xdr:clientData/>
  </xdr:twoCellAnchor>
  <xdr:twoCellAnchor editAs="oneCell">
    <xdr:from>
      <xdr:col>0</xdr:col>
      <xdr:colOff>347381</xdr:colOff>
      <xdr:row>103</xdr:row>
      <xdr:rowOff>134471</xdr:rowOff>
    </xdr:from>
    <xdr:to>
      <xdr:col>5</xdr:col>
      <xdr:colOff>44823</xdr:colOff>
      <xdr:row>105</xdr:row>
      <xdr:rowOff>85085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29CA2D9-2B88-7454-A669-CDD847CEE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7381" y="19890442"/>
          <a:ext cx="3955677" cy="331614"/>
        </a:xfrm>
        <a:prstGeom prst="rect">
          <a:avLst/>
        </a:prstGeom>
      </xdr:spPr>
    </xdr:pic>
    <xdr:clientData/>
  </xdr:twoCellAnchor>
  <xdr:twoCellAnchor editAs="oneCell">
    <xdr:from>
      <xdr:col>4</xdr:col>
      <xdr:colOff>347382</xdr:colOff>
      <xdr:row>117</xdr:row>
      <xdr:rowOff>67235</xdr:rowOff>
    </xdr:from>
    <xdr:to>
      <xdr:col>6</xdr:col>
      <xdr:colOff>228404</xdr:colOff>
      <xdr:row>118</xdr:row>
      <xdr:rowOff>536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161ACC2-7E64-C5D2-52E4-B5F771B9E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43617" y="22591059"/>
          <a:ext cx="1561905" cy="190476"/>
        </a:xfrm>
        <a:prstGeom prst="rect">
          <a:avLst/>
        </a:prstGeom>
      </xdr:spPr>
    </xdr:pic>
    <xdr:clientData/>
  </xdr:twoCellAnchor>
  <xdr:twoCellAnchor editAs="oneCell">
    <xdr:from>
      <xdr:col>13</xdr:col>
      <xdr:colOff>407415</xdr:colOff>
      <xdr:row>120</xdr:row>
      <xdr:rowOff>31217</xdr:rowOff>
    </xdr:from>
    <xdr:to>
      <xdr:col>21</xdr:col>
      <xdr:colOff>44828</xdr:colOff>
      <xdr:row>138</xdr:row>
      <xdr:rowOff>98800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5A41EC1-F4B8-2C51-F495-3410F8302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621827" y="23193776"/>
          <a:ext cx="5733413" cy="3597436"/>
        </a:xfrm>
        <a:prstGeom prst="rect">
          <a:avLst/>
        </a:prstGeom>
      </xdr:spPr>
    </xdr:pic>
    <xdr:clientData/>
  </xdr:twoCellAnchor>
  <xdr:twoCellAnchor editAs="oneCell">
    <xdr:from>
      <xdr:col>13</xdr:col>
      <xdr:colOff>647539</xdr:colOff>
      <xdr:row>139</xdr:row>
      <xdr:rowOff>189699</xdr:rowOff>
    </xdr:from>
    <xdr:to>
      <xdr:col>19</xdr:col>
      <xdr:colOff>72531</xdr:colOff>
      <xdr:row>147</xdr:row>
      <xdr:rowOff>108596</xdr:rowOff>
    </xdr:to>
    <xdr:pic>
      <xdr:nvPicPr>
        <xdr:cNvPr id="19" name="1 Imagen">
          <a:extLst>
            <a:ext uri="{FF2B5EF4-FFF2-40B4-BE49-F238E27FC236}">
              <a16:creationId xmlns:a16="http://schemas.microsoft.com/office/drawing/2014/main" id="{4FC42DC3-257E-4064-B9FE-F3E061C0A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29186" y="27072611"/>
          <a:ext cx="3996992" cy="1476514"/>
        </a:xfrm>
        <a:prstGeom prst="rect">
          <a:avLst/>
        </a:prstGeom>
      </xdr:spPr>
    </xdr:pic>
    <xdr:clientData/>
  </xdr:twoCellAnchor>
  <xdr:twoCellAnchor editAs="oneCell">
    <xdr:from>
      <xdr:col>1</xdr:col>
      <xdr:colOff>955698</xdr:colOff>
      <xdr:row>146</xdr:row>
      <xdr:rowOff>77641</xdr:rowOff>
    </xdr:from>
    <xdr:to>
      <xdr:col>7</xdr:col>
      <xdr:colOff>38138</xdr:colOff>
      <xdr:row>157</xdr:row>
      <xdr:rowOff>176893</xdr:rowOff>
    </xdr:to>
    <xdr:pic>
      <xdr:nvPicPr>
        <xdr:cNvPr id="20" name="Picture 5">
          <a:extLst>
            <a:ext uri="{FF2B5EF4-FFF2-40B4-BE49-F238E27FC236}">
              <a16:creationId xmlns:a16="http://schemas.microsoft.com/office/drawing/2014/main" id="{75024031-0CF7-4C69-BA10-49C947D8E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7698" y="28380498"/>
          <a:ext cx="5027401" cy="219475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504264</xdr:colOff>
      <xdr:row>66</xdr:row>
      <xdr:rowOff>35564</xdr:rowOff>
    </xdr:from>
    <xdr:to>
      <xdr:col>18</xdr:col>
      <xdr:colOff>172715</xdr:colOff>
      <xdr:row>79</xdr:row>
      <xdr:rowOff>10281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279F08-34A4-F7E4-E792-E7B991EDB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81382" y="12608564"/>
          <a:ext cx="10582420" cy="2518452"/>
        </a:xfrm>
        <a:prstGeom prst="rect">
          <a:avLst/>
        </a:prstGeom>
      </xdr:spPr>
    </xdr:pic>
    <xdr:clientData/>
  </xdr:twoCellAnchor>
  <xdr:twoCellAnchor editAs="oneCell">
    <xdr:from>
      <xdr:col>6</xdr:col>
      <xdr:colOff>459441</xdr:colOff>
      <xdr:row>80</xdr:row>
      <xdr:rowOff>45368</xdr:rowOff>
    </xdr:from>
    <xdr:to>
      <xdr:col>18</xdr:col>
      <xdr:colOff>167765</xdr:colOff>
      <xdr:row>93</xdr:row>
      <xdr:rowOff>67445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36044BF-643A-47C5-B673-1061E801F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36559" y="15352603"/>
          <a:ext cx="10622293" cy="2565813"/>
        </a:xfrm>
        <a:prstGeom prst="rect">
          <a:avLst/>
        </a:prstGeom>
      </xdr:spPr>
    </xdr:pic>
    <xdr:clientData/>
  </xdr:twoCellAnchor>
  <xdr:twoCellAnchor editAs="oneCell">
    <xdr:from>
      <xdr:col>6</xdr:col>
      <xdr:colOff>291352</xdr:colOff>
      <xdr:row>97</xdr:row>
      <xdr:rowOff>78441</xdr:rowOff>
    </xdr:from>
    <xdr:to>
      <xdr:col>19</xdr:col>
      <xdr:colOff>215383</xdr:colOff>
      <xdr:row>118</xdr:row>
      <xdr:rowOff>147948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E5E9DF4-81B6-786D-10B9-7ABB91224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68470" y="18691412"/>
          <a:ext cx="11600000" cy="4238095"/>
        </a:xfrm>
        <a:prstGeom prst="rect">
          <a:avLst/>
        </a:prstGeom>
      </xdr:spPr>
    </xdr:pic>
    <xdr:clientData/>
  </xdr:twoCellAnchor>
  <xdr:twoCellAnchor>
    <xdr:from>
      <xdr:col>13</xdr:col>
      <xdr:colOff>683559</xdr:colOff>
      <xdr:row>144</xdr:row>
      <xdr:rowOff>44824</xdr:rowOff>
    </xdr:from>
    <xdr:to>
      <xdr:col>19</xdr:col>
      <xdr:colOff>11206</xdr:colOff>
      <xdr:row>145</xdr:row>
      <xdr:rowOff>44824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67C5248-3F30-E57B-3397-256C8E7EF10C}"/>
            </a:ext>
          </a:extLst>
        </xdr:cNvPr>
        <xdr:cNvSpPr/>
      </xdr:nvSpPr>
      <xdr:spPr>
        <a:xfrm>
          <a:off x="12965206" y="27913853"/>
          <a:ext cx="3899647" cy="190500"/>
        </a:xfrm>
        <a:prstGeom prst="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805033</xdr:colOff>
      <xdr:row>113</xdr:row>
      <xdr:rowOff>8964</xdr:rowOff>
    </xdr:from>
    <xdr:to>
      <xdr:col>19</xdr:col>
      <xdr:colOff>217721</xdr:colOff>
      <xdr:row>137</xdr:row>
      <xdr:rowOff>111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1903AE-CC56-1666-2676-1C590415B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8357" y="21569082"/>
          <a:ext cx="8361384" cy="4630382"/>
        </a:xfrm>
        <a:prstGeom prst="rect">
          <a:avLst/>
        </a:prstGeom>
      </xdr:spPr>
    </xdr:pic>
    <xdr:clientData/>
  </xdr:twoCellAnchor>
  <xdr:twoCellAnchor>
    <xdr:from>
      <xdr:col>10</xdr:col>
      <xdr:colOff>370640</xdr:colOff>
      <xdr:row>120</xdr:row>
      <xdr:rowOff>159683</xdr:rowOff>
    </xdr:from>
    <xdr:to>
      <xdr:col>11</xdr:col>
      <xdr:colOff>470652</xdr:colOff>
      <xdr:row>121</xdr:row>
      <xdr:rowOff>183496</xdr:rowOff>
    </xdr:to>
    <xdr:sp macro="" textlink="">
      <xdr:nvSpPr>
        <xdr:cNvPr id="4" name="Abrir llave 3">
          <a:extLst>
            <a:ext uri="{FF2B5EF4-FFF2-40B4-BE49-F238E27FC236}">
              <a16:creationId xmlns:a16="http://schemas.microsoft.com/office/drawing/2014/main" id="{BEE42252-8D9D-FE49-50BB-F950CF66A77C}"/>
            </a:ext>
          </a:extLst>
        </xdr:cNvPr>
        <xdr:cNvSpPr/>
      </xdr:nvSpPr>
      <xdr:spPr>
        <a:xfrm rot="16200000">
          <a:off x="9877710" y="22320437"/>
          <a:ext cx="214313" cy="1680041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11</xdr:col>
      <xdr:colOff>508749</xdr:colOff>
      <xdr:row>118</xdr:row>
      <xdr:rowOff>178733</xdr:rowOff>
    </xdr:from>
    <xdr:to>
      <xdr:col>13</xdr:col>
      <xdr:colOff>9527</xdr:colOff>
      <xdr:row>120</xdr:row>
      <xdr:rowOff>93008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30D7196A-8023-B011-6BE8-5A3A629F2932}"/>
            </a:ext>
          </a:extLst>
        </xdr:cNvPr>
        <xdr:cNvSpPr/>
      </xdr:nvSpPr>
      <xdr:spPr>
        <a:xfrm>
          <a:off x="10862984" y="22691351"/>
          <a:ext cx="1024778" cy="295275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11</xdr:col>
      <xdr:colOff>489699</xdr:colOff>
      <xdr:row>120</xdr:row>
      <xdr:rowOff>121583</xdr:rowOff>
    </xdr:from>
    <xdr:to>
      <xdr:col>13</xdr:col>
      <xdr:colOff>19052</xdr:colOff>
      <xdr:row>122</xdr:row>
      <xdr:rowOff>112058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E32A860C-ED9C-AF92-9B73-F6844FF64A2C}"/>
            </a:ext>
          </a:extLst>
        </xdr:cNvPr>
        <xdr:cNvSpPr/>
      </xdr:nvSpPr>
      <xdr:spPr>
        <a:xfrm>
          <a:off x="10843934" y="23015201"/>
          <a:ext cx="1053353" cy="371475"/>
        </a:xfrm>
        <a:prstGeom prst="ellipse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13</xdr:col>
      <xdr:colOff>76202</xdr:colOff>
      <xdr:row>119</xdr:row>
      <xdr:rowOff>54908</xdr:rowOff>
    </xdr:from>
    <xdr:to>
      <xdr:col>15</xdr:col>
      <xdr:colOff>569261</xdr:colOff>
      <xdr:row>122</xdr:row>
      <xdr:rowOff>26333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7B721684-8A30-E6FF-2F1B-6A8374365F9F}"/>
            </a:ext>
          </a:extLst>
        </xdr:cNvPr>
        <xdr:cNvSpPr/>
      </xdr:nvSpPr>
      <xdr:spPr>
        <a:xfrm>
          <a:off x="11954437" y="22758026"/>
          <a:ext cx="2017059" cy="542925"/>
        </a:xfrm>
        <a:prstGeom prst="ellipse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15</xdr:col>
      <xdr:colOff>559736</xdr:colOff>
      <xdr:row>119</xdr:row>
      <xdr:rowOff>35858</xdr:rowOff>
    </xdr:from>
    <xdr:to>
      <xdr:col>17</xdr:col>
      <xdr:colOff>626411</xdr:colOff>
      <xdr:row>120</xdr:row>
      <xdr:rowOff>121583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CD98A14B-8621-BFA5-631C-9931255A638D}"/>
            </a:ext>
          </a:extLst>
        </xdr:cNvPr>
        <xdr:cNvSpPr/>
      </xdr:nvSpPr>
      <xdr:spPr>
        <a:xfrm>
          <a:off x="13961971" y="22738976"/>
          <a:ext cx="1590675" cy="276225"/>
        </a:xfrm>
        <a:prstGeom prst="ellipse">
          <a:avLst/>
        </a:prstGeom>
        <a:noFill/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15</xdr:col>
      <xdr:colOff>569261</xdr:colOff>
      <xdr:row>120</xdr:row>
      <xdr:rowOff>73958</xdr:rowOff>
    </xdr:from>
    <xdr:to>
      <xdr:col>17</xdr:col>
      <xdr:colOff>607361</xdr:colOff>
      <xdr:row>123</xdr:row>
      <xdr:rowOff>112058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A302F71E-C460-FE33-AE40-B8501871ED51}"/>
            </a:ext>
          </a:extLst>
        </xdr:cNvPr>
        <xdr:cNvSpPr/>
      </xdr:nvSpPr>
      <xdr:spPr>
        <a:xfrm>
          <a:off x="13971496" y="22967576"/>
          <a:ext cx="1562100" cy="609600"/>
        </a:xfrm>
        <a:prstGeom prst="ellipse">
          <a:avLst/>
        </a:prstGeom>
        <a:noFill/>
        <a:ln w="9525" cap="flat" cmpd="sng" algn="ctr">
          <a:solidFill>
            <a:schemeClr val="accent4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805033</xdr:colOff>
      <xdr:row>113</xdr:row>
      <xdr:rowOff>8964</xdr:rowOff>
    </xdr:from>
    <xdr:to>
      <xdr:col>19</xdr:col>
      <xdr:colOff>741596</xdr:colOff>
      <xdr:row>137</xdr:row>
      <xdr:rowOff>57261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0874B6-642B-48DF-99C1-438FE5BAA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1158" y="21564039"/>
          <a:ext cx="8366188" cy="4620297"/>
        </a:xfrm>
        <a:prstGeom prst="rect">
          <a:avLst/>
        </a:prstGeom>
      </xdr:spPr>
    </xdr:pic>
    <xdr:clientData/>
  </xdr:twoCellAnchor>
  <xdr:twoCellAnchor>
    <xdr:from>
      <xdr:col>10</xdr:col>
      <xdr:colOff>370640</xdr:colOff>
      <xdr:row>120</xdr:row>
      <xdr:rowOff>159683</xdr:rowOff>
    </xdr:from>
    <xdr:to>
      <xdr:col>11</xdr:col>
      <xdr:colOff>470652</xdr:colOff>
      <xdr:row>121</xdr:row>
      <xdr:rowOff>183496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BD89AE4F-A333-429A-B466-B00DE9FC863E}"/>
            </a:ext>
          </a:extLst>
        </xdr:cNvPr>
        <xdr:cNvSpPr/>
      </xdr:nvSpPr>
      <xdr:spPr>
        <a:xfrm rot="16200000">
          <a:off x="9586077" y="22614871"/>
          <a:ext cx="214313" cy="1081087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11</xdr:col>
      <xdr:colOff>508749</xdr:colOff>
      <xdr:row>118</xdr:row>
      <xdr:rowOff>178733</xdr:rowOff>
    </xdr:from>
    <xdr:to>
      <xdr:col>13</xdr:col>
      <xdr:colOff>9527</xdr:colOff>
      <xdr:row>120</xdr:row>
      <xdr:rowOff>93008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A5D45540-9FC9-4ED4-B706-01C834EAF8D9}"/>
            </a:ext>
          </a:extLst>
        </xdr:cNvPr>
        <xdr:cNvSpPr/>
      </xdr:nvSpPr>
      <xdr:spPr>
        <a:xfrm>
          <a:off x="10271874" y="22686308"/>
          <a:ext cx="1215278" cy="295275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11</xdr:col>
      <xdr:colOff>489699</xdr:colOff>
      <xdr:row>120</xdr:row>
      <xdr:rowOff>121583</xdr:rowOff>
    </xdr:from>
    <xdr:to>
      <xdr:col>13</xdr:col>
      <xdr:colOff>19052</xdr:colOff>
      <xdr:row>122</xdr:row>
      <xdr:rowOff>112058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BCD59696-BE3E-47C7-8FB8-D4D711F904C5}"/>
            </a:ext>
          </a:extLst>
        </xdr:cNvPr>
        <xdr:cNvSpPr/>
      </xdr:nvSpPr>
      <xdr:spPr>
        <a:xfrm>
          <a:off x="10252824" y="23010158"/>
          <a:ext cx="1243853" cy="371475"/>
        </a:xfrm>
        <a:prstGeom prst="ellipse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13</xdr:col>
      <xdr:colOff>76202</xdr:colOff>
      <xdr:row>119</xdr:row>
      <xdr:rowOff>54908</xdr:rowOff>
    </xdr:from>
    <xdr:to>
      <xdr:col>15</xdr:col>
      <xdr:colOff>569261</xdr:colOff>
      <xdr:row>122</xdr:row>
      <xdr:rowOff>26333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F91E496E-E1C6-45E0-ADFB-E07BB1E78556}"/>
            </a:ext>
          </a:extLst>
        </xdr:cNvPr>
        <xdr:cNvSpPr/>
      </xdr:nvSpPr>
      <xdr:spPr>
        <a:xfrm>
          <a:off x="11553827" y="22752983"/>
          <a:ext cx="2017059" cy="542925"/>
        </a:xfrm>
        <a:prstGeom prst="ellipse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15</xdr:col>
      <xdr:colOff>559736</xdr:colOff>
      <xdr:row>119</xdr:row>
      <xdr:rowOff>35858</xdr:rowOff>
    </xdr:from>
    <xdr:to>
      <xdr:col>17</xdr:col>
      <xdr:colOff>626411</xdr:colOff>
      <xdr:row>120</xdr:row>
      <xdr:rowOff>121583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A3783EC8-816C-41E2-B1C2-3BE69C7E65B5}"/>
            </a:ext>
          </a:extLst>
        </xdr:cNvPr>
        <xdr:cNvSpPr/>
      </xdr:nvSpPr>
      <xdr:spPr>
        <a:xfrm>
          <a:off x="13561361" y="22733933"/>
          <a:ext cx="1590675" cy="276225"/>
        </a:xfrm>
        <a:prstGeom prst="ellipse">
          <a:avLst/>
        </a:prstGeom>
        <a:noFill/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15</xdr:col>
      <xdr:colOff>569261</xdr:colOff>
      <xdr:row>120</xdr:row>
      <xdr:rowOff>73958</xdr:rowOff>
    </xdr:from>
    <xdr:to>
      <xdr:col>17</xdr:col>
      <xdr:colOff>607361</xdr:colOff>
      <xdr:row>123</xdr:row>
      <xdr:rowOff>112058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F719CF34-2814-4F8C-BBAA-FA8EE1417B51}"/>
            </a:ext>
          </a:extLst>
        </xdr:cNvPr>
        <xdr:cNvSpPr/>
      </xdr:nvSpPr>
      <xdr:spPr>
        <a:xfrm>
          <a:off x="13570886" y="22962533"/>
          <a:ext cx="1562100" cy="609600"/>
        </a:xfrm>
        <a:prstGeom prst="ellipse">
          <a:avLst/>
        </a:prstGeom>
        <a:noFill/>
        <a:ln w="9525" cap="flat" cmpd="sng" algn="ctr">
          <a:solidFill>
            <a:schemeClr val="accent4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F92"/>
  <sheetViews>
    <sheetView showGridLines="0" topLeftCell="A8" zoomScale="40" zoomScaleNormal="40" workbookViewId="0">
      <selection activeCell="AG11" sqref="AG11"/>
    </sheetView>
  </sheetViews>
  <sheetFormatPr baseColWidth="10" defaultRowHeight="15" x14ac:dyDescent="0.25"/>
  <cols>
    <col min="1" max="3" width="11.42578125" style="4"/>
    <col min="4" max="4" width="29.7109375" style="4" customWidth="1"/>
    <col min="5" max="5" width="46" style="4" customWidth="1"/>
    <col min="6" max="6" width="5.28515625" style="4" customWidth="1"/>
    <col min="7" max="7" width="5.140625" style="4" customWidth="1"/>
    <col min="8" max="8" width="4.140625" style="4" customWidth="1"/>
    <col min="9" max="9" width="4.5703125" style="4" customWidth="1"/>
    <col min="10" max="12" width="4.85546875" style="4" customWidth="1"/>
    <col min="13" max="13" width="4.7109375" style="4" customWidth="1"/>
    <col min="14" max="15" width="4.42578125" style="4" customWidth="1"/>
    <col min="16" max="16" width="5.42578125" style="4" customWidth="1"/>
    <col min="17" max="19" width="6.140625" style="4" customWidth="1"/>
    <col min="20" max="20" width="6.28515625" style="4" customWidth="1"/>
    <col min="21" max="21" width="6.7109375" style="4" customWidth="1"/>
    <col min="22" max="22" width="6" style="4" customWidth="1"/>
    <col min="23" max="23" width="6.28515625" style="4" customWidth="1"/>
    <col min="24" max="24" width="5.42578125" style="4" customWidth="1"/>
    <col min="25" max="25" width="5.5703125" style="4" customWidth="1"/>
    <col min="26" max="26" width="5.42578125" style="4" customWidth="1"/>
    <col min="27" max="27" width="5.5703125" style="4" customWidth="1"/>
    <col min="28" max="29" width="5.85546875" style="4" customWidth="1"/>
    <col min="30" max="16384" width="11.42578125" style="4"/>
  </cols>
  <sheetData>
    <row r="4" spans="1:32" ht="30" customHeight="1" x14ac:dyDescent="0.25">
      <c r="A4" s="143" t="s">
        <v>79</v>
      </c>
      <c r="B4" s="143"/>
    </row>
    <row r="6" spans="1:32" ht="47.25" customHeight="1" x14ac:dyDescent="0.25">
      <c r="C6" s="3"/>
      <c r="D6" s="141" t="s">
        <v>89</v>
      </c>
      <c r="E6" s="142"/>
      <c r="F6" s="9" t="s">
        <v>0</v>
      </c>
      <c r="G6" s="10" t="s">
        <v>1</v>
      </c>
      <c r="H6" s="10" t="s">
        <v>2</v>
      </c>
      <c r="I6" s="10" t="s">
        <v>3</v>
      </c>
      <c r="J6" s="10" t="s">
        <v>4</v>
      </c>
      <c r="K6" s="10" t="s">
        <v>5</v>
      </c>
      <c r="L6" s="10" t="s">
        <v>6</v>
      </c>
      <c r="M6" s="10" t="s">
        <v>7</v>
      </c>
      <c r="N6" s="10" t="s">
        <v>8</v>
      </c>
      <c r="O6" s="10" t="s">
        <v>9</v>
      </c>
      <c r="P6" s="10" t="s">
        <v>10</v>
      </c>
      <c r="Q6" s="10" t="s">
        <v>11</v>
      </c>
      <c r="R6" s="10" t="s">
        <v>12</v>
      </c>
      <c r="S6" s="10" t="s">
        <v>13</v>
      </c>
      <c r="T6" s="10" t="s">
        <v>14</v>
      </c>
      <c r="U6" s="10" t="s">
        <v>15</v>
      </c>
      <c r="V6" s="10" t="s">
        <v>16</v>
      </c>
      <c r="W6" s="10" t="s">
        <v>17</v>
      </c>
      <c r="X6" s="10" t="s">
        <v>18</v>
      </c>
      <c r="Y6" s="10" t="s">
        <v>19</v>
      </c>
      <c r="Z6" s="10" t="s">
        <v>20</v>
      </c>
      <c r="AA6" s="10" t="s">
        <v>21</v>
      </c>
      <c r="AB6" s="10" t="s">
        <v>22</v>
      </c>
      <c r="AC6" s="10" t="s">
        <v>23</v>
      </c>
      <c r="AD6" s="11" t="s">
        <v>24</v>
      </c>
      <c r="AE6" s="5"/>
      <c r="AF6" s="5"/>
    </row>
    <row r="7" spans="1:32" ht="105" customHeight="1" x14ac:dyDescent="0.25">
      <c r="C7" s="1">
        <v>1</v>
      </c>
      <c r="D7" s="139"/>
      <c r="E7" s="139"/>
      <c r="F7" s="136"/>
      <c r="G7" s="136">
        <v>2</v>
      </c>
      <c r="H7" s="136">
        <v>2</v>
      </c>
      <c r="I7" s="136">
        <v>3</v>
      </c>
      <c r="J7" s="136">
        <v>5</v>
      </c>
      <c r="K7" s="136">
        <v>15</v>
      </c>
      <c r="L7" s="136">
        <v>18</v>
      </c>
      <c r="M7" s="136">
        <v>22</v>
      </c>
      <c r="N7" s="136">
        <v>12</v>
      </c>
      <c r="O7" s="136">
        <v>40</v>
      </c>
      <c r="P7" s="136">
        <v>12</v>
      </c>
      <c r="Q7" s="136">
        <v>12</v>
      </c>
      <c r="R7" s="136">
        <v>15</v>
      </c>
      <c r="S7" s="136">
        <v>5</v>
      </c>
      <c r="T7" s="136">
        <v>20</v>
      </c>
      <c r="U7" s="136">
        <v>15</v>
      </c>
      <c r="V7" s="136">
        <v>22</v>
      </c>
      <c r="W7" s="136">
        <v>25</v>
      </c>
      <c r="X7" s="136">
        <v>41</v>
      </c>
      <c r="Y7" s="136">
        <v>50</v>
      </c>
      <c r="Z7" s="136">
        <v>15</v>
      </c>
      <c r="AA7" s="136">
        <v>12</v>
      </c>
      <c r="AB7" s="136">
        <v>6</v>
      </c>
      <c r="AC7" s="136">
        <v>4</v>
      </c>
      <c r="AD7" s="135">
        <f>SUM(F7:AC7)</f>
        <v>373</v>
      </c>
    </row>
    <row r="8" spans="1:32" ht="105" customHeight="1" x14ac:dyDescent="0.25">
      <c r="C8" s="1">
        <v>2</v>
      </c>
      <c r="D8" s="3"/>
      <c r="E8" s="3"/>
      <c r="F8" s="137"/>
      <c r="G8" s="137"/>
      <c r="H8" s="137"/>
      <c r="I8" s="137"/>
      <c r="J8" s="137"/>
      <c r="K8" s="137">
        <v>3</v>
      </c>
      <c r="L8" s="137">
        <v>4</v>
      </c>
      <c r="M8" s="137">
        <v>4</v>
      </c>
      <c r="N8" s="137">
        <v>12</v>
      </c>
      <c r="O8" s="137">
        <v>10</v>
      </c>
      <c r="P8" s="137">
        <v>5</v>
      </c>
      <c r="Q8" s="137">
        <v>12</v>
      </c>
      <c r="R8" s="137">
        <v>8</v>
      </c>
      <c r="S8" s="137">
        <v>7</v>
      </c>
      <c r="T8" s="137">
        <v>7</v>
      </c>
      <c r="U8" s="137">
        <v>2</v>
      </c>
      <c r="V8" s="137"/>
      <c r="W8" s="137">
        <v>4</v>
      </c>
      <c r="X8" s="137">
        <v>1</v>
      </c>
      <c r="Y8" s="137"/>
      <c r="Z8" s="137">
        <v>1</v>
      </c>
      <c r="AA8" s="137"/>
      <c r="AB8" s="137"/>
      <c r="AC8" s="137"/>
      <c r="AD8" s="135">
        <f t="shared" ref="AD8:AD13" si="0">SUM(F8:AC8)</f>
        <v>80</v>
      </c>
    </row>
    <row r="9" spans="1:32" ht="105" customHeight="1" x14ac:dyDescent="0.25">
      <c r="C9" s="1">
        <v>3</v>
      </c>
      <c r="D9" s="139"/>
      <c r="E9" s="139"/>
      <c r="F9" s="137"/>
      <c r="G9" s="137"/>
      <c r="H9" s="137"/>
      <c r="I9" s="137"/>
      <c r="J9" s="137"/>
      <c r="K9" s="137">
        <v>4</v>
      </c>
      <c r="L9" s="137"/>
      <c r="M9" s="137">
        <v>4</v>
      </c>
      <c r="N9" s="137">
        <v>2</v>
      </c>
      <c r="O9" s="137"/>
      <c r="P9" s="137"/>
      <c r="Q9" s="137">
        <v>3</v>
      </c>
      <c r="R9" s="137"/>
      <c r="S9" s="137">
        <v>3</v>
      </c>
      <c r="T9" s="137"/>
      <c r="U9" s="137"/>
      <c r="V9" s="137">
        <v>2</v>
      </c>
      <c r="W9" s="137">
        <v>7</v>
      </c>
      <c r="X9" s="137"/>
      <c r="Y9" s="137">
        <v>2</v>
      </c>
      <c r="Z9" s="137"/>
      <c r="AA9" s="137"/>
      <c r="AB9" s="137"/>
      <c r="AC9" s="137"/>
      <c r="AD9" s="135">
        <f t="shared" si="0"/>
        <v>27</v>
      </c>
    </row>
    <row r="10" spans="1:32" ht="105" customHeight="1" x14ac:dyDescent="0.25">
      <c r="C10" s="1">
        <v>4</v>
      </c>
      <c r="D10" s="3"/>
      <c r="E10" s="3"/>
      <c r="F10" s="137"/>
      <c r="G10" s="137"/>
      <c r="H10" s="137"/>
      <c r="I10" s="137"/>
      <c r="J10" s="137"/>
      <c r="K10" s="137">
        <v>5</v>
      </c>
      <c r="L10" s="137"/>
      <c r="M10" s="137">
        <v>3</v>
      </c>
      <c r="N10" s="137">
        <v>3</v>
      </c>
      <c r="O10" s="137">
        <v>3</v>
      </c>
      <c r="P10" s="137"/>
      <c r="Q10" s="137">
        <v>4</v>
      </c>
      <c r="R10" s="137"/>
      <c r="S10" s="137"/>
      <c r="T10" s="137"/>
      <c r="U10" s="137">
        <v>4</v>
      </c>
      <c r="V10" s="137"/>
      <c r="W10" s="137">
        <v>3</v>
      </c>
      <c r="X10" s="137">
        <v>3</v>
      </c>
      <c r="Y10" s="137">
        <v>3</v>
      </c>
      <c r="Z10" s="137">
        <v>3</v>
      </c>
      <c r="AA10" s="137"/>
      <c r="AB10" s="137"/>
      <c r="AC10" s="137"/>
      <c r="AD10" s="135">
        <f t="shared" si="0"/>
        <v>34</v>
      </c>
    </row>
    <row r="11" spans="1:32" ht="105" customHeight="1" x14ac:dyDescent="0.25">
      <c r="C11" s="1">
        <v>5</v>
      </c>
      <c r="D11" s="3"/>
      <c r="E11" s="3"/>
      <c r="F11" s="137"/>
      <c r="G11" s="137"/>
      <c r="H11" s="137"/>
      <c r="I11" s="137"/>
      <c r="J11" s="137"/>
      <c r="K11" s="137"/>
      <c r="L11" s="137"/>
      <c r="M11" s="137">
        <v>2</v>
      </c>
      <c r="N11" s="137">
        <v>2</v>
      </c>
      <c r="O11" s="137">
        <v>2</v>
      </c>
      <c r="P11" s="137">
        <v>2</v>
      </c>
      <c r="Q11" s="137"/>
      <c r="R11" s="137"/>
      <c r="S11" s="137"/>
      <c r="T11" s="137"/>
      <c r="U11" s="137"/>
      <c r="V11" s="137">
        <v>1</v>
      </c>
      <c r="W11" s="137"/>
      <c r="X11" s="137">
        <v>1</v>
      </c>
      <c r="Y11" s="137">
        <v>2</v>
      </c>
      <c r="Z11" s="137">
        <v>2</v>
      </c>
      <c r="AA11" s="137"/>
      <c r="AB11" s="137"/>
      <c r="AC11" s="137"/>
      <c r="AD11" s="135">
        <f t="shared" si="0"/>
        <v>14</v>
      </c>
      <c r="AE11" s="109"/>
    </row>
    <row r="12" spans="1:32" ht="105" customHeight="1" x14ac:dyDescent="0.25">
      <c r="C12" s="1">
        <v>6</v>
      </c>
      <c r="D12" s="3"/>
      <c r="E12" s="3"/>
      <c r="F12" s="137"/>
      <c r="G12" s="137"/>
      <c r="H12" s="137"/>
      <c r="I12" s="137"/>
      <c r="J12" s="137"/>
      <c r="K12" s="137"/>
      <c r="L12" s="137"/>
      <c r="M12" s="137">
        <v>2</v>
      </c>
      <c r="N12" s="137">
        <v>3</v>
      </c>
      <c r="O12" s="137">
        <v>2</v>
      </c>
      <c r="P12" s="137"/>
      <c r="Q12" s="137"/>
      <c r="R12" s="137">
        <v>3</v>
      </c>
      <c r="S12" s="137"/>
      <c r="T12" s="137"/>
      <c r="U12" s="137">
        <v>2</v>
      </c>
      <c r="V12" s="137">
        <v>2</v>
      </c>
      <c r="W12" s="137">
        <v>2</v>
      </c>
      <c r="X12" s="137">
        <v>2</v>
      </c>
      <c r="Y12" s="137">
        <v>2</v>
      </c>
      <c r="Z12" s="137">
        <v>2</v>
      </c>
      <c r="AA12" s="137"/>
      <c r="AB12" s="137"/>
      <c r="AC12" s="137"/>
      <c r="AD12" s="135">
        <f t="shared" si="0"/>
        <v>22</v>
      </c>
    </row>
    <row r="13" spans="1:32" ht="105" customHeight="1" x14ac:dyDescent="0.25">
      <c r="C13" s="1">
        <v>7</v>
      </c>
      <c r="D13" s="3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5">
        <f t="shared" si="0"/>
        <v>0</v>
      </c>
      <c r="AE13" s="109"/>
    </row>
    <row r="14" spans="1:32" ht="19.5" customHeight="1" x14ac:dyDescent="0.25">
      <c r="C14" s="3"/>
      <c r="D14" s="3"/>
      <c r="E14" s="3"/>
      <c r="F14" s="140" t="s">
        <v>78</v>
      </c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3">
        <f>SUM(AD7:AD13)</f>
        <v>550</v>
      </c>
    </row>
    <row r="15" spans="1:32" ht="16.5" customHeight="1" x14ac:dyDescent="0.25"/>
    <row r="17" spans="1:31" ht="32.25" customHeight="1" x14ac:dyDescent="0.25">
      <c r="A17" s="143" t="s">
        <v>80</v>
      </c>
      <c r="B17" s="143"/>
    </row>
    <row r="19" spans="1:31" ht="42.75" customHeight="1" x14ac:dyDescent="0.25">
      <c r="C19" s="3"/>
      <c r="D19" s="141" t="s">
        <v>89</v>
      </c>
      <c r="E19" s="142"/>
      <c r="F19" s="9" t="s">
        <v>0</v>
      </c>
      <c r="G19" s="10" t="s">
        <v>1</v>
      </c>
      <c r="H19" s="10" t="s">
        <v>2</v>
      </c>
      <c r="I19" s="10" t="s">
        <v>3</v>
      </c>
      <c r="J19" s="10" t="s">
        <v>4</v>
      </c>
      <c r="K19" s="10" t="s">
        <v>5</v>
      </c>
      <c r="L19" s="10" t="s">
        <v>6</v>
      </c>
      <c r="M19" s="10" t="s">
        <v>7</v>
      </c>
      <c r="N19" s="10" t="s">
        <v>8</v>
      </c>
      <c r="O19" s="10" t="s">
        <v>9</v>
      </c>
      <c r="P19" s="10" t="s">
        <v>10</v>
      </c>
      <c r="Q19" s="10" t="s">
        <v>11</v>
      </c>
      <c r="R19" s="10" t="s">
        <v>12</v>
      </c>
      <c r="S19" s="10" t="s">
        <v>13</v>
      </c>
      <c r="T19" s="10" t="s">
        <v>14</v>
      </c>
      <c r="U19" s="10" t="s">
        <v>15</v>
      </c>
      <c r="V19" s="10" t="s">
        <v>16</v>
      </c>
      <c r="W19" s="10" t="s">
        <v>17</v>
      </c>
      <c r="X19" s="10" t="s">
        <v>18</v>
      </c>
      <c r="Y19" s="10" t="s">
        <v>19</v>
      </c>
      <c r="Z19" s="10" t="s">
        <v>20</v>
      </c>
      <c r="AA19" s="10" t="s">
        <v>21</v>
      </c>
      <c r="AB19" s="10" t="s">
        <v>22</v>
      </c>
      <c r="AC19" s="10" t="s">
        <v>23</v>
      </c>
      <c r="AD19" s="11" t="s">
        <v>24</v>
      </c>
      <c r="AE19" s="5"/>
    </row>
    <row r="20" spans="1:31" ht="83.25" customHeight="1" x14ac:dyDescent="0.25">
      <c r="C20" s="1">
        <v>1</v>
      </c>
      <c r="D20" s="139"/>
      <c r="E20" s="139"/>
      <c r="F20" s="136"/>
      <c r="G20" s="136">
        <v>2</v>
      </c>
      <c r="H20" s="136">
        <v>2</v>
      </c>
      <c r="I20" s="136">
        <v>3</v>
      </c>
      <c r="J20" s="136">
        <v>5</v>
      </c>
      <c r="K20" s="136">
        <v>15</v>
      </c>
      <c r="L20" s="136">
        <v>18</v>
      </c>
      <c r="M20" s="136">
        <v>22</v>
      </c>
      <c r="N20" s="136">
        <v>18</v>
      </c>
      <c r="O20" s="136">
        <v>15</v>
      </c>
      <c r="P20" s="136">
        <v>12</v>
      </c>
      <c r="Q20" s="136">
        <v>12</v>
      </c>
      <c r="R20" s="136">
        <v>15</v>
      </c>
      <c r="S20" s="136">
        <v>5</v>
      </c>
      <c r="T20" s="136">
        <v>15</v>
      </c>
      <c r="U20" s="136">
        <v>15</v>
      </c>
      <c r="V20" s="136">
        <v>23</v>
      </c>
      <c r="W20" s="136">
        <v>25</v>
      </c>
      <c r="X20" s="136">
        <v>22</v>
      </c>
      <c r="Y20" s="136">
        <v>25</v>
      </c>
      <c r="Z20" s="136">
        <v>15</v>
      </c>
      <c r="AA20" s="136">
        <v>12</v>
      </c>
      <c r="AB20" s="136">
        <v>6</v>
      </c>
      <c r="AC20" s="136">
        <v>4</v>
      </c>
      <c r="AD20" s="135">
        <f>SUM(F20:AC20)</f>
        <v>306</v>
      </c>
    </row>
    <row r="21" spans="1:31" ht="104.25" customHeight="1" x14ac:dyDescent="0.25">
      <c r="C21" s="1">
        <v>2</v>
      </c>
      <c r="D21" s="3"/>
      <c r="E21" s="3"/>
      <c r="F21" s="137"/>
      <c r="G21" s="137"/>
      <c r="H21" s="137"/>
      <c r="I21" s="137"/>
      <c r="J21" s="137"/>
      <c r="K21" s="137">
        <v>3</v>
      </c>
      <c r="L21" s="137">
        <v>8</v>
      </c>
      <c r="M21" s="137">
        <v>8</v>
      </c>
      <c r="N21" s="137">
        <v>8</v>
      </c>
      <c r="O21" s="137">
        <v>8</v>
      </c>
      <c r="P21" s="137">
        <v>5</v>
      </c>
      <c r="Q21" s="137">
        <v>4</v>
      </c>
      <c r="R21" s="137">
        <v>8</v>
      </c>
      <c r="S21" s="137">
        <v>7</v>
      </c>
      <c r="T21" s="137">
        <v>7</v>
      </c>
      <c r="U21" s="137">
        <v>4</v>
      </c>
      <c r="V21" s="137"/>
      <c r="W21" s="137">
        <v>4</v>
      </c>
      <c r="X21" s="137">
        <v>3</v>
      </c>
      <c r="Y21" s="137">
        <v>2</v>
      </c>
      <c r="Z21" s="137">
        <v>1</v>
      </c>
      <c r="AA21" s="137"/>
      <c r="AB21" s="137"/>
      <c r="AC21" s="137"/>
      <c r="AD21" s="135">
        <f t="shared" ref="AD21:AD26" si="1">SUM(F21:AC21)</f>
        <v>80</v>
      </c>
    </row>
    <row r="22" spans="1:31" ht="109.5" customHeight="1" x14ac:dyDescent="0.25">
      <c r="C22" s="1">
        <v>3</v>
      </c>
      <c r="D22" s="139"/>
      <c r="E22" s="139"/>
      <c r="F22" s="137"/>
      <c r="G22" s="137"/>
      <c r="H22" s="137"/>
      <c r="I22" s="137"/>
      <c r="J22" s="137"/>
      <c r="K22" s="137">
        <v>2</v>
      </c>
      <c r="L22" s="137">
        <v>2</v>
      </c>
      <c r="M22" s="137">
        <v>4</v>
      </c>
      <c r="N22" s="137">
        <v>5</v>
      </c>
      <c r="O22" s="137"/>
      <c r="P22" s="137"/>
      <c r="Q22" s="137">
        <v>5</v>
      </c>
      <c r="R22" s="137"/>
      <c r="S22" s="137">
        <v>5</v>
      </c>
      <c r="T22" s="137"/>
      <c r="U22" s="137"/>
      <c r="V22" s="137">
        <v>2</v>
      </c>
      <c r="W22" s="137">
        <v>7</v>
      </c>
      <c r="X22" s="137"/>
      <c r="Y22" s="137">
        <v>2</v>
      </c>
      <c r="Z22" s="137"/>
      <c r="AA22" s="137"/>
      <c r="AB22" s="137"/>
      <c r="AC22" s="137"/>
      <c r="AD22" s="135">
        <f t="shared" si="1"/>
        <v>34</v>
      </c>
    </row>
    <row r="23" spans="1:31" ht="111" customHeight="1" x14ac:dyDescent="0.25">
      <c r="C23" s="1">
        <v>4</v>
      </c>
      <c r="D23" s="3"/>
      <c r="E23" s="3"/>
      <c r="F23" s="137"/>
      <c r="G23" s="137"/>
      <c r="H23" s="137"/>
      <c r="I23" s="137"/>
      <c r="J23" s="137"/>
      <c r="K23" s="137">
        <v>5</v>
      </c>
      <c r="L23" s="137"/>
      <c r="M23" s="137">
        <v>4</v>
      </c>
      <c r="N23" s="137">
        <v>4</v>
      </c>
      <c r="O23" s="137">
        <v>3</v>
      </c>
      <c r="P23" s="137"/>
      <c r="Q23" s="137">
        <v>5</v>
      </c>
      <c r="R23" s="137"/>
      <c r="S23" s="137"/>
      <c r="T23" s="137"/>
      <c r="U23" s="137">
        <v>3</v>
      </c>
      <c r="V23" s="137"/>
      <c r="W23" s="137">
        <v>3</v>
      </c>
      <c r="X23" s="137">
        <v>3</v>
      </c>
      <c r="Y23" s="137">
        <v>3</v>
      </c>
      <c r="Z23" s="137">
        <v>3</v>
      </c>
      <c r="AA23" s="137"/>
      <c r="AB23" s="137"/>
      <c r="AC23" s="137"/>
      <c r="AD23" s="135">
        <f t="shared" si="1"/>
        <v>36</v>
      </c>
    </row>
    <row r="24" spans="1:31" ht="102" customHeight="1" x14ac:dyDescent="0.25">
      <c r="C24" s="1">
        <v>5</v>
      </c>
      <c r="D24" s="3"/>
      <c r="E24" s="3"/>
      <c r="F24" s="137"/>
      <c r="G24" s="137"/>
      <c r="H24" s="137"/>
      <c r="I24" s="137"/>
      <c r="J24" s="137"/>
      <c r="K24" s="137"/>
      <c r="L24" s="137"/>
      <c r="M24" s="137">
        <v>2</v>
      </c>
      <c r="N24" s="137">
        <v>2</v>
      </c>
      <c r="O24" s="137">
        <v>2</v>
      </c>
      <c r="P24" s="137">
        <v>2</v>
      </c>
      <c r="Q24" s="137"/>
      <c r="R24" s="137"/>
      <c r="S24" s="137"/>
      <c r="T24" s="137"/>
      <c r="U24" s="137"/>
      <c r="V24" s="137">
        <v>3</v>
      </c>
      <c r="W24" s="137">
        <v>3</v>
      </c>
      <c r="X24" s="137">
        <v>1</v>
      </c>
      <c r="Y24" s="137">
        <v>2</v>
      </c>
      <c r="Z24" s="137">
        <v>2</v>
      </c>
      <c r="AA24" s="137"/>
      <c r="AB24" s="137"/>
      <c r="AC24" s="137"/>
      <c r="AD24" s="135">
        <f t="shared" si="1"/>
        <v>19</v>
      </c>
      <c r="AE24" s="109"/>
    </row>
    <row r="25" spans="1:31" ht="102" customHeight="1" x14ac:dyDescent="0.25">
      <c r="C25" s="1">
        <v>6</v>
      </c>
      <c r="D25" s="3"/>
      <c r="E25" s="3"/>
      <c r="F25" s="137"/>
      <c r="G25" s="137"/>
      <c r="H25" s="137"/>
      <c r="I25" s="137"/>
      <c r="J25" s="137"/>
      <c r="K25" s="137"/>
      <c r="L25" s="137"/>
      <c r="M25" s="137">
        <v>2</v>
      </c>
      <c r="N25" s="137">
        <v>3</v>
      </c>
      <c r="O25" s="137">
        <v>4</v>
      </c>
      <c r="P25" s="137">
        <v>4</v>
      </c>
      <c r="Q25" s="137"/>
      <c r="R25" s="137">
        <v>3</v>
      </c>
      <c r="S25" s="137"/>
      <c r="T25" s="137"/>
      <c r="U25" s="137">
        <v>2</v>
      </c>
      <c r="V25" s="137">
        <v>4</v>
      </c>
      <c r="W25" s="137">
        <v>2</v>
      </c>
      <c r="X25" s="137">
        <v>4</v>
      </c>
      <c r="Y25" s="137">
        <v>2</v>
      </c>
      <c r="Z25" s="137">
        <v>2</v>
      </c>
      <c r="AA25" s="137"/>
      <c r="AB25" s="137"/>
      <c r="AC25" s="137"/>
      <c r="AD25" s="135">
        <f t="shared" si="1"/>
        <v>32</v>
      </c>
    </row>
    <row r="26" spans="1:31" ht="106.5" customHeight="1" x14ac:dyDescent="0.25">
      <c r="C26" s="1">
        <v>7</v>
      </c>
      <c r="D26" s="3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5">
        <f t="shared" si="1"/>
        <v>0</v>
      </c>
      <c r="AE26" s="109"/>
    </row>
    <row r="27" spans="1:31" ht="18.75" x14ac:dyDescent="0.25">
      <c r="C27" s="3"/>
      <c r="D27" s="3"/>
      <c r="E27" s="3"/>
      <c r="F27" s="140" t="s">
        <v>78</v>
      </c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3">
        <f>SUM(AD20:AD26)</f>
        <v>507</v>
      </c>
    </row>
    <row r="30" spans="1:31" ht="27.75" customHeight="1" x14ac:dyDescent="0.25">
      <c r="A30" s="143" t="s">
        <v>81</v>
      </c>
      <c r="B30" s="143"/>
    </row>
    <row r="32" spans="1:31" ht="45" customHeight="1" x14ac:dyDescent="0.25">
      <c r="C32" s="3"/>
      <c r="D32" s="141" t="s">
        <v>89</v>
      </c>
      <c r="E32" s="142"/>
      <c r="F32" s="9" t="s">
        <v>0</v>
      </c>
      <c r="G32" s="10" t="s">
        <v>1</v>
      </c>
      <c r="H32" s="10" t="s">
        <v>2</v>
      </c>
      <c r="I32" s="10" t="s">
        <v>3</v>
      </c>
      <c r="J32" s="10" t="s">
        <v>4</v>
      </c>
      <c r="K32" s="10" t="s">
        <v>5</v>
      </c>
      <c r="L32" s="10" t="s">
        <v>6</v>
      </c>
      <c r="M32" s="10" t="s">
        <v>7</v>
      </c>
      <c r="N32" s="10" t="s">
        <v>8</v>
      </c>
      <c r="O32" s="10" t="s">
        <v>9</v>
      </c>
      <c r="P32" s="10" t="s">
        <v>10</v>
      </c>
      <c r="Q32" s="10" t="s">
        <v>11</v>
      </c>
      <c r="R32" s="10" t="s">
        <v>12</v>
      </c>
      <c r="S32" s="10" t="s">
        <v>13</v>
      </c>
      <c r="T32" s="10" t="s">
        <v>14</v>
      </c>
      <c r="U32" s="10" t="s">
        <v>15</v>
      </c>
      <c r="V32" s="10" t="s">
        <v>16</v>
      </c>
      <c r="W32" s="10" t="s">
        <v>17</v>
      </c>
      <c r="X32" s="10" t="s">
        <v>18</v>
      </c>
      <c r="Y32" s="10" t="s">
        <v>19</v>
      </c>
      <c r="Z32" s="10" t="s">
        <v>20</v>
      </c>
      <c r="AA32" s="10" t="s">
        <v>21</v>
      </c>
      <c r="AB32" s="10" t="s">
        <v>22</v>
      </c>
      <c r="AC32" s="10" t="s">
        <v>23</v>
      </c>
      <c r="AD32" s="11" t="s">
        <v>24</v>
      </c>
      <c r="AE32" s="5"/>
    </row>
    <row r="33" spans="1:31" ht="85.5" customHeight="1" x14ac:dyDescent="0.25">
      <c r="C33" s="1">
        <v>1</v>
      </c>
      <c r="D33" s="139"/>
      <c r="E33" s="139"/>
      <c r="F33" s="136"/>
      <c r="G33" s="136">
        <v>2</v>
      </c>
      <c r="H33" s="136">
        <v>1</v>
      </c>
      <c r="I33" s="136">
        <v>1</v>
      </c>
      <c r="J33" s="136">
        <v>5</v>
      </c>
      <c r="K33" s="136">
        <v>15</v>
      </c>
      <c r="L33" s="136">
        <v>8</v>
      </c>
      <c r="M33" s="136">
        <v>22</v>
      </c>
      <c r="N33" s="136">
        <v>22</v>
      </c>
      <c r="O33" s="136">
        <v>15</v>
      </c>
      <c r="P33" s="136">
        <v>3</v>
      </c>
      <c r="Q33" s="136">
        <v>12</v>
      </c>
      <c r="R33" s="136">
        <v>16</v>
      </c>
      <c r="S33" s="136">
        <v>22</v>
      </c>
      <c r="T33" s="136">
        <v>15</v>
      </c>
      <c r="U33" s="136">
        <v>15</v>
      </c>
      <c r="V33" s="136">
        <v>23</v>
      </c>
      <c r="W33" s="136">
        <v>25</v>
      </c>
      <c r="X33" s="136">
        <v>22</v>
      </c>
      <c r="Y33" s="136">
        <v>25</v>
      </c>
      <c r="Z33" s="136">
        <v>15</v>
      </c>
      <c r="AA33" s="136">
        <v>12</v>
      </c>
      <c r="AB33" s="136">
        <v>6</v>
      </c>
      <c r="AC33" s="136">
        <v>4</v>
      </c>
      <c r="AD33" s="135">
        <f>SUM(F33:AC33)</f>
        <v>306</v>
      </c>
    </row>
    <row r="34" spans="1:31" ht="106.5" customHeight="1" x14ac:dyDescent="0.25">
      <c r="C34" s="1">
        <v>2</v>
      </c>
      <c r="D34" s="3"/>
      <c r="E34" s="3"/>
      <c r="F34" s="137"/>
      <c r="G34" s="137"/>
      <c r="H34" s="137"/>
      <c r="I34" s="137"/>
      <c r="J34" s="137"/>
      <c r="K34" s="137">
        <v>5</v>
      </c>
      <c r="L34" s="137">
        <v>5</v>
      </c>
      <c r="M34" s="137">
        <v>8</v>
      </c>
      <c r="N34" s="137">
        <v>11</v>
      </c>
      <c r="O34" s="137">
        <v>8</v>
      </c>
      <c r="P34" s="137">
        <v>2</v>
      </c>
      <c r="Q34" s="137">
        <v>3</v>
      </c>
      <c r="R34" s="137">
        <v>9</v>
      </c>
      <c r="S34" s="137">
        <v>7</v>
      </c>
      <c r="T34" s="137">
        <v>7</v>
      </c>
      <c r="U34" s="137">
        <v>10</v>
      </c>
      <c r="V34" s="137"/>
      <c r="W34" s="137">
        <v>4</v>
      </c>
      <c r="X34" s="137">
        <v>3</v>
      </c>
      <c r="Y34" s="137">
        <v>2</v>
      </c>
      <c r="Z34" s="137">
        <v>1</v>
      </c>
      <c r="AA34" s="137">
        <v>1</v>
      </c>
      <c r="AB34" s="137"/>
      <c r="AC34" s="137"/>
      <c r="AD34" s="135">
        <f t="shared" ref="AD34:AD39" si="2">SUM(F34:AC34)</f>
        <v>86</v>
      </c>
    </row>
    <row r="35" spans="1:31" ht="106.5" customHeight="1" x14ac:dyDescent="0.25">
      <c r="C35" s="1">
        <v>3</v>
      </c>
      <c r="D35" s="139"/>
      <c r="E35" s="139"/>
      <c r="F35" s="137"/>
      <c r="G35" s="137"/>
      <c r="H35" s="137"/>
      <c r="I35" s="137"/>
      <c r="J35" s="137"/>
      <c r="K35" s="137">
        <v>2</v>
      </c>
      <c r="L35" s="137">
        <v>2</v>
      </c>
      <c r="M35" s="137">
        <v>3</v>
      </c>
      <c r="N35" s="137">
        <v>3</v>
      </c>
      <c r="O35" s="137"/>
      <c r="P35" s="137"/>
      <c r="Q35" s="137">
        <v>5</v>
      </c>
      <c r="R35" s="137">
        <v>3</v>
      </c>
      <c r="S35" s="137">
        <v>5</v>
      </c>
      <c r="T35" s="137"/>
      <c r="U35" s="137"/>
      <c r="V35" s="137">
        <v>2</v>
      </c>
      <c r="W35" s="137">
        <v>4</v>
      </c>
      <c r="X35" s="137"/>
      <c r="Y35" s="137">
        <v>3</v>
      </c>
      <c r="Z35" s="137"/>
      <c r="AA35" s="137">
        <v>1</v>
      </c>
      <c r="AB35" s="137"/>
      <c r="AC35" s="137"/>
      <c r="AD35" s="135">
        <f t="shared" si="2"/>
        <v>33</v>
      </c>
    </row>
    <row r="36" spans="1:31" ht="105.75" customHeight="1" x14ac:dyDescent="0.25">
      <c r="C36" s="1">
        <v>4</v>
      </c>
      <c r="D36" s="3"/>
      <c r="E36" s="3"/>
      <c r="F36" s="137"/>
      <c r="G36" s="137"/>
      <c r="H36" s="137"/>
      <c r="I36" s="137"/>
      <c r="J36" s="137"/>
      <c r="K36" s="137">
        <v>3</v>
      </c>
      <c r="L36" s="137"/>
      <c r="M36" s="137">
        <v>3</v>
      </c>
      <c r="N36" s="137">
        <v>4</v>
      </c>
      <c r="O36" s="137">
        <v>3</v>
      </c>
      <c r="P36" s="137"/>
      <c r="Q36" s="137">
        <v>5</v>
      </c>
      <c r="R36" s="137">
        <v>5</v>
      </c>
      <c r="S36" s="137"/>
      <c r="T36" s="137"/>
      <c r="U36" s="137">
        <v>3</v>
      </c>
      <c r="V36" s="137"/>
      <c r="W36" s="137">
        <v>3</v>
      </c>
      <c r="X36" s="137">
        <v>3</v>
      </c>
      <c r="Y36" s="137">
        <v>3</v>
      </c>
      <c r="Z36" s="137">
        <v>3</v>
      </c>
      <c r="AA36" s="137"/>
      <c r="AB36" s="137"/>
      <c r="AC36" s="137"/>
      <c r="AD36" s="135">
        <f t="shared" si="2"/>
        <v>38</v>
      </c>
    </row>
    <row r="37" spans="1:31" ht="91.5" customHeight="1" x14ac:dyDescent="0.25">
      <c r="C37" s="1">
        <v>5</v>
      </c>
      <c r="D37" s="3"/>
      <c r="E37" s="3"/>
      <c r="F37" s="137"/>
      <c r="G37" s="137"/>
      <c r="H37" s="137"/>
      <c r="I37" s="137"/>
      <c r="J37" s="137"/>
      <c r="K37" s="137"/>
      <c r="L37" s="137"/>
      <c r="M37" s="137">
        <v>2</v>
      </c>
      <c r="N37" s="137">
        <v>2</v>
      </c>
      <c r="O37" s="137">
        <v>2</v>
      </c>
      <c r="P37" s="137">
        <v>2</v>
      </c>
      <c r="Q37" s="137">
        <v>2</v>
      </c>
      <c r="R37" s="137"/>
      <c r="S37" s="137"/>
      <c r="T37" s="137"/>
      <c r="U37" s="137"/>
      <c r="V37" s="137">
        <v>3</v>
      </c>
      <c r="W37" s="137">
        <v>5</v>
      </c>
      <c r="X37" s="137">
        <v>1</v>
      </c>
      <c r="Y37" s="137">
        <v>2</v>
      </c>
      <c r="Z37" s="137">
        <v>2</v>
      </c>
      <c r="AA37" s="137"/>
      <c r="AB37" s="137"/>
      <c r="AC37" s="137"/>
      <c r="AD37" s="135">
        <f t="shared" si="2"/>
        <v>23</v>
      </c>
      <c r="AE37" s="109"/>
    </row>
    <row r="38" spans="1:31" ht="101.25" customHeight="1" x14ac:dyDescent="0.25">
      <c r="C38" s="1">
        <v>6</v>
      </c>
      <c r="D38" s="3"/>
      <c r="E38" s="3"/>
      <c r="F38" s="137"/>
      <c r="G38" s="137"/>
      <c r="H38" s="137"/>
      <c r="I38" s="137"/>
      <c r="J38" s="137"/>
      <c r="K38" s="137"/>
      <c r="L38" s="137"/>
      <c r="M38" s="137">
        <v>2</v>
      </c>
      <c r="N38" s="137">
        <v>1</v>
      </c>
      <c r="O38" s="137">
        <v>2</v>
      </c>
      <c r="P38" s="137">
        <v>1</v>
      </c>
      <c r="Q38" s="137"/>
      <c r="R38" s="137">
        <v>3</v>
      </c>
      <c r="S38" s="137"/>
      <c r="T38" s="137"/>
      <c r="U38" s="137">
        <v>2</v>
      </c>
      <c r="V38" s="137">
        <v>4</v>
      </c>
      <c r="W38" s="137">
        <v>2</v>
      </c>
      <c r="X38" s="137">
        <v>4</v>
      </c>
      <c r="Y38" s="137">
        <v>2</v>
      </c>
      <c r="Z38" s="137">
        <v>2</v>
      </c>
      <c r="AA38" s="137"/>
      <c r="AB38" s="137"/>
      <c r="AC38" s="137"/>
      <c r="AD38" s="135">
        <f t="shared" si="2"/>
        <v>25</v>
      </c>
    </row>
    <row r="39" spans="1:31" ht="117" customHeight="1" x14ac:dyDescent="0.25">
      <c r="C39" s="1">
        <v>7</v>
      </c>
      <c r="D39" s="3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5">
        <f t="shared" si="2"/>
        <v>0</v>
      </c>
      <c r="AE39" s="109"/>
    </row>
    <row r="40" spans="1:31" ht="18.75" x14ac:dyDescent="0.25">
      <c r="C40" s="3"/>
      <c r="D40" s="3"/>
      <c r="E40" s="3"/>
      <c r="F40" s="140" t="s">
        <v>78</v>
      </c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3">
        <f>SUM(AD33:AD39)</f>
        <v>511</v>
      </c>
    </row>
    <row r="43" spans="1:31" ht="30.75" customHeight="1" x14ac:dyDescent="0.25">
      <c r="A43" s="143" t="s">
        <v>82</v>
      </c>
      <c r="B43" s="143"/>
    </row>
    <row r="45" spans="1:31" ht="47.25" customHeight="1" x14ac:dyDescent="0.25">
      <c r="C45" s="3"/>
      <c r="D45" s="141" t="s">
        <v>89</v>
      </c>
      <c r="E45" s="142"/>
      <c r="F45" s="9" t="s">
        <v>0</v>
      </c>
      <c r="G45" s="10" t="s">
        <v>1</v>
      </c>
      <c r="H45" s="10" t="s">
        <v>2</v>
      </c>
      <c r="I45" s="10" t="s">
        <v>3</v>
      </c>
      <c r="J45" s="10" t="s">
        <v>4</v>
      </c>
      <c r="K45" s="10" t="s">
        <v>5</v>
      </c>
      <c r="L45" s="10" t="s">
        <v>6</v>
      </c>
      <c r="M45" s="10" t="s">
        <v>7</v>
      </c>
      <c r="N45" s="10" t="s">
        <v>8</v>
      </c>
      <c r="O45" s="10" t="s">
        <v>9</v>
      </c>
      <c r="P45" s="10" t="s">
        <v>10</v>
      </c>
      <c r="Q45" s="10" t="s">
        <v>11</v>
      </c>
      <c r="R45" s="10" t="s">
        <v>12</v>
      </c>
      <c r="S45" s="10" t="s">
        <v>13</v>
      </c>
      <c r="T45" s="10" t="s">
        <v>14</v>
      </c>
      <c r="U45" s="10" t="s">
        <v>15</v>
      </c>
      <c r="V45" s="10" t="s">
        <v>16</v>
      </c>
      <c r="W45" s="10" t="s">
        <v>17</v>
      </c>
      <c r="X45" s="10" t="s">
        <v>18</v>
      </c>
      <c r="Y45" s="10" t="s">
        <v>19</v>
      </c>
      <c r="Z45" s="10" t="s">
        <v>20</v>
      </c>
      <c r="AA45" s="10" t="s">
        <v>21</v>
      </c>
      <c r="AB45" s="10" t="s">
        <v>22</v>
      </c>
      <c r="AC45" s="10" t="s">
        <v>23</v>
      </c>
      <c r="AD45" s="11" t="s">
        <v>24</v>
      </c>
      <c r="AE45" s="5"/>
    </row>
    <row r="46" spans="1:31" ht="91.5" customHeight="1" x14ac:dyDescent="0.25">
      <c r="C46" s="1">
        <v>1</v>
      </c>
      <c r="D46" s="139"/>
      <c r="E46" s="139"/>
      <c r="F46" s="136"/>
      <c r="G46" s="136">
        <v>2</v>
      </c>
      <c r="H46" s="136">
        <v>2</v>
      </c>
      <c r="I46" s="136">
        <v>3</v>
      </c>
      <c r="J46" s="136">
        <v>10</v>
      </c>
      <c r="K46" s="136">
        <v>15</v>
      </c>
      <c r="L46" s="136">
        <v>18</v>
      </c>
      <c r="M46" s="136">
        <v>12</v>
      </c>
      <c r="N46" s="136">
        <v>18</v>
      </c>
      <c r="O46" s="136">
        <v>40</v>
      </c>
      <c r="P46" s="136">
        <v>12</v>
      </c>
      <c r="Q46" s="136"/>
      <c r="R46" s="136">
        <v>15</v>
      </c>
      <c r="S46" s="136"/>
      <c r="T46" s="136">
        <v>20</v>
      </c>
      <c r="U46" s="136">
        <v>15</v>
      </c>
      <c r="V46" s="136">
        <v>22</v>
      </c>
      <c r="W46" s="136"/>
      <c r="X46" s="136">
        <v>12</v>
      </c>
      <c r="Y46" s="136">
        <v>15</v>
      </c>
      <c r="Z46" s="136">
        <v>15</v>
      </c>
      <c r="AA46" s="136">
        <v>12</v>
      </c>
      <c r="AB46" s="136">
        <v>6</v>
      </c>
      <c r="AC46" s="136">
        <v>4</v>
      </c>
      <c r="AD46" s="135">
        <f>SUM(F46:AC46)</f>
        <v>268</v>
      </c>
    </row>
    <row r="47" spans="1:31" ht="105" customHeight="1" x14ac:dyDescent="0.25">
      <c r="C47" s="1">
        <v>2</v>
      </c>
      <c r="D47" s="3"/>
      <c r="E47" s="3"/>
      <c r="F47" s="137"/>
      <c r="G47" s="137"/>
      <c r="H47" s="137"/>
      <c r="I47" s="137"/>
      <c r="J47" s="137"/>
      <c r="K47" s="137">
        <v>2</v>
      </c>
      <c r="L47" s="137">
        <v>2</v>
      </c>
      <c r="M47" s="137">
        <v>4</v>
      </c>
      <c r="N47" s="137">
        <v>8</v>
      </c>
      <c r="O47" s="137"/>
      <c r="P47" s="137">
        <v>4</v>
      </c>
      <c r="Q47" s="137">
        <v>7</v>
      </c>
      <c r="R47" s="137">
        <v>8</v>
      </c>
      <c r="S47" s="137"/>
      <c r="T47" s="137"/>
      <c r="U47" s="137">
        <v>4</v>
      </c>
      <c r="V47" s="137"/>
      <c r="W47" s="137">
        <v>4</v>
      </c>
      <c r="X47" s="137">
        <v>4</v>
      </c>
      <c r="Y47" s="137">
        <v>4</v>
      </c>
      <c r="Z47" s="137">
        <v>8</v>
      </c>
      <c r="AA47" s="137"/>
      <c r="AB47" s="137"/>
      <c r="AC47" s="137"/>
      <c r="AD47" s="135">
        <f t="shared" ref="AD47:AD52" si="3">SUM(F47:AC47)</f>
        <v>59</v>
      </c>
    </row>
    <row r="48" spans="1:31" ht="111" customHeight="1" x14ac:dyDescent="0.25">
      <c r="C48" s="1">
        <v>3</v>
      </c>
      <c r="D48" s="139"/>
      <c r="E48" s="139"/>
      <c r="F48" s="137"/>
      <c r="G48" s="137"/>
      <c r="H48" s="137"/>
      <c r="I48" s="137"/>
      <c r="J48" s="137"/>
      <c r="K48" s="137">
        <v>4</v>
      </c>
      <c r="L48" s="137"/>
      <c r="M48" s="137">
        <v>4</v>
      </c>
      <c r="N48" s="137"/>
      <c r="O48" s="137">
        <v>2</v>
      </c>
      <c r="P48" s="137"/>
      <c r="Q48" s="137">
        <v>2</v>
      </c>
      <c r="R48" s="137"/>
      <c r="S48" s="137">
        <v>6</v>
      </c>
      <c r="T48" s="137"/>
      <c r="U48" s="137"/>
      <c r="V48" s="137">
        <v>3</v>
      </c>
      <c r="W48" s="137">
        <v>4</v>
      </c>
      <c r="X48" s="137">
        <v>4</v>
      </c>
      <c r="Y48" s="137">
        <v>4</v>
      </c>
      <c r="Z48" s="137">
        <v>2</v>
      </c>
      <c r="AA48" s="137"/>
      <c r="AB48" s="137"/>
      <c r="AC48" s="137"/>
      <c r="AD48" s="135">
        <f t="shared" si="3"/>
        <v>35</v>
      </c>
    </row>
    <row r="49" spans="1:31" ht="102" customHeight="1" x14ac:dyDescent="0.25">
      <c r="C49" s="1">
        <v>4</v>
      </c>
      <c r="D49" s="3"/>
      <c r="E49" s="3"/>
      <c r="F49" s="137"/>
      <c r="G49" s="137"/>
      <c r="H49" s="137"/>
      <c r="I49" s="137"/>
      <c r="J49" s="137"/>
      <c r="K49" s="137">
        <v>5</v>
      </c>
      <c r="L49" s="137">
        <v>2</v>
      </c>
      <c r="M49" s="137">
        <v>2</v>
      </c>
      <c r="N49" s="137">
        <v>2</v>
      </c>
      <c r="O49" s="137"/>
      <c r="P49" s="137">
        <v>2</v>
      </c>
      <c r="Q49" s="137"/>
      <c r="R49" s="137"/>
      <c r="S49" s="137">
        <v>2</v>
      </c>
      <c r="T49" s="137"/>
      <c r="U49" s="137">
        <v>4</v>
      </c>
      <c r="V49" s="137"/>
      <c r="W49" s="137">
        <v>4</v>
      </c>
      <c r="X49" s="137"/>
      <c r="Y49" s="137">
        <v>6</v>
      </c>
      <c r="Z49" s="137"/>
      <c r="AA49" s="137"/>
      <c r="AB49" s="137"/>
      <c r="AC49" s="137"/>
      <c r="AD49" s="135">
        <f t="shared" si="3"/>
        <v>29</v>
      </c>
    </row>
    <row r="50" spans="1:31" ht="113.25" customHeight="1" x14ac:dyDescent="0.25">
      <c r="C50" s="1">
        <v>5</v>
      </c>
      <c r="D50" s="3"/>
      <c r="E50" s="3"/>
      <c r="F50" s="137"/>
      <c r="G50" s="137"/>
      <c r="H50" s="137"/>
      <c r="I50" s="137"/>
      <c r="J50" s="137"/>
      <c r="K50" s="137"/>
      <c r="L50" s="137"/>
      <c r="M50" s="137"/>
      <c r="N50" s="137">
        <v>2</v>
      </c>
      <c r="O50" s="137">
        <v>2</v>
      </c>
      <c r="P50" s="137"/>
      <c r="Q50" s="137"/>
      <c r="R50" s="137">
        <v>1</v>
      </c>
      <c r="S50" s="137"/>
      <c r="T50" s="137"/>
      <c r="U50" s="137"/>
      <c r="V50" s="137">
        <v>2</v>
      </c>
      <c r="W50" s="137">
        <v>3</v>
      </c>
      <c r="X50" s="137">
        <v>4</v>
      </c>
      <c r="Y50" s="137"/>
      <c r="Z50" s="137"/>
      <c r="AA50" s="137"/>
      <c r="AB50" s="137"/>
      <c r="AC50" s="137"/>
      <c r="AD50" s="135">
        <f t="shared" si="3"/>
        <v>14</v>
      </c>
      <c r="AE50" s="109"/>
    </row>
    <row r="51" spans="1:31" ht="106.5" customHeight="1" x14ac:dyDescent="0.25">
      <c r="C51" s="1">
        <v>6</v>
      </c>
      <c r="D51" s="3"/>
      <c r="E51" s="3"/>
      <c r="F51" s="137"/>
      <c r="G51" s="137"/>
      <c r="H51" s="137"/>
      <c r="I51" s="137"/>
      <c r="J51" s="137"/>
      <c r="K51" s="137"/>
      <c r="L51" s="137"/>
      <c r="M51" s="137">
        <v>2</v>
      </c>
      <c r="N51" s="137"/>
      <c r="O51" s="137"/>
      <c r="P51" s="137"/>
      <c r="Q51" s="137"/>
      <c r="R51" s="137"/>
      <c r="S51" s="137"/>
      <c r="T51" s="137"/>
      <c r="U51" s="137"/>
      <c r="V51" s="137">
        <v>2</v>
      </c>
      <c r="W51" s="137">
        <v>3</v>
      </c>
      <c r="X51" s="137">
        <v>3</v>
      </c>
      <c r="Y51" s="137"/>
      <c r="Z51" s="137">
        <v>2</v>
      </c>
      <c r="AA51" s="137"/>
      <c r="AB51" s="137"/>
      <c r="AC51" s="137"/>
      <c r="AD51" s="135">
        <f t="shared" si="3"/>
        <v>12</v>
      </c>
    </row>
    <row r="52" spans="1:31" ht="106.5" customHeight="1" x14ac:dyDescent="0.25">
      <c r="C52" s="1">
        <v>7</v>
      </c>
      <c r="D52" s="3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5">
        <f t="shared" si="3"/>
        <v>0</v>
      </c>
      <c r="AE52" s="109"/>
    </row>
    <row r="53" spans="1:31" ht="18.75" x14ac:dyDescent="0.25">
      <c r="C53" s="3"/>
      <c r="D53" s="3"/>
      <c r="E53" s="3"/>
      <c r="F53" s="140" t="s">
        <v>78</v>
      </c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3">
        <f>SUM(AD46:AD52)</f>
        <v>417</v>
      </c>
    </row>
    <row r="56" spans="1:31" ht="29.25" customHeight="1" x14ac:dyDescent="0.25">
      <c r="A56" s="143" t="s">
        <v>83</v>
      </c>
      <c r="B56" s="143"/>
    </row>
    <row r="58" spans="1:31" ht="39.75" customHeight="1" x14ac:dyDescent="0.25">
      <c r="C58" s="3"/>
      <c r="D58" s="141" t="s">
        <v>89</v>
      </c>
      <c r="E58" s="142"/>
      <c r="F58" s="9" t="s">
        <v>0</v>
      </c>
      <c r="G58" s="10" t="s">
        <v>1</v>
      </c>
      <c r="H58" s="10" t="s">
        <v>2</v>
      </c>
      <c r="I58" s="10" t="s">
        <v>3</v>
      </c>
      <c r="J58" s="10" t="s">
        <v>4</v>
      </c>
      <c r="K58" s="10" t="s">
        <v>5</v>
      </c>
      <c r="L58" s="10" t="s">
        <v>6</v>
      </c>
      <c r="M58" s="10" t="s">
        <v>7</v>
      </c>
      <c r="N58" s="10" t="s">
        <v>8</v>
      </c>
      <c r="O58" s="10" t="s">
        <v>9</v>
      </c>
      <c r="P58" s="10" t="s">
        <v>10</v>
      </c>
      <c r="Q58" s="10" t="s">
        <v>11</v>
      </c>
      <c r="R58" s="10" t="s">
        <v>12</v>
      </c>
      <c r="S58" s="10" t="s">
        <v>13</v>
      </c>
      <c r="T58" s="10" t="s">
        <v>14</v>
      </c>
      <c r="U58" s="10" t="s">
        <v>15</v>
      </c>
      <c r="V58" s="10" t="s">
        <v>16</v>
      </c>
      <c r="W58" s="10" t="s">
        <v>17</v>
      </c>
      <c r="X58" s="10" t="s">
        <v>18</v>
      </c>
      <c r="Y58" s="10" t="s">
        <v>19</v>
      </c>
      <c r="Z58" s="10" t="s">
        <v>20</v>
      </c>
      <c r="AA58" s="10" t="s">
        <v>21</v>
      </c>
      <c r="AB58" s="10" t="s">
        <v>22</v>
      </c>
      <c r="AC58" s="10" t="s">
        <v>23</v>
      </c>
      <c r="AD58" s="11" t="s">
        <v>24</v>
      </c>
      <c r="AE58" s="5"/>
    </row>
    <row r="59" spans="1:31" ht="84" customHeight="1" x14ac:dyDescent="0.25">
      <c r="C59" s="1">
        <v>1</v>
      </c>
      <c r="D59" s="139"/>
      <c r="E59" s="139"/>
      <c r="F59" s="136"/>
      <c r="G59" s="136">
        <v>5</v>
      </c>
      <c r="H59" s="136">
        <v>5</v>
      </c>
      <c r="I59" s="136">
        <v>3</v>
      </c>
      <c r="J59" s="136">
        <v>10</v>
      </c>
      <c r="K59" s="136">
        <v>12</v>
      </c>
      <c r="L59" s="136">
        <v>18</v>
      </c>
      <c r="M59" s="136"/>
      <c r="N59" s="136">
        <v>12</v>
      </c>
      <c r="O59" s="136">
        <v>25</v>
      </c>
      <c r="P59" s="136">
        <v>12</v>
      </c>
      <c r="Q59" s="136">
        <v>5</v>
      </c>
      <c r="R59" s="136"/>
      <c r="S59" s="136"/>
      <c r="T59" s="136">
        <v>20</v>
      </c>
      <c r="U59" s="136">
        <v>15</v>
      </c>
      <c r="V59" s="136">
        <v>22</v>
      </c>
      <c r="W59" s="136">
        <v>12</v>
      </c>
      <c r="X59" s="136">
        <v>41</v>
      </c>
      <c r="Y59" s="136">
        <v>18</v>
      </c>
      <c r="Z59" s="136">
        <v>15</v>
      </c>
      <c r="AA59" s="136">
        <v>12</v>
      </c>
      <c r="AB59" s="136">
        <v>6</v>
      </c>
      <c r="AC59" s="136">
        <v>4</v>
      </c>
      <c r="AD59" s="135">
        <f>SUM(F59:AC59)</f>
        <v>272</v>
      </c>
    </row>
    <row r="60" spans="1:31" ht="105" customHeight="1" x14ac:dyDescent="0.25">
      <c r="C60" s="1">
        <v>2</v>
      </c>
      <c r="D60" s="3"/>
      <c r="E60" s="3"/>
      <c r="F60" s="137"/>
      <c r="G60" s="137"/>
      <c r="H60" s="137"/>
      <c r="I60" s="137"/>
      <c r="J60" s="137">
        <v>4</v>
      </c>
      <c r="K60" s="137">
        <v>4</v>
      </c>
      <c r="L60" s="137">
        <v>5</v>
      </c>
      <c r="M60" s="137"/>
      <c r="N60" s="137">
        <v>6</v>
      </c>
      <c r="O60" s="137">
        <v>8</v>
      </c>
      <c r="P60" s="137">
        <v>8</v>
      </c>
      <c r="Q60" s="137">
        <v>7</v>
      </c>
      <c r="R60" s="137">
        <v>6</v>
      </c>
      <c r="S60" s="137"/>
      <c r="T60" s="137">
        <v>9</v>
      </c>
      <c r="U60" s="137">
        <v>4</v>
      </c>
      <c r="V60" s="137"/>
      <c r="W60" s="137">
        <v>4</v>
      </c>
      <c r="X60" s="137">
        <v>7</v>
      </c>
      <c r="Y60" s="137"/>
      <c r="Z60" s="137">
        <v>8</v>
      </c>
      <c r="AA60" s="137"/>
      <c r="AB60" s="137"/>
      <c r="AC60" s="137"/>
      <c r="AD60" s="135">
        <f t="shared" ref="AD60:AD65" si="4">SUM(F60:AC60)</f>
        <v>80</v>
      </c>
    </row>
    <row r="61" spans="1:31" ht="106.5" customHeight="1" x14ac:dyDescent="0.25">
      <c r="C61" s="1">
        <v>3</v>
      </c>
      <c r="D61" s="139"/>
      <c r="E61" s="139"/>
      <c r="F61" s="137"/>
      <c r="G61" s="137"/>
      <c r="H61" s="137"/>
      <c r="I61" s="137"/>
      <c r="J61" s="137"/>
      <c r="K61" s="137">
        <v>2</v>
      </c>
      <c r="L61" s="137">
        <v>2</v>
      </c>
      <c r="M61" s="137">
        <v>2</v>
      </c>
      <c r="N61" s="137"/>
      <c r="O61" s="137"/>
      <c r="P61" s="137">
        <v>2</v>
      </c>
      <c r="Q61" s="137"/>
      <c r="R61" s="137"/>
      <c r="S61" s="137">
        <v>2</v>
      </c>
      <c r="T61" s="137"/>
      <c r="U61" s="137">
        <v>5</v>
      </c>
      <c r="V61" s="137">
        <v>6</v>
      </c>
      <c r="W61" s="137">
        <v>7</v>
      </c>
      <c r="X61" s="137"/>
      <c r="Y61" s="137">
        <v>7</v>
      </c>
      <c r="Z61" s="137"/>
      <c r="AA61" s="137"/>
      <c r="AB61" s="137"/>
      <c r="AC61" s="137"/>
      <c r="AD61" s="135">
        <f t="shared" si="4"/>
        <v>35</v>
      </c>
    </row>
    <row r="62" spans="1:31" ht="113.25" customHeight="1" x14ac:dyDescent="0.25">
      <c r="C62" s="1">
        <v>4</v>
      </c>
      <c r="D62" s="3"/>
      <c r="E62" s="3"/>
      <c r="F62" s="137"/>
      <c r="G62" s="137"/>
      <c r="H62" s="137"/>
      <c r="I62" s="137"/>
      <c r="J62" s="137"/>
      <c r="K62" s="137">
        <v>2</v>
      </c>
      <c r="L62" s="137">
        <v>4</v>
      </c>
      <c r="M62" s="137">
        <v>5</v>
      </c>
      <c r="N62" s="137"/>
      <c r="O62" s="137">
        <v>7</v>
      </c>
      <c r="P62" s="137"/>
      <c r="Q62" s="137"/>
      <c r="R62" s="137">
        <v>3</v>
      </c>
      <c r="S62" s="137"/>
      <c r="T62" s="137">
        <v>3</v>
      </c>
      <c r="U62" s="137">
        <v>4</v>
      </c>
      <c r="V62" s="137"/>
      <c r="W62" s="137">
        <v>4</v>
      </c>
      <c r="X62" s="137">
        <v>3</v>
      </c>
      <c r="Y62" s="137">
        <v>6</v>
      </c>
      <c r="Z62" s="137"/>
      <c r="AA62" s="137"/>
      <c r="AB62" s="137"/>
      <c r="AC62" s="137"/>
      <c r="AD62" s="135">
        <f t="shared" si="4"/>
        <v>41</v>
      </c>
    </row>
    <row r="63" spans="1:31" ht="96" customHeight="1" x14ac:dyDescent="0.25">
      <c r="C63" s="1">
        <v>5</v>
      </c>
      <c r="D63" s="3"/>
      <c r="E63" s="3"/>
      <c r="F63" s="137"/>
      <c r="G63" s="137"/>
      <c r="H63" s="137"/>
      <c r="I63" s="137"/>
      <c r="J63" s="137"/>
      <c r="K63" s="137"/>
      <c r="L63" s="137"/>
      <c r="M63" s="137"/>
      <c r="N63" s="137">
        <v>2</v>
      </c>
      <c r="O63" s="137">
        <v>2</v>
      </c>
      <c r="P63" s="137">
        <v>2</v>
      </c>
      <c r="Q63" s="137">
        <v>2</v>
      </c>
      <c r="R63" s="137"/>
      <c r="S63" s="137"/>
      <c r="T63" s="137"/>
      <c r="U63" s="137"/>
      <c r="V63" s="137">
        <v>2</v>
      </c>
      <c r="W63" s="137">
        <v>2</v>
      </c>
      <c r="X63" s="137">
        <v>3</v>
      </c>
      <c r="Y63" s="137"/>
      <c r="Z63" s="137"/>
      <c r="AA63" s="137"/>
      <c r="AB63" s="137"/>
      <c r="AC63" s="137"/>
      <c r="AD63" s="135">
        <f t="shared" si="4"/>
        <v>15</v>
      </c>
      <c r="AE63" s="109"/>
    </row>
    <row r="64" spans="1:31" ht="108" customHeight="1" x14ac:dyDescent="0.25">
      <c r="C64" s="1">
        <v>6</v>
      </c>
      <c r="D64" s="3"/>
      <c r="E64" s="3"/>
      <c r="F64" s="137"/>
      <c r="G64" s="137"/>
      <c r="H64" s="137"/>
      <c r="I64" s="137"/>
      <c r="J64" s="137"/>
      <c r="K64" s="137"/>
      <c r="L64" s="137"/>
      <c r="M64" s="137">
        <v>1</v>
      </c>
      <c r="N64" s="137">
        <v>2</v>
      </c>
      <c r="O64" s="137">
        <v>2</v>
      </c>
      <c r="P64" s="137">
        <v>2</v>
      </c>
      <c r="Q64" s="137"/>
      <c r="R64" s="137">
        <v>2</v>
      </c>
      <c r="S64" s="137"/>
      <c r="T64" s="137"/>
      <c r="U64" s="137">
        <v>3</v>
      </c>
      <c r="V64" s="137"/>
      <c r="W64" s="137">
        <v>2</v>
      </c>
      <c r="X64" s="137"/>
      <c r="Y64" s="137"/>
      <c r="Z64" s="137">
        <v>2</v>
      </c>
      <c r="AA64" s="137"/>
      <c r="AB64" s="137"/>
      <c r="AC64" s="137"/>
      <c r="AD64" s="135">
        <f t="shared" si="4"/>
        <v>16</v>
      </c>
    </row>
    <row r="65" spans="1:31" ht="105.75" customHeight="1" x14ac:dyDescent="0.25">
      <c r="C65" s="1">
        <v>7</v>
      </c>
      <c r="D65" s="3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5">
        <f t="shared" si="4"/>
        <v>0</v>
      </c>
      <c r="AE65" s="109"/>
    </row>
    <row r="66" spans="1:31" ht="18.75" x14ac:dyDescent="0.25">
      <c r="C66" s="3"/>
      <c r="D66" s="3"/>
      <c r="E66" s="3"/>
      <c r="F66" s="140" t="s">
        <v>78</v>
      </c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3">
        <f>SUM(AD59:AD65)</f>
        <v>459</v>
      </c>
    </row>
    <row r="69" spans="1:31" ht="25.5" customHeight="1" x14ac:dyDescent="0.25">
      <c r="A69" s="143" t="s">
        <v>84</v>
      </c>
      <c r="B69" s="143"/>
    </row>
    <row r="71" spans="1:31" ht="38.25" customHeight="1" x14ac:dyDescent="0.25">
      <c r="C71" s="3"/>
      <c r="D71" s="141" t="s">
        <v>89</v>
      </c>
      <c r="E71" s="142"/>
      <c r="F71" s="9" t="s">
        <v>0</v>
      </c>
      <c r="G71" s="10" t="s">
        <v>1</v>
      </c>
      <c r="H71" s="10" t="s">
        <v>2</v>
      </c>
      <c r="I71" s="10" t="s">
        <v>3</v>
      </c>
      <c r="J71" s="10" t="s">
        <v>4</v>
      </c>
      <c r="K71" s="10" t="s">
        <v>5</v>
      </c>
      <c r="L71" s="10" t="s">
        <v>6</v>
      </c>
      <c r="M71" s="10" t="s">
        <v>7</v>
      </c>
      <c r="N71" s="10" t="s">
        <v>8</v>
      </c>
      <c r="O71" s="10" t="s">
        <v>9</v>
      </c>
      <c r="P71" s="10" t="s">
        <v>10</v>
      </c>
      <c r="Q71" s="10" t="s">
        <v>11</v>
      </c>
      <c r="R71" s="10" t="s">
        <v>12</v>
      </c>
      <c r="S71" s="10" t="s">
        <v>13</v>
      </c>
      <c r="T71" s="10" t="s">
        <v>14</v>
      </c>
      <c r="U71" s="10" t="s">
        <v>15</v>
      </c>
      <c r="V71" s="10" t="s">
        <v>16</v>
      </c>
      <c r="W71" s="10" t="s">
        <v>17</v>
      </c>
      <c r="X71" s="10" t="s">
        <v>18</v>
      </c>
      <c r="Y71" s="10" t="s">
        <v>19</v>
      </c>
      <c r="Z71" s="10" t="s">
        <v>20</v>
      </c>
      <c r="AA71" s="10" t="s">
        <v>21</v>
      </c>
      <c r="AB71" s="10" t="s">
        <v>22</v>
      </c>
      <c r="AC71" s="10" t="s">
        <v>23</v>
      </c>
      <c r="AD71" s="11" t="s">
        <v>24</v>
      </c>
      <c r="AE71" s="5"/>
    </row>
    <row r="72" spans="1:31" ht="85.5" customHeight="1" x14ac:dyDescent="0.25">
      <c r="C72" s="1">
        <v>1</v>
      </c>
      <c r="D72" s="139"/>
      <c r="E72" s="139"/>
      <c r="F72" s="136"/>
      <c r="G72" s="136">
        <v>5</v>
      </c>
      <c r="H72" s="136">
        <v>5</v>
      </c>
      <c r="I72" s="136">
        <v>3</v>
      </c>
      <c r="J72" s="136">
        <v>10</v>
      </c>
      <c r="K72" s="136">
        <v>15</v>
      </c>
      <c r="L72" s="136">
        <v>12</v>
      </c>
      <c r="M72" s="136">
        <v>6</v>
      </c>
      <c r="N72" s="136">
        <v>6</v>
      </c>
      <c r="O72" s="136">
        <v>25</v>
      </c>
      <c r="P72" s="136"/>
      <c r="Q72" s="136">
        <v>3</v>
      </c>
      <c r="R72" s="136">
        <v>15</v>
      </c>
      <c r="S72" s="136"/>
      <c r="T72" s="136"/>
      <c r="U72" s="136">
        <v>15</v>
      </c>
      <c r="V72" s="136">
        <v>22</v>
      </c>
      <c r="W72" s="136">
        <v>11</v>
      </c>
      <c r="X72" s="136"/>
      <c r="Y72" s="136">
        <v>12</v>
      </c>
      <c r="Z72" s="136">
        <v>15</v>
      </c>
      <c r="AA72" s="136">
        <v>12</v>
      </c>
      <c r="AB72" s="136">
        <v>6</v>
      </c>
      <c r="AC72" s="136">
        <v>4</v>
      </c>
      <c r="AD72" s="135">
        <f>SUM(F72:AC72)</f>
        <v>202</v>
      </c>
    </row>
    <row r="73" spans="1:31" ht="104.25" customHeight="1" x14ac:dyDescent="0.25">
      <c r="C73" s="1">
        <v>2</v>
      </c>
      <c r="D73" s="3"/>
      <c r="E73" s="3"/>
      <c r="F73" s="137"/>
      <c r="G73" s="137"/>
      <c r="H73" s="137"/>
      <c r="I73" s="137"/>
      <c r="J73" s="137">
        <v>4</v>
      </c>
      <c r="K73" s="137"/>
      <c r="L73" s="137">
        <v>5</v>
      </c>
      <c r="M73" s="137">
        <v>4</v>
      </c>
      <c r="N73" s="137">
        <v>4</v>
      </c>
      <c r="O73" s="137"/>
      <c r="P73" s="137">
        <v>4</v>
      </c>
      <c r="Q73" s="137">
        <v>1</v>
      </c>
      <c r="R73" s="137"/>
      <c r="S73" s="137">
        <v>4</v>
      </c>
      <c r="T73" s="137"/>
      <c r="U73" s="137">
        <v>4</v>
      </c>
      <c r="V73" s="137"/>
      <c r="W73" s="137">
        <v>4</v>
      </c>
      <c r="X73" s="137"/>
      <c r="Y73" s="137"/>
      <c r="Z73" s="137">
        <v>8</v>
      </c>
      <c r="AA73" s="137"/>
      <c r="AB73" s="137"/>
      <c r="AC73" s="137"/>
      <c r="AD73" s="135">
        <f t="shared" ref="AD73:AD78" si="5">SUM(F73:AC73)</f>
        <v>42</v>
      </c>
    </row>
    <row r="74" spans="1:31" ht="109.5" customHeight="1" x14ac:dyDescent="0.25">
      <c r="C74" s="1">
        <v>3</v>
      </c>
      <c r="D74" s="139"/>
      <c r="E74" s="139"/>
      <c r="F74" s="137"/>
      <c r="G74" s="137"/>
      <c r="H74" s="137"/>
      <c r="I74" s="137"/>
      <c r="J74" s="137"/>
      <c r="K74" s="137">
        <v>2</v>
      </c>
      <c r="L74" s="137">
        <v>2</v>
      </c>
      <c r="M74" s="137"/>
      <c r="N74" s="137"/>
      <c r="O74" s="137"/>
      <c r="P74" s="137">
        <v>5</v>
      </c>
      <c r="Q74" s="137"/>
      <c r="R74" s="137"/>
      <c r="S74" s="137">
        <v>5</v>
      </c>
      <c r="T74" s="137"/>
      <c r="U74" s="137">
        <v>1</v>
      </c>
      <c r="V74" s="137"/>
      <c r="W74" s="137">
        <v>5</v>
      </c>
      <c r="X74" s="137"/>
      <c r="Y74" s="137">
        <v>7</v>
      </c>
      <c r="Z74" s="137"/>
      <c r="AA74" s="137"/>
      <c r="AB74" s="137"/>
      <c r="AC74" s="137"/>
      <c r="AD74" s="135">
        <f t="shared" si="5"/>
        <v>27</v>
      </c>
    </row>
    <row r="75" spans="1:31" ht="101.25" customHeight="1" x14ac:dyDescent="0.25">
      <c r="C75" s="1">
        <v>4</v>
      </c>
      <c r="D75" s="3"/>
      <c r="E75" s="3"/>
      <c r="F75" s="137"/>
      <c r="G75" s="137"/>
      <c r="H75" s="137"/>
      <c r="I75" s="137"/>
      <c r="J75" s="137"/>
      <c r="K75" s="137">
        <v>5</v>
      </c>
      <c r="L75" s="137"/>
      <c r="M75" s="137">
        <v>3</v>
      </c>
      <c r="N75" s="137"/>
      <c r="O75" s="137">
        <v>3</v>
      </c>
      <c r="P75" s="137"/>
      <c r="Q75" s="137"/>
      <c r="R75" s="137">
        <v>3</v>
      </c>
      <c r="S75" s="137">
        <v>3</v>
      </c>
      <c r="T75" s="137">
        <v>3</v>
      </c>
      <c r="U75" s="137"/>
      <c r="V75" s="137"/>
      <c r="W75" s="137">
        <v>4</v>
      </c>
      <c r="X75" s="137"/>
      <c r="Y75" s="137">
        <v>6</v>
      </c>
      <c r="Z75" s="137"/>
      <c r="AA75" s="137"/>
      <c r="AB75" s="137"/>
      <c r="AC75" s="137"/>
      <c r="AD75" s="135">
        <f t="shared" si="5"/>
        <v>30</v>
      </c>
    </row>
    <row r="76" spans="1:31" ht="96" customHeight="1" x14ac:dyDescent="0.25">
      <c r="C76" s="1">
        <v>5</v>
      </c>
      <c r="D76" s="3"/>
      <c r="E76" s="3"/>
      <c r="F76" s="137"/>
      <c r="G76" s="137"/>
      <c r="H76" s="137"/>
      <c r="I76" s="137"/>
      <c r="J76" s="137"/>
      <c r="K76" s="137"/>
      <c r="L76" s="137"/>
      <c r="M76" s="137"/>
      <c r="N76" s="137">
        <v>1</v>
      </c>
      <c r="O76" s="137"/>
      <c r="P76" s="137">
        <v>1</v>
      </c>
      <c r="Q76" s="137"/>
      <c r="R76" s="137"/>
      <c r="S76" s="137">
        <v>1</v>
      </c>
      <c r="T76" s="137">
        <v>1</v>
      </c>
      <c r="U76" s="137"/>
      <c r="V76" s="137">
        <v>1</v>
      </c>
      <c r="W76" s="137"/>
      <c r="X76" s="137"/>
      <c r="Y76" s="137"/>
      <c r="Z76" s="137"/>
      <c r="AA76" s="137"/>
      <c r="AB76" s="137"/>
      <c r="AC76" s="137"/>
      <c r="AD76" s="135">
        <f t="shared" si="5"/>
        <v>5</v>
      </c>
      <c r="AE76" s="109"/>
    </row>
    <row r="77" spans="1:31" ht="103.5" customHeight="1" x14ac:dyDescent="0.25">
      <c r="C77" s="1">
        <v>6</v>
      </c>
      <c r="D77" s="3"/>
      <c r="E77" s="3"/>
      <c r="F77" s="137"/>
      <c r="G77" s="137"/>
      <c r="H77" s="137"/>
      <c r="I77" s="137"/>
      <c r="J77" s="137"/>
      <c r="K77" s="137"/>
      <c r="L77" s="137"/>
      <c r="M77" s="137">
        <v>1</v>
      </c>
      <c r="N77" s="137"/>
      <c r="O77" s="137"/>
      <c r="P77" s="137"/>
      <c r="Q77" s="137"/>
      <c r="R77" s="137">
        <v>1</v>
      </c>
      <c r="S77" s="137">
        <v>1</v>
      </c>
      <c r="T77" s="137"/>
      <c r="U77" s="137"/>
      <c r="V77" s="137"/>
      <c r="W77" s="137"/>
      <c r="X77" s="137"/>
      <c r="Y77" s="137"/>
      <c r="Z77" s="137">
        <v>2</v>
      </c>
      <c r="AA77" s="137"/>
      <c r="AB77" s="137"/>
      <c r="AC77" s="137"/>
      <c r="AD77" s="135">
        <f t="shared" si="5"/>
        <v>5</v>
      </c>
    </row>
    <row r="78" spans="1:31" ht="110.25" customHeight="1" x14ac:dyDescent="0.25">
      <c r="C78" s="1">
        <v>7</v>
      </c>
      <c r="D78" s="3"/>
      <c r="F78" s="137"/>
      <c r="G78" s="137"/>
      <c r="H78" s="137"/>
      <c r="I78" s="137"/>
      <c r="J78" s="137"/>
      <c r="K78" s="137"/>
      <c r="L78" s="137"/>
      <c r="M78" s="137"/>
      <c r="N78" s="137"/>
      <c r="O78" s="137">
        <v>1</v>
      </c>
      <c r="P78" s="137"/>
      <c r="Q78" s="137"/>
      <c r="R78" s="137">
        <v>1</v>
      </c>
      <c r="S78" s="137">
        <v>1</v>
      </c>
      <c r="T78" s="137"/>
      <c r="U78" s="137"/>
      <c r="V78" s="137">
        <v>1</v>
      </c>
      <c r="W78" s="137"/>
      <c r="X78" s="137"/>
      <c r="Y78" s="137"/>
      <c r="Z78" s="137"/>
      <c r="AA78" s="137"/>
      <c r="AB78" s="137"/>
      <c r="AC78" s="137"/>
      <c r="AD78" s="135">
        <f t="shared" si="5"/>
        <v>4</v>
      </c>
      <c r="AE78" s="109"/>
    </row>
    <row r="79" spans="1:31" ht="18.75" x14ac:dyDescent="0.25">
      <c r="C79" s="3"/>
      <c r="D79" s="3"/>
      <c r="E79" s="3"/>
      <c r="F79" s="140" t="s">
        <v>78</v>
      </c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3">
        <f>SUM(AD72:AD78)</f>
        <v>315</v>
      </c>
    </row>
    <row r="82" spans="1:31" ht="30" customHeight="1" x14ac:dyDescent="0.25">
      <c r="A82" s="143" t="s">
        <v>85</v>
      </c>
      <c r="B82" s="143"/>
    </row>
    <row r="84" spans="1:31" ht="55.5" customHeight="1" x14ac:dyDescent="0.25">
      <c r="C84" s="3"/>
      <c r="D84" s="141" t="s">
        <v>89</v>
      </c>
      <c r="E84" s="142"/>
      <c r="F84" s="9" t="s">
        <v>0</v>
      </c>
      <c r="G84" s="10" t="s">
        <v>1</v>
      </c>
      <c r="H84" s="10" t="s">
        <v>2</v>
      </c>
      <c r="I84" s="10" t="s">
        <v>3</v>
      </c>
      <c r="J84" s="10" t="s">
        <v>4</v>
      </c>
      <c r="K84" s="10" t="s">
        <v>5</v>
      </c>
      <c r="L84" s="10" t="s">
        <v>6</v>
      </c>
      <c r="M84" s="10" t="s">
        <v>7</v>
      </c>
      <c r="N84" s="10" t="s">
        <v>8</v>
      </c>
      <c r="O84" s="10" t="s">
        <v>9</v>
      </c>
      <c r="P84" s="10" t="s">
        <v>10</v>
      </c>
      <c r="Q84" s="10" t="s">
        <v>11</v>
      </c>
      <c r="R84" s="10" t="s">
        <v>12</v>
      </c>
      <c r="S84" s="10" t="s">
        <v>13</v>
      </c>
      <c r="T84" s="10" t="s">
        <v>14</v>
      </c>
      <c r="U84" s="10" t="s">
        <v>15</v>
      </c>
      <c r="V84" s="10" t="s">
        <v>16</v>
      </c>
      <c r="W84" s="10" t="s">
        <v>17</v>
      </c>
      <c r="X84" s="10" t="s">
        <v>18</v>
      </c>
      <c r="Y84" s="10" t="s">
        <v>19</v>
      </c>
      <c r="Z84" s="10" t="s">
        <v>20</v>
      </c>
      <c r="AA84" s="10" t="s">
        <v>21</v>
      </c>
      <c r="AB84" s="10" t="s">
        <v>22</v>
      </c>
      <c r="AC84" s="10" t="s">
        <v>23</v>
      </c>
      <c r="AD84" s="11" t="s">
        <v>24</v>
      </c>
      <c r="AE84" s="5"/>
    </row>
    <row r="85" spans="1:31" ht="86.25" customHeight="1" x14ac:dyDescent="0.25">
      <c r="C85" s="1">
        <v>1</v>
      </c>
      <c r="D85" s="139"/>
      <c r="E85" s="139"/>
      <c r="F85" s="136"/>
      <c r="G85" s="136">
        <v>5</v>
      </c>
      <c r="H85" s="136"/>
      <c r="I85" s="136">
        <v>3</v>
      </c>
      <c r="J85" s="136">
        <v>8</v>
      </c>
      <c r="K85" s="136">
        <v>15</v>
      </c>
      <c r="L85" s="136">
        <v>12</v>
      </c>
      <c r="M85" s="136"/>
      <c r="N85" s="136">
        <v>14</v>
      </c>
      <c r="O85" s="136">
        <v>25</v>
      </c>
      <c r="P85" s="136"/>
      <c r="Q85" s="136">
        <v>5</v>
      </c>
      <c r="R85" s="136"/>
      <c r="S85" s="136"/>
      <c r="T85" s="136">
        <v>24</v>
      </c>
      <c r="U85" s="136"/>
      <c r="V85" s="136">
        <v>23</v>
      </c>
      <c r="W85" s="136">
        <v>30</v>
      </c>
      <c r="X85" s="136">
        <v>12</v>
      </c>
      <c r="Y85" s="136">
        <v>15</v>
      </c>
      <c r="Z85" s="136">
        <v>15</v>
      </c>
      <c r="AA85" s="136">
        <v>12</v>
      </c>
      <c r="AB85" s="136">
        <v>6</v>
      </c>
      <c r="AC85" s="136">
        <v>4</v>
      </c>
      <c r="AD85" s="135">
        <f>SUM(F85:AC85)</f>
        <v>228</v>
      </c>
    </row>
    <row r="86" spans="1:31" ht="118.5" customHeight="1" x14ac:dyDescent="0.25">
      <c r="C86" s="1">
        <v>2</v>
      </c>
      <c r="D86" s="3"/>
      <c r="E86" s="3"/>
      <c r="F86" s="137"/>
      <c r="G86" s="137"/>
      <c r="H86" s="137"/>
      <c r="I86" s="137"/>
      <c r="J86" s="137"/>
      <c r="K86" s="137"/>
      <c r="L86" s="137">
        <v>5</v>
      </c>
      <c r="M86" s="137">
        <v>3</v>
      </c>
      <c r="N86" s="137">
        <v>3</v>
      </c>
      <c r="O86" s="137">
        <v>3</v>
      </c>
      <c r="P86" s="137">
        <v>5</v>
      </c>
      <c r="Q86" s="137"/>
      <c r="R86" s="137">
        <v>6</v>
      </c>
      <c r="S86" s="137"/>
      <c r="T86" s="137"/>
      <c r="U86" s="137">
        <v>4</v>
      </c>
      <c r="V86" s="137"/>
      <c r="W86" s="137">
        <v>4</v>
      </c>
      <c r="X86" s="137"/>
      <c r="Y86" s="137"/>
      <c r="Z86" s="137"/>
      <c r="AA86" s="137"/>
      <c r="AB86" s="137"/>
      <c r="AC86" s="137"/>
      <c r="AD86" s="135">
        <f t="shared" ref="AD86:AD91" si="6">SUM(F86:AC86)</f>
        <v>33</v>
      </c>
    </row>
    <row r="87" spans="1:31" ht="103.5" customHeight="1" x14ac:dyDescent="0.25">
      <c r="C87" s="1">
        <v>3</v>
      </c>
      <c r="D87" s="139"/>
      <c r="E87" s="139"/>
      <c r="F87" s="137"/>
      <c r="G87" s="137"/>
      <c r="H87" s="137"/>
      <c r="I87" s="137"/>
      <c r="J87" s="137"/>
      <c r="K87" s="137">
        <v>2</v>
      </c>
      <c r="L87" s="137">
        <v>2</v>
      </c>
      <c r="M87" s="137"/>
      <c r="N87" s="137"/>
      <c r="O87" s="137"/>
      <c r="P87" s="137">
        <v>2</v>
      </c>
      <c r="Q87" s="137"/>
      <c r="R87" s="137">
        <v>2</v>
      </c>
      <c r="S87" s="137"/>
      <c r="T87" s="137"/>
      <c r="U87" s="137">
        <v>2</v>
      </c>
      <c r="V87" s="137"/>
      <c r="W87" s="137"/>
      <c r="X87" s="137"/>
      <c r="Y87" s="137"/>
      <c r="Z87" s="137"/>
      <c r="AA87" s="137"/>
      <c r="AB87" s="137"/>
      <c r="AC87" s="137"/>
      <c r="AD87" s="135">
        <f t="shared" si="6"/>
        <v>10</v>
      </c>
    </row>
    <row r="88" spans="1:31" ht="108" customHeight="1" x14ac:dyDescent="0.25">
      <c r="C88" s="1">
        <v>4</v>
      </c>
      <c r="D88" s="3"/>
      <c r="E88" s="3"/>
      <c r="F88" s="137"/>
      <c r="G88" s="137"/>
      <c r="H88" s="137"/>
      <c r="I88" s="137"/>
      <c r="J88" s="137"/>
      <c r="K88" s="137">
        <v>1</v>
      </c>
      <c r="L88" s="137"/>
      <c r="M88" s="137"/>
      <c r="N88" s="137">
        <v>2</v>
      </c>
      <c r="O88" s="137"/>
      <c r="P88" s="137"/>
      <c r="Q88" s="137">
        <v>3</v>
      </c>
      <c r="R88" s="137"/>
      <c r="S88" s="137">
        <v>3</v>
      </c>
      <c r="T88" s="137"/>
      <c r="U88" s="137"/>
      <c r="V88" s="137"/>
      <c r="W88" s="137">
        <v>4</v>
      </c>
      <c r="X88" s="137"/>
      <c r="Y88" s="137">
        <v>6</v>
      </c>
      <c r="Z88" s="137"/>
      <c r="AA88" s="137"/>
      <c r="AB88" s="137"/>
      <c r="AC88" s="137"/>
      <c r="AD88" s="135">
        <f t="shared" si="6"/>
        <v>19</v>
      </c>
    </row>
    <row r="89" spans="1:31" ht="99" customHeight="1" x14ac:dyDescent="0.25">
      <c r="C89" s="1">
        <v>5</v>
      </c>
      <c r="D89" s="3"/>
      <c r="E89" s="3"/>
      <c r="F89" s="137"/>
      <c r="G89" s="137"/>
      <c r="H89" s="137"/>
      <c r="I89" s="137"/>
      <c r="J89" s="137"/>
      <c r="K89" s="137"/>
      <c r="L89" s="137"/>
      <c r="M89" s="137"/>
      <c r="N89" s="137">
        <v>1</v>
      </c>
      <c r="O89" s="137"/>
      <c r="P89" s="137">
        <v>1</v>
      </c>
      <c r="Q89" s="137"/>
      <c r="R89" s="137"/>
      <c r="S89" s="137"/>
      <c r="T89" s="137"/>
      <c r="U89" s="137">
        <v>2</v>
      </c>
      <c r="V89" s="137"/>
      <c r="W89" s="137">
        <v>2</v>
      </c>
      <c r="X89" s="137"/>
      <c r="Y89" s="137"/>
      <c r="Z89" s="137"/>
      <c r="AA89" s="137"/>
      <c r="AB89" s="137"/>
      <c r="AC89" s="137"/>
      <c r="AD89" s="135">
        <f t="shared" si="6"/>
        <v>6</v>
      </c>
      <c r="AE89" s="109"/>
    </row>
    <row r="90" spans="1:31" ht="116.25" customHeight="1" x14ac:dyDescent="0.25">
      <c r="C90" s="1">
        <v>6</v>
      </c>
      <c r="D90" s="3"/>
      <c r="E90" s="3"/>
      <c r="F90" s="137"/>
      <c r="G90" s="137"/>
      <c r="H90" s="137"/>
      <c r="I90" s="137"/>
      <c r="J90" s="137"/>
      <c r="K90" s="137"/>
      <c r="L90" s="137"/>
      <c r="M90" s="137">
        <v>1</v>
      </c>
      <c r="N90" s="137">
        <v>1</v>
      </c>
      <c r="O90" s="137">
        <v>1</v>
      </c>
      <c r="P90" s="137"/>
      <c r="Q90" s="137">
        <v>2</v>
      </c>
      <c r="R90" s="137"/>
      <c r="S90" s="137">
        <v>2</v>
      </c>
      <c r="T90" s="137"/>
      <c r="U90" s="137"/>
      <c r="V90" s="137"/>
      <c r="W90" s="137">
        <v>1</v>
      </c>
      <c r="X90" s="137"/>
      <c r="Y90" s="137"/>
      <c r="Z90" s="137"/>
      <c r="AA90" s="137"/>
      <c r="AB90" s="137"/>
      <c r="AC90" s="137"/>
      <c r="AD90" s="135">
        <f t="shared" si="6"/>
        <v>8</v>
      </c>
    </row>
    <row r="91" spans="1:31" ht="101.25" customHeight="1" x14ac:dyDescent="0.25">
      <c r="C91" s="1">
        <v>7</v>
      </c>
      <c r="D91" s="3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5">
        <f t="shared" si="6"/>
        <v>0</v>
      </c>
      <c r="AE91" s="109"/>
    </row>
    <row r="92" spans="1:31" ht="18.75" x14ac:dyDescent="0.25">
      <c r="C92" s="3"/>
      <c r="D92" s="3"/>
      <c r="E92" s="3"/>
      <c r="F92" s="140" t="s">
        <v>78</v>
      </c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3">
        <f>SUM(AD85:AD91)</f>
        <v>304</v>
      </c>
    </row>
  </sheetData>
  <mergeCells count="35">
    <mergeCell ref="A69:B69"/>
    <mergeCell ref="A82:B82"/>
    <mergeCell ref="A4:B4"/>
    <mergeCell ref="A17:B17"/>
    <mergeCell ref="A30:B30"/>
    <mergeCell ref="A43:B43"/>
    <mergeCell ref="A56:B56"/>
    <mergeCell ref="D84:E84"/>
    <mergeCell ref="D85:E85"/>
    <mergeCell ref="D87:E87"/>
    <mergeCell ref="F92:AC92"/>
    <mergeCell ref="D74:E74"/>
    <mergeCell ref="F79:AC79"/>
    <mergeCell ref="D59:E59"/>
    <mergeCell ref="D61:E61"/>
    <mergeCell ref="F66:AC66"/>
    <mergeCell ref="D71:E71"/>
    <mergeCell ref="D72:E72"/>
    <mergeCell ref="D45:E45"/>
    <mergeCell ref="D46:E46"/>
    <mergeCell ref="D48:E48"/>
    <mergeCell ref="F53:AC53"/>
    <mergeCell ref="D58:E58"/>
    <mergeCell ref="D32:E32"/>
    <mergeCell ref="D33:E33"/>
    <mergeCell ref="D35:E35"/>
    <mergeCell ref="F40:AC40"/>
    <mergeCell ref="D20:E20"/>
    <mergeCell ref="D22:E22"/>
    <mergeCell ref="F27:AC27"/>
    <mergeCell ref="D7:E7"/>
    <mergeCell ref="D9:E9"/>
    <mergeCell ref="F14:AC14"/>
    <mergeCell ref="D6:E6"/>
    <mergeCell ref="D19:E19"/>
  </mergeCells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CAAE-1135-4CA4-A393-85B8844EE4AB}">
  <dimension ref="BG1:BN9"/>
  <sheetViews>
    <sheetView showGridLines="0" topLeftCell="A109" zoomScale="55" zoomScaleNormal="55" workbookViewId="0">
      <selection activeCell="P119" sqref="P119"/>
    </sheetView>
  </sheetViews>
  <sheetFormatPr baseColWidth="10" defaultRowHeight="15" x14ac:dyDescent="0.25"/>
  <sheetData>
    <row r="1" spans="59:66" x14ac:dyDescent="0.25">
      <c r="BH1" s="48" t="s">
        <v>28</v>
      </c>
      <c r="BI1" s="48" t="s">
        <v>29</v>
      </c>
      <c r="BJ1" s="48" t="s">
        <v>93</v>
      </c>
      <c r="BK1" s="48" t="s">
        <v>31</v>
      </c>
      <c r="BL1" s="48" t="s">
        <v>32</v>
      </c>
      <c r="BM1" s="48" t="s">
        <v>94</v>
      </c>
      <c r="BN1" s="48" t="s">
        <v>34</v>
      </c>
    </row>
    <row r="2" spans="59:66" x14ac:dyDescent="0.25">
      <c r="BH2" s="49">
        <v>381</v>
      </c>
      <c r="BI2" s="49">
        <v>340</v>
      </c>
      <c r="BJ2" s="49">
        <v>354</v>
      </c>
      <c r="BK2" s="49">
        <v>409</v>
      </c>
      <c r="BL2" s="49">
        <v>409</v>
      </c>
      <c r="BM2" s="49">
        <v>362</v>
      </c>
      <c r="BN2" s="49">
        <v>343</v>
      </c>
    </row>
    <row r="3" spans="59:66" x14ac:dyDescent="0.25">
      <c r="BH3" s="50">
        <v>62</v>
      </c>
      <c r="BI3" s="50">
        <v>57</v>
      </c>
      <c r="BJ3" s="50">
        <v>46</v>
      </c>
      <c r="BK3" s="50">
        <v>55</v>
      </c>
      <c r="BL3" s="50">
        <v>61</v>
      </c>
      <c r="BM3" s="50">
        <v>37</v>
      </c>
      <c r="BN3" s="50">
        <v>40</v>
      </c>
    </row>
    <row r="4" spans="59:66" x14ac:dyDescent="0.25">
      <c r="BH4" s="49">
        <v>22</v>
      </c>
      <c r="BI4" s="49">
        <v>14</v>
      </c>
      <c r="BJ4" s="49">
        <v>10</v>
      </c>
      <c r="BK4" s="49">
        <v>28</v>
      </c>
      <c r="BL4" s="49">
        <v>22</v>
      </c>
      <c r="BM4" s="49">
        <v>24</v>
      </c>
      <c r="BN4" s="49">
        <v>6</v>
      </c>
    </row>
    <row r="5" spans="59:66" x14ac:dyDescent="0.25">
      <c r="BH5" s="50">
        <v>29</v>
      </c>
      <c r="BI5" s="50">
        <v>31</v>
      </c>
      <c r="BJ5" s="50">
        <v>22</v>
      </c>
      <c r="BK5" s="50">
        <v>25</v>
      </c>
      <c r="BL5" s="50">
        <v>26</v>
      </c>
      <c r="BM5" s="50">
        <v>22</v>
      </c>
      <c r="BN5" s="50">
        <v>14</v>
      </c>
    </row>
    <row r="6" spans="59:66" x14ac:dyDescent="0.25">
      <c r="BH6" s="49">
        <v>6</v>
      </c>
      <c r="BI6" s="49">
        <v>6</v>
      </c>
      <c r="BJ6" s="49">
        <v>4</v>
      </c>
      <c r="BK6" s="49">
        <v>7</v>
      </c>
      <c r="BL6" s="49">
        <v>5</v>
      </c>
      <c r="BM6" s="49">
        <v>3</v>
      </c>
      <c r="BN6" s="49">
        <v>2</v>
      </c>
    </row>
    <row r="7" spans="59:66" x14ac:dyDescent="0.25">
      <c r="BH7" s="50">
        <v>9</v>
      </c>
      <c r="BI7" s="50">
        <v>7</v>
      </c>
      <c r="BJ7" s="50">
        <v>4</v>
      </c>
      <c r="BK7" s="50">
        <v>6</v>
      </c>
      <c r="BL7" s="50">
        <v>3</v>
      </c>
      <c r="BM7" s="50">
        <v>3</v>
      </c>
      <c r="BN7" s="50">
        <v>1</v>
      </c>
    </row>
    <row r="8" spans="59:66" x14ac:dyDescent="0.25">
      <c r="BH8" s="49">
        <v>5</v>
      </c>
      <c r="BI8" s="49">
        <v>5</v>
      </c>
      <c r="BJ8" s="49">
        <v>4</v>
      </c>
      <c r="BK8" s="49">
        <v>4</v>
      </c>
      <c r="BL8" s="49">
        <v>4</v>
      </c>
      <c r="BM8" s="49">
        <v>1</v>
      </c>
      <c r="BN8" s="49">
        <v>2</v>
      </c>
    </row>
    <row r="9" spans="59:66" x14ac:dyDescent="0.25">
      <c r="BG9" s="47" t="s">
        <v>96</v>
      </c>
      <c r="BH9" s="51">
        <f>SUM(BH2:BH8)</f>
        <v>514</v>
      </c>
      <c r="BI9" s="51">
        <f t="shared" ref="BI9:BN9" si="0">SUM(BI2:BI8)</f>
        <v>460</v>
      </c>
      <c r="BJ9" s="51">
        <f t="shared" si="0"/>
        <v>444</v>
      </c>
      <c r="BK9" s="51">
        <f t="shared" si="0"/>
        <v>534</v>
      </c>
      <c r="BL9" s="51">
        <f t="shared" si="0"/>
        <v>530</v>
      </c>
      <c r="BM9" s="51">
        <f t="shared" si="0"/>
        <v>452</v>
      </c>
      <c r="BN9" s="51">
        <f t="shared" si="0"/>
        <v>408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20"/>
  <sheetViews>
    <sheetView showGridLines="0" topLeftCell="A15" zoomScale="55" zoomScaleNormal="55" workbookViewId="0">
      <selection activeCell="R18" sqref="R18"/>
    </sheetView>
  </sheetViews>
  <sheetFormatPr baseColWidth="10" defaultRowHeight="15" x14ac:dyDescent="0.25"/>
  <cols>
    <col min="1" max="2" width="11.42578125" style="4"/>
    <col min="3" max="3" width="26.85546875" style="4" customWidth="1"/>
    <col min="4" max="4" width="53.28515625" style="4" customWidth="1"/>
    <col min="5" max="5" width="14.28515625" style="4" customWidth="1"/>
    <col min="6" max="8" width="11.42578125" style="4"/>
    <col min="9" max="9" width="13.5703125" style="4" customWidth="1"/>
    <col min="10" max="13" width="11.42578125" style="4"/>
    <col min="14" max="14" width="14.28515625" style="4" customWidth="1"/>
    <col min="15" max="16384" width="11.42578125" style="4"/>
  </cols>
  <sheetData>
    <row r="2" spans="2:16" x14ac:dyDescent="0.25">
      <c r="E2" s="139" t="s">
        <v>36</v>
      </c>
      <c r="F2" s="139"/>
      <c r="G2" s="139"/>
      <c r="H2" s="139"/>
      <c r="I2" s="139"/>
      <c r="J2" s="6">
        <v>1.1000000000000001</v>
      </c>
    </row>
    <row r="3" spans="2:16" x14ac:dyDescent="0.25">
      <c r="E3" s="151" t="s">
        <v>37</v>
      </c>
      <c r="F3" s="152"/>
      <c r="G3" s="152"/>
      <c r="H3" s="152"/>
      <c r="I3" s="152"/>
      <c r="J3" s="153"/>
    </row>
    <row r="4" spans="2:16" x14ac:dyDescent="0.25">
      <c r="E4" s="2" t="s">
        <v>38</v>
      </c>
      <c r="F4" s="2"/>
      <c r="G4" s="2"/>
      <c r="H4" s="2"/>
      <c r="I4" s="2"/>
      <c r="J4" s="3"/>
    </row>
    <row r="6" spans="2:16" x14ac:dyDescent="0.25">
      <c r="E6" s="150" t="s">
        <v>39</v>
      </c>
      <c r="F6" s="150"/>
    </row>
    <row r="7" spans="2:16" x14ac:dyDescent="0.25">
      <c r="E7" s="139" t="s">
        <v>40</v>
      </c>
      <c r="F7" s="139"/>
      <c r="G7" s="139"/>
      <c r="H7" s="139"/>
      <c r="I7" s="139"/>
      <c r="J7" s="7">
        <f>((1+J9)^(J8-1))</f>
        <v>1.0309999999999999</v>
      </c>
    </row>
    <row r="8" spans="2:16" x14ac:dyDescent="0.25">
      <c r="E8" s="139" t="s">
        <v>97</v>
      </c>
      <c r="F8" s="139"/>
      <c r="G8" s="139"/>
      <c r="H8" s="139"/>
      <c r="I8" s="139"/>
      <c r="J8" s="6">
        <v>2</v>
      </c>
    </row>
    <row r="9" spans="2:16" x14ac:dyDescent="0.25">
      <c r="E9" s="139" t="s">
        <v>41</v>
      </c>
      <c r="F9" s="139"/>
      <c r="G9" s="139"/>
      <c r="H9" s="139"/>
      <c r="I9" s="139"/>
      <c r="J9" s="6">
        <v>3.1E-2</v>
      </c>
      <c r="K9" s="110">
        <v>3.1E-2</v>
      </c>
    </row>
    <row r="10" spans="2:16" ht="15.75" thickBot="1" x14ac:dyDescent="0.3"/>
    <row r="11" spans="2:16" ht="66" customHeight="1" x14ac:dyDescent="0.25">
      <c r="B11" s="25"/>
      <c r="C11" s="148" t="s">
        <v>25</v>
      </c>
      <c r="D11" s="149"/>
      <c r="E11" s="26" t="s">
        <v>26</v>
      </c>
      <c r="F11" s="27" t="s">
        <v>27</v>
      </c>
      <c r="G11" s="28" t="s">
        <v>28</v>
      </c>
      <c r="H11" s="28" t="s">
        <v>29</v>
      </c>
      <c r="I11" s="28" t="s">
        <v>30</v>
      </c>
      <c r="J11" s="28" t="s">
        <v>31</v>
      </c>
      <c r="K11" s="28" t="s">
        <v>32</v>
      </c>
      <c r="L11" s="28" t="s">
        <v>33</v>
      </c>
      <c r="M11" s="28" t="s">
        <v>34</v>
      </c>
      <c r="N11" s="29" t="s">
        <v>35</v>
      </c>
      <c r="O11" s="30"/>
      <c r="P11" s="31" t="s">
        <v>42</v>
      </c>
    </row>
    <row r="12" spans="2:16" ht="108" customHeight="1" x14ac:dyDescent="0.25">
      <c r="B12" s="8">
        <v>1</v>
      </c>
      <c r="C12" s="146"/>
      <c r="D12" s="147"/>
      <c r="E12" s="32" t="s">
        <v>72</v>
      </c>
      <c r="F12" s="33"/>
      <c r="G12" s="33">
        <f>'TRAFICO DIARIO'!AD7</f>
        <v>373</v>
      </c>
      <c r="H12" s="33">
        <f>'TRAFICO DIARIO'!AD20</f>
        <v>306</v>
      </c>
      <c r="I12" s="33">
        <f>'TRAFICO DIARIO'!AD33</f>
        <v>306</v>
      </c>
      <c r="J12" s="33">
        <f>'TRAFICO DIARIO'!AD46</f>
        <v>268</v>
      </c>
      <c r="K12" s="33">
        <f>'TRAFICO DIARIO'!AD59</f>
        <v>272</v>
      </c>
      <c r="L12" s="33">
        <f>'TRAFICO DIARIO'!AD72</f>
        <v>202</v>
      </c>
      <c r="M12" s="33">
        <f>'TRAFICO DIARIO'!AD85</f>
        <v>228</v>
      </c>
      <c r="N12" s="34">
        <f>SUM(G12:M12)/7</f>
        <v>279.28571428571428</v>
      </c>
      <c r="O12" s="33"/>
      <c r="P12" s="35">
        <f>N12*$J$7*$J$2</f>
        <v>316.73792857142854</v>
      </c>
    </row>
    <row r="13" spans="2:16" ht="126.75" customHeight="1" x14ac:dyDescent="0.25">
      <c r="B13" s="8">
        <v>2</v>
      </c>
      <c r="C13" s="33"/>
      <c r="D13" s="33"/>
      <c r="E13" s="32" t="s">
        <v>72</v>
      </c>
      <c r="F13" s="33"/>
      <c r="G13" s="33">
        <f>'TRAFICO DIARIO'!AD8</f>
        <v>80</v>
      </c>
      <c r="H13" s="33">
        <f>'TRAFICO DIARIO'!AD21</f>
        <v>80</v>
      </c>
      <c r="I13" s="33">
        <f>'TRAFICO DIARIO'!AD34</f>
        <v>86</v>
      </c>
      <c r="J13" s="33">
        <f>'TRAFICO DIARIO'!AD47</f>
        <v>59</v>
      </c>
      <c r="K13" s="33">
        <f>'TRAFICO DIARIO'!AD60</f>
        <v>80</v>
      </c>
      <c r="L13" s="33">
        <f>'TRAFICO DIARIO'!AD73</f>
        <v>42</v>
      </c>
      <c r="M13" s="33">
        <f>'TRAFICO DIARIO'!AD86</f>
        <v>33</v>
      </c>
      <c r="N13" s="34">
        <f t="shared" ref="N13:N18" si="0">SUM(G13:M13)/7</f>
        <v>65.714285714285708</v>
      </c>
      <c r="O13" s="33"/>
      <c r="P13" s="35">
        <f t="shared" ref="P13:P18" si="1">N13*$J$7*$J$2</f>
        <v>74.52657142857143</v>
      </c>
    </row>
    <row r="14" spans="2:16" ht="114" customHeight="1" x14ac:dyDescent="0.25">
      <c r="B14" s="8">
        <v>4</v>
      </c>
      <c r="C14" s="146"/>
      <c r="D14" s="147"/>
      <c r="E14" s="32" t="s">
        <v>73</v>
      </c>
      <c r="F14" s="33"/>
      <c r="G14" s="33">
        <f>'TRAFICO DIARIO'!AD9</f>
        <v>27</v>
      </c>
      <c r="H14" s="33">
        <f>'TRAFICO DIARIO'!AD22</f>
        <v>34</v>
      </c>
      <c r="I14" s="33">
        <f>'TRAFICO DIARIO'!AD35</f>
        <v>33</v>
      </c>
      <c r="J14" s="33">
        <f>'TRAFICO DIARIO'!AD48</f>
        <v>35</v>
      </c>
      <c r="K14" s="33">
        <f>'TRAFICO DIARIO'!AD61</f>
        <v>35</v>
      </c>
      <c r="L14" s="33">
        <f>'TRAFICO DIARIO'!AD74</f>
        <v>27</v>
      </c>
      <c r="M14" s="33">
        <f>'TRAFICO DIARIO'!AD87</f>
        <v>10</v>
      </c>
      <c r="N14" s="34">
        <f t="shared" si="0"/>
        <v>28.714285714285715</v>
      </c>
      <c r="O14" s="33"/>
      <c r="P14" s="35">
        <f t="shared" si="1"/>
        <v>32.564871428571429</v>
      </c>
    </row>
    <row r="15" spans="2:16" ht="119.25" customHeight="1" x14ac:dyDescent="0.25">
      <c r="B15" s="8">
        <v>3</v>
      </c>
      <c r="C15" s="33"/>
      <c r="D15" s="33"/>
      <c r="E15" s="32" t="s">
        <v>74</v>
      </c>
      <c r="F15" s="33"/>
      <c r="G15" s="33">
        <f>'TRAFICO DIARIO'!AD10</f>
        <v>34</v>
      </c>
      <c r="H15" s="33">
        <f>'TRAFICO DIARIO'!AD23</f>
        <v>36</v>
      </c>
      <c r="I15" s="33">
        <f>'TRAFICO DIARIO'!AD36</f>
        <v>38</v>
      </c>
      <c r="J15" s="33">
        <f>'TRAFICO DIARIO'!AD49</f>
        <v>29</v>
      </c>
      <c r="K15" s="33">
        <f>'TRAFICO DIARIO'!AD62</f>
        <v>41</v>
      </c>
      <c r="L15" s="33">
        <f>'TRAFICO DIARIO'!AD75</f>
        <v>30</v>
      </c>
      <c r="M15" s="33">
        <f>'TRAFICO DIARIO'!AD88</f>
        <v>19</v>
      </c>
      <c r="N15" s="34">
        <f t="shared" si="0"/>
        <v>32.428571428571431</v>
      </c>
      <c r="O15" s="33"/>
      <c r="P15" s="35">
        <f t="shared" si="1"/>
        <v>36.777242857142859</v>
      </c>
    </row>
    <row r="16" spans="2:16" ht="102.75" customHeight="1" x14ac:dyDescent="0.25">
      <c r="B16" s="8">
        <v>6</v>
      </c>
      <c r="C16" s="33"/>
      <c r="D16" s="33"/>
      <c r="E16" s="32" t="s">
        <v>75</v>
      </c>
      <c r="F16" s="33" t="s">
        <v>87</v>
      </c>
      <c r="G16" s="33">
        <f>'TRAFICO DIARIO'!AD11</f>
        <v>14</v>
      </c>
      <c r="H16" s="33">
        <f>'TRAFICO DIARIO'!AD24</f>
        <v>19</v>
      </c>
      <c r="I16" s="33">
        <f>'TRAFICO DIARIO'!AD37</f>
        <v>23</v>
      </c>
      <c r="J16" s="33">
        <f>'TRAFICO DIARIO'!AD50</f>
        <v>14</v>
      </c>
      <c r="K16" s="33">
        <f>'TRAFICO DIARIO'!AD63</f>
        <v>15</v>
      </c>
      <c r="L16" s="33">
        <v>9</v>
      </c>
      <c r="M16" s="33">
        <f>'TRAFICO DIARIO'!AD89</f>
        <v>6</v>
      </c>
      <c r="N16" s="34">
        <f t="shared" si="0"/>
        <v>14.285714285714286</v>
      </c>
      <c r="O16" s="33"/>
      <c r="P16" s="35">
        <f t="shared" si="1"/>
        <v>16.201428571428572</v>
      </c>
    </row>
    <row r="17" spans="2:16" ht="105" customHeight="1" x14ac:dyDescent="0.25">
      <c r="B17" s="8">
        <v>5</v>
      </c>
      <c r="C17" s="33"/>
      <c r="D17" s="33"/>
      <c r="E17" s="32" t="s">
        <v>76</v>
      </c>
      <c r="F17" s="33" t="s">
        <v>87</v>
      </c>
      <c r="G17" s="33">
        <f>'TRAFICO DIARIO'!AD12</f>
        <v>22</v>
      </c>
      <c r="H17" s="33">
        <f>'TRAFICO DIARIO'!AD25</f>
        <v>32</v>
      </c>
      <c r="I17" s="33">
        <f>'TRAFICO DIARIO'!AD38</f>
        <v>25</v>
      </c>
      <c r="J17" s="33">
        <f>'TRAFICO DIARIO'!AD51</f>
        <v>12</v>
      </c>
      <c r="K17" s="33">
        <f>'TRAFICO DIARIO'!AD64</f>
        <v>16</v>
      </c>
      <c r="L17" s="33">
        <f>'TRAFICO DIARIO'!AD77</f>
        <v>5</v>
      </c>
      <c r="M17" s="33">
        <f>'TRAFICO DIARIO'!AD90</f>
        <v>8</v>
      </c>
      <c r="N17" s="34">
        <f t="shared" si="0"/>
        <v>17.142857142857142</v>
      </c>
      <c r="O17" s="33"/>
      <c r="P17" s="35">
        <f t="shared" si="1"/>
        <v>19.441714285714287</v>
      </c>
    </row>
    <row r="18" spans="2:16" ht="136.5" customHeight="1" x14ac:dyDescent="0.25">
      <c r="B18" s="8">
        <v>7</v>
      </c>
      <c r="C18" s="33"/>
      <c r="D18" s="33"/>
      <c r="E18" s="32" t="s">
        <v>77</v>
      </c>
      <c r="F18" s="33" t="s">
        <v>87</v>
      </c>
      <c r="G18" s="33">
        <f>'TRAFICO DIARIO'!AD13</f>
        <v>0</v>
      </c>
      <c r="H18" s="33">
        <f>'TRAFICO DIARIO'!AD26</f>
        <v>0</v>
      </c>
      <c r="I18" s="33">
        <f>'TRAFICO DIARIO'!AD39</f>
        <v>0</v>
      </c>
      <c r="J18" s="33">
        <f>'TRAFICO DIARIO'!AD52</f>
        <v>0</v>
      </c>
      <c r="K18" s="33">
        <f>'TRAFICO DIARIO'!AD65</f>
        <v>0</v>
      </c>
      <c r="L18" s="33">
        <f>'TRAFICO DIARIO'!AD78</f>
        <v>4</v>
      </c>
      <c r="M18" s="33">
        <f>'TRAFICO DIARIO'!AD91</f>
        <v>0</v>
      </c>
      <c r="N18" s="34">
        <f t="shared" si="0"/>
        <v>0.5714285714285714</v>
      </c>
      <c r="O18" s="33"/>
      <c r="P18" s="35">
        <f t="shared" si="1"/>
        <v>0.64805714285714289</v>
      </c>
    </row>
    <row r="19" spans="2:16" ht="19.5" thickBot="1" x14ac:dyDescent="0.3">
      <c r="B19" s="36"/>
      <c r="C19" s="144" t="s">
        <v>86</v>
      </c>
      <c r="D19" s="145"/>
      <c r="E19" s="37"/>
      <c r="F19" s="37"/>
      <c r="G19" s="37">
        <f>SUM(G12:G18)/7</f>
        <v>78.571428571428569</v>
      </c>
      <c r="H19" s="37">
        <f t="shared" ref="H19:M19" si="2">SUM(H12:H18)/7</f>
        <v>72.428571428571431</v>
      </c>
      <c r="I19" s="37">
        <f t="shared" si="2"/>
        <v>73</v>
      </c>
      <c r="J19" s="37">
        <f t="shared" si="2"/>
        <v>59.571428571428569</v>
      </c>
      <c r="K19" s="37">
        <f t="shared" si="2"/>
        <v>65.571428571428569</v>
      </c>
      <c r="L19" s="37">
        <f t="shared" si="2"/>
        <v>45.571428571428569</v>
      </c>
      <c r="M19" s="37">
        <f t="shared" si="2"/>
        <v>43.428571428571431</v>
      </c>
      <c r="N19" s="38">
        <f>SUM(N12:N18)</f>
        <v>438.14285714285717</v>
      </c>
      <c r="O19" s="37"/>
      <c r="P19" s="39">
        <f>SUM(P12:P18)</f>
        <v>496.89781428571433</v>
      </c>
    </row>
    <row r="20" spans="2:16" ht="18.75" x14ac:dyDescent="0.2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1" t="s">
        <v>88</v>
      </c>
      <c r="O20" s="40"/>
      <c r="P20" s="41" t="s">
        <v>88</v>
      </c>
    </row>
  </sheetData>
  <mergeCells count="10">
    <mergeCell ref="C19:D19"/>
    <mergeCell ref="C14:D14"/>
    <mergeCell ref="C12:D12"/>
    <mergeCell ref="C11:D11"/>
    <mergeCell ref="E2:I2"/>
    <mergeCell ref="E6:F6"/>
    <mergeCell ref="E7:I7"/>
    <mergeCell ref="E8:I8"/>
    <mergeCell ref="E9:I9"/>
    <mergeCell ref="E3:J3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R31"/>
  <sheetViews>
    <sheetView showGridLines="0" topLeftCell="A12" zoomScale="40" zoomScaleNormal="40" workbookViewId="0">
      <selection activeCell="S33" sqref="S33"/>
    </sheetView>
  </sheetViews>
  <sheetFormatPr baseColWidth="10" defaultColWidth="11" defaultRowHeight="15" x14ac:dyDescent="0.25"/>
  <cols>
    <col min="1" max="1" width="11" style="16"/>
    <col min="2" max="2" width="34.5703125" style="16" customWidth="1"/>
    <col min="3" max="3" width="47.85546875" style="16" customWidth="1"/>
    <col min="4" max="4" width="12.85546875" style="16" customWidth="1"/>
    <col min="5" max="5" width="11" style="16"/>
    <col min="6" max="6" width="14.5703125" style="16" customWidth="1"/>
    <col min="7" max="8" width="11" style="16"/>
    <col min="9" max="9" width="12.28515625" style="16" customWidth="1"/>
    <col min="10" max="10" width="11" style="16"/>
    <col min="11" max="11" width="14.140625" style="16" customWidth="1"/>
    <col min="12" max="16" width="11" style="16"/>
    <col min="17" max="17" width="12.5703125" style="16" customWidth="1"/>
    <col min="18" max="18" width="17.28515625" style="16" customWidth="1"/>
    <col min="19" max="16384" width="11" style="16"/>
  </cols>
  <sheetData>
    <row r="3" spans="1:18" ht="9.75" customHeight="1" x14ac:dyDescent="0.25"/>
    <row r="4" spans="1:18" ht="30" x14ac:dyDescent="0.25">
      <c r="B4" s="17"/>
      <c r="C4" s="17"/>
      <c r="D4" s="18"/>
      <c r="E4" s="18"/>
      <c r="F4" s="12" t="s">
        <v>51</v>
      </c>
      <c r="G4" s="160" t="s">
        <v>52</v>
      </c>
      <c r="H4" s="160"/>
      <c r="I4" s="160"/>
      <c r="J4" s="160"/>
      <c r="K4" s="163" t="s">
        <v>95</v>
      </c>
      <c r="L4" s="160" t="s">
        <v>48</v>
      </c>
      <c r="M4" s="160"/>
      <c r="N4" s="160"/>
      <c r="O4" s="160"/>
      <c r="P4" s="160"/>
      <c r="Q4" s="163" t="s">
        <v>49</v>
      </c>
      <c r="R4" s="160" t="s">
        <v>50</v>
      </c>
    </row>
    <row r="5" spans="1:18" ht="45" customHeight="1" x14ac:dyDescent="0.25">
      <c r="A5" s="13"/>
      <c r="B5" s="166" t="s">
        <v>89</v>
      </c>
      <c r="C5" s="167"/>
      <c r="D5" s="12" t="s">
        <v>26</v>
      </c>
      <c r="E5" s="19" t="s">
        <v>27</v>
      </c>
      <c r="F5" s="20" t="s">
        <v>43</v>
      </c>
      <c r="G5" s="20" t="s">
        <v>44</v>
      </c>
      <c r="H5" s="20" t="s">
        <v>45</v>
      </c>
      <c r="I5" s="20" t="s">
        <v>46</v>
      </c>
      <c r="J5" s="21" t="s">
        <v>47</v>
      </c>
      <c r="K5" s="163"/>
      <c r="L5" s="20" t="s">
        <v>43</v>
      </c>
      <c r="M5" s="20" t="s">
        <v>44</v>
      </c>
      <c r="N5" s="20" t="s">
        <v>45</v>
      </c>
      <c r="O5" s="20" t="s">
        <v>46</v>
      </c>
      <c r="P5" s="20" t="s">
        <v>47</v>
      </c>
      <c r="Q5" s="163"/>
      <c r="R5" s="160"/>
    </row>
    <row r="6" spans="1:18" ht="99.75" customHeight="1" x14ac:dyDescent="0.25">
      <c r="A6" s="14">
        <v>1</v>
      </c>
      <c r="B6" s="168"/>
      <c r="C6" s="168"/>
      <c r="D6" s="42" t="s">
        <v>72</v>
      </c>
      <c r="E6" s="42"/>
      <c r="F6" s="42">
        <v>1</v>
      </c>
      <c r="G6" s="42">
        <v>1</v>
      </c>
      <c r="H6" s="42"/>
      <c r="I6" s="42"/>
      <c r="J6" s="42"/>
      <c r="K6" s="42">
        <f>SUM(F6:J6)</f>
        <v>2</v>
      </c>
      <c r="L6" s="42">
        <f>(F6/6.6)^4</f>
        <v>5.2701655506564107E-4</v>
      </c>
      <c r="M6" s="42">
        <f t="shared" ref="L6:N8" si="0">(G6/6.6)^4</f>
        <v>5.2701655506564107E-4</v>
      </c>
      <c r="N6" s="42">
        <f t="shared" si="0"/>
        <v>0</v>
      </c>
      <c r="O6" s="42"/>
      <c r="P6" s="42"/>
      <c r="Q6" s="42">
        <f>$I$19*TPD!P12</f>
        <v>11700.853770625352</v>
      </c>
      <c r="R6" s="46">
        <f>SUM(L6:P6)*Q6</f>
        <v>12.333087291043579</v>
      </c>
    </row>
    <row r="7" spans="1:18" ht="100.5" customHeight="1" x14ac:dyDescent="0.25">
      <c r="A7" s="14">
        <v>2</v>
      </c>
      <c r="B7" s="42"/>
      <c r="C7" s="42"/>
      <c r="D7" s="42" t="s">
        <v>72</v>
      </c>
      <c r="E7" s="42"/>
      <c r="F7" s="42">
        <v>7</v>
      </c>
      <c r="G7" s="42">
        <v>7</v>
      </c>
      <c r="H7" s="42"/>
      <c r="I7" s="42"/>
      <c r="J7" s="42"/>
      <c r="K7" s="42">
        <f t="shared" ref="K7:K12" si="1">SUM(F7:J7)</f>
        <v>14</v>
      </c>
      <c r="L7" s="42">
        <f t="shared" si="0"/>
        <v>1.2653667487126037</v>
      </c>
      <c r="M7" s="42">
        <f t="shared" si="0"/>
        <v>1.2653667487126037</v>
      </c>
      <c r="N7" s="42">
        <f t="shared" si="0"/>
        <v>0</v>
      </c>
      <c r="O7" s="42"/>
      <c r="P7" s="42"/>
      <c r="Q7" s="42">
        <f>$I$19*TPD!P13</f>
        <v>2753.1420636765538</v>
      </c>
      <c r="R7" s="43">
        <f t="shared" ref="R7:R12" si="2">SUM(L7:P7)*Q7</f>
        <v>6967.4688437166178</v>
      </c>
    </row>
    <row r="8" spans="1:18" ht="106.5" customHeight="1" x14ac:dyDescent="0.25">
      <c r="A8" s="14">
        <v>3</v>
      </c>
      <c r="B8" s="168"/>
      <c r="C8" s="168"/>
      <c r="D8" s="42" t="s">
        <v>73</v>
      </c>
      <c r="E8" s="42"/>
      <c r="F8" s="42">
        <v>7</v>
      </c>
      <c r="G8" s="42">
        <v>18</v>
      </c>
      <c r="H8" s="42"/>
      <c r="I8" s="42"/>
      <c r="J8" s="42"/>
      <c r="K8" s="42">
        <f t="shared" si="1"/>
        <v>25</v>
      </c>
      <c r="L8" s="42">
        <f>(F8/6.6)^4</f>
        <v>1.2653667487126037</v>
      </c>
      <c r="M8" s="42">
        <f>(G8/15.1)^4</f>
        <v>2.0192134538459747</v>
      </c>
      <c r="N8" s="42">
        <f t="shared" si="0"/>
        <v>0</v>
      </c>
      <c r="O8" s="42"/>
      <c r="P8" s="42"/>
      <c r="Q8" s="42">
        <f>$I$19*TPD!P14</f>
        <v>1203.0033799977984</v>
      </c>
      <c r="R8" s="42">
        <f t="shared" si="2"/>
        <v>3951.3610855518232</v>
      </c>
    </row>
    <row r="9" spans="1:18" ht="96.75" customHeight="1" x14ac:dyDescent="0.25">
      <c r="A9" s="14">
        <v>4</v>
      </c>
      <c r="B9" s="42"/>
      <c r="C9" s="42"/>
      <c r="D9" s="42" t="s">
        <v>74</v>
      </c>
      <c r="E9" s="42"/>
      <c r="F9" s="42">
        <v>7</v>
      </c>
      <c r="G9" s="42">
        <v>11</v>
      </c>
      <c r="H9" s="42"/>
      <c r="I9" s="42"/>
      <c r="J9" s="42"/>
      <c r="K9" s="42">
        <f t="shared" si="1"/>
        <v>18</v>
      </c>
      <c r="L9" s="42">
        <f t="shared" ref="L9:L12" si="3">(F9/6.6)^4</f>
        <v>1.2653667487126037</v>
      </c>
      <c r="M9" s="42">
        <f>(G9/8.2)^4</f>
        <v>3.238286960574515</v>
      </c>
      <c r="N9" s="42">
        <v>0</v>
      </c>
      <c r="O9" s="42"/>
      <c r="P9" s="42"/>
      <c r="Q9" s="42">
        <f>$I$19*TPD!P15</f>
        <v>1358.6157575099517</v>
      </c>
      <c r="R9" s="42">
        <f t="shared" si="2"/>
        <v>6118.7348958056227</v>
      </c>
    </row>
    <row r="10" spans="1:18" ht="102.75" customHeight="1" x14ac:dyDescent="0.25">
      <c r="A10" s="14">
        <v>6</v>
      </c>
      <c r="B10" s="42"/>
      <c r="C10" s="42"/>
      <c r="D10" s="42" t="s">
        <v>75</v>
      </c>
      <c r="E10" s="42"/>
      <c r="F10" s="42">
        <v>7</v>
      </c>
      <c r="G10" s="42">
        <v>18</v>
      </c>
      <c r="H10" s="42">
        <v>25</v>
      </c>
      <c r="I10" s="42"/>
      <c r="J10" s="42"/>
      <c r="K10" s="42">
        <f t="shared" si="1"/>
        <v>50</v>
      </c>
      <c r="L10" s="42">
        <f t="shared" si="3"/>
        <v>1.2653667487126037</v>
      </c>
      <c r="M10" s="42">
        <f t="shared" ref="M10:N11" si="4">(G10/15.1)^4</f>
        <v>2.0192134538459747</v>
      </c>
      <c r="N10" s="42">
        <f>(H10/21.8)^3.9</f>
        <v>1.7060262482331234</v>
      </c>
      <c r="O10" s="42"/>
      <c r="P10" s="42"/>
      <c r="Q10" s="42">
        <f>$I$19*TPD!P16</f>
        <v>598.50914427751172</v>
      </c>
      <c r="R10" s="42">
        <f t="shared" si="2"/>
        <v>2986.9235962891717</v>
      </c>
    </row>
    <row r="11" spans="1:18" ht="94.5" customHeight="1" x14ac:dyDescent="0.25">
      <c r="A11" s="14">
        <v>5</v>
      </c>
      <c r="B11" s="42"/>
      <c r="C11" s="42"/>
      <c r="D11" s="42" t="s">
        <v>76</v>
      </c>
      <c r="E11" s="42"/>
      <c r="F11" s="42">
        <v>7</v>
      </c>
      <c r="G11" s="42">
        <v>18</v>
      </c>
      <c r="H11" s="42">
        <v>18</v>
      </c>
      <c r="I11" s="42"/>
      <c r="J11" s="42"/>
      <c r="K11" s="42">
        <f t="shared" si="1"/>
        <v>43</v>
      </c>
      <c r="L11" s="42">
        <f t="shared" si="3"/>
        <v>1.2653667487126037</v>
      </c>
      <c r="M11" s="42">
        <f t="shared" si="4"/>
        <v>2.0192134538459747</v>
      </c>
      <c r="N11" s="42">
        <f t="shared" si="4"/>
        <v>2.0192134538459747</v>
      </c>
      <c r="O11" s="42"/>
      <c r="P11" s="42"/>
      <c r="Q11" s="42">
        <f>$I$19*TPD!P17</f>
        <v>718.21097313301402</v>
      </c>
      <c r="R11" s="42">
        <f t="shared" si="2"/>
        <v>3809.2428032630205</v>
      </c>
    </row>
    <row r="12" spans="1:18" ht="126.75" customHeight="1" x14ac:dyDescent="0.25">
      <c r="A12" s="14">
        <v>7</v>
      </c>
      <c r="B12" s="42"/>
      <c r="C12" s="42"/>
      <c r="D12" s="42" t="s">
        <v>77</v>
      </c>
      <c r="E12" s="42"/>
      <c r="F12" s="42">
        <v>7</v>
      </c>
      <c r="G12" s="42">
        <v>11</v>
      </c>
      <c r="H12" s="42">
        <v>25</v>
      </c>
      <c r="I12" s="42"/>
      <c r="J12" s="42"/>
      <c r="K12" s="42">
        <f t="shared" si="1"/>
        <v>43</v>
      </c>
      <c r="L12" s="42">
        <f t="shared" si="3"/>
        <v>1.2653667487126037</v>
      </c>
      <c r="M12" s="42">
        <f>(G12/8.2)^4</f>
        <v>3.238286960574515</v>
      </c>
      <c r="N12" s="42">
        <f>(H12/21.8)^3.9</f>
        <v>1.7060262482331234</v>
      </c>
      <c r="O12" s="42"/>
      <c r="P12" s="42"/>
      <c r="Q12" s="42">
        <f>$I$19*TPD!P18</f>
        <v>23.940365771100467</v>
      </c>
      <c r="R12" s="42">
        <f t="shared" si="2"/>
        <v>148.66200950450622</v>
      </c>
    </row>
    <row r="13" spans="1:18" ht="18.75" x14ac:dyDescent="0.25"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165" t="s">
        <v>91</v>
      </c>
      <c r="Q13" s="165"/>
      <c r="R13" s="45">
        <f>SUM(R6:R12)</f>
        <v>23994.726321421807</v>
      </c>
    </row>
    <row r="16" spans="1:18" x14ac:dyDescent="0.25">
      <c r="K16" s="161" t="s">
        <v>66</v>
      </c>
      <c r="L16" s="161" t="s">
        <v>68</v>
      </c>
      <c r="M16" s="161" t="s">
        <v>69</v>
      </c>
      <c r="N16" s="161" t="s">
        <v>70</v>
      </c>
      <c r="O16" s="161" t="s">
        <v>71</v>
      </c>
    </row>
    <row r="17" spans="4:15" x14ac:dyDescent="0.25">
      <c r="D17" s="22" t="s">
        <v>50</v>
      </c>
      <c r="E17" s="157" t="s">
        <v>59</v>
      </c>
      <c r="F17" s="158"/>
      <c r="G17" s="158"/>
      <c r="H17" s="159"/>
      <c r="I17" s="22">
        <f>R13</f>
        <v>23994.726321421807</v>
      </c>
      <c r="K17" s="161"/>
      <c r="L17" s="161"/>
      <c r="M17" s="161"/>
      <c r="N17" s="161"/>
      <c r="O17" s="161"/>
    </row>
    <row r="18" spans="4:15" x14ac:dyDescent="0.25">
      <c r="D18" s="22" t="s">
        <v>53</v>
      </c>
      <c r="E18" s="157" t="s">
        <v>60</v>
      </c>
      <c r="F18" s="158"/>
      <c r="G18" s="158"/>
      <c r="H18" s="159"/>
      <c r="I18" s="22">
        <f>TPD!N19</f>
        <v>438.14285714285717</v>
      </c>
      <c r="K18" s="164" t="s">
        <v>67</v>
      </c>
      <c r="L18" s="15">
        <v>1</v>
      </c>
      <c r="M18" s="15">
        <v>1</v>
      </c>
      <c r="N18" s="15">
        <v>1</v>
      </c>
      <c r="O18" s="15">
        <v>1</v>
      </c>
    </row>
    <row r="19" spans="4:15" x14ac:dyDescent="0.25">
      <c r="D19" s="22" t="s">
        <v>54</v>
      </c>
      <c r="E19" s="157" t="s">
        <v>92</v>
      </c>
      <c r="F19" s="158"/>
      <c r="G19" s="158"/>
      <c r="H19" s="159"/>
      <c r="I19" s="22">
        <f>(((1+I20)^(I21))-1)/I20</f>
        <v>36.941751255996664</v>
      </c>
      <c r="K19" s="164"/>
      <c r="L19" s="130">
        <v>1</v>
      </c>
      <c r="M19" s="130">
        <v>2</v>
      </c>
      <c r="N19" s="130">
        <v>1</v>
      </c>
      <c r="O19" s="130">
        <v>0.8</v>
      </c>
    </row>
    <row r="20" spans="4:15" x14ac:dyDescent="0.25">
      <c r="D20" s="22" t="s">
        <v>55</v>
      </c>
      <c r="E20" s="157" t="s">
        <v>61</v>
      </c>
      <c r="F20" s="158"/>
      <c r="G20" s="158"/>
      <c r="H20" s="159"/>
      <c r="I20" s="23">
        <v>3.1E-2</v>
      </c>
      <c r="K20" s="164"/>
      <c r="L20" s="15">
        <v>1</v>
      </c>
      <c r="M20" s="15">
        <v>3</v>
      </c>
      <c r="N20" s="15">
        <v>1</v>
      </c>
      <c r="O20" s="15">
        <v>0.6</v>
      </c>
    </row>
    <row r="21" spans="4:15" x14ac:dyDescent="0.25">
      <c r="D21" s="22" t="s">
        <v>56</v>
      </c>
      <c r="E21" s="157" t="s">
        <v>62</v>
      </c>
      <c r="F21" s="158"/>
      <c r="G21" s="158"/>
      <c r="H21" s="159"/>
      <c r="I21" s="22">
        <v>25</v>
      </c>
      <c r="K21" s="164"/>
      <c r="L21" s="15">
        <v>1</v>
      </c>
      <c r="M21" s="15">
        <v>4</v>
      </c>
      <c r="N21" s="15">
        <v>1</v>
      </c>
      <c r="O21" s="15">
        <v>0.5</v>
      </c>
    </row>
    <row r="22" spans="4:15" x14ac:dyDescent="0.25">
      <c r="D22" s="22" t="s">
        <v>57</v>
      </c>
      <c r="E22" s="157" t="s">
        <v>63</v>
      </c>
      <c r="F22" s="158"/>
      <c r="G22" s="158"/>
      <c r="H22" s="159"/>
      <c r="I22" s="22">
        <f>N19</f>
        <v>1</v>
      </c>
      <c r="K22" s="164"/>
      <c r="L22" s="15">
        <v>2</v>
      </c>
      <c r="M22" s="15">
        <v>1</v>
      </c>
      <c r="N22" s="15">
        <v>0.5</v>
      </c>
      <c r="O22" s="15">
        <v>1</v>
      </c>
    </row>
    <row r="23" spans="4:15" x14ac:dyDescent="0.25">
      <c r="D23" s="22" t="s">
        <v>58</v>
      </c>
      <c r="E23" s="157" t="s">
        <v>64</v>
      </c>
      <c r="F23" s="158"/>
      <c r="G23" s="158"/>
      <c r="H23" s="159"/>
      <c r="I23" s="24">
        <f>O19</f>
        <v>0.8</v>
      </c>
      <c r="K23" s="164"/>
      <c r="L23" s="15">
        <v>2</v>
      </c>
      <c r="M23" s="15">
        <v>1</v>
      </c>
      <c r="N23" s="15">
        <v>0.5</v>
      </c>
      <c r="O23" s="15">
        <v>0.8</v>
      </c>
    </row>
    <row r="24" spans="4:15" x14ac:dyDescent="0.25">
      <c r="D24" s="154" t="s">
        <v>65</v>
      </c>
      <c r="E24" s="155"/>
      <c r="F24" s="155"/>
      <c r="G24" s="155"/>
      <c r="H24" s="156"/>
      <c r="I24" s="94">
        <f>I17*I22*I23*365</f>
        <v>7006460.0858551683</v>
      </c>
      <c r="K24" s="162" t="s">
        <v>90</v>
      </c>
      <c r="L24" s="15">
        <v>2</v>
      </c>
      <c r="M24" s="15">
        <v>1</v>
      </c>
      <c r="N24" s="15">
        <v>0.5</v>
      </c>
      <c r="O24" s="15">
        <v>1</v>
      </c>
    </row>
    <row r="25" spans="4:15" x14ac:dyDescent="0.25">
      <c r="K25" s="162"/>
      <c r="L25" s="15">
        <v>2</v>
      </c>
      <c r="M25" s="15">
        <v>2</v>
      </c>
      <c r="N25" s="15">
        <v>0.5</v>
      </c>
      <c r="O25" s="15">
        <v>0.8</v>
      </c>
    </row>
    <row r="26" spans="4:15" x14ac:dyDescent="0.25">
      <c r="K26" s="162"/>
      <c r="L26" s="15">
        <v>2</v>
      </c>
      <c r="M26" s="15">
        <v>3</v>
      </c>
      <c r="N26" s="15">
        <v>0.5</v>
      </c>
      <c r="O26" s="15">
        <v>0.8</v>
      </c>
    </row>
    <row r="27" spans="4:15" x14ac:dyDescent="0.25">
      <c r="K27" s="162"/>
      <c r="L27" s="15">
        <v>2</v>
      </c>
      <c r="M27" s="15">
        <v>4</v>
      </c>
      <c r="N27" s="15">
        <v>0.5</v>
      </c>
      <c r="O27" s="15">
        <v>0.8</v>
      </c>
    </row>
    <row r="31" spans="4:15" x14ac:dyDescent="0.25">
      <c r="J31" s="16">
        <v>505940.1879214287</v>
      </c>
    </row>
  </sheetData>
  <mergeCells count="24">
    <mergeCell ref="B5:C5"/>
    <mergeCell ref="B6:C6"/>
    <mergeCell ref="B8:C8"/>
    <mergeCell ref="E19:H19"/>
    <mergeCell ref="E18:H18"/>
    <mergeCell ref="R4:R5"/>
    <mergeCell ref="N16:N17"/>
    <mergeCell ref="Q4:Q5"/>
    <mergeCell ref="P13:Q13"/>
    <mergeCell ref="O16:O17"/>
    <mergeCell ref="L16:L17"/>
    <mergeCell ref="M16:M17"/>
    <mergeCell ref="K4:K5"/>
    <mergeCell ref="L4:P4"/>
    <mergeCell ref="K18:K23"/>
    <mergeCell ref="D24:H24"/>
    <mergeCell ref="E20:H20"/>
    <mergeCell ref="G4:J4"/>
    <mergeCell ref="E17:H17"/>
    <mergeCell ref="K16:K17"/>
    <mergeCell ref="K24:K27"/>
    <mergeCell ref="E23:H23"/>
    <mergeCell ref="E22:H22"/>
    <mergeCell ref="E21:H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CC88-C9DA-457B-89AF-E23D9B38BC0F}">
  <dimension ref="A1:S276"/>
  <sheetViews>
    <sheetView topLeftCell="A62" zoomScale="40" zoomScaleNormal="40" workbookViewId="0">
      <selection activeCell="O22" sqref="O22"/>
    </sheetView>
  </sheetViews>
  <sheetFormatPr baseColWidth="10" defaultRowHeight="15" x14ac:dyDescent="0.25"/>
  <cols>
    <col min="1" max="1" width="11.42578125" style="16"/>
    <col min="2" max="2" width="16.5703125" style="16" customWidth="1"/>
    <col min="3" max="3" width="11.42578125" style="16"/>
    <col min="4" max="4" width="13" style="16" customWidth="1"/>
    <col min="5" max="5" width="11.42578125" style="16"/>
    <col min="6" max="6" width="13.7109375" style="16" customWidth="1"/>
    <col min="7" max="7" width="23" style="16" customWidth="1"/>
    <col min="8" max="8" width="23.42578125" style="16" customWidth="1"/>
    <col min="9" max="9" width="14.42578125" style="16" customWidth="1"/>
    <col min="10" max="16384" width="11.42578125" style="16"/>
  </cols>
  <sheetData>
    <row r="1" spans="1:9" x14ac:dyDescent="0.25">
      <c r="B1" s="16" t="s">
        <v>98</v>
      </c>
    </row>
    <row r="2" spans="1:9" x14ac:dyDescent="0.25">
      <c r="B2" s="16" t="s">
        <v>99</v>
      </c>
      <c r="E2" s="16">
        <v>8.1999999999999993</v>
      </c>
      <c r="F2" s="16" t="s">
        <v>185</v>
      </c>
    </row>
    <row r="3" spans="1:9" x14ac:dyDescent="0.25">
      <c r="B3" s="16" t="s">
        <v>100</v>
      </c>
      <c r="E3" s="16">
        <v>11</v>
      </c>
      <c r="F3" s="16" t="s">
        <v>186</v>
      </c>
    </row>
    <row r="4" spans="1:9" x14ac:dyDescent="0.25">
      <c r="B4" s="16" t="s">
        <v>101</v>
      </c>
      <c r="E4" s="16">
        <v>18</v>
      </c>
    </row>
    <row r="5" spans="1:9" x14ac:dyDescent="0.25">
      <c r="B5" s="16" t="s">
        <v>102</v>
      </c>
      <c r="E5" s="16">
        <v>66</v>
      </c>
    </row>
    <row r="6" spans="1:9" x14ac:dyDescent="0.25">
      <c r="B6" s="16" t="s">
        <v>103</v>
      </c>
      <c r="E6" s="16">
        <v>30</v>
      </c>
      <c r="F6" s="16" t="s">
        <v>123</v>
      </c>
    </row>
    <row r="9" spans="1:9" x14ac:dyDescent="0.25">
      <c r="A9" s="53"/>
      <c r="B9" s="54"/>
      <c r="C9" s="54"/>
      <c r="D9" s="54"/>
      <c r="E9" s="54"/>
      <c r="F9" s="54"/>
      <c r="G9" s="54"/>
      <c r="H9" s="54"/>
      <c r="I9" s="55"/>
    </row>
    <row r="10" spans="1:9" x14ac:dyDescent="0.25">
      <c r="A10" s="175" t="s">
        <v>179</v>
      </c>
      <c r="B10" s="176"/>
      <c r="C10" s="183"/>
      <c r="D10" s="56" t="s">
        <v>124</v>
      </c>
      <c r="E10" s="56">
        <v>90</v>
      </c>
      <c r="G10" s="56" t="s">
        <v>125</v>
      </c>
      <c r="H10" s="56">
        <f>H19</f>
        <v>-1.282</v>
      </c>
      <c r="I10" s="57"/>
    </row>
    <row r="11" spans="1:9" x14ac:dyDescent="0.25">
      <c r="A11" s="58"/>
      <c r="I11" s="57"/>
    </row>
    <row r="12" spans="1:9" x14ac:dyDescent="0.25">
      <c r="A12" s="196" t="s">
        <v>104</v>
      </c>
      <c r="B12" s="197"/>
      <c r="C12" s="200" t="s">
        <v>128</v>
      </c>
      <c r="D12" s="200"/>
      <c r="E12" s="201"/>
      <c r="G12" s="60" t="s">
        <v>130</v>
      </c>
      <c r="H12" s="60" t="s">
        <v>131</v>
      </c>
      <c r="I12" s="57"/>
    </row>
    <row r="13" spans="1:9" x14ac:dyDescent="0.25">
      <c r="A13" s="198"/>
      <c r="B13" s="199"/>
      <c r="C13" s="61"/>
      <c r="D13" s="60" t="s">
        <v>126</v>
      </c>
      <c r="E13" s="60" t="s">
        <v>127</v>
      </c>
      <c r="G13" s="13">
        <v>50</v>
      </c>
      <c r="H13" s="13">
        <v>0</v>
      </c>
      <c r="I13" s="57"/>
    </row>
    <row r="14" spans="1:9" x14ac:dyDescent="0.25">
      <c r="A14" s="184" t="s">
        <v>129</v>
      </c>
      <c r="B14" s="202"/>
      <c r="C14" s="185"/>
      <c r="D14" s="13" t="s">
        <v>108</v>
      </c>
      <c r="E14" s="13" t="s">
        <v>112</v>
      </c>
      <c r="G14" s="13">
        <v>60</v>
      </c>
      <c r="H14" s="13">
        <v>-0.253</v>
      </c>
      <c r="I14" s="57"/>
    </row>
    <row r="15" spans="1:9" x14ac:dyDescent="0.25">
      <c r="A15" s="184" t="s">
        <v>105</v>
      </c>
      <c r="B15" s="185"/>
      <c r="C15" s="13"/>
      <c r="D15" s="63" t="s">
        <v>109</v>
      </c>
      <c r="E15" s="13" t="s">
        <v>113</v>
      </c>
      <c r="G15" s="13">
        <v>70</v>
      </c>
      <c r="H15" s="13">
        <v>-0.52400000000000002</v>
      </c>
      <c r="I15" s="57"/>
    </row>
    <row r="16" spans="1:9" x14ac:dyDescent="0.25">
      <c r="A16" s="184" t="s">
        <v>106</v>
      </c>
      <c r="B16" s="185"/>
      <c r="C16" s="13"/>
      <c r="D16" s="13" t="s">
        <v>110</v>
      </c>
      <c r="E16" s="13" t="s">
        <v>114</v>
      </c>
      <c r="G16" s="13">
        <v>75</v>
      </c>
      <c r="H16" s="13">
        <v>-0.67100000000000004</v>
      </c>
      <c r="I16" s="57"/>
    </row>
    <row r="17" spans="1:9" x14ac:dyDescent="0.25">
      <c r="A17" s="184" t="s">
        <v>107</v>
      </c>
      <c r="B17" s="185"/>
      <c r="C17" s="13"/>
      <c r="D17" s="13" t="s">
        <v>111</v>
      </c>
      <c r="E17" s="13" t="s">
        <v>111</v>
      </c>
      <c r="G17" s="13">
        <v>80</v>
      </c>
      <c r="H17" s="13">
        <v>-0.84099999999999997</v>
      </c>
      <c r="I17" s="57"/>
    </row>
    <row r="18" spans="1:9" x14ac:dyDescent="0.25">
      <c r="A18" s="58"/>
      <c r="G18" s="13">
        <v>85</v>
      </c>
      <c r="H18" s="13">
        <v>-1.0369999999999999</v>
      </c>
      <c r="I18" s="57"/>
    </row>
    <row r="19" spans="1:9" x14ac:dyDescent="0.25">
      <c r="A19" s="58"/>
      <c r="G19" s="64">
        <v>90</v>
      </c>
      <c r="H19" s="64">
        <v>-1.282</v>
      </c>
      <c r="I19" s="57"/>
    </row>
    <row r="20" spans="1:9" x14ac:dyDescent="0.25">
      <c r="A20" s="58"/>
      <c r="G20" s="13">
        <v>91</v>
      </c>
      <c r="H20" s="13">
        <v>-1.34</v>
      </c>
      <c r="I20" s="57"/>
    </row>
    <row r="21" spans="1:9" x14ac:dyDescent="0.25">
      <c r="A21" s="175" t="s">
        <v>138</v>
      </c>
      <c r="B21" s="176"/>
      <c r="C21" s="176"/>
      <c r="D21" s="56" t="s">
        <v>198</v>
      </c>
      <c r="E21" s="56">
        <f>C26</f>
        <v>0.45</v>
      </c>
      <c r="G21" s="13">
        <v>92</v>
      </c>
      <c r="H21" s="13">
        <v>-1.405</v>
      </c>
      <c r="I21" s="57"/>
    </row>
    <row r="22" spans="1:9" x14ac:dyDescent="0.25">
      <c r="A22" s="58"/>
      <c r="G22" s="13">
        <v>93</v>
      </c>
      <c r="H22" s="13">
        <v>-1.476</v>
      </c>
      <c r="I22" s="57"/>
    </row>
    <row r="23" spans="1:9" x14ac:dyDescent="0.25">
      <c r="A23" s="205" t="s">
        <v>133</v>
      </c>
      <c r="B23" s="206"/>
      <c r="C23" s="203" t="s">
        <v>198</v>
      </c>
      <c r="D23" s="204"/>
      <c r="G23" s="13">
        <v>94</v>
      </c>
      <c r="H23" s="13">
        <v>-1.5549999999999999</v>
      </c>
      <c r="I23" s="57"/>
    </row>
    <row r="24" spans="1:9" x14ac:dyDescent="0.25">
      <c r="A24" s="207"/>
      <c r="B24" s="208"/>
      <c r="C24" s="59" t="s">
        <v>136</v>
      </c>
      <c r="D24" s="60" t="s">
        <v>137</v>
      </c>
      <c r="G24" s="13">
        <v>95</v>
      </c>
      <c r="H24" s="13">
        <v>-1.645</v>
      </c>
      <c r="I24" s="57"/>
    </row>
    <row r="25" spans="1:9" x14ac:dyDescent="0.25">
      <c r="A25" s="209"/>
      <c r="B25" s="210"/>
      <c r="C25" s="59" t="s">
        <v>134</v>
      </c>
      <c r="D25" s="60" t="s">
        <v>135</v>
      </c>
      <c r="G25" s="13">
        <v>96</v>
      </c>
      <c r="H25" s="13">
        <v>-1.7509999999999999</v>
      </c>
      <c r="I25" s="57"/>
    </row>
    <row r="26" spans="1:9" x14ac:dyDescent="0.25">
      <c r="A26" s="184" t="s">
        <v>180</v>
      </c>
      <c r="B26" s="185"/>
      <c r="C26" s="64">
        <v>0.45</v>
      </c>
      <c r="D26" s="13">
        <v>0.35</v>
      </c>
      <c r="G26" s="13">
        <v>97</v>
      </c>
      <c r="H26" s="13">
        <v>-1.881</v>
      </c>
      <c r="I26" s="57"/>
    </row>
    <row r="27" spans="1:9" x14ac:dyDescent="0.25">
      <c r="A27" s="184" t="s">
        <v>132</v>
      </c>
      <c r="B27" s="185"/>
      <c r="C27" s="13">
        <v>0.5</v>
      </c>
      <c r="D27" s="13">
        <v>0.4</v>
      </c>
      <c r="G27" s="13">
        <v>98</v>
      </c>
      <c r="H27" s="13">
        <v>-2.0539999999999998</v>
      </c>
      <c r="I27" s="57"/>
    </row>
    <row r="28" spans="1:9" x14ac:dyDescent="0.25">
      <c r="A28" s="58"/>
      <c r="G28" s="13">
        <v>99</v>
      </c>
      <c r="H28" s="13">
        <v>-2.327</v>
      </c>
      <c r="I28" s="57"/>
    </row>
    <row r="29" spans="1:9" x14ac:dyDescent="0.25">
      <c r="A29" s="58"/>
      <c r="G29" s="13">
        <v>99.9</v>
      </c>
      <c r="H29" s="13">
        <v>-3.09</v>
      </c>
      <c r="I29" s="57"/>
    </row>
    <row r="30" spans="1:9" x14ac:dyDescent="0.25">
      <c r="A30" s="58"/>
      <c r="G30" s="13">
        <v>99.99</v>
      </c>
      <c r="H30" s="13">
        <v>-3.75</v>
      </c>
      <c r="I30" s="57"/>
    </row>
    <row r="31" spans="1:9" x14ac:dyDescent="0.25">
      <c r="A31" s="58"/>
      <c r="I31" s="57"/>
    </row>
    <row r="32" spans="1:9" x14ac:dyDescent="0.25">
      <c r="A32" s="58"/>
      <c r="I32" s="57"/>
    </row>
    <row r="33" spans="1:9" x14ac:dyDescent="0.25">
      <c r="A33" s="58"/>
      <c r="I33" s="57"/>
    </row>
    <row r="34" spans="1:9" x14ac:dyDescent="0.25">
      <c r="A34" s="175" t="s">
        <v>147</v>
      </c>
      <c r="B34" s="176"/>
      <c r="C34" s="176"/>
      <c r="I34" s="57"/>
    </row>
    <row r="35" spans="1:9" x14ac:dyDescent="0.25">
      <c r="A35" s="58"/>
      <c r="F35" s="188" t="s">
        <v>140</v>
      </c>
      <c r="G35" s="188"/>
      <c r="H35" s="188"/>
      <c r="I35" s="57"/>
    </row>
    <row r="36" spans="1:9" ht="15" customHeight="1" x14ac:dyDescent="0.25">
      <c r="A36" s="58"/>
      <c r="B36" s="189" t="s">
        <v>146</v>
      </c>
      <c r="C36" s="190" t="s">
        <v>145</v>
      </c>
      <c r="D36" s="191"/>
      <c r="F36" s="187" t="s">
        <v>115</v>
      </c>
      <c r="G36" s="187"/>
      <c r="H36" s="186" t="s">
        <v>116</v>
      </c>
      <c r="I36" s="57"/>
    </row>
    <row r="37" spans="1:9" x14ac:dyDescent="0.25">
      <c r="A37" s="58"/>
      <c r="B37" s="189"/>
      <c r="C37" s="190"/>
      <c r="D37" s="191"/>
      <c r="F37" s="187"/>
      <c r="G37" s="187"/>
      <c r="H37" s="186"/>
      <c r="I37" s="57"/>
    </row>
    <row r="38" spans="1:9" x14ac:dyDescent="0.25">
      <c r="A38" s="58"/>
      <c r="B38" s="13" t="s">
        <v>142</v>
      </c>
      <c r="C38" s="192" t="s">
        <v>143</v>
      </c>
      <c r="D38" s="193"/>
      <c r="F38" s="187" t="s">
        <v>139</v>
      </c>
      <c r="G38" s="187"/>
      <c r="H38" s="187" t="s">
        <v>117</v>
      </c>
      <c r="I38" s="57"/>
    </row>
    <row r="39" spans="1:9" x14ac:dyDescent="0.25">
      <c r="A39" s="58"/>
      <c r="B39" s="13" t="s">
        <v>141</v>
      </c>
      <c r="C39" s="194" t="s">
        <v>144</v>
      </c>
      <c r="D39" s="185"/>
      <c r="F39" s="187"/>
      <c r="G39" s="187"/>
      <c r="H39" s="187"/>
      <c r="I39" s="57"/>
    </row>
    <row r="40" spans="1:9" x14ac:dyDescent="0.25">
      <c r="A40" s="58"/>
      <c r="I40" s="57"/>
    </row>
    <row r="41" spans="1:9" x14ac:dyDescent="0.25">
      <c r="A41" s="58"/>
      <c r="D41" s="13" t="s">
        <v>148</v>
      </c>
      <c r="E41" s="13">
        <v>4.2</v>
      </c>
      <c r="I41" s="57"/>
    </row>
    <row r="42" spans="1:9" x14ac:dyDescent="0.25">
      <c r="A42" s="58"/>
      <c r="D42" s="13" t="s">
        <v>149</v>
      </c>
      <c r="E42" s="99">
        <v>2.5</v>
      </c>
      <c r="F42" s="16" t="s">
        <v>151</v>
      </c>
      <c r="I42" s="57"/>
    </row>
    <row r="43" spans="1:9" x14ac:dyDescent="0.25">
      <c r="A43" s="58"/>
      <c r="D43" s="13" t="s">
        <v>150</v>
      </c>
      <c r="E43" s="100">
        <f>E41-E42</f>
        <v>1.7000000000000002</v>
      </c>
      <c r="I43" s="57"/>
    </row>
    <row r="44" spans="1:9" x14ac:dyDescent="0.25">
      <c r="A44" s="58"/>
      <c r="I44" s="57"/>
    </row>
    <row r="45" spans="1:9" x14ac:dyDescent="0.25">
      <c r="A45" s="175" t="s">
        <v>152</v>
      </c>
      <c r="B45" s="176"/>
      <c r="C45" s="176"/>
      <c r="D45" s="176"/>
      <c r="I45" s="57"/>
    </row>
    <row r="46" spans="1:9" x14ac:dyDescent="0.25">
      <c r="A46" s="58"/>
      <c r="I46" s="57"/>
    </row>
    <row r="47" spans="1:9" x14ac:dyDescent="0.25">
      <c r="I47" s="57"/>
    </row>
    <row r="48" spans="1:9" ht="15" customHeight="1" x14ac:dyDescent="0.25">
      <c r="A48" s="179" t="s">
        <v>153</v>
      </c>
      <c r="B48" s="179"/>
      <c r="C48" s="177" t="s">
        <v>154</v>
      </c>
      <c r="D48" s="177"/>
      <c r="E48" s="177"/>
      <c r="F48" s="177"/>
      <c r="I48" s="57"/>
    </row>
    <row r="49" spans="1:10" ht="15" customHeight="1" x14ac:dyDescent="0.25">
      <c r="A49" s="179"/>
      <c r="B49" s="179"/>
      <c r="C49" s="177"/>
      <c r="D49" s="177"/>
      <c r="E49" s="177"/>
      <c r="F49" s="177"/>
      <c r="I49" s="57"/>
    </row>
    <row r="50" spans="1:10" ht="15" customHeight="1" x14ac:dyDescent="0.25">
      <c r="A50" s="179"/>
      <c r="B50" s="179"/>
      <c r="C50" s="177"/>
      <c r="D50" s="177"/>
      <c r="E50" s="177"/>
      <c r="F50" s="177"/>
      <c r="H50" s="69" t="s">
        <v>174</v>
      </c>
      <c r="I50" s="70">
        <f>E5</f>
        <v>66</v>
      </c>
      <c r="J50" s="71"/>
    </row>
    <row r="51" spans="1:10" ht="15" customHeight="1" x14ac:dyDescent="0.25">
      <c r="A51" s="180"/>
      <c r="B51" s="180"/>
      <c r="C51" s="178"/>
      <c r="D51" s="178"/>
      <c r="E51" s="178"/>
      <c r="F51" s="178"/>
      <c r="H51" s="69" t="s">
        <v>175</v>
      </c>
      <c r="I51" s="73">
        <f>ROUND(I50/365,2)</f>
        <v>0.18</v>
      </c>
    </row>
    <row r="52" spans="1:10" x14ac:dyDescent="0.25">
      <c r="A52" s="172" t="s">
        <v>155</v>
      </c>
      <c r="B52" s="172"/>
      <c r="C52" s="66" t="s">
        <v>156</v>
      </c>
      <c r="D52" s="67" t="s">
        <v>157</v>
      </c>
      <c r="E52" s="67" t="s">
        <v>158</v>
      </c>
      <c r="F52" s="68">
        <v>1.2</v>
      </c>
      <c r="I52" s="57"/>
    </row>
    <row r="53" spans="1:10" x14ac:dyDescent="0.25">
      <c r="A53" s="172" t="s">
        <v>159</v>
      </c>
      <c r="B53" s="172"/>
      <c r="C53" s="62" t="s">
        <v>160</v>
      </c>
      <c r="D53" s="13" t="s">
        <v>161</v>
      </c>
      <c r="E53" s="13" t="s">
        <v>162</v>
      </c>
      <c r="F53" s="72">
        <v>1</v>
      </c>
      <c r="H53" s="69" t="s">
        <v>176</v>
      </c>
      <c r="I53" s="74">
        <v>0.8</v>
      </c>
      <c r="J53" s="71"/>
    </row>
    <row r="54" spans="1:10" x14ac:dyDescent="0.25">
      <c r="A54" s="172" t="s">
        <v>163</v>
      </c>
      <c r="B54" s="172"/>
      <c r="C54" s="62" t="s">
        <v>164</v>
      </c>
      <c r="D54" s="13" t="s">
        <v>165</v>
      </c>
      <c r="E54" s="13" t="s">
        <v>166</v>
      </c>
      <c r="F54" s="93">
        <v>0.8</v>
      </c>
      <c r="H54" s="69" t="s">
        <v>177</v>
      </c>
      <c r="I54" s="74">
        <v>0.8</v>
      </c>
      <c r="J54" s="71"/>
    </row>
    <row r="55" spans="1:10" x14ac:dyDescent="0.25">
      <c r="A55" s="172" t="s">
        <v>167</v>
      </c>
      <c r="B55" s="172"/>
      <c r="C55" s="62" t="s">
        <v>165</v>
      </c>
      <c r="D55" s="13" t="s">
        <v>168</v>
      </c>
      <c r="E55" s="13" t="s">
        <v>169</v>
      </c>
      <c r="F55" s="72">
        <v>0.6</v>
      </c>
      <c r="I55" s="57"/>
    </row>
    <row r="56" spans="1:10" x14ac:dyDescent="0.25">
      <c r="A56" s="172" t="s">
        <v>170</v>
      </c>
      <c r="B56" s="172"/>
      <c r="C56" s="62" t="s">
        <v>171</v>
      </c>
      <c r="D56" s="13" t="s">
        <v>172</v>
      </c>
      <c r="E56" s="13" t="s">
        <v>173</v>
      </c>
      <c r="F56" s="72">
        <v>0.4</v>
      </c>
      <c r="I56" s="57"/>
    </row>
    <row r="57" spans="1:10" x14ac:dyDescent="0.25">
      <c r="A57" s="58"/>
      <c r="I57" s="57"/>
    </row>
    <row r="58" spans="1:10" x14ac:dyDescent="0.25">
      <c r="A58" s="58"/>
      <c r="I58" s="57"/>
    </row>
    <row r="59" spans="1:10" x14ac:dyDescent="0.25">
      <c r="A59" s="175" t="s">
        <v>178</v>
      </c>
      <c r="B59" s="176"/>
      <c r="C59" s="176"/>
      <c r="D59" s="176"/>
      <c r="E59" s="176"/>
      <c r="F59" s="176"/>
      <c r="I59" s="57"/>
    </row>
    <row r="60" spans="1:10" x14ac:dyDescent="0.25">
      <c r="A60" s="58"/>
      <c r="I60" s="57"/>
    </row>
    <row r="61" spans="1:10" x14ac:dyDescent="0.25">
      <c r="A61" s="58"/>
      <c r="B61" s="16" t="s">
        <v>118</v>
      </c>
      <c r="D61" s="16" t="s">
        <v>181</v>
      </c>
      <c r="E61" s="182" t="s">
        <v>182</v>
      </c>
      <c r="F61" s="182"/>
    </row>
    <row r="62" spans="1:10" x14ac:dyDescent="0.25">
      <c r="A62" s="58"/>
      <c r="B62" s="16" t="s">
        <v>119</v>
      </c>
      <c r="D62" s="16" t="s">
        <v>181</v>
      </c>
      <c r="E62" s="182" t="s">
        <v>183</v>
      </c>
      <c r="F62" s="182"/>
    </row>
    <row r="63" spans="1:10" x14ac:dyDescent="0.25">
      <c r="A63" s="58"/>
      <c r="B63" s="16" t="s">
        <v>120</v>
      </c>
      <c r="D63" s="16" t="s">
        <v>181</v>
      </c>
      <c r="E63" s="182" t="s">
        <v>184</v>
      </c>
      <c r="F63" s="182"/>
      <c r="I63" s="57"/>
    </row>
    <row r="64" spans="1:10" x14ac:dyDescent="0.25">
      <c r="A64" s="58"/>
      <c r="I64" s="57"/>
    </row>
    <row r="65" spans="1:9" x14ac:dyDescent="0.25">
      <c r="A65" s="58"/>
      <c r="D65" s="176" t="s">
        <v>122</v>
      </c>
      <c r="E65" s="195"/>
      <c r="I65" s="57"/>
    </row>
    <row r="66" spans="1:9" x14ac:dyDescent="0.25">
      <c r="A66" s="58"/>
      <c r="B66" s="75" t="s">
        <v>118</v>
      </c>
      <c r="C66" s="75" t="s">
        <v>181</v>
      </c>
      <c r="D66" s="75">
        <f>IF(E3&lt;7.2,1500*E3,IF(E3&gt;20,4326*LN(E3)+241,3500*E3))</f>
        <v>38500</v>
      </c>
      <c r="E66" s="76" t="s">
        <v>121</v>
      </c>
      <c r="I66" s="57"/>
    </row>
    <row r="67" spans="1:9" x14ac:dyDescent="0.25">
      <c r="A67" s="58"/>
      <c r="I67" s="57"/>
    </row>
    <row r="68" spans="1:9" x14ac:dyDescent="0.25">
      <c r="A68" s="85"/>
      <c r="B68" s="176" t="s">
        <v>187</v>
      </c>
      <c r="C68" s="176"/>
      <c r="D68" s="176"/>
      <c r="E68" s="176"/>
      <c r="F68" s="176"/>
      <c r="I68" s="57"/>
    </row>
    <row r="69" spans="1:9" x14ac:dyDescent="0.25">
      <c r="A69" s="58"/>
      <c r="I69" s="57"/>
    </row>
    <row r="70" spans="1:9" x14ac:dyDescent="0.25">
      <c r="A70" s="58"/>
      <c r="B70" s="182" t="s">
        <v>189</v>
      </c>
      <c r="C70" s="182"/>
      <c r="D70" s="182"/>
      <c r="E70" s="77">
        <v>95</v>
      </c>
      <c r="I70" s="57"/>
    </row>
    <row r="71" spans="1:9" x14ac:dyDescent="0.25">
      <c r="I71" s="57"/>
    </row>
    <row r="72" spans="1:9" x14ac:dyDescent="0.25">
      <c r="A72" s="78" t="s">
        <v>191</v>
      </c>
      <c r="B72" s="16">
        <v>68.92</v>
      </c>
      <c r="C72" s="16" t="s">
        <v>228</v>
      </c>
      <c r="D72" s="16">
        <v>25</v>
      </c>
      <c r="E72" s="16" t="s">
        <v>190</v>
      </c>
      <c r="F72" s="16">
        <f>(B72/B73)*D72</f>
        <v>57.433333333333337</v>
      </c>
      <c r="I72" s="57"/>
    </row>
    <row r="73" spans="1:9" x14ac:dyDescent="0.25">
      <c r="A73" s="58"/>
      <c r="B73" s="16">
        <v>30</v>
      </c>
      <c r="I73" s="57"/>
    </row>
    <row r="74" spans="1:9" x14ac:dyDescent="0.25">
      <c r="A74" s="58"/>
      <c r="I74" s="57"/>
    </row>
    <row r="75" spans="1:9" x14ac:dyDescent="0.25">
      <c r="A75" s="58" t="s">
        <v>193</v>
      </c>
      <c r="B75" s="16">
        <v>144.6</v>
      </c>
      <c r="C75" s="16" t="s">
        <v>194</v>
      </c>
      <c r="D75" s="16">
        <v>125.7</v>
      </c>
      <c r="E75" s="16" t="s">
        <v>195</v>
      </c>
      <c r="F75" s="16">
        <f>(B76/B75)*D75</f>
        <v>4.3464730290456437</v>
      </c>
      <c r="I75" s="57"/>
    </row>
    <row r="76" spans="1:9" x14ac:dyDescent="0.25">
      <c r="A76" s="58"/>
      <c r="B76" s="16">
        <v>5</v>
      </c>
      <c r="E76" s="16">
        <v>25</v>
      </c>
      <c r="I76" s="57"/>
    </row>
    <row r="77" spans="1:9" x14ac:dyDescent="0.25">
      <c r="A77" s="58"/>
      <c r="B77" s="181" t="s">
        <v>197</v>
      </c>
      <c r="C77" s="181"/>
      <c r="D77" s="65" t="s">
        <v>121</v>
      </c>
      <c r="I77" s="57"/>
    </row>
    <row r="78" spans="1:9" x14ac:dyDescent="0.25">
      <c r="B78" s="65" t="s">
        <v>196</v>
      </c>
      <c r="C78" s="79">
        <f>E76+F75</f>
        <v>29.346473029045644</v>
      </c>
      <c r="D78" s="80">
        <f>C78*10^3</f>
        <v>29346.473029045643</v>
      </c>
      <c r="I78" s="57"/>
    </row>
    <row r="79" spans="1:9" ht="20.25" x14ac:dyDescent="0.25">
      <c r="B79" s="84" t="s">
        <v>231</v>
      </c>
      <c r="C79" s="65">
        <f>(0.249*(LOG(C78))-0.977)</f>
        <v>-0.61157857752501421</v>
      </c>
      <c r="D79" s="80">
        <f>(0.249*(LOG(D78))-0.977)</f>
        <v>0.13542142247498601</v>
      </c>
      <c r="I79" s="57"/>
    </row>
    <row r="80" spans="1:9" x14ac:dyDescent="0.25">
      <c r="I80" s="57"/>
    </row>
    <row r="81" spans="1:9" x14ac:dyDescent="0.25">
      <c r="A81" s="85"/>
      <c r="B81" s="176" t="s">
        <v>188</v>
      </c>
      <c r="C81" s="176"/>
      <c r="D81" s="176"/>
      <c r="E81" s="176"/>
      <c r="F81" s="176"/>
      <c r="I81" s="57"/>
    </row>
    <row r="82" spans="1:9" x14ac:dyDescent="0.25">
      <c r="A82" s="58"/>
      <c r="I82" s="57"/>
    </row>
    <row r="83" spans="1:9" x14ac:dyDescent="0.25">
      <c r="A83" s="58"/>
      <c r="B83" s="182" t="s">
        <v>199</v>
      </c>
      <c r="C83" s="182"/>
      <c r="D83" s="182"/>
      <c r="E83" s="182"/>
      <c r="F83" s="77">
        <v>50</v>
      </c>
      <c r="I83" s="57"/>
    </row>
    <row r="84" spans="1:9" x14ac:dyDescent="0.25">
      <c r="A84" s="58"/>
      <c r="I84" s="57"/>
    </row>
    <row r="85" spans="1:9" x14ac:dyDescent="0.25">
      <c r="A85" s="78" t="s">
        <v>191</v>
      </c>
      <c r="C85" s="16" t="s">
        <v>192</v>
      </c>
      <c r="E85" s="16" t="s">
        <v>190</v>
      </c>
      <c r="F85" s="16" t="e">
        <f>(B85/B86)*D85</f>
        <v>#DIV/0!</v>
      </c>
      <c r="I85" s="57"/>
    </row>
    <row r="86" spans="1:9" x14ac:dyDescent="0.25">
      <c r="A86" s="58"/>
      <c r="I86" s="57"/>
    </row>
    <row r="87" spans="1:9" x14ac:dyDescent="0.25">
      <c r="A87" s="58"/>
      <c r="I87" s="57"/>
    </row>
    <row r="88" spans="1:9" x14ac:dyDescent="0.25">
      <c r="A88" s="58" t="s">
        <v>200</v>
      </c>
      <c r="B88" s="16">
        <v>261.69</v>
      </c>
      <c r="C88" s="16" t="s">
        <v>194</v>
      </c>
      <c r="D88" s="16">
        <v>142.28</v>
      </c>
      <c r="E88" s="16" t="s">
        <v>195</v>
      </c>
      <c r="F88" s="16">
        <f>(B89/B88)*D88</f>
        <v>2.7184837020902597</v>
      </c>
      <c r="I88" s="57"/>
    </row>
    <row r="89" spans="1:9" x14ac:dyDescent="0.25">
      <c r="A89" s="58"/>
      <c r="B89" s="16">
        <v>5</v>
      </c>
      <c r="E89" s="16">
        <v>15</v>
      </c>
      <c r="I89" s="57"/>
    </row>
    <row r="90" spans="1:9" x14ac:dyDescent="0.25">
      <c r="A90" s="58"/>
      <c r="B90" s="181" t="s">
        <v>197</v>
      </c>
      <c r="C90" s="181"/>
      <c r="D90" s="65" t="s">
        <v>121</v>
      </c>
      <c r="I90" s="57"/>
    </row>
    <row r="91" spans="1:9" x14ac:dyDescent="0.25">
      <c r="B91" s="65" t="s">
        <v>196</v>
      </c>
      <c r="C91" s="79">
        <f>E89+F88</f>
        <v>17.718483702090261</v>
      </c>
      <c r="D91" s="80">
        <f>C91*10^3</f>
        <v>17718.48370209026</v>
      </c>
      <c r="I91" s="57"/>
    </row>
    <row r="92" spans="1:9" ht="20.25" x14ac:dyDescent="0.25">
      <c r="B92" s="84" t="s">
        <v>230</v>
      </c>
      <c r="C92" s="65">
        <f>(0.249*(LOG(C91))-0.977)</f>
        <v>-0.66614178819265257</v>
      </c>
      <c r="D92" s="80">
        <f>(0.227*(LOG(D91))-0.839)</f>
        <v>0.12539282763159776</v>
      </c>
      <c r="I92" s="57"/>
    </row>
    <row r="93" spans="1:9" x14ac:dyDescent="0.25">
      <c r="A93" s="58"/>
      <c r="I93" s="57"/>
    </row>
    <row r="94" spans="1:9" x14ac:dyDescent="0.25">
      <c r="A94" s="58"/>
      <c r="I94" s="57"/>
    </row>
    <row r="95" spans="1:9" x14ac:dyDescent="0.25">
      <c r="A95" s="58"/>
      <c r="I95" s="57"/>
    </row>
    <row r="96" spans="1:9" x14ac:dyDescent="0.25">
      <c r="A96" s="58"/>
      <c r="I96" s="57"/>
    </row>
    <row r="97" spans="1:9" x14ac:dyDescent="0.25">
      <c r="A97" s="58"/>
      <c r="I97" s="57"/>
    </row>
    <row r="98" spans="1:9" x14ac:dyDescent="0.25">
      <c r="A98" s="175" t="s">
        <v>201</v>
      </c>
      <c r="B98" s="176"/>
      <c r="C98" s="176"/>
      <c r="D98" s="176"/>
      <c r="E98" s="176"/>
      <c r="F98" s="176"/>
      <c r="I98" s="57"/>
    </row>
    <row r="99" spans="1:9" x14ac:dyDescent="0.25">
      <c r="A99" s="58"/>
      <c r="I99" s="57"/>
    </row>
    <row r="100" spans="1:9" x14ac:dyDescent="0.25">
      <c r="A100" s="58"/>
      <c r="I100" s="57"/>
    </row>
    <row r="101" spans="1:9" x14ac:dyDescent="0.25">
      <c r="A101" s="58"/>
      <c r="C101" s="90" t="s">
        <v>202</v>
      </c>
      <c r="D101" s="91">
        <f>E6</f>
        <v>30</v>
      </c>
      <c r="E101"/>
      <c r="F101" t="s">
        <v>210</v>
      </c>
      <c r="I101" s="57"/>
    </row>
    <row r="102" spans="1:9" x14ac:dyDescent="0.25">
      <c r="A102" s="58"/>
      <c r="C102" s="90" t="s">
        <v>203</v>
      </c>
      <c r="D102" s="92">
        <f>D101/(2*PI())</f>
        <v>4.7746482927568605</v>
      </c>
      <c r="F102" s="88">
        <f>ROUND(D102,0)</f>
        <v>5</v>
      </c>
      <c r="I102" s="57"/>
    </row>
    <row r="103" spans="1:9" x14ac:dyDescent="0.25">
      <c r="A103" s="58"/>
      <c r="C103"/>
      <c r="D103"/>
      <c r="E103"/>
      <c r="F103"/>
      <c r="I103" s="57"/>
    </row>
    <row r="104" spans="1:9" x14ac:dyDescent="0.25">
      <c r="A104" s="58"/>
      <c r="C104"/>
      <c r="D104"/>
      <c r="E104"/>
      <c r="F104"/>
      <c r="I104" s="57"/>
    </row>
    <row r="105" spans="1:9" x14ac:dyDescent="0.25">
      <c r="A105" s="58"/>
      <c r="C105"/>
      <c r="D105"/>
      <c r="E105"/>
      <c r="F105"/>
      <c r="I105" s="57"/>
    </row>
    <row r="106" spans="1:9" x14ac:dyDescent="0.25">
      <c r="A106" s="58"/>
      <c r="C106"/>
      <c r="D106"/>
      <c r="E106"/>
      <c r="F106"/>
      <c r="I106" s="57"/>
    </row>
    <row r="107" spans="1:9" x14ac:dyDescent="0.25">
      <c r="A107" s="58"/>
      <c r="C107" s="90" t="s">
        <v>204</v>
      </c>
      <c r="D107" s="91">
        <f>E4</f>
        <v>18</v>
      </c>
      <c r="E107"/>
      <c r="F107"/>
      <c r="I107" s="57"/>
    </row>
    <row r="108" spans="1:9" ht="18" x14ac:dyDescent="0.35">
      <c r="A108" s="58"/>
      <c r="C108" s="90" t="s">
        <v>205</v>
      </c>
      <c r="D108" s="91">
        <v>100</v>
      </c>
      <c r="E108"/>
      <c r="F108" t="s">
        <v>210</v>
      </c>
      <c r="I108" s="57"/>
    </row>
    <row r="109" spans="1:9" x14ac:dyDescent="0.25">
      <c r="A109" s="58"/>
      <c r="C109" s="90" t="s">
        <v>206</v>
      </c>
      <c r="D109" s="92">
        <f>(-0.0093*D107^2+1.569*D107-1.578)*(-0.084*LN(D108)+1.55)</f>
        <v>27.509799441079554</v>
      </c>
      <c r="E109"/>
      <c r="F109" s="88">
        <f>ROUND(D109,0)</f>
        <v>28</v>
      </c>
      <c r="I109" s="57"/>
    </row>
    <row r="110" spans="1:9" x14ac:dyDescent="0.25">
      <c r="A110" s="58"/>
      <c r="C110"/>
      <c r="D110"/>
      <c r="E110"/>
      <c r="F110"/>
      <c r="I110" s="57"/>
    </row>
    <row r="111" spans="1:9" x14ac:dyDescent="0.25">
      <c r="A111" s="58"/>
      <c r="I111" s="57"/>
    </row>
    <row r="112" spans="1:9" x14ac:dyDescent="0.25">
      <c r="A112" s="78" t="s">
        <v>212</v>
      </c>
      <c r="B112" s="16">
        <v>336.48</v>
      </c>
      <c r="C112" s="16" t="s">
        <v>211</v>
      </c>
      <c r="D112" s="16">
        <v>304.41000000000003</v>
      </c>
      <c r="E112" s="16" t="s">
        <v>190</v>
      </c>
      <c r="F112" s="16">
        <f>(B113/B112)*D112</f>
        <v>5428.1383737517826</v>
      </c>
      <c r="I112" s="57"/>
    </row>
    <row r="113" spans="1:9" x14ac:dyDescent="0.25">
      <c r="A113" s="58"/>
      <c r="B113" s="16">
        <v>6000</v>
      </c>
      <c r="I113" s="57"/>
    </row>
    <row r="114" spans="1:9" x14ac:dyDescent="0.25">
      <c r="A114" s="58"/>
      <c r="I114" s="57"/>
    </row>
    <row r="115" spans="1:9" x14ac:dyDescent="0.25">
      <c r="A115" s="58"/>
      <c r="I115" s="57"/>
    </row>
    <row r="116" spans="1:9" ht="18" x14ac:dyDescent="0.35">
      <c r="A116" s="58"/>
      <c r="B116" s="173" t="s">
        <v>207</v>
      </c>
      <c r="C116" s="173"/>
      <c r="D116" s="92">
        <f>ROUND(F112,0)</f>
        <v>5428</v>
      </c>
      <c r="E116" s="86"/>
      <c r="F116"/>
      <c r="I116" s="57"/>
    </row>
    <row r="117" spans="1:9" ht="18" x14ac:dyDescent="0.35">
      <c r="A117" s="58"/>
      <c r="B117" s="173" t="s">
        <v>208</v>
      </c>
      <c r="C117" s="173"/>
      <c r="D117" s="108">
        <f>ROUND(D116*145.038,0)</f>
        <v>787266</v>
      </c>
      <c r="E117" t="s">
        <v>213</v>
      </c>
      <c r="F117"/>
      <c r="I117" s="57"/>
    </row>
    <row r="118" spans="1:9" ht="20.25" x14ac:dyDescent="0.35">
      <c r="A118" s="58"/>
      <c r="B118" s="174" t="s">
        <v>209</v>
      </c>
      <c r="C118" s="174"/>
      <c r="D118" s="92">
        <f>ROUND(0.184*LN(D117)-1.9547,3)</f>
        <v>0.54300000000000004</v>
      </c>
      <c r="E118"/>
      <c r="F118"/>
      <c r="I118" s="57"/>
    </row>
    <row r="119" spans="1:9" x14ac:dyDescent="0.25">
      <c r="A119" s="58"/>
      <c r="I119" s="57"/>
    </row>
    <row r="120" spans="1:9" x14ac:dyDescent="0.25">
      <c r="A120" s="58"/>
      <c r="I120" s="57"/>
    </row>
    <row r="121" spans="1:9" x14ac:dyDescent="0.25">
      <c r="A121" s="175" t="s">
        <v>214</v>
      </c>
      <c r="B121" s="176"/>
      <c r="C121" s="176"/>
      <c r="D121" s="176"/>
      <c r="E121" s="176"/>
      <c r="F121" s="176"/>
      <c r="I121" s="57"/>
    </row>
    <row r="122" spans="1:9" x14ac:dyDescent="0.25">
      <c r="A122" s="58"/>
      <c r="I122" s="57"/>
    </row>
    <row r="123" spans="1:9" x14ac:dyDescent="0.25">
      <c r="A123" s="58"/>
      <c r="I123" s="57"/>
    </row>
    <row r="124" spans="1:9" x14ac:dyDescent="0.25">
      <c r="A124" s="58"/>
      <c r="I124" s="57"/>
    </row>
    <row r="125" spans="1:9" x14ac:dyDescent="0.25">
      <c r="A125" s="58"/>
      <c r="I125" s="57"/>
    </row>
    <row r="126" spans="1:9" x14ac:dyDescent="0.25">
      <c r="A126" s="58"/>
      <c r="I126" s="57"/>
    </row>
    <row r="127" spans="1:9" x14ac:dyDescent="0.25">
      <c r="A127" s="58"/>
      <c r="I127" s="57"/>
    </row>
    <row r="128" spans="1:9" x14ac:dyDescent="0.25">
      <c r="A128" s="58"/>
      <c r="I128" s="57"/>
    </row>
    <row r="129" spans="1:13" x14ac:dyDescent="0.25">
      <c r="B129" s="65">
        <f>($H$10*$E$21+9.36*LOG(C136+1)-0.2)</f>
        <v>3.4463590696545721</v>
      </c>
      <c r="F129" s="65">
        <f>($H$10*$E$21+9.36*LOG(G136+1)-0.2)</f>
        <v>3.9867178038283066</v>
      </c>
      <c r="K129" s="97">
        <f>($H$10*$E$21+9.36*LOG(L136+1)-0.2)</f>
        <v>3.1626863407402421</v>
      </c>
    </row>
    <row r="130" spans="1:13" x14ac:dyDescent="0.25">
      <c r="B130" s="65">
        <f>LOG(($E$43/(4.2-1.5)))</f>
        <v>-0.20091484278071337</v>
      </c>
      <c r="F130" s="65">
        <f>LOG(($E$43/(4.2-1.5)))</f>
        <v>-0.20091484278071337</v>
      </c>
      <c r="K130" s="97">
        <f>LOG(($E$43/(4.2-1.5)))</f>
        <v>-0.20091484278071337</v>
      </c>
    </row>
    <row r="131" spans="1:13" x14ac:dyDescent="0.25">
      <c r="B131" s="65">
        <f>0.4+((1094)/(C136+1)^5.19)</f>
        <v>5.3805156858338385</v>
      </c>
      <c r="F131" s="65">
        <f>0.4+((1094)/(G136+1)^5.19)</f>
        <v>2.8983444896145243</v>
      </c>
      <c r="K131" s="97">
        <f>0.4+((1094)/(L136+1)^5.19)</f>
        <v>7.5543009255644877</v>
      </c>
    </row>
    <row r="132" spans="1:13" x14ac:dyDescent="0.25">
      <c r="B132" s="65">
        <f>2.32*LOG($D$78)-8.07</f>
        <v>2.29472971944565</v>
      </c>
      <c r="F132" s="65">
        <f>2.32*LOG($D$91)-8.07</f>
        <v>1.7863496039881337</v>
      </c>
      <c r="K132" s="97">
        <f>2.32*LOG($D$66)-8.07</f>
        <v>2.5682688924597219</v>
      </c>
    </row>
    <row r="134" spans="1:13" ht="18" x14ac:dyDescent="0.35">
      <c r="B134" s="90" t="s">
        <v>215</v>
      </c>
      <c r="C134" s="96">
        <f>'CALCULO DE ESALs'!I24</f>
        <v>7006460.0858551683</v>
      </c>
      <c r="D134" s="97"/>
      <c r="F134" s="90" t="s">
        <v>215</v>
      </c>
      <c r="G134" s="96">
        <f>C134</f>
        <v>7006460.0858551683</v>
      </c>
      <c r="H134" s="97"/>
      <c r="I134" s="57"/>
      <c r="K134" s="90" t="s">
        <v>215</v>
      </c>
      <c r="L134" s="96">
        <f>G134</f>
        <v>7006460.0858551683</v>
      </c>
      <c r="M134" s="97"/>
    </row>
    <row r="135" spans="1:13" ht="18" x14ac:dyDescent="0.35">
      <c r="B135" s="90" t="s">
        <v>216</v>
      </c>
      <c r="C135" s="91">
        <f>ROUND(LOG(C134),3)</f>
        <v>6.8449999999999998</v>
      </c>
      <c r="D135" s="97"/>
      <c r="F135" s="90" t="s">
        <v>216</v>
      </c>
      <c r="G135" s="91">
        <f>ROUND(LOG(G134),3)</f>
        <v>6.8449999999999998</v>
      </c>
      <c r="H135" s="97"/>
      <c r="I135" s="57"/>
      <c r="K135" s="90" t="s">
        <v>216</v>
      </c>
      <c r="L135" s="91">
        <f>ROUND(LOG(L134),3)</f>
        <v>6.8449999999999998</v>
      </c>
      <c r="M135" s="97"/>
    </row>
    <row r="136" spans="1:13" ht="18" x14ac:dyDescent="0.35">
      <c r="B136" s="90" t="s">
        <v>217</v>
      </c>
      <c r="C136" s="101">
        <v>1.8262</v>
      </c>
      <c r="D136" s="98">
        <f>ROUND(B129+(B130/B131)+B132,3)</f>
        <v>5.7039999999999997</v>
      </c>
      <c r="F136" s="90" t="s">
        <v>218</v>
      </c>
      <c r="G136" s="101">
        <v>2.2280000000000002</v>
      </c>
      <c r="H136" s="98">
        <f>ROUND(F129+(F130/F131)+F132,3)</f>
        <v>5.7039999999999997</v>
      </c>
      <c r="I136" s="57"/>
      <c r="K136" s="90" t="s">
        <v>219</v>
      </c>
      <c r="L136" s="101">
        <v>1.6356999999999999</v>
      </c>
      <c r="M136" s="92">
        <f>ROUND(K129+(K130/K131)+K132,3)</f>
        <v>5.7039999999999997</v>
      </c>
    </row>
    <row r="137" spans="1:13" x14ac:dyDescent="0.25">
      <c r="B137" s="170" t="s">
        <v>225</v>
      </c>
      <c r="C137" s="171"/>
      <c r="D137" s="103" t="str">
        <f>IF(C135=D136,"Ok","&amp;·$·%")</f>
        <v>&amp;·$·%</v>
      </c>
      <c r="F137" s="170" t="s">
        <v>225</v>
      </c>
      <c r="G137" s="171"/>
      <c r="H137" s="102" t="str">
        <f>IF(G135=H136,"Ok","&amp;·$·%")</f>
        <v>&amp;·$·%</v>
      </c>
      <c r="I137" s="57"/>
      <c r="K137" s="170" t="s">
        <v>225</v>
      </c>
      <c r="L137" s="171"/>
      <c r="M137" s="104" t="str">
        <f>IF(L135=M136,"Ok","&amp;·$·%")</f>
        <v>&amp;·$·%</v>
      </c>
    </row>
    <row r="138" spans="1:13" x14ac:dyDescent="0.25">
      <c r="A138" s="58"/>
      <c r="B138"/>
      <c r="C138"/>
      <c r="D138"/>
      <c r="I138" s="57"/>
    </row>
    <row r="139" spans="1:13" x14ac:dyDescent="0.25">
      <c r="A139" s="58"/>
      <c r="I139" s="57"/>
    </row>
    <row r="140" spans="1:13" x14ac:dyDescent="0.25">
      <c r="A140" s="58"/>
      <c r="B140" s="52" t="s">
        <v>220</v>
      </c>
      <c r="C140" s="89">
        <f>ROUND(C136/D118,2)</f>
        <v>3.36</v>
      </c>
      <c r="D140"/>
      <c r="F140" s="52" t="s">
        <v>222</v>
      </c>
      <c r="G140" s="89">
        <f>ROUND((G136-C142)/(D79*I53),3)</f>
        <v>5.5289999999999999</v>
      </c>
      <c r="H140"/>
      <c r="I140" s="57"/>
      <c r="K140" s="52" t="s">
        <v>224</v>
      </c>
      <c r="L140" s="89">
        <f>(L136-G142)/(D92*I54)</f>
        <v>-6.413074416126153</v>
      </c>
      <c r="M140"/>
    </row>
    <row r="141" spans="1:13" x14ac:dyDescent="0.25">
      <c r="A141" s="58"/>
      <c r="B141" s="52" t="s">
        <v>220</v>
      </c>
      <c r="C141" s="87">
        <v>3</v>
      </c>
      <c r="D141" s="105">
        <f>C141*2.5</f>
        <v>7.5</v>
      </c>
      <c r="F141" s="52" t="s">
        <v>222</v>
      </c>
      <c r="G141" s="87">
        <v>6</v>
      </c>
      <c r="H141" s="105">
        <f>G141*2.5</f>
        <v>15</v>
      </c>
      <c r="I141" s="57"/>
      <c r="K141" s="52" t="s">
        <v>224</v>
      </c>
      <c r="L141" s="87">
        <v>0</v>
      </c>
      <c r="M141" s="105">
        <f>L141*2.5</f>
        <v>0</v>
      </c>
    </row>
    <row r="142" spans="1:13" ht="18" x14ac:dyDescent="0.25">
      <c r="A142" s="58"/>
      <c r="B142" s="95" t="s">
        <v>221</v>
      </c>
      <c r="C142" s="106">
        <f>D118*C141</f>
        <v>1.629</v>
      </c>
      <c r="D142" s="86"/>
      <c r="F142" s="95" t="s">
        <v>223</v>
      </c>
      <c r="G142" s="107">
        <f>(D79*G141*I53)+C142</f>
        <v>2.2790228278799329</v>
      </c>
      <c r="H142"/>
      <c r="I142" s="57"/>
    </row>
    <row r="143" spans="1:13" x14ac:dyDescent="0.25">
      <c r="A143" s="58"/>
    </row>
    <row r="144" spans="1:13" x14ac:dyDescent="0.25">
      <c r="A144" s="58"/>
    </row>
    <row r="145" spans="1:19" x14ac:dyDescent="0.25">
      <c r="A145" s="58"/>
    </row>
    <row r="146" spans="1:19" x14ac:dyDescent="0.25">
      <c r="A146" s="58"/>
    </row>
    <row r="147" spans="1:19" x14ac:dyDescent="0.25">
      <c r="A147" s="58"/>
    </row>
    <row r="148" spans="1:19" x14ac:dyDescent="0.25">
      <c r="A148" s="58"/>
      <c r="B148"/>
      <c r="C148"/>
      <c r="D148"/>
      <c r="I148" s="57"/>
    </row>
    <row r="149" spans="1:19" x14ac:dyDescent="0.25">
      <c r="A149" s="58"/>
      <c r="H149" s="16" t="s">
        <v>229</v>
      </c>
      <c r="I149" s="16" t="s">
        <v>227</v>
      </c>
    </row>
    <row r="150" spans="1:19" x14ac:dyDescent="0.25">
      <c r="A150" s="58"/>
      <c r="H150" s="169">
        <f>C141</f>
        <v>3</v>
      </c>
      <c r="I150" s="169">
        <f>D141</f>
        <v>7.5</v>
      </c>
    </row>
    <row r="151" spans="1:19" x14ac:dyDescent="0.25">
      <c r="H151" s="169"/>
      <c r="I151" s="169"/>
    </row>
    <row r="152" spans="1:19" x14ac:dyDescent="0.25">
      <c r="B152"/>
      <c r="C152"/>
      <c r="D152"/>
      <c r="H152" s="169">
        <f>G141</f>
        <v>6</v>
      </c>
      <c r="I152" s="169">
        <f>H141</f>
        <v>15</v>
      </c>
      <c r="L152" s="172" t="s">
        <v>232</v>
      </c>
      <c r="M152" s="172"/>
      <c r="N152" s="172"/>
      <c r="O152" s="172"/>
      <c r="P152" s="172"/>
      <c r="Q152" s="172"/>
      <c r="R152" s="172"/>
      <c r="S152" s="172"/>
    </row>
    <row r="153" spans="1:19" x14ac:dyDescent="0.25">
      <c r="H153" s="169"/>
      <c r="I153" s="169"/>
      <c r="L153" s="172" t="s">
        <v>226</v>
      </c>
      <c r="M153" s="172"/>
      <c r="N153" s="172"/>
      <c r="O153" s="172"/>
      <c r="P153" s="172"/>
      <c r="Q153" s="172"/>
      <c r="R153" s="172"/>
      <c r="S153" s="172"/>
    </row>
    <row r="154" spans="1:19" x14ac:dyDescent="0.25">
      <c r="H154" s="169">
        <f>L141</f>
        <v>0</v>
      </c>
      <c r="I154" s="169">
        <f>M141</f>
        <v>0</v>
      </c>
    </row>
    <row r="155" spans="1:19" x14ac:dyDescent="0.25">
      <c r="H155" s="169"/>
      <c r="I155" s="169"/>
    </row>
    <row r="156" spans="1:19" x14ac:dyDescent="0.25">
      <c r="I156" s="57"/>
    </row>
    <row r="157" spans="1:19" x14ac:dyDescent="0.25">
      <c r="I157" s="57"/>
    </row>
    <row r="158" spans="1:19" x14ac:dyDescent="0.25">
      <c r="I158" s="57"/>
    </row>
    <row r="159" spans="1:19" x14ac:dyDescent="0.25">
      <c r="I159" s="57"/>
    </row>
    <row r="160" spans="1:19" x14ac:dyDescent="0.25">
      <c r="I160" s="57"/>
    </row>
    <row r="161" spans="1:9" x14ac:dyDescent="0.25">
      <c r="I161" s="57"/>
    </row>
    <row r="162" spans="1:9" x14ac:dyDescent="0.25">
      <c r="A162" s="58"/>
      <c r="I162" s="57"/>
    </row>
    <row r="163" spans="1:9" x14ac:dyDescent="0.25">
      <c r="A163" s="58"/>
      <c r="I163" s="57"/>
    </row>
    <row r="164" spans="1:9" x14ac:dyDescent="0.25">
      <c r="A164" s="58"/>
      <c r="I164" s="57"/>
    </row>
    <row r="165" spans="1:9" x14ac:dyDescent="0.25">
      <c r="A165" s="58"/>
      <c r="I165" s="57"/>
    </row>
    <row r="166" spans="1:9" x14ac:dyDescent="0.25">
      <c r="A166" s="58"/>
      <c r="I166" s="57"/>
    </row>
    <row r="167" spans="1:9" x14ac:dyDescent="0.25">
      <c r="A167" s="58"/>
      <c r="I167" s="57"/>
    </row>
    <row r="168" spans="1:9" x14ac:dyDescent="0.25">
      <c r="A168" s="58"/>
      <c r="I168" s="57"/>
    </row>
    <row r="169" spans="1:9" x14ac:dyDescent="0.25">
      <c r="A169" s="58"/>
      <c r="I169" s="57"/>
    </row>
    <row r="170" spans="1:9" x14ac:dyDescent="0.25">
      <c r="A170" s="58"/>
      <c r="I170" s="57"/>
    </row>
    <row r="171" spans="1:9" x14ac:dyDescent="0.25">
      <c r="A171" s="58"/>
      <c r="I171" s="57"/>
    </row>
    <row r="172" spans="1:9" x14ac:dyDescent="0.25">
      <c r="A172" s="58"/>
      <c r="I172" s="57"/>
    </row>
    <row r="173" spans="1:9" x14ac:dyDescent="0.25">
      <c r="A173" s="58"/>
      <c r="I173" s="57"/>
    </row>
    <row r="174" spans="1:9" x14ac:dyDescent="0.25">
      <c r="A174" s="58"/>
      <c r="I174" s="57"/>
    </row>
    <row r="175" spans="1:9" x14ac:dyDescent="0.25">
      <c r="A175" s="58"/>
      <c r="I175" s="57"/>
    </row>
    <row r="176" spans="1:9" x14ac:dyDescent="0.25">
      <c r="A176" s="58"/>
      <c r="I176" s="57"/>
    </row>
    <row r="177" spans="1:9" x14ac:dyDescent="0.25">
      <c r="A177" s="58"/>
      <c r="I177" s="57"/>
    </row>
    <row r="178" spans="1:9" x14ac:dyDescent="0.25">
      <c r="A178" s="58"/>
      <c r="I178" s="57"/>
    </row>
    <row r="179" spans="1:9" x14ac:dyDescent="0.25">
      <c r="A179" s="58"/>
      <c r="I179" s="57"/>
    </row>
    <row r="180" spans="1:9" x14ac:dyDescent="0.25">
      <c r="A180" s="58"/>
      <c r="I180" s="57"/>
    </row>
    <row r="181" spans="1:9" x14ac:dyDescent="0.25">
      <c r="A181" s="58"/>
      <c r="I181" s="57"/>
    </row>
    <row r="182" spans="1:9" x14ac:dyDescent="0.25">
      <c r="A182" s="58"/>
      <c r="I182" s="57"/>
    </row>
    <row r="183" spans="1:9" x14ac:dyDescent="0.25">
      <c r="A183" s="58"/>
      <c r="I183" s="57"/>
    </row>
    <row r="184" spans="1:9" x14ac:dyDescent="0.25">
      <c r="A184" s="58"/>
      <c r="I184" s="57"/>
    </row>
    <row r="185" spans="1:9" x14ac:dyDescent="0.25">
      <c r="A185" s="58"/>
      <c r="I185" s="57"/>
    </row>
    <row r="186" spans="1:9" x14ac:dyDescent="0.25">
      <c r="A186" s="58"/>
      <c r="I186" s="57"/>
    </row>
    <row r="187" spans="1:9" x14ac:dyDescent="0.25">
      <c r="A187" s="58"/>
      <c r="I187" s="57"/>
    </row>
    <row r="188" spans="1:9" x14ac:dyDescent="0.25">
      <c r="A188" s="58"/>
      <c r="I188" s="57"/>
    </row>
    <row r="189" spans="1:9" x14ac:dyDescent="0.25">
      <c r="A189" s="58"/>
      <c r="I189" s="57"/>
    </row>
    <row r="190" spans="1:9" x14ac:dyDescent="0.25">
      <c r="A190" s="58"/>
      <c r="I190" s="57"/>
    </row>
    <row r="191" spans="1:9" x14ac:dyDescent="0.25">
      <c r="A191" s="58"/>
      <c r="I191" s="57"/>
    </row>
    <row r="192" spans="1:9" x14ac:dyDescent="0.25">
      <c r="A192" s="58"/>
      <c r="I192" s="57"/>
    </row>
    <row r="193" spans="1:9" x14ac:dyDescent="0.25">
      <c r="A193" s="58"/>
      <c r="I193" s="57"/>
    </row>
    <row r="194" spans="1:9" x14ac:dyDescent="0.25">
      <c r="A194" s="58"/>
      <c r="I194" s="57"/>
    </row>
    <row r="195" spans="1:9" x14ac:dyDescent="0.25">
      <c r="A195" s="58"/>
      <c r="I195" s="57"/>
    </row>
    <row r="196" spans="1:9" x14ac:dyDescent="0.25">
      <c r="A196" s="58"/>
      <c r="I196" s="57"/>
    </row>
    <row r="197" spans="1:9" x14ac:dyDescent="0.25">
      <c r="A197" s="58"/>
      <c r="I197" s="57"/>
    </row>
    <row r="198" spans="1:9" x14ac:dyDescent="0.25">
      <c r="A198" s="58"/>
      <c r="I198" s="57"/>
    </row>
    <row r="199" spans="1:9" x14ac:dyDescent="0.25">
      <c r="A199" s="58"/>
      <c r="I199" s="57"/>
    </row>
    <row r="200" spans="1:9" x14ac:dyDescent="0.25">
      <c r="A200" s="58"/>
      <c r="I200" s="57"/>
    </row>
    <row r="201" spans="1:9" x14ac:dyDescent="0.25">
      <c r="A201" s="58"/>
      <c r="I201" s="57"/>
    </row>
    <row r="202" spans="1:9" x14ac:dyDescent="0.25">
      <c r="A202" s="58"/>
      <c r="I202" s="57"/>
    </row>
    <row r="203" spans="1:9" x14ac:dyDescent="0.25">
      <c r="A203" s="58"/>
      <c r="I203" s="57"/>
    </row>
    <row r="204" spans="1:9" x14ac:dyDescent="0.25">
      <c r="A204" s="58"/>
      <c r="I204" s="57"/>
    </row>
    <row r="205" spans="1:9" x14ac:dyDescent="0.25">
      <c r="A205" s="58"/>
      <c r="I205" s="57"/>
    </row>
    <row r="206" spans="1:9" x14ac:dyDescent="0.25">
      <c r="A206" s="58"/>
      <c r="I206" s="57"/>
    </row>
    <row r="207" spans="1:9" x14ac:dyDescent="0.25">
      <c r="A207" s="58"/>
      <c r="I207" s="57"/>
    </row>
    <row r="208" spans="1:9" x14ac:dyDescent="0.25">
      <c r="A208" s="58"/>
      <c r="I208" s="57"/>
    </row>
    <row r="209" spans="1:9" x14ac:dyDescent="0.25">
      <c r="A209" s="58"/>
      <c r="I209" s="57"/>
    </row>
    <row r="210" spans="1:9" x14ac:dyDescent="0.25">
      <c r="A210" s="58"/>
      <c r="I210" s="57"/>
    </row>
    <row r="211" spans="1:9" x14ac:dyDescent="0.25">
      <c r="A211" s="58"/>
      <c r="I211" s="57"/>
    </row>
    <row r="212" spans="1:9" x14ac:dyDescent="0.25">
      <c r="A212" s="58"/>
      <c r="I212" s="57"/>
    </row>
    <row r="213" spans="1:9" x14ac:dyDescent="0.25">
      <c r="A213" s="58"/>
      <c r="I213" s="57"/>
    </row>
    <row r="214" spans="1:9" x14ac:dyDescent="0.25">
      <c r="A214" s="58"/>
      <c r="I214" s="57"/>
    </row>
    <row r="215" spans="1:9" x14ac:dyDescent="0.25">
      <c r="A215" s="58"/>
      <c r="I215" s="57"/>
    </row>
    <row r="216" spans="1:9" x14ac:dyDescent="0.25">
      <c r="A216" s="58"/>
      <c r="I216" s="57"/>
    </row>
    <row r="217" spans="1:9" x14ac:dyDescent="0.25">
      <c r="A217" s="58"/>
      <c r="I217" s="57"/>
    </row>
    <row r="218" spans="1:9" x14ac:dyDescent="0.25">
      <c r="A218" s="58"/>
      <c r="I218" s="57"/>
    </row>
    <row r="219" spans="1:9" x14ac:dyDescent="0.25">
      <c r="A219" s="58"/>
      <c r="I219" s="57"/>
    </row>
    <row r="220" spans="1:9" x14ac:dyDescent="0.25">
      <c r="A220" s="58"/>
      <c r="I220" s="57"/>
    </row>
    <row r="221" spans="1:9" x14ac:dyDescent="0.25">
      <c r="A221" s="58"/>
      <c r="I221" s="57"/>
    </row>
    <row r="222" spans="1:9" x14ac:dyDescent="0.25">
      <c r="A222" s="58"/>
      <c r="I222" s="57"/>
    </row>
    <row r="223" spans="1:9" x14ac:dyDescent="0.25">
      <c r="A223" s="58"/>
      <c r="I223" s="57"/>
    </row>
    <row r="224" spans="1:9" x14ac:dyDescent="0.25">
      <c r="A224" s="58"/>
      <c r="I224" s="57"/>
    </row>
    <row r="225" spans="1:9" x14ac:dyDescent="0.25">
      <c r="A225" s="58"/>
      <c r="I225" s="57"/>
    </row>
    <row r="226" spans="1:9" x14ac:dyDescent="0.25">
      <c r="A226" s="58"/>
      <c r="I226" s="57"/>
    </row>
    <row r="227" spans="1:9" x14ac:dyDescent="0.25">
      <c r="A227" s="58"/>
      <c r="I227" s="57"/>
    </row>
    <row r="228" spans="1:9" x14ac:dyDescent="0.25">
      <c r="A228" s="58"/>
      <c r="I228" s="57"/>
    </row>
    <row r="229" spans="1:9" x14ac:dyDescent="0.25">
      <c r="A229" s="58"/>
      <c r="I229" s="57"/>
    </row>
    <row r="230" spans="1:9" x14ac:dyDescent="0.25">
      <c r="A230" s="58"/>
      <c r="I230" s="57"/>
    </row>
    <row r="231" spans="1:9" x14ac:dyDescent="0.25">
      <c r="A231" s="58"/>
      <c r="I231" s="57"/>
    </row>
    <row r="232" spans="1:9" x14ac:dyDescent="0.25">
      <c r="A232" s="58"/>
      <c r="I232" s="57"/>
    </row>
    <row r="233" spans="1:9" x14ac:dyDescent="0.25">
      <c r="A233" s="58"/>
      <c r="I233" s="57"/>
    </row>
    <row r="234" spans="1:9" x14ac:dyDescent="0.25">
      <c r="A234" s="58"/>
      <c r="I234" s="57"/>
    </row>
    <row r="235" spans="1:9" x14ac:dyDescent="0.25">
      <c r="A235" s="58"/>
      <c r="I235" s="57"/>
    </row>
    <row r="236" spans="1:9" x14ac:dyDescent="0.25">
      <c r="A236" s="58"/>
      <c r="I236" s="57"/>
    </row>
    <row r="237" spans="1:9" x14ac:dyDescent="0.25">
      <c r="A237" s="58"/>
      <c r="I237" s="57"/>
    </row>
    <row r="238" spans="1:9" x14ac:dyDescent="0.25">
      <c r="A238" s="58"/>
      <c r="I238" s="57"/>
    </row>
    <row r="239" spans="1:9" x14ac:dyDescent="0.25">
      <c r="A239" s="58"/>
      <c r="I239" s="57"/>
    </row>
    <row r="240" spans="1:9" x14ac:dyDescent="0.25">
      <c r="A240" s="58"/>
      <c r="I240" s="57"/>
    </row>
    <row r="241" spans="1:9" x14ac:dyDescent="0.25">
      <c r="A241" s="58"/>
      <c r="I241" s="57"/>
    </row>
    <row r="242" spans="1:9" x14ac:dyDescent="0.25">
      <c r="A242" s="58"/>
      <c r="I242" s="57"/>
    </row>
    <row r="243" spans="1:9" x14ac:dyDescent="0.25">
      <c r="A243" s="58"/>
      <c r="I243" s="57"/>
    </row>
    <row r="244" spans="1:9" x14ac:dyDescent="0.25">
      <c r="A244" s="58"/>
      <c r="I244" s="57"/>
    </row>
    <row r="245" spans="1:9" x14ac:dyDescent="0.25">
      <c r="A245" s="58"/>
      <c r="I245" s="57"/>
    </row>
    <row r="246" spans="1:9" x14ac:dyDescent="0.25">
      <c r="A246" s="58"/>
      <c r="I246" s="57"/>
    </row>
    <row r="247" spans="1:9" x14ac:dyDescent="0.25">
      <c r="A247" s="58"/>
      <c r="I247" s="57"/>
    </row>
    <row r="248" spans="1:9" x14ac:dyDescent="0.25">
      <c r="A248" s="58"/>
      <c r="I248" s="57"/>
    </row>
    <row r="249" spans="1:9" x14ac:dyDescent="0.25">
      <c r="A249" s="58"/>
      <c r="I249" s="57"/>
    </row>
    <row r="250" spans="1:9" x14ac:dyDescent="0.25">
      <c r="A250" s="58"/>
      <c r="I250" s="57"/>
    </row>
    <row r="251" spans="1:9" x14ac:dyDescent="0.25">
      <c r="A251" s="58"/>
      <c r="I251" s="57"/>
    </row>
    <row r="252" spans="1:9" x14ac:dyDescent="0.25">
      <c r="A252" s="58"/>
      <c r="I252" s="57"/>
    </row>
    <row r="253" spans="1:9" x14ac:dyDescent="0.25">
      <c r="A253" s="58"/>
      <c r="I253" s="57"/>
    </row>
    <row r="254" spans="1:9" x14ac:dyDescent="0.25">
      <c r="A254" s="58"/>
      <c r="I254" s="57"/>
    </row>
    <row r="255" spans="1:9" x14ac:dyDescent="0.25">
      <c r="A255" s="58"/>
      <c r="I255" s="57"/>
    </row>
    <row r="256" spans="1:9" x14ac:dyDescent="0.25">
      <c r="A256" s="58"/>
      <c r="I256" s="57"/>
    </row>
    <row r="257" spans="1:9" x14ac:dyDescent="0.25">
      <c r="A257" s="58"/>
      <c r="I257" s="57"/>
    </row>
    <row r="258" spans="1:9" x14ac:dyDescent="0.25">
      <c r="A258" s="58"/>
      <c r="I258" s="57"/>
    </row>
    <row r="259" spans="1:9" x14ac:dyDescent="0.25">
      <c r="A259" s="58"/>
      <c r="I259" s="57"/>
    </row>
    <row r="260" spans="1:9" x14ac:dyDescent="0.25">
      <c r="A260" s="58"/>
      <c r="I260" s="57"/>
    </row>
    <row r="261" spans="1:9" x14ac:dyDescent="0.25">
      <c r="A261" s="58"/>
      <c r="I261" s="57"/>
    </row>
    <row r="262" spans="1:9" x14ac:dyDescent="0.25">
      <c r="A262" s="58"/>
      <c r="I262" s="57"/>
    </row>
    <row r="263" spans="1:9" x14ac:dyDescent="0.25">
      <c r="A263" s="58"/>
      <c r="I263" s="57"/>
    </row>
    <row r="264" spans="1:9" x14ac:dyDescent="0.25">
      <c r="A264" s="58"/>
      <c r="I264" s="57"/>
    </row>
    <row r="265" spans="1:9" x14ac:dyDescent="0.25">
      <c r="A265" s="58"/>
      <c r="I265" s="57"/>
    </row>
    <row r="266" spans="1:9" x14ac:dyDescent="0.25">
      <c r="A266" s="58"/>
      <c r="I266" s="57"/>
    </row>
    <row r="267" spans="1:9" x14ac:dyDescent="0.25">
      <c r="A267" s="58"/>
      <c r="I267" s="57"/>
    </row>
    <row r="268" spans="1:9" x14ac:dyDescent="0.25">
      <c r="A268" s="58"/>
      <c r="I268" s="57"/>
    </row>
    <row r="269" spans="1:9" x14ac:dyDescent="0.25">
      <c r="A269" s="58"/>
      <c r="I269" s="57"/>
    </row>
    <row r="270" spans="1:9" x14ac:dyDescent="0.25">
      <c r="A270" s="58"/>
      <c r="I270" s="57"/>
    </row>
    <row r="271" spans="1:9" x14ac:dyDescent="0.25">
      <c r="A271" s="58"/>
      <c r="I271" s="57"/>
    </row>
    <row r="272" spans="1:9" x14ac:dyDescent="0.25">
      <c r="A272" s="58"/>
      <c r="I272" s="57"/>
    </row>
    <row r="273" spans="1:9" x14ac:dyDescent="0.25">
      <c r="A273" s="58"/>
      <c r="I273" s="57"/>
    </row>
    <row r="274" spans="1:9" x14ac:dyDescent="0.25">
      <c r="A274" s="58"/>
      <c r="I274" s="57"/>
    </row>
    <row r="275" spans="1:9" x14ac:dyDescent="0.25">
      <c r="A275" s="58"/>
      <c r="I275" s="57"/>
    </row>
    <row r="276" spans="1:9" x14ac:dyDescent="0.25">
      <c r="A276" s="81"/>
      <c r="B276" s="82"/>
      <c r="C276" s="82"/>
      <c r="D276" s="82"/>
      <c r="E276" s="82"/>
      <c r="F276" s="82"/>
      <c r="G276" s="82"/>
      <c r="H276" s="82"/>
      <c r="I276" s="83"/>
    </row>
  </sheetData>
  <mergeCells count="57">
    <mergeCell ref="D65:E65"/>
    <mergeCell ref="A12:B13"/>
    <mergeCell ref="C12:E12"/>
    <mergeCell ref="A16:B16"/>
    <mergeCell ref="A17:B17"/>
    <mergeCell ref="A15:B15"/>
    <mergeCell ref="A14:C14"/>
    <mergeCell ref="C23:D23"/>
    <mergeCell ref="A23:B25"/>
    <mergeCell ref="A21:C21"/>
    <mergeCell ref="A59:F59"/>
    <mergeCell ref="A45:D45"/>
    <mergeCell ref="A34:C34"/>
    <mergeCell ref="A54:B54"/>
    <mergeCell ref="A55:B55"/>
    <mergeCell ref="A56:B56"/>
    <mergeCell ref="H36:H37"/>
    <mergeCell ref="H38:H39"/>
    <mergeCell ref="F35:H35"/>
    <mergeCell ref="B36:B37"/>
    <mergeCell ref="C36:D37"/>
    <mergeCell ref="C38:D38"/>
    <mergeCell ref="C39:D39"/>
    <mergeCell ref="F36:G37"/>
    <mergeCell ref="F38:G39"/>
    <mergeCell ref="A10:C10"/>
    <mergeCell ref="A26:B26"/>
    <mergeCell ref="A27:B27"/>
    <mergeCell ref="A52:B52"/>
    <mergeCell ref="A53:B53"/>
    <mergeCell ref="B117:C117"/>
    <mergeCell ref="B118:C118"/>
    <mergeCell ref="A121:F121"/>
    <mergeCell ref="C48:F51"/>
    <mergeCell ref="A48:B51"/>
    <mergeCell ref="B90:C90"/>
    <mergeCell ref="A98:F98"/>
    <mergeCell ref="B116:C116"/>
    <mergeCell ref="B81:F81"/>
    <mergeCell ref="B70:D70"/>
    <mergeCell ref="B77:C77"/>
    <mergeCell ref="B83:E83"/>
    <mergeCell ref="E63:F63"/>
    <mergeCell ref="E61:F61"/>
    <mergeCell ref="E62:F62"/>
    <mergeCell ref="B68:F68"/>
    <mergeCell ref="I154:I155"/>
    <mergeCell ref="B137:C137"/>
    <mergeCell ref="F137:G137"/>
    <mergeCell ref="K137:L137"/>
    <mergeCell ref="L152:S152"/>
    <mergeCell ref="L153:S153"/>
    <mergeCell ref="I150:I151"/>
    <mergeCell ref="I152:I153"/>
    <mergeCell ref="H150:H151"/>
    <mergeCell ref="H152:H153"/>
    <mergeCell ref="H154:H155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AB29-D7C5-4EAD-AD7C-CED4B607559C}">
  <dimension ref="A1:R178"/>
  <sheetViews>
    <sheetView tabSelected="1" topLeftCell="A138" zoomScale="70" zoomScaleNormal="70" workbookViewId="0">
      <selection activeCell="L150" sqref="L150"/>
    </sheetView>
  </sheetViews>
  <sheetFormatPr baseColWidth="10" defaultRowHeight="15" x14ac:dyDescent="0.25"/>
  <cols>
    <col min="1" max="3" width="11.42578125" style="113"/>
    <col min="4" max="4" width="17" style="113" customWidth="1"/>
    <col min="5" max="6" width="11.42578125" style="113"/>
    <col min="7" max="7" width="20.85546875" style="113" customWidth="1"/>
    <col min="8" max="8" width="11.42578125" style="113"/>
    <col min="9" max="9" width="13" style="113" bestFit="1" customWidth="1"/>
    <col min="10" max="10" width="12.28515625" style="113" bestFit="1" customWidth="1"/>
    <col min="11" max="11" width="14.7109375" style="113" customWidth="1"/>
    <col min="12" max="12" width="14.28515625" style="113" customWidth="1"/>
    <col min="13" max="16384" width="11.42578125" style="113"/>
  </cols>
  <sheetData>
    <row r="1" spans="1:8" x14ac:dyDescent="0.25">
      <c r="A1" s="16"/>
      <c r="B1" s="16" t="s">
        <v>98</v>
      </c>
      <c r="C1" s="16"/>
      <c r="D1" s="16"/>
      <c r="E1" s="16"/>
      <c r="F1" s="16"/>
      <c r="G1" s="16"/>
      <c r="H1" s="16"/>
    </row>
    <row r="2" spans="1:8" x14ac:dyDescent="0.25">
      <c r="A2" s="16"/>
      <c r="B2" s="16" t="s">
        <v>99</v>
      </c>
      <c r="C2" s="16"/>
      <c r="D2" s="16"/>
      <c r="E2" s="16">
        <v>8.1999999999999993</v>
      </c>
      <c r="F2" s="16" t="s">
        <v>185</v>
      </c>
      <c r="G2" s="16"/>
      <c r="H2" s="16"/>
    </row>
    <row r="3" spans="1:8" x14ac:dyDescent="0.25">
      <c r="A3" s="16"/>
      <c r="B3" s="16" t="s">
        <v>100</v>
      </c>
      <c r="C3" s="16"/>
      <c r="D3" s="16"/>
      <c r="E3" s="16">
        <v>11</v>
      </c>
      <c r="F3" s="16" t="s">
        <v>186</v>
      </c>
      <c r="G3" s="16"/>
      <c r="H3" s="16"/>
    </row>
    <row r="4" spans="1:8" x14ac:dyDescent="0.25">
      <c r="A4" s="16"/>
      <c r="B4" s="16" t="s">
        <v>101</v>
      </c>
      <c r="C4" s="16"/>
      <c r="D4" s="16"/>
      <c r="E4" s="16">
        <v>18</v>
      </c>
      <c r="F4" s="16"/>
      <c r="G4" s="16"/>
      <c r="H4" s="16"/>
    </row>
    <row r="5" spans="1:8" x14ac:dyDescent="0.25">
      <c r="A5" s="16"/>
      <c r="B5" s="16" t="s">
        <v>102</v>
      </c>
      <c r="C5" s="16"/>
      <c r="D5" s="16"/>
      <c r="E5" s="16">
        <v>66</v>
      </c>
      <c r="F5" s="16"/>
      <c r="G5" s="16"/>
      <c r="H5" s="16"/>
    </row>
    <row r="6" spans="1:8" x14ac:dyDescent="0.25">
      <c r="A6" s="16"/>
      <c r="B6" s="16" t="s">
        <v>103</v>
      </c>
      <c r="C6" s="16"/>
      <c r="D6" s="16"/>
      <c r="E6" s="16">
        <v>30</v>
      </c>
      <c r="F6" s="16" t="s">
        <v>123</v>
      </c>
      <c r="G6" s="16"/>
      <c r="H6" s="16"/>
    </row>
    <row r="7" spans="1:8" x14ac:dyDescent="0.25">
      <c r="A7" s="16"/>
      <c r="B7" s="16"/>
      <c r="C7" s="16"/>
      <c r="D7" s="16"/>
      <c r="E7" s="16"/>
      <c r="F7" s="16"/>
      <c r="G7" s="16"/>
      <c r="H7" s="16"/>
    </row>
    <row r="8" spans="1:8" x14ac:dyDescent="0.25">
      <c r="A8" s="16"/>
      <c r="B8" s="16"/>
      <c r="C8" s="16"/>
      <c r="D8" s="16"/>
      <c r="E8" s="16"/>
      <c r="F8" s="16"/>
      <c r="G8" s="16"/>
      <c r="H8" s="16"/>
    </row>
    <row r="9" spans="1:8" x14ac:dyDescent="0.25">
      <c r="A9" s="53"/>
      <c r="B9" s="54"/>
      <c r="C9" s="54"/>
      <c r="D9" s="54"/>
      <c r="E9" s="54"/>
      <c r="F9" s="54"/>
      <c r="G9" s="54"/>
      <c r="H9" s="54"/>
    </row>
    <row r="10" spans="1:8" x14ac:dyDescent="0.25">
      <c r="A10" s="175" t="s">
        <v>179</v>
      </c>
      <c r="B10" s="176"/>
      <c r="C10" s="183"/>
      <c r="D10" s="56" t="s">
        <v>124</v>
      </c>
      <c r="E10" s="56">
        <v>90</v>
      </c>
      <c r="F10" s="16"/>
      <c r="G10" s="56" t="s">
        <v>125</v>
      </c>
      <c r="H10" s="56">
        <f>H19</f>
        <v>-1.282</v>
      </c>
    </row>
    <row r="11" spans="1:8" x14ac:dyDescent="0.25">
      <c r="A11" s="58"/>
      <c r="B11" s="16"/>
      <c r="C11" s="16"/>
      <c r="D11" s="16"/>
      <c r="E11" s="16"/>
      <c r="F11" s="16"/>
      <c r="G11" s="16"/>
      <c r="H11" s="16"/>
    </row>
    <row r="12" spans="1:8" x14ac:dyDescent="0.25">
      <c r="A12" s="196" t="s">
        <v>104</v>
      </c>
      <c r="B12" s="197"/>
      <c r="C12" s="200" t="s">
        <v>128</v>
      </c>
      <c r="D12" s="200"/>
      <c r="E12" s="201"/>
      <c r="F12" s="16"/>
      <c r="G12" s="60" t="s">
        <v>130</v>
      </c>
      <c r="H12" s="60" t="s">
        <v>131</v>
      </c>
    </row>
    <row r="13" spans="1:8" x14ac:dyDescent="0.25">
      <c r="A13" s="198"/>
      <c r="B13" s="199"/>
      <c r="C13" s="61"/>
      <c r="D13" s="60" t="s">
        <v>126</v>
      </c>
      <c r="E13" s="60" t="s">
        <v>127</v>
      </c>
      <c r="F13" s="16"/>
      <c r="G13" s="13">
        <v>50</v>
      </c>
      <c r="H13" s="13">
        <v>0</v>
      </c>
    </row>
    <row r="14" spans="1:8" x14ac:dyDescent="0.25">
      <c r="A14" s="184" t="s">
        <v>129</v>
      </c>
      <c r="B14" s="202"/>
      <c r="C14" s="185"/>
      <c r="D14" s="99" t="s">
        <v>108</v>
      </c>
      <c r="E14" s="63" t="s">
        <v>112</v>
      </c>
      <c r="F14" s="16"/>
      <c r="G14" s="13">
        <v>60</v>
      </c>
      <c r="H14" s="13">
        <v>-0.253</v>
      </c>
    </row>
    <row r="15" spans="1:8" x14ac:dyDescent="0.25">
      <c r="A15" s="184" t="s">
        <v>105</v>
      </c>
      <c r="B15" s="185"/>
      <c r="C15" s="13"/>
      <c r="D15" s="99" t="s">
        <v>109</v>
      </c>
      <c r="E15" s="13" t="s">
        <v>113</v>
      </c>
      <c r="F15" s="16"/>
      <c r="G15" s="13">
        <v>70</v>
      </c>
      <c r="H15" s="13">
        <v>-0.52400000000000002</v>
      </c>
    </row>
    <row r="16" spans="1:8" x14ac:dyDescent="0.25">
      <c r="A16" s="184" t="s">
        <v>106</v>
      </c>
      <c r="B16" s="185"/>
      <c r="C16" s="13"/>
      <c r="D16" s="13" t="s">
        <v>110</v>
      </c>
      <c r="E16" s="13" t="s">
        <v>114</v>
      </c>
      <c r="F16" s="16"/>
      <c r="G16" s="13">
        <v>75</v>
      </c>
      <c r="H16" s="13">
        <v>-0.67100000000000004</v>
      </c>
    </row>
    <row r="17" spans="1:8" x14ac:dyDescent="0.25">
      <c r="A17" s="184" t="s">
        <v>107</v>
      </c>
      <c r="B17" s="185"/>
      <c r="C17" s="13"/>
      <c r="D17" s="13" t="s">
        <v>111</v>
      </c>
      <c r="E17" s="13" t="s">
        <v>111</v>
      </c>
      <c r="F17" s="16"/>
      <c r="G17" s="13">
        <v>80</v>
      </c>
      <c r="H17" s="13">
        <v>-0.84099999999999997</v>
      </c>
    </row>
    <row r="18" spans="1:8" x14ac:dyDescent="0.25">
      <c r="A18" s="58"/>
      <c r="B18" s="16"/>
      <c r="C18" s="16"/>
      <c r="D18" s="16"/>
      <c r="E18" s="16"/>
      <c r="F18" s="16"/>
      <c r="G18" s="13">
        <v>85</v>
      </c>
      <c r="H18" s="13">
        <v>-1.0369999999999999</v>
      </c>
    </row>
    <row r="19" spans="1:8" x14ac:dyDescent="0.25">
      <c r="A19" s="58"/>
      <c r="B19" s="16"/>
      <c r="C19" s="16"/>
      <c r="D19" s="16"/>
      <c r="E19" s="16"/>
      <c r="F19" s="16"/>
      <c r="G19" s="64">
        <v>90</v>
      </c>
      <c r="H19" s="64">
        <v>-1.282</v>
      </c>
    </row>
    <row r="20" spans="1:8" x14ac:dyDescent="0.25">
      <c r="A20" s="58"/>
      <c r="B20" s="16"/>
      <c r="C20" s="16"/>
      <c r="D20" s="16"/>
      <c r="E20" s="16"/>
      <c r="F20" s="16"/>
      <c r="G20" s="13">
        <v>91</v>
      </c>
      <c r="H20" s="13">
        <v>-1.34</v>
      </c>
    </row>
    <row r="21" spans="1:8" x14ac:dyDescent="0.25">
      <c r="A21" s="175" t="s">
        <v>138</v>
      </c>
      <c r="B21" s="176"/>
      <c r="C21" s="176"/>
      <c r="D21" s="56" t="s">
        <v>198</v>
      </c>
      <c r="E21" s="56">
        <f>D26</f>
        <v>0.35</v>
      </c>
      <c r="F21" s="16"/>
      <c r="G21" s="13">
        <v>92</v>
      </c>
      <c r="H21" s="13">
        <v>-1.405</v>
      </c>
    </row>
    <row r="22" spans="1:8" x14ac:dyDescent="0.25">
      <c r="A22" s="58"/>
      <c r="B22" s="16"/>
      <c r="C22" s="16"/>
      <c r="D22" s="16"/>
      <c r="E22" s="16"/>
      <c r="F22" s="16"/>
      <c r="G22" s="13">
        <v>93</v>
      </c>
      <c r="H22" s="13">
        <v>-1.476</v>
      </c>
    </row>
    <row r="23" spans="1:8" x14ac:dyDescent="0.25">
      <c r="A23" s="205" t="s">
        <v>133</v>
      </c>
      <c r="B23" s="206"/>
      <c r="C23" s="203" t="s">
        <v>198</v>
      </c>
      <c r="D23" s="204"/>
      <c r="E23" s="16"/>
      <c r="F23" s="16"/>
      <c r="G23" s="13">
        <v>94</v>
      </c>
      <c r="H23" s="13">
        <v>-1.5549999999999999</v>
      </c>
    </row>
    <row r="24" spans="1:8" x14ac:dyDescent="0.25">
      <c r="A24" s="207"/>
      <c r="B24" s="208"/>
      <c r="C24" s="59" t="s">
        <v>136</v>
      </c>
      <c r="D24" s="60" t="s">
        <v>137</v>
      </c>
      <c r="E24" s="16"/>
      <c r="F24" s="16"/>
      <c r="G24" s="13">
        <v>95</v>
      </c>
      <c r="H24" s="13">
        <v>-1.645</v>
      </c>
    </row>
    <row r="25" spans="1:8" x14ac:dyDescent="0.25">
      <c r="A25" s="209"/>
      <c r="B25" s="210"/>
      <c r="C25" s="59" t="s">
        <v>134</v>
      </c>
      <c r="D25" s="60" t="s">
        <v>135</v>
      </c>
      <c r="E25" s="16"/>
      <c r="F25" s="16"/>
      <c r="G25" s="13">
        <v>96</v>
      </c>
      <c r="H25" s="13">
        <v>-1.7509999999999999</v>
      </c>
    </row>
    <row r="26" spans="1:8" x14ac:dyDescent="0.25">
      <c r="A26" s="184" t="s">
        <v>180</v>
      </c>
      <c r="B26" s="185"/>
      <c r="C26" s="99">
        <v>0.45</v>
      </c>
      <c r="D26" s="63">
        <v>0.35</v>
      </c>
      <c r="E26" s="16"/>
      <c r="F26" s="16"/>
      <c r="G26" s="13">
        <v>97</v>
      </c>
      <c r="H26" s="13">
        <v>-1.881</v>
      </c>
    </row>
    <row r="27" spans="1:8" x14ac:dyDescent="0.25">
      <c r="A27" s="184" t="s">
        <v>132</v>
      </c>
      <c r="B27" s="185"/>
      <c r="C27" s="13">
        <v>0.5</v>
      </c>
      <c r="D27" s="13">
        <v>0.4</v>
      </c>
      <c r="E27" s="16"/>
      <c r="F27" s="16"/>
      <c r="G27" s="13">
        <v>98</v>
      </c>
      <c r="H27" s="13">
        <v>-2.0539999999999998</v>
      </c>
    </row>
    <row r="28" spans="1:8" x14ac:dyDescent="0.25">
      <c r="A28" s="58"/>
      <c r="B28" s="16"/>
      <c r="C28" s="16"/>
      <c r="D28" s="16"/>
      <c r="E28" s="16"/>
      <c r="F28" s="16"/>
      <c r="G28" s="13">
        <v>99</v>
      </c>
      <c r="H28" s="13">
        <v>-2.327</v>
      </c>
    </row>
    <row r="29" spans="1:8" x14ac:dyDescent="0.25">
      <c r="A29" s="58"/>
      <c r="B29" s="16"/>
      <c r="C29" s="16"/>
      <c r="D29" s="16"/>
      <c r="E29" s="16"/>
      <c r="F29" s="16"/>
      <c r="G29" s="13">
        <v>99.9</v>
      </c>
      <c r="H29" s="13">
        <v>-3.09</v>
      </c>
    </row>
    <row r="30" spans="1:8" x14ac:dyDescent="0.25">
      <c r="A30" s="58"/>
      <c r="B30" s="16"/>
      <c r="C30" s="16"/>
      <c r="D30" s="16"/>
      <c r="E30" s="16"/>
      <c r="F30" s="16"/>
      <c r="G30" s="13">
        <v>99.99</v>
      </c>
      <c r="H30" s="13">
        <v>-3.75</v>
      </c>
    </row>
    <row r="31" spans="1:8" x14ac:dyDescent="0.25">
      <c r="A31" s="58"/>
      <c r="B31" s="16"/>
      <c r="C31" s="16"/>
      <c r="D31" s="16"/>
      <c r="E31" s="16"/>
      <c r="F31" s="16"/>
      <c r="G31" s="16"/>
      <c r="H31" s="16"/>
    </row>
    <row r="32" spans="1:8" x14ac:dyDescent="0.25">
      <c r="A32" s="58"/>
      <c r="B32" s="16"/>
      <c r="C32" s="16"/>
      <c r="D32" s="16"/>
      <c r="E32" s="16"/>
      <c r="F32" s="16"/>
      <c r="G32" s="16"/>
      <c r="H32" s="16"/>
    </row>
    <row r="33" spans="1:9" x14ac:dyDescent="0.25">
      <c r="A33" s="58"/>
      <c r="B33" s="16"/>
      <c r="C33" s="16"/>
      <c r="D33" s="16"/>
      <c r="E33" s="16"/>
      <c r="F33" s="16"/>
      <c r="G33" s="16"/>
      <c r="H33" s="16"/>
    </row>
    <row r="34" spans="1:9" x14ac:dyDescent="0.25">
      <c r="A34" s="175" t="s">
        <v>147</v>
      </c>
      <c r="B34" s="176"/>
      <c r="C34" s="176"/>
      <c r="D34" s="16"/>
      <c r="E34" s="16"/>
      <c r="F34" s="16"/>
      <c r="G34" s="16"/>
      <c r="H34" s="16"/>
    </row>
    <row r="35" spans="1:9" x14ac:dyDescent="0.25">
      <c r="A35" s="58"/>
      <c r="B35" s="16"/>
      <c r="C35" s="16"/>
      <c r="D35" s="16"/>
      <c r="E35" s="16"/>
      <c r="F35" s="188" t="s">
        <v>140</v>
      </c>
      <c r="G35" s="188"/>
      <c r="H35" s="188"/>
    </row>
    <row r="36" spans="1:9" x14ac:dyDescent="0.25">
      <c r="A36" s="58"/>
      <c r="B36" s="189" t="s">
        <v>146</v>
      </c>
      <c r="C36" s="190" t="s">
        <v>145</v>
      </c>
      <c r="D36" s="191"/>
      <c r="E36" s="16"/>
      <c r="F36" s="187" t="s">
        <v>233</v>
      </c>
      <c r="G36" s="187"/>
      <c r="H36" s="186">
        <v>2.25</v>
      </c>
    </row>
    <row r="37" spans="1:9" x14ac:dyDescent="0.25">
      <c r="A37" s="58"/>
      <c r="B37" s="189"/>
      <c r="C37" s="190"/>
      <c r="D37" s="191"/>
      <c r="E37" s="16"/>
      <c r="F37" s="187"/>
      <c r="G37" s="187"/>
      <c r="H37" s="186"/>
    </row>
    <row r="38" spans="1:9" x14ac:dyDescent="0.25">
      <c r="A38" s="58"/>
      <c r="B38" s="13" t="s">
        <v>142</v>
      </c>
      <c r="C38" s="192">
        <v>3</v>
      </c>
      <c r="D38" s="193"/>
      <c r="E38" s="16"/>
      <c r="F38" s="187" t="s">
        <v>234</v>
      </c>
      <c r="G38" s="187"/>
      <c r="H38" s="187">
        <v>2</v>
      </c>
    </row>
    <row r="39" spans="1:9" x14ac:dyDescent="0.25">
      <c r="A39" s="58"/>
      <c r="B39" s="13" t="s">
        <v>141</v>
      </c>
      <c r="C39" s="194">
        <v>2.5</v>
      </c>
      <c r="D39" s="185"/>
      <c r="E39" s="16"/>
      <c r="F39" s="187"/>
      <c r="G39" s="187"/>
      <c r="H39" s="187"/>
    </row>
    <row r="40" spans="1:9" x14ac:dyDescent="0.25">
      <c r="A40" s="58"/>
      <c r="B40" s="16"/>
      <c r="C40" s="16"/>
      <c r="D40" s="16"/>
      <c r="E40" s="16"/>
      <c r="F40" s="16"/>
      <c r="G40" s="16"/>
      <c r="H40" s="16"/>
    </row>
    <row r="41" spans="1:9" x14ac:dyDescent="0.25">
      <c r="A41" s="58"/>
      <c r="B41" s="16"/>
      <c r="C41" s="16"/>
      <c r="D41" s="13" t="s">
        <v>148</v>
      </c>
      <c r="E41" s="13">
        <v>4.2</v>
      </c>
      <c r="F41" s="16"/>
      <c r="G41" s="16"/>
      <c r="H41" s="13" t="s">
        <v>148</v>
      </c>
      <c r="I41" s="117" t="s">
        <v>235</v>
      </c>
    </row>
    <row r="42" spans="1:9" x14ac:dyDescent="0.25">
      <c r="A42" s="58"/>
      <c r="B42" s="16"/>
      <c r="C42" s="16"/>
      <c r="D42" s="13" t="s">
        <v>149</v>
      </c>
      <c r="E42" s="99">
        <f>C38</f>
        <v>3</v>
      </c>
      <c r="F42" s="16" t="s">
        <v>151</v>
      </c>
      <c r="G42" s="16"/>
      <c r="H42" s="16"/>
    </row>
    <row r="43" spans="1:9" x14ac:dyDescent="0.25">
      <c r="A43" s="58"/>
      <c r="B43" s="16"/>
      <c r="C43" s="16"/>
      <c r="D43" s="13" t="s">
        <v>150</v>
      </c>
      <c r="E43" s="100">
        <f>E41-E42</f>
        <v>1.2000000000000002</v>
      </c>
      <c r="F43" s="16"/>
      <c r="G43" s="16"/>
      <c r="H43" s="16"/>
    </row>
    <row r="44" spans="1:9" x14ac:dyDescent="0.25">
      <c r="A44" s="58"/>
      <c r="B44" s="16"/>
      <c r="C44" s="16"/>
      <c r="D44" s="16"/>
      <c r="E44" s="16"/>
      <c r="F44" s="16"/>
      <c r="G44" s="16"/>
      <c r="H44" s="16"/>
    </row>
    <row r="46" spans="1:9" x14ac:dyDescent="0.25">
      <c r="A46" s="175" t="s">
        <v>322</v>
      </c>
      <c r="B46" s="176"/>
      <c r="C46" s="176"/>
    </row>
    <row r="48" spans="1:9" ht="15" customHeight="1" x14ac:dyDescent="0.25">
      <c r="A48" s="223" t="s">
        <v>236</v>
      </c>
      <c r="B48" s="223"/>
      <c r="C48" s="223"/>
      <c r="D48" s="224"/>
      <c r="E48" s="226" t="s">
        <v>237</v>
      </c>
      <c r="F48" s="221"/>
    </row>
    <row r="49" spans="1:11" x14ac:dyDescent="0.25">
      <c r="A49" s="223"/>
      <c r="B49" s="223"/>
      <c r="C49" s="223"/>
      <c r="D49" s="224"/>
      <c r="E49" s="226"/>
      <c r="F49" s="221"/>
    </row>
    <row r="50" spans="1:11" x14ac:dyDescent="0.25">
      <c r="A50" s="213" t="s">
        <v>238</v>
      </c>
      <c r="B50" s="213"/>
      <c r="C50" s="213"/>
      <c r="D50" s="213"/>
      <c r="E50" s="213" t="s">
        <v>239</v>
      </c>
      <c r="F50" s="213"/>
    </row>
    <row r="51" spans="1:11" x14ac:dyDescent="0.25">
      <c r="A51" s="213" t="s">
        <v>240</v>
      </c>
      <c r="B51" s="213"/>
      <c r="C51" s="213"/>
      <c r="D51" s="213"/>
      <c r="E51" s="213" t="s">
        <v>241</v>
      </c>
      <c r="F51" s="213"/>
    </row>
    <row r="52" spans="1:11" x14ac:dyDescent="0.25">
      <c r="A52" s="213" t="s">
        <v>242</v>
      </c>
      <c r="B52" s="213"/>
      <c r="C52" s="213"/>
      <c r="D52" s="213"/>
      <c r="E52" s="213" t="s">
        <v>243</v>
      </c>
      <c r="F52" s="213"/>
    </row>
    <row r="53" spans="1:11" x14ac:dyDescent="0.25">
      <c r="A53" s="213" t="s">
        <v>244</v>
      </c>
      <c r="B53" s="213"/>
      <c r="C53" s="213"/>
      <c r="D53" s="213"/>
      <c r="E53" s="218" t="s">
        <v>245</v>
      </c>
      <c r="F53" s="218"/>
    </row>
    <row r="56" spans="1:11" x14ac:dyDescent="0.25">
      <c r="A56" s="175" t="s">
        <v>323</v>
      </c>
      <c r="B56" s="176"/>
      <c r="C56" s="176"/>
    </row>
    <row r="57" spans="1:11" x14ac:dyDescent="0.25">
      <c r="D57" s="117" t="s">
        <v>338</v>
      </c>
      <c r="E57" s="117">
        <v>5</v>
      </c>
      <c r="H57" s="220" t="s">
        <v>246</v>
      </c>
      <c r="I57" s="220"/>
      <c r="J57" s="220"/>
      <c r="K57" s="113" t="s">
        <v>340</v>
      </c>
    </row>
    <row r="58" spans="1:11" x14ac:dyDescent="0.25">
      <c r="D58" s="117" t="s">
        <v>339</v>
      </c>
      <c r="E58" s="117">
        <f>2.55+52.5*LOG(E57)</f>
        <v>39.245925227640988</v>
      </c>
      <c r="H58" s="220" t="s">
        <v>324</v>
      </c>
      <c r="I58" s="220"/>
      <c r="J58" s="220"/>
    </row>
    <row r="59" spans="1:11" x14ac:dyDescent="0.25">
      <c r="D59" s="117" t="s">
        <v>341</v>
      </c>
      <c r="E59" s="117">
        <v>40</v>
      </c>
    </row>
    <row r="60" spans="1:11" x14ac:dyDescent="0.25">
      <c r="B60" s="188" t="s">
        <v>247</v>
      </c>
      <c r="C60" s="60"/>
      <c r="D60" s="188" t="s">
        <v>248</v>
      </c>
      <c r="E60" s="188"/>
      <c r="F60" s="188"/>
      <c r="G60" s="188"/>
      <c r="H60" s="188"/>
      <c r="I60" s="188"/>
      <c r="J60" s="188"/>
      <c r="K60" s="188"/>
    </row>
    <row r="61" spans="1:11" x14ac:dyDescent="0.25">
      <c r="B61" s="188"/>
      <c r="C61" s="60"/>
      <c r="D61" s="188" t="s">
        <v>249</v>
      </c>
      <c r="E61" s="188"/>
      <c r="F61" s="188" t="s">
        <v>250</v>
      </c>
      <c r="G61" s="188"/>
      <c r="H61" s="188" t="s">
        <v>251</v>
      </c>
      <c r="I61" s="188"/>
      <c r="J61" s="188" t="s">
        <v>252</v>
      </c>
      <c r="K61" s="188"/>
    </row>
    <row r="62" spans="1:11" x14ac:dyDescent="0.25">
      <c r="B62" s="13" t="s">
        <v>253</v>
      </c>
      <c r="C62" s="13" t="s">
        <v>254</v>
      </c>
      <c r="D62" s="13" t="s">
        <v>253</v>
      </c>
      <c r="E62" s="13" t="s">
        <v>254</v>
      </c>
      <c r="F62" s="13" t="s">
        <v>253</v>
      </c>
      <c r="G62" s="13" t="s">
        <v>254</v>
      </c>
      <c r="H62" s="13" t="s">
        <v>253</v>
      </c>
      <c r="I62" s="13" t="s">
        <v>254</v>
      </c>
      <c r="J62" s="13" t="s">
        <v>253</v>
      </c>
      <c r="K62" s="13" t="s">
        <v>254</v>
      </c>
    </row>
    <row r="63" spans="1:11" x14ac:dyDescent="0.25">
      <c r="B63" s="13">
        <v>20</v>
      </c>
      <c r="C63" s="13">
        <v>73</v>
      </c>
      <c r="D63" s="13">
        <v>23</v>
      </c>
      <c r="E63" s="13">
        <v>85</v>
      </c>
      <c r="F63" s="13">
        <v>26</v>
      </c>
      <c r="G63" s="13">
        <v>96</v>
      </c>
      <c r="H63" s="13">
        <v>32</v>
      </c>
      <c r="I63" s="13">
        <v>117</v>
      </c>
      <c r="J63" s="13">
        <v>38</v>
      </c>
      <c r="K63" s="13">
        <v>140</v>
      </c>
    </row>
    <row r="64" spans="1:11" x14ac:dyDescent="0.25">
      <c r="B64" s="13">
        <v>40</v>
      </c>
      <c r="C64" s="13">
        <v>147</v>
      </c>
      <c r="D64" s="13">
        <v>45</v>
      </c>
      <c r="E64" s="13">
        <v>165</v>
      </c>
      <c r="F64" s="13">
        <v>49</v>
      </c>
      <c r="G64" s="13">
        <v>180</v>
      </c>
      <c r="H64" s="13">
        <v>57</v>
      </c>
      <c r="I64" s="13">
        <v>210</v>
      </c>
      <c r="J64" s="13">
        <v>66</v>
      </c>
      <c r="K64" s="13">
        <v>145</v>
      </c>
    </row>
    <row r="65" spans="1:12" x14ac:dyDescent="0.25">
      <c r="B65" s="13">
        <v>60</v>
      </c>
      <c r="C65" s="13">
        <v>220</v>
      </c>
      <c r="D65" s="13">
        <v>64</v>
      </c>
      <c r="E65" s="13">
        <v>235</v>
      </c>
      <c r="F65" s="13">
        <v>66</v>
      </c>
      <c r="G65" s="13">
        <v>245</v>
      </c>
      <c r="H65" s="13">
        <v>76</v>
      </c>
      <c r="I65" s="13">
        <v>280</v>
      </c>
      <c r="J65" s="13">
        <v>90</v>
      </c>
      <c r="K65" s="13">
        <v>330</v>
      </c>
    </row>
    <row r="66" spans="1:12" x14ac:dyDescent="0.25">
      <c r="B66" s="13">
        <v>80</v>
      </c>
      <c r="C66" s="13">
        <v>295</v>
      </c>
      <c r="D66" s="13">
        <v>87</v>
      </c>
      <c r="E66" s="13">
        <v>320</v>
      </c>
      <c r="F66" s="13">
        <v>90</v>
      </c>
      <c r="G66" s="13">
        <v>330</v>
      </c>
      <c r="H66" s="13">
        <v>100</v>
      </c>
      <c r="I66" s="13">
        <v>117</v>
      </c>
      <c r="J66" s="13">
        <v>117</v>
      </c>
      <c r="K66" s="13">
        <v>430</v>
      </c>
    </row>
    <row r="69" spans="1:12" x14ac:dyDescent="0.25">
      <c r="B69" s="188" t="s">
        <v>247</v>
      </c>
      <c r="C69" s="60"/>
      <c r="D69" s="188" t="s">
        <v>255</v>
      </c>
      <c r="E69" s="188"/>
      <c r="F69" s="188"/>
      <c r="G69" s="188"/>
      <c r="H69" s="188"/>
      <c r="I69" s="188"/>
      <c r="J69" s="188"/>
      <c r="K69" s="188"/>
    </row>
    <row r="70" spans="1:12" x14ac:dyDescent="0.25">
      <c r="B70" s="188"/>
      <c r="C70" s="60"/>
      <c r="D70" s="188" t="s">
        <v>249</v>
      </c>
      <c r="E70" s="188"/>
      <c r="F70" s="188" t="s">
        <v>250</v>
      </c>
      <c r="G70" s="188"/>
      <c r="H70" s="188" t="s">
        <v>251</v>
      </c>
      <c r="I70" s="188"/>
      <c r="J70" s="188" t="s">
        <v>252</v>
      </c>
      <c r="K70" s="188"/>
    </row>
    <row r="71" spans="1:12" x14ac:dyDescent="0.25">
      <c r="B71" s="13" t="s">
        <v>253</v>
      </c>
      <c r="C71" s="13" t="s">
        <v>254</v>
      </c>
      <c r="D71" s="13" t="s">
        <v>253</v>
      </c>
      <c r="E71" s="13" t="s">
        <v>254</v>
      </c>
      <c r="F71" s="13" t="s">
        <v>253</v>
      </c>
      <c r="G71" s="13" t="s">
        <v>254</v>
      </c>
      <c r="H71" s="13" t="s">
        <v>253</v>
      </c>
      <c r="I71" s="13" t="s">
        <v>254</v>
      </c>
      <c r="J71" s="13" t="s">
        <v>253</v>
      </c>
      <c r="K71" s="13" t="s">
        <v>254</v>
      </c>
    </row>
    <row r="72" spans="1:12" x14ac:dyDescent="0.25">
      <c r="B72" s="13">
        <v>20</v>
      </c>
      <c r="C72" s="13">
        <v>73</v>
      </c>
      <c r="D72" s="13">
        <v>60</v>
      </c>
      <c r="E72" s="13">
        <v>220</v>
      </c>
      <c r="F72" s="13">
        <v>80</v>
      </c>
      <c r="G72" s="13">
        <v>300</v>
      </c>
      <c r="H72" s="13">
        <v>105</v>
      </c>
      <c r="I72" s="13">
        <v>400</v>
      </c>
      <c r="J72" s="13">
        <v>135</v>
      </c>
      <c r="K72" s="13">
        <v>500</v>
      </c>
    </row>
    <row r="73" spans="1:12" x14ac:dyDescent="0.25">
      <c r="B73" s="13">
        <v>40</v>
      </c>
      <c r="C73" s="13">
        <v>147</v>
      </c>
      <c r="D73" s="13">
        <v>100</v>
      </c>
      <c r="E73" s="13">
        <v>370</v>
      </c>
      <c r="F73" s="13">
        <v>130</v>
      </c>
      <c r="G73" s="13">
        <v>500</v>
      </c>
      <c r="H73" s="13">
        <v>185</v>
      </c>
      <c r="I73" s="13">
        <v>680</v>
      </c>
      <c r="J73" s="13">
        <v>230</v>
      </c>
      <c r="K73" s="13">
        <v>850</v>
      </c>
    </row>
    <row r="74" spans="1:12" x14ac:dyDescent="0.25">
      <c r="B74" s="13">
        <v>60</v>
      </c>
      <c r="C74" s="13">
        <v>220</v>
      </c>
      <c r="D74" s="13">
        <v>140</v>
      </c>
      <c r="E74" s="13">
        <v>520</v>
      </c>
      <c r="F74" s="13">
        <v>190</v>
      </c>
      <c r="G74" s="13">
        <v>700</v>
      </c>
      <c r="H74" s="13">
        <v>145</v>
      </c>
      <c r="I74" s="13">
        <v>900</v>
      </c>
      <c r="J74" s="13"/>
      <c r="K74" s="13"/>
    </row>
    <row r="76" spans="1:12" x14ac:dyDescent="0.25">
      <c r="C76" s="117" t="s">
        <v>342</v>
      </c>
      <c r="D76" s="117"/>
      <c r="E76" s="117" t="s">
        <v>354</v>
      </c>
      <c r="G76" s="211" t="s">
        <v>344</v>
      </c>
      <c r="H76" s="117">
        <v>22.5</v>
      </c>
      <c r="J76" s="117" t="s">
        <v>346</v>
      </c>
      <c r="K76" s="117">
        <f>IF(H76=0,0,IF(H76=10,VLOOKUP(E59,B63:K66,3,FALSE),IF(H76=15,VLOOKUP(E59,B63:K66,5,FALSE),IF(H76=22.5,VLOOKUP(E59,B63:K66,7,FALSE),IF(H76=30,VLOOKUP(E59,B63:K66,9,FALSE))))))</f>
        <v>57</v>
      </c>
      <c r="L76" s="117">
        <f>ROUND(K76*3.65,0)</f>
        <v>208</v>
      </c>
    </row>
    <row r="77" spans="1:12" x14ac:dyDescent="0.25">
      <c r="C77" s="117" t="s">
        <v>343</v>
      </c>
      <c r="D77" s="117"/>
      <c r="E77" s="117" t="s">
        <v>353</v>
      </c>
      <c r="G77" s="212"/>
      <c r="H77" s="117">
        <v>0</v>
      </c>
      <c r="J77" s="117" t="s">
        <v>346</v>
      </c>
      <c r="K77" s="117">
        <v>130</v>
      </c>
      <c r="L77" s="117">
        <v>475</v>
      </c>
    </row>
    <row r="78" spans="1:12" x14ac:dyDescent="0.25">
      <c r="A78" s="219" t="s">
        <v>325</v>
      </c>
      <c r="B78" s="219"/>
    </row>
    <row r="81" spans="2:13" ht="15" customHeight="1" x14ac:dyDescent="0.25">
      <c r="B81" s="221" t="s">
        <v>256</v>
      </c>
      <c r="C81" s="221" t="s">
        <v>348</v>
      </c>
      <c r="D81" s="221" t="s">
        <v>347</v>
      </c>
      <c r="E81" s="221"/>
    </row>
    <row r="82" spans="2:13" x14ac:dyDescent="0.25">
      <c r="B82" s="221"/>
      <c r="C82" s="221"/>
      <c r="D82" s="221"/>
      <c r="E82" s="221"/>
    </row>
    <row r="83" spans="2:13" x14ac:dyDescent="0.25">
      <c r="B83" s="221"/>
      <c r="C83" s="221"/>
      <c r="D83" s="221"/>
      <c r="E83" s="221"/>
      <c r="F83" s="191" t="s">
        <v>257</v>
      </c>
      <c r="G83" s="191"/>
      <c r="H83" s="222" t="s">
        <v>258</v>
      </c>
      <c r="I83" s="222"/>
    </row>
    <row r="84" spans="2:13" x14ac:dyDescent="0.25">
      <c r="B84" s="221"/>
      <c r="C84" s="221"/>
      <c r="D84" s="221"/>
      <c r="E84" s="221"/>
      <c r="F84" s="191"/>
      <c r="G84" s="191"/>
      <c r="H84" s="115" t="s">
        <v>259</v>
      </c>
      <c r="I84" s="115" t="s">
        <v>260</v>
      </c>
    </row>
    <row r="85" spans="2:13" x14ac:dyDescent="0.25">
      <c r="B85" s="116" t="s">
        <v>261</v>
      </c>
      <c r="C85" s="116">
        <v>280</v>
      </c>
      <c r="D85" s="116">
        <v>40</v>
      </c>
      <c r="F85" s="217" t="s">
        <v>262</v>
      </c>
      <c r="G85" s="217"/>
      <c r="H85" s="116" t="s">
        <v>263</v>
      </c>
      <c r="I85" s="116" t="s">
        <v>264</v>
      </c>
    </row>
    <row r="86" spans="2:13" x14ac:dyDescent="0.25">
      <c r="B86" s="116" t="s">
        <v>265</v>
      </c>
      <c r="C86" s="116">
        <v>300</v>
      </c>
      <c r="D86" s="116">
        <v>42</v>
      </c>
      <c r="F86" s="217" t="s">
        <v>266</v>
      </c>
      <c r="G86" s="217"/>
      <c r="H86" s="116" t="s">
        <v>267</v>
      </c>
      <c r="I86" s="116" t="s">
        <v>268</v>
      </c>
    </row>
    <row r="87" spans="2:13" ht="17.25" x14ac:dyDescent="0.3">
      <c r="B87" s="116" t="s">
        <v>269</v>
      </c>
      <c r="C87" s="116">
        <v>350</v>
      </c>
      <c r="D87" s="116">
        <v>45</v>
      </c>
      <c r="F87" s="217" t="s">
        <v>270</v>
      </c>
      <c r="G87" s="217"/>
      <c r="H87" s="116" t="s">
        <v>271</v>
      </c>
      <c r="I87" s="116" t="s">
        <v>272</v>
      </c>
      <c r="K87" s="132" t="s">
        <v>334</v>
      </c>
      <c r="L87" s="133">
        <f>'CALCULO DE ESALs'!I24</f>
        <v>7006460.0858551683</v>
      </c>
    </row>
    <row r="88" spans="2:13" x14ac:dyDescent="0.25">
      <c r="F88" s="217" t="s">
        <v>273</v>
      </c>
      <c r="G88" s="217"/>
      <c r="H88" s="116" t="s">
        <v>274</v>
      </c>
      <c r="I88" s="116" t="s">
        <v>275</v>
      </c>
    </row>
    <row r="90" spans="2:13" x14ac:dyDescent="0.25">
      <c r="D90" s="117" t="s">
        <v>276</v>
      </c>
      <c r="E90" s="117" t="s">
        <v>279</v>
      </c>
    </row>
    <row r="91" spans="2:13" x14ac:dyDescent="0.25">
      <c r="B91" s="113" t="s">
        <v>277</v>
      </c>
      <c r="D91" s="117" t="s">
        <v>278</v>
      </c>
      <c r="E91" s="117">
        <v>2.54</v>
      </c>
      <c r="G91" s="113" t="s">
        <v>280</v>
      </c>
      <c r="H91" s="117" t="s">
        <v>336</v>
      </c>
      <c r="I91" s="117">
        <f>IF(L87&lt;5000000,40*14.223,IF(L87&gt;15000000,45*14.223,42*14.223))</f>
        <v>597.36599999999999</v>
      </c>
      <c r="K91" s="117" t="s">
        <v>337</v>
      </c>
      <c r="L91" s="117">
        <f>IF(L87&lt;5000000,57000*(14.223*280)^0.5,IF(L87&gt;15000000,5700*(14.223*350)^0.5,5700*(14.223*300)^0.5))</f>
        <v>372332.62145560118</v>
      </c>
      <c r="M91" s="113" t="s">
        <v>349</v>
      </c>
    </row>
    <row r="92" spans="2:13" x14ac:dyDescent="0.25">
      <c r="H92" s="117" t="s">
        <v>336</v>
      </c>
      <c r="I92" s="117">
        <f>IF(L87&lt;5000000,2.42*(280)^0.5,IF(L87&gt;15000000,2.42*14.233*(350)^0.5,2.42*14.233*(300)^0.5))</f>
        <v>596.5851552878936</v>
      </c>
      <c r="K92" s="117" t="s">
        <v>337</v>
      </c>
      <c r="L92" s="117">
        <v>4000000</v>
      </c>
      <c r="M92" s="113" t="s">
        <v>350</v>
      </c>
    </row>
    <row r="93" spans="2:13" x14ac:dyDescent="0.25">
      <c r="B93" s="113" t="s">
        <v>281</v>
      </c>
    </row>
    <row r="94" spans="2:13" x14ac:dyDescent="0.25">
      <c r="I94" s="113" t="s">
        <v>345</v>
      </c>
    </row>
    <row r="95" spans="2:13" x14ac:dyDescent="0.25">
      <c r="B95" s="113" t="s">
        <v>282</v>
      </c>
    </row>
    <row r="97" spans="1:9" x14ac:dyDescent="0.25">
      <c r="A97" s="175" t="s">
        <v>326</v>
      </c>
      <c r="B97" s="176"/>
      <c r="C97" s="176"/>
      <c r="D97" s="176"/>
      <c r="E97" s="16"/>
      <c r="F97" s="16"/>
      <c r="G97" s="16"/>
      <c r="H97" s="16"/>
      <c r="I97" s="57"/>
    </row>
    <row r="98" spans="1:9" x14ac:dyDescent="0.25">
      <c r="A98" s="58"/>
      <c r="B98" s="16"/>
      <c r="C98" s="16"/>
      <c r="D98" s="16"/>
      <c r="E98" s="16"/>
      <c r="F98" s="16"/>
      <c r="G98" s="16"/>
      <c r="H98" s="16"/>
      <c r="I98" s="57"/>
    </row>
    <row r="99" spans="1:9" x14ac:dyDescent="0.25">
      <c r="A99" s="16"/>
      <c r="B99" s="16"/>
      <c r="C99" s="16"/>
      <c r="D99" s="16"/>
      <c r="E99" s="16"/>
      <c r="F99" s="16"/>
      <c r="G99" s="16"/>
      <c r="H99" s="16"/>
      <c r="I99" s="57"/>
    </row>
    <row r="100" spans="1:9" x14ac:dyDescent="0.25">
      <c r="A100" s="179" t="s">
        <v>153</v>
      </c>
      <c r="B100" s="179"/>
      <c r="C100" s="177" t="s">
        <v>154</v>
      </c>
      <c r="D100" s="177"/>
      <c r="E100" s="177"/>
      <c r="F100" s="177"/>
      <c r="G100" s="16"/>
      <c r="H100" s="16"/>
      <c r="I100" s="57"/>
    </row>
    <row r="101" spans="1:9" x14ac:dyDescent="0.25">
      <c r="A101" s="179"/>
      <c r="B101" s="179"/>
      <c r="C101" s="177"/>
      <c r="D101" s="177"/>
      <c r="E101" s="177"/>
      <c r="F101" s="177"/>
      <c r="G101" s="16"/>
      <c r="H101" s="16"/>
      <c r="I101" s="57"/>
    </row>
    <row r="102" spans="1:9" x14ac:dyDescent="0.25">
      <c r="A102" s="179"/>
      <c r="B102" s="179"/>
      <c r="C102" s="177"/>
      <c r="D102" s="177"/>
      <c r="E102" s="177"/>
      <c r="F102" s="177"/>
      <c r="G102" s="16"/>
      <c r="H102" s="69" t="s">
        <v>174</v>
      </c>
      <c r="I102" s="70">
        <v>65</v>
      </c>
    </row>
    <row r="103" spans="1:9" x14ac:dyDescent="0.25">
      <c r="A103" s="180"/>
      <c r="B103" s="180"/>
      <c r="C103" s="178"/>
      <c r="D103" s="178"/>
      <c r="E103" s="178"/>
      <c r="F103" s="178"/>
      <c r="G103" s="16"/>
      <c r="H103" s="69" t="s">
        <v>175</v>
      </c>
      <c r="I103" s="73">
        <f>ROUND(I102/365,2)</f>
        <v>0.18</v>
      </c>
    </row>
    <row r="104" spans="1:9" x14ac:dyDescent="0.25">
      <c r="A104" s="172" t="s">
        <v>155</v>
      </c>
      <c r="B104" s="172"/>
      <c r="C104" s="66" t="s">
        <v>283</v>
      </c>
      <c r="D104" s="67" t="s">
        <v>284</v>
      </c>
      <c r="E104" s="67" t="s">
        <v>285</v>
      </c>
      <c r="F104" s="68">
        <v>1.1000000000000001</v>
      </c>
      <c r="G104" s="16"/>
      <c r="H104" s="16"/>
      <c r="I104" s="57"/>
    </row>
    <row r="105" spans="1:9" x14ac:dyDescent="0.25">
      <c r="A105" s="172" t="s">
        <v>159</v>
      </c>
      <c r="B105" s="172"/>
      <c r="C105" s="62" t="s">
        <v>286</v>
      </c>
      <c r="D105" s="13" t="s">
        <v>285</v>
      </c>
      <c r="E105" s="13" t="s">
        <v>287</v>
      </c>
      <c r="F105" s="72">
        <v>1</v>
      </c>
      <c r="G105" s="16"/>
      <c r="H105" s="111" t="s">
        <v>288</v>
      </c>
      <c r="I105" s="131">
        <f>ROUNDUP((I102/365),0)</f>
        <v>1</v>
      </c>
    </row>
    <row r="106" spans="1:9" x14ac:dyDescent="0.25">
      <c r="A106" s="172" t="s">
        <v>163</v>
      </c>
      <c r="B106" s="172"/>
      <c r="C106" s="62" t="s">
        <v>285</v>
      </c>
      <c r="D106" s="13" t="s">
        <v>287</v>
      </c>
      <c r="E106" s="13" t="s">
        <v>289</v>
      </c>
      <c r="F106" s="112">
        <v>0.9</v>
      </c>
      <c r="G106" s="16"/>
      <c r="H106" s="69"/>
      <c r="I106" s="69"/>
    </row>
    <row r="107" spans="1:9" x14ac:dyDescent="0.25">
      <c r="A107" s="172" t="s">
        <v>167</v>
      </c>
      <c r="B107" s="172"/>
      <c r="C107" s="62" t="s">
        <v>287</v>
      </c>
      <c r="D107" s="13" t="s">
        <v>289</v>
      </c>
      <c r="E107" s="13" t="s">
        <v>290</v>
      </c>
      <c r="F107" s="72">
        <v>0.8</v>
      </c>
      <c r="G107" s="16"/>
      <c r="H107" s="16"/>
      <c r="I107" s="57"/>
    </row>
    <row r="108" spans="1:9" x14ac:dyDescent="0.25">
      <c r="A108" s="172" t="s">
        <v>170</v>
      </c>
      <c r="B108" s="172"/>
      <c r="C108" s="62" t="s">
        <v>289</v>
      </c>
      <c r="D108" s="13" t="s">
        <v>290</v>
      </c>
      <c r="E108" s="13" t="s">
        <v>291</v>
      </c>
      <c r="F108" s="72">
        <v>0.7</v>
      </c>
      <c r="G108" s="16"/>
      <c r="H108" s="16"/>
      <c r="I108" s="57"/>
    </row>
    <row r="112" spans="1:9" x14ac:dyDescent="0.25">
      <c r="A112" s="219" t="s">
        <v>327</v>
      </c>
      <c r="B112" s="219"/>
      <c r="C112" s="219"/>
      <c r="F112" s="113" t="s">
        <v>292</v>
      </c>
    </row>
    <row r="114" spans="1:8" x14ac:dyDescent="0.25">
      <c r="B114" s="225" t="s">
        <v>293</v>
      </c>
      <c r="C114" s="225"/>
      <c r="D114" s="225"/>
      <c r="E114" s="225"/>
      <c r="F114" s="225"/>
      <c r="G114" s="225"/>
      <c r="H114" s="225"/>
    </row>
    <row r="115" spans="1:8" x14ac:dyDescent="0.25">
      <c r="B115" s="225"/>
      <c r="C115" s="225"/>
      <c r="D115" s="225"/>
      <c r="E115" s="225"/>
      <c r="F115" s="225"/>
      <c r="G115" s="225"/>
      <c r="H115" s="225"/>
    </row>
    <row r="117" spans="1:8" x14ac:dyDescent="0.25">
      <c r="B117" s="188" t="s">
        <v>294</v>
      </c>
      <c r="C117" s="188"/>
      <c r="D117" s="188"/>
      <c r="E117" s="60" t="s">
        <v>295</v>
      </c>
    </row>
    <row r="118" spans="1:8" x14ac:dyDescent="0.25">
      <c r="B118" s="213" t="s">
        <v>296</v>
      </c>
      <c r="C118" s="213"/>
      <c r="D118" s="213"/>
      <c r="E118" s="63">
        <v>2.7</v>
      </c>
    </row>
    <row r="119" spans="1:8" x14ac:dyDescent="0.25">
      <c r="B119" s="213" t="s">
        <v>297</v>
      </c>
      <c r="C119" s="213"/>
      <c r="D119" s="213"/>
      <c r="E119" s="13">
        <v>3.2</v>
      </c>
    </row>
    <row r="120" spans="1:8" x14ac:dyDescent="0.25">
      <c r="B120" s="213" t="s">
        <v>298</v>
      </c>
      <c r="C120" s="213"/>
      <c r="D120" s="213"/>
      <c r="E120" s="13">
        <v>4.2</v>
      </c>
    </row>
    <row r="121" spans="1:8" x14ac:dyDescent="0.25">
      <c r="B121" s="213" t="s">
        <v>299</v>
      </c>
      <c r="C121" s="213"/>
      <c r="D121" s="213"/>
      <c r="E121" s="13">
        <v>4.4000000000000004</v>
      </c>
    </row>
    <row r="122" spans="1:8" x14ac:dyDescent="0.25">
      <c r="F122" s="215" t="s">
        <v>352</v>
      </c>
      <c r="G122" s="215"/>
    </row>
    <row r="123" spans="1:8" x14ac:dyDescent="0.25">
      <c r="F123" s="13" t="str" cm="1">
        <f t="array" ref="F123:G123">D10:E10</f>
        <v>R=</v>
      </c>
      <c r="G123" s="13">
        <v>90</v>
      </c>
    </row>
    <row r="124" spans="1:8" x14ac:dyDescent="0.25">
      <c r="F124" s="13" t="str" cm="1">
        <f t="array" ref="F124:G124">G10:H10</f>
        <v>Zr</v>
      </c>
      <c r="G124" s="13">
        <v>-1.282</v>
      </c>
    </row>
    <row r="125" spans="1:8" x14ac:dyDescent="0.25">
      <c r="F125" s="13" t="str" cm="1">
        <f t="array" ref="F125:G125">D21:E21</f>
        <v>S0</v>
      </c>
      <c r="G125" s="13">
        <v>0.35</v>
      </c>
    </row>
    <row r="126" spans="1:8" x14ac:dyDescent="0.25">
      <c r="F126" s="13" t="str" cm="1">
        <f t="array" ref="F126:G126">D43:E43</f>
        <v>ΔPSI =</v>
      </c>
      <c r="G126" s="13">
        <v>1.2000000000000002</v>
      </c>
    </row>
    <row r="127" spans="1:8" x14ac:dyDescent="0.25">
      <c r="A127" s="118" t="s">
        <v>328</v>
      </c>
      <c r="B127" s="13">
        <f>(G124*G125+7.35*LOG(C135+1)-0.06)</f>
        <v>6.9970413481640454</v>
      </c>
      <c r="C127" s="16"/>
      <c r="D127" s="16"/>
      <c r="F127" s="13" t="str" cm="1">
        <f t="array" ref="F127:G127">D42:E42</f>
        <v>Pf =</v>
      </c>
      <c r="G127" s="13">
        <v>3</v>
      </c>
    </row>
    <row r="128" spans="1:8" x14ac:dyDescent="0.25">
      <c r="A128" s="119" t="s">
        <v>329</v>
      </c>
      <c r="B128" s="13">
        <f>LOG(G126/(4.2-1.5))</f>
        <v>-0.35218251811136247</v>
      </c>
      <c r="C128" s="16"/>
      <c r="D128" s="16"/>
      <c r="F128" s="13" t="s">
        <v>351</v>
      </c>
      <c r="G128" s="13">
        <f>L76</f>
        <v>208</v>
      </c>
    </row>
    <row r="129" spans="1:18" x14ac:dyDescent="0.25">
      <c r="A129" s="120" t="s">
        <v>330</v>
      </c>
      <c r="B129" s="13">
        <f>1+((16240000)/(C135+1)^8.46)</f>
        <v>1.0372670104168809</v>
      </c>
      <c r="C129" s="16"/>
      <c r="D129" s="16"/>
      <c r="F129" s="13" t="str" cm="1">
        <f t="array" ref="F129:G129">H91:I91</f>
        <v>MR=</v>
      </c>
      <c r="G129" s="13">
        <v>597.36599999999999</v>
      </c>
    </row>
    <row r="130" spans="1:18" x14ac:dyDescent="0.25">
      <c r="A130" s="121" t="s">
        <v>331</v>
      </c>
      <c r="B130" s="13">
        <f>+(4.22-0.32*$E$42)</f>
        <v>3.26</v>
      </c>
      <c r="C130" s="16"/>
      <c r="D130" s="16"/>
      <c r="F130" s="13" t="str" cm="1">
        <f t="array" ref="F130:G130">K92:L92</f>
        <v>EC=</v>
      </c>
      <c r="G130" s="13">
        <v>4000000</v>
      </c>
    </row>
    <row r="131" spans="1:18" x14ac:dyDescent="0.25">
      <c r="A131" s="122" t="s">
        <v>332</v>
      </c>
      <c r="B131" s="13">
        <f>LOG(((G129*G131*(C135^0.75-1.132)))/(215.63*E118*((C135^0.75)-(18.42/(G130/G128)^0.25))))</f>
        <v>5.7407337328748018E-2</v>
      </c>
      <c r="F131" s="13" t="str" cm="1">
        <f t="array" ref="F131:G131">H105:I105</f>
        <v>Cd</v>
      </c>
      <c r="G131" s="13">
        <v>1</v>
      </c>
    </row>
    <row r="132" spans="1:18" x14ac:dyDescent="0.25">
      <c r="A132" s="99"/>
      <c r="B132" s="13"/>
      <c r="F132" s="13" t="s">
        <v>358</v>
      </c>
      <c r="G132" s="13">
        <f>E118</f>
        <v>2.7</v>
      </c>
    </row>
    <row r="133" spans="1:18" ht="17.25" x14ac:dyDescent="0.3">
      <c r="B133" s="123" t="s">
        <v>334</v>
      </c>
      <c r="C133" s="124">
        <f>'CALCULO DE ESALs'!I24</f>
        <v>7006460.0858551683</v>
      </c>
      <c r="D133" s="125"/>
      <c r="F133" s="13" t="str" cm="1">
        <f t="array" ref="F133:G133">B133:C133</f>
        <v>W18</v>
      </c>
      <c r="G133" s="13">
        <v>7006460.0858551683</v>
      </c>
    </row>
    <row r="134" spans="1:18" ht="17.25" x14ac:dyDescent="0.3">
      <c r="B134" s="126" t="s">
        <v>335</v>
      </c>
      <c r="C134" s="127">
        <f>ROUND(LOG(C133),3)</f>
        <v>6.8449999999999998</v>
      </c>
      <c r="D134" s="125"/>
    </row>
    <row r="135" spans="1:18" x14ac:dyDescent="0.25">
      <c r="B135" s="126" t="s">
        <v>333</v>
      </c>
      <c r="C135" s="128">
        <v>9.5</v>
      </c>
      <c r="D135" s="129">
        <f>(B127+(B128/B129)+B130*B131)</f>
        <v>6.8446599908475045</v>
      </c>
      <c r="F135" s="214">
        <f>ROUND(C138*2.54,0)</f>
        <v>24</v>
      </c>
      <c r="G135" s="213" t="s">
        <v>355</v>
      </c>
    </row>
    <row r="136" spans="1:18" x14ac:dyDescent="0.25">
      <c r="C136" s="113" t="s">
        <v>359</v>
      </c>
      <c r="D136" s="113" t="str">
        <f>IF(C134=D135,"Ok","&amp;·$·%")</f>
        <v>&amp;·$·%</v>
      </c>
      <c r="F136" s="214"/>
      <c r="G136" s="213"/>
    </row>
    <row r="137" spans="1:18" x14ac:dyDescent="0.25">
      <c r="F137" s="214">
        <v>22.5</v>
      </c>
      <c r="G137" s="213" t="s">
        <v>356</v>
      </c>
    </row>
    <row r="138" spans="1:18" x14ac:dyDescent="0.25">
      <c r="B138" s="117" t="s">
        <v>360</v>
      </c>
      <c r="C138" s="134">
        <v>9.5</v>
      </c>
      <c r="F138" s="214"/>
      <c r="G138" s="213"/>
    </row>
    <row r="139" spans="1:18" x14ac:dyDescent="0.25">
      <c r="F139" s="214">
        <f>E57</f>
        <v>5</v>
      </c>
      <c r="G139" s="213" t="s">
        <v>357</v>
      </c>
    </row>
    <row r="140" spans="1:18" x14ac:dyDescent="0.25">
      <c r="F140" s="214"/>
      <c r="G140" s="213"/>
      <c r="R140" s="138" t="s">
        <v>377</v>
      </c>
    </row>
    <row r="141" spans="1:18" x14ac:dyDescent="0.25">
      <c r="R141" s="138" t="s">
        <v>374</v>
      </c>
    </row>
    <row r="142" spans="1:18" x14ac:dyDescent="0.25">
      <c r="R142" s="138" t="s">
        <v>373</v>
      </c>
    </row>
    <row r="143" spans="1:18" x14ac:dyDescent="0.25">
      <c r="R143" s="138" t="s">
        <v>361</v>
      </c>
    </row>
    <row r="144" spans="1:18" x14ac:dyDescent="0.25">
      <c r="R144" s="138" t="s">
        <v>362</v>
      </c>
    </row>
    <row r="145" spans="1:18" x14ac:dyDescent="0.25">
      <c r="A145" s="113" t="s">
        <v>300</v>
      </c>
      <c r="R145" s="138" t="s">
        <v>363</v>
      </c>
    </row>
    <row r="146" spans="1:18" x14ac:dyDescent="0.25">
      <c r="R146" s="138" t="s">
        <v>364</v>
      </c>
    </row>
    <row r="147" spans="1:18" x14ac:dyDescent="0.25">
      <c r="B147" s="191" t="s">
        <v>301</v>
      </c>
      <c r="C147" s="191" t="s">
        <v>302</v>
      </c>
      <c r="D147" s="191" t="s">
        <v>303</v>
      </c>
      <c r="E147" s="191" t="s">
        <v>304</v>
      </c>
      <c r="R147" s="138" t="s">
        <v>365</v>
      </c>
    </row>
    <row r="148" spans="1:18" x14ac:dyDescent="0.25">
      <c r="B148" s="191"/>
      <c r="C148" s="191"/>
      <c r="D148" s="191"/>
      <c r="E148" s="191"/>
      <c r="R148" s="138" t="s">
        <v>366</v>
      </c>
    </row>
    <row r="149" spans="1:18" x14ac:dyDescent="0.25">
      <c r="B149" s="191"/>
      <c r="C149" s="191"/>
      <c r="D149" s="191"/>
      <c r="E149" s="191"/>
      <c r="R149" s="138" t="s">
        <v>367</v>
      </c>
    </row>
    <row r="150" spans="1:18" x14ac:dyDescent="0.25">
      <c r="B150" s="13" t="s">
        <v>14</v>
      </c>
      <c r="C150" s="114" t="s">
        <v>305</v>
      </c>
      <c r="D150" s="13">
        <v>35</v>
      </c>
      <c r="E150" s="213">
        <v>30</v>
      </c>
      <c r="R150" s="138" t="s">
        <v>368</v>
      </c>
    </row>
    <row r="151" spans="1:18" x14ac:dyDescent="0.25">
      <c r="B151" s="13" t="s">
        <v>306</v>
      </c>
      <c r="C151" s="114" t="s">
        <v>307</v>
      </c>
      <c r="D151" s="13">
        <v>35</v>
      </c>
      <c r="E151" s="213"/>
      <c r="G151" s="229"/>
      <c r="H151" s="229"/>
      <c r="I151" s="230"/>
      <c r="J151" s="231" t="s">
        <v>379</v>
      </c>
      <c r="R151" s="138" t="s">
        <v>369</v>
      </c>
    </row>
    <row r="152" spans="1:18" x14ac:dyDescent="0.25">
      <c r="B152" s="13" t="s">
        <v>19</v>
      </c>
      <c r="C152" s="114" t="s">
        <v>308</v>
      </c>
      <c r="D152" s="13">
        <v>35</v>
      </c>
      <c r="E152" s="213"/>
      <c r="G152" s="229"/>
      <c r="H152" s="229"/>
      <c r="I152" s="231" t="s">
        <v>380</v>
      </c>
      <c r="J152" s="231"/>
      <c r="R152" s="113" t="s">
        <v>370</v>
      </c>
    </row>
    <row r="153" spans="1:18" x14ac:dyDescent="0.25">
      <c r="B153" s="13" t="s">
        <v>309</v>
      </c>
      <c r="C153" s="114" t="s">
        <v>310</v>
      </c>
      <c r="D153" s="13">
        <v>40</v>
      </c>
      <c r="E153" s="213"/>
      <c r="G153" s="229"/>
      <c r="H153" s="229"/>
      <c r="I153" s="231"/>
      <c r="J153" s="231"/>
      <c r="R153" s="113" t="s">
        <v>371</v>
      </c>
    </row>
    <row r="154" spans="1:18" x14ac:dyDescent="0.25">
      <c r="B154" s="227" t="s">
        <v>311</v>
      </c>
      <c r="C154" s="228" t="s">
        <v>312</v>
      </c>
      <c r="D154" s="227">
        <v>45</v>
      </c>
      <c r="E154" s="213"/>
      <c r="G154" s="230" t="s">
        <v>378</v>
      </c>
      <c r="H154" s="230" t="str">
        <f>B154</f>
        <v>24-25</v>
      </c>
      <c r="I154" s="230" t="str">
        <f t="shared" ref="I154:J154" si="0">C154</f>
        <v>1  1/4</v>
      </c>
      <c r="J154" s="230">
        <f t="shared" si="0"/>
        <v>45</v>
      </c>
    </row>
    <row r="155" spans="1:18" x14ac:dyDescent="0.25">
      <c r="B155" s="13" t="s">
        <v>313</v>
      </c>
      <c r="C155" s="114" t="s">
        <v>314</v>
      </c>
      <c r="D155" s="13">
        <v>45</v>
      </c>
      <c r="E155" s="213"/>
      <c r="R155" s="138" t="s">
        <v>372</v>
      </c>
    </row>
    <row r="156" spans="1:18" x14ac:dyDescent="0.25">
      <c r="B156" s="13" t="s">
        <v>315</v>
      </c>
      <c r="C156" s="114" t="s">
        <v>316</v>
      </c>
      <c r="D156" s="13">
        <v>50</v>
      </c>
      <c r="E156" s="213"/>
      <c r="R156" s="138" t="s">
        <v>375</v>
      </c>
    </row>
    <row r="157" spans="1:18" x14ac:dyDescent="0.25">
      <c r="R157" s="138" t="s">
        <v>376</v>
      </c>
    </row>
    <row r="159" spans="1:18" x14ac:dyDescent="0.25">
      <c r="A159" s="113" t="s">
        <v>317</v>
      </c>
    </row>
    <row r="160" spans="1:18" x14ac:dyDescent="0.25">
      <c r="B160" s="191" t="s">
        <v>318</v>
      </c>
      <c r="C160" s="188" t="s">
        <v>319</v>
      </c>
      <c r="D160" s="188"/>
      <c r="E160" s="188"/>
      <c r="F160" s="188"/>
      <c r="G160" s="188" t="s">
        <v>319</v>
      </c>
      <c r="H160" s="188"/>
      <c r="I160" s="188"/>
      <c r="J160" s="188"/>
      <c r="K160" s="188" t="s">
        <v>319</v>
      </c>
      <c r="L160" s="188"/>
      <c r="M160" s="188"/>
      <c r="N160" s="188"/>
    </row>
    <row r="161" spans="2:14" x14ac:dyDescent="0.25">
      <c r="B161" s="191"/>
      <c r="C161" s="60"/>
      <c r="D161" s="188" t="s">
        <v>320</v>
      </c>
      <c r="E161" s="188"/>
      <c r="F161" s="188"/>
      <c r="G161" s="60"/>
      <c r="H161" s="188" t="s">
        <v>320</v>
      </c>
      <c r="I161" s="188"/>
      <c r="J161" s="188"/>
      <c r="K161" s="60"/>
      <c r="L161" s="188" t="s">
        <v>320</v>
      </c>
      <c r="M161" s="188"/>
      <c r="N161" s="188"/>
    </row>
    <row r="162" spans="2:14" x14ac:dyDescent="0.25">
      <c r="B162" s="191"/>
      <c r="C162" s="60" t="s">
        <v>321</v>
      </c>
      <c r="D162" s="60">
        <v>3.05</v>
      </c>
      <c r="E162" s="60">
        <v>3.35</v>
      </c>
      <c r="F162" s="60">
        <v>3.65</v>
      </c>
      <c r="G162" s="60" t="s">
        <v>321</v>
      </c>
      <c r="H162" s="60">
        <v>3.05</v>
      </c>
      <c r="I162" s="60">
        <v>3.35</v>
      </c>
      <c r="J162" s="60">
        <v>3.65</v>
      </c>
      <c r="K162" s="60" t="s">
        <v>321</v>
      </c>
      <c r="L162" s="60">
        <v>3.05</v>
      </c>
      <c r="M162" s="60">
        <v>3.35</v>
      </c>
      <c r="N162" s="60">
        <v>3.65</v>
      </c>
    </row>
    <row r="163" spans="2:14" x14ac:dyDescent="0.25">
      <c r="B163" s="13">
        <v>15</v>
      </c>
      <c r="C163" s="187">
        <v>45</v>
      </c>
      <c r="D163" s="13">
        <v>80</v>
      </c>
      <c r="E163" s="13">
        <v>75</v>
      </c>
      <c r="F163" s="13">
        <v>65</v>
      </c>
      <c r="G163" s="213">
        <v>60</v>
      </c>
      <c r="H163" s="13">
        <v>120</v>
      </c>
      <c r="I163" s="13">
        <v>120</v>
      </c>
      <c r="J163" s="13">
        <v>120</v>
      </c>
      <c r="K163" s="13">
        <v>70</v>
      </c>
      <c r="L163" s="13">
        <v>120</v>
      </c>
      <c r="M163" s="13">
        <v>120</v>
      </c>
      <c r="N163" s="13">
        <v>120</v>
      </c>
    </row>
    <row r="164" spans="2:14" x14ac:dyDescent="0.25">
      <c r="B164" s="13">
        <v>17.5</v>
      </c>
      <c r="C164" s="187"/>
      <c r="D164" s="13">
        <v>70</v>
      </c>
      <c r="E164" s="13">
        <v>60</v>
      </c>
      <c r="F164" s="13">
        <v>55</v>
      </c>
      <c r="G164" s="213"/>
      <c r="H164" s="13">
        <v>120</v>
      </c>
      <c r="I164" s="13">
        <v>110</v>
      </c>
      <c r="J164" s="13">
        <v>100</v>
      </c>
      <c r="K164" s="13"/>
      <c r="L164" s="13">
        <v>120</v>
      </c>
      <c r="M164" s="13">
        <v>120</v>
      </c>
      <c r="N164" s="13">
        <v>120</v>
      </c>
    </row>
    <row r="165" spans="2:14" x14ac:dyDescent="0.25">
      <c r="B165" s="13">
        <v>20</v>
      </c>
      <c r="C165" s="187"/>
      <c r="D165" s="13">
        <v>60</v>
      </c>
      <c r="E165" s="13">
        <v>55</v>
      </c>
      <c r="F165" s="13">
        <v>50</v>
      </c>
      <c r="G165" s="213"/>
      <c r="H165" s="13">
        <v>105</v>
      </c>
      <c r="I165" s="13">
        <v>100</v>
      </c>
      <c r="J165" s="13">
        <v>90</v>
      </c>
      <c r="K165" s="13"/>
      <c r="L165" s="13">
        <v>120</v>
      </c>
      <c r="M165" s="13">
        <v>120</v>
      </c>
      <c r="N165" s="13">
        <v>120</v>
      </c>
    </row>
    <row r="166" spans="2:14" x14ac:dyDescent="0.25">
      <c r="B166" s="13">
        <v>22.5</v>
      </c>
      <c r="C166" s="187"/>
      <c r="D166" s="13">
        <v>55</v>
      </c>
      <c r="E166" s="13">
        <v>50</v>
      </c>
      <c r="F166" s="13">
        <v>45</v>
      </c>
      <c r="G166" s="213"/>
      <c r="H166" s="13">
        <v>95</v>
      </c>
      <c r="I166" s="13">
        <v>85</v>
      </c>
      <c r="J166" s="13">
        <v>80</v>
      </c>
      <c r="K166" s="13"/>
      <c r="L166" s="13">
        <v>120</v>
      </c>
      <c r="M166" s="13">
        <v>120</v>
      </c>
      <c r="N166" s="13">
        <v>120</v>
      </c>
    </row>
    <row r="167" spans="2:14" x14ac:dyDescent="0.25">
      <c r="B167" s="13">
        <v>25</v>
      </c>
      <c r="C167" s="187"/>
      <c r="D167" s="13">
        <v>45</v>
      </c>
      <c r="E167" s="13">
        <v>45</v>
      </c>
      <c r="F167" s="13">
        <v>40</v>
      </c>
      <c r="G167" s="213"/>
      <c r="H167" s="13">
        <v>85</v>
      </c>
      <c r="I167" s="13">
        <v>80</v>
      </c>
      <c r="J167" s="13">
        <v>70</v>
      </c>
      <c r="K167" s="13"/>
      <c r="L167" s="13">
        <v>120</v>
      </c>
      <c r="M167" s="13">
        <v>120</v>
      </c>
      <c r="N167" s="13">
        <v>120</v>
      </c>
    </row>
    <row r="173" spans="2:14" x14ac:dyDescent="0.25">
      <c r="F173" s="216"/>
      <c r="G173" s="217" t="s">
        <v>355</v>
      </c>
    </row>
    <row r="174" spans="2:14" x14ac:dyDescent="0.25">
      <c r="F174" s="216"/>
      <c r="G174" s="217"/>
    </row>
    <row r="175" spans="2:14" x14ac:dyDescent="0.25">
      <c r="F175" s="216"/>
      <c r="G175" s="217" t="s">
        <v>356</v>
      </c>
    </row>
    <row r="176" spans="2:14" x14ac:dyDescent="0.25">
      <c r="F176" s="216"/>
      <c r="G176" s="217"/>
    </row>
    <row r="177" spans="6:7" x14ac:dyDescent="0.25">
      <c r="F177" s="216"/>
      <c r="G177" s="217" t="s">
        <v>357</v>
      </c>
    </row>
    <row r="178" spans="6:7" x14ac:dyDescent="0.25">
      <c r="F178" s="216"/>
      <c r="G178" s="217"/>
    </row>
  </sheetData>
  <mergeCells count="103">
    <mergeCell ref="A27:B27"/>
    <mergeCell ref="A10:C10"/>
    <mergeCell ref="A12:B13"/>
    <mergeCell ref="C12:E12"/>
    <mergeCell ref="A14:C14"/>
    <mergeCell ref="A15:B15"/>
    <mergeCell ref="A16:B16"/>
    <mergeCell ref="A17:B17"/>
    <mergeCell ref="A21:C21"/>
    <mergeCell ref="A23:B25"/>
    <mergeCell ref="C23:D23"/>
    <mergeCell ref="A26:B26"/>
    <mergeCell ref="C38:D38"/>
    <mergeCell ref="F38:G39"/>
    <mergeCell ref="H38:H39"/>
    <mergeCell ref="C39:D39"/>
    <mergeCell ref="E48:F49"/>
    <mergeCell ref="A46:C46"/>
    <mergeCell ref="A34:C34"/>
    <mergeCell ref="F35:H35"/>
    <mergeCell ref="B36:B37"/>
    <mergeCell ref="C36:D37"/>
    <mergeCell ref="F36:G37"/>
    <mergeCell ref="H36:H37"/>
    <mergeCell ref="K160:N160"/>
    <mergeCell ref="D161:F161"/>
    <mergeCell ref="H161:J161"/>
    <mergeCell ref="L161:N161"/>
    <mergeCell ref="B114:H115"/>
    <mergeCell ref="F86:G86"/>
    <mergeCell ref="F87:G87"/>
    <mergeCell ref="F88:G88"/>
    <mergeCell ref="A97:D97"/>
    <mergeCell ref="A100:B103"/>
    <mergeCell ref="C100:F103"/>
    <mergeCell ref="J151:J153"/>
    <mergeCell ref="I152:I153"/>
    <mergeCell ref="A50:D50"/>
    <mergeCell ref="A51:D51"/>
    <mergeCell ref="A52:D52"/>
    <mergeCell ref="A53:D53"/>
    <mergeCell ref="A48:D49"/>
    <mergeCell ref="C163:C167"/>
    <mergeCell ref="G163:G167"/>
    <mergeCell ref="E50:F50"/>
    <mergeCell ref="E51:F51"/>
    <mergeCell ref="E52:F52"/>
    <mergeCell ref="E147:E149"/>
    <mergeCell ref="E150:E156"/>
    <mergeCell ref="B117:D117"/>
    <mergeCell ref="B118:D118"/>
    <mergeCell ref="B119:D119"/>
    <mergeCell ref="B120:D120"/>
    <mergeCell ref="B121:D121"/>
    <mergeCell ref="B147:B149"/>
    <mergeCell ref="C147:C149"/>
    <mergeCell ref="D147:D149"/>
    <mergeCell ref="A104:B104"/>
    <mergeCell ref="B160:B162"/>
    <mergeCell ref="C160:F160"/>
    <mergeCell ref="G160:J160"/>
    <mergeCell ref="H57:J57"/>
    <mergeCell ref="H58:J58"/>
    <mergeCell ref="D81:E84"/>
    <mergeCell ref="A105:B105"/>
    <mergeCell ref="A106:B106"/>
    <mergeCell ref="A107:B107"/>
    <mergeCell ref="A108:B108"/>
    <mergeCell ref="B81:B84"/>
    <mergeCell ref="C81:C84"/>
    <mergeCell ref="F83:G84"/>
    <mergeCell ref="H83:I83"/>
    <mergeCell ref="F85:G85"/>
    <mergeCell ref="B69:B70"/>
    <mergeCell ref="D69:K69"/>
    <mergeCell ref="D70:E70"/>
    <mergeCell ref="F70:G70"/>
    <mergeCell ref="H70:I70"/>
    <mergeCell ref="J70:K70"/>
    <mergeCell ref="B60:B61"/>
    <mergeCell ref="D60:K60"/>
    <mergeCell ref="D61:E61"/>
    <mergeCell ref="F61:G61"/>
    <mergeCell ref="H61:I61"/>
    <mergeCell ref="J61:K61"/>
    <mergeCell ref="F175:F176"/>
    <mergeCell ref="F177:F178"/>
    <mergeCell ref="G173:G174"/>
    <mergeCell ref="G175:G176"/>
    <mergeCell ref="G177:G178"/>
    <mergeCell ref="E53:F53"/>
    <mergeCell ref="A56:C56"/>
    <mergeCell ref="A78:B78"/>
    <mergeCell ref="A112:C112"/>
    <mergeCell ref="G76:G77"/>
    <mergeCell ref="G137:G138"/>
    <mergeCell ref="F139:F140"/>
    <mergeCell ref="G139:G140"/>
    <mergeCell ref="F122:G122"/>
    <mergeCell ref="F173:F174"/>
    <mergeCell ref="F135:F136"/>
    <mergeCell ref="G135:G136"/>
    <mergeCell ref="F137:F138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FD8C-67BF-4E8E-B5A4-DB4C7FFD1F76}">
  <dimension ref="A1:X178"/>
  <sheetViews>
    <sheetView topLeftCell="A119" zoomScale="85" zoomScaleNormal="85" workbookViewId="0">
      <selection activeCell="I135" sqref="I135"/>
    </sheetView>
  </sheetViews>
  <sheetFormatPr baseColWidth="10" defaultRowHeight="15" x14ac:dyDescent="0.25"/>
  <cols>
    <col min="7" max="7" width="22.28515625" customWidth="1"/>
  </cols>
  <sheetData>
    <row r="1" spans="1:24" x14ac:dyDescent="0.25">
      <c r="A1" s="16"/>
      <c r="B1" s="16" t="s">
        <v>98</v>
      </c>
      <c r="C1" s="16"/>
      <c r="D1" s="16"/>
      <c r="E1" s="16"/>
      <c r="F1" s="16"/>
      <c r="G1" s="16"/>
      <c r="H1" s="16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</row>
    <row r="2" spans="1:24" x14ac:dyDescent="0.25">
      <c r="A2" s="16"/>
      <c r="B2" s="16" t="s">
        <v>99</v>
      </c>
      <c r="C2" s="16"/>
      <c r="D2" s="16"/>
      <c r="E2" s="16">
        <v>8.1999999999999993</v>
      </c>
      <c r="F2" s="16" t="s">
        <v>185</v>
      </c>
      <c r="G2" s="16"/>
      <c r="H2" s="16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</row>
    <row r="3" spans="1:24" x14ac:dyDescent="0.25">
      <c r="A3" s="16"/>
      <c r="B3" s="16" t="s">
        <v>100</v>
      </c>
      <c r="C3" s="16"/>
      <c r="D3" s="16"/>
      <c r="E3" s="16">
        <v>11</v>
      </c>
      <c r="F3" s="16" t="s">
        <v>186</v>
      </c>
      <c r="G3" s="16"/>
      <c r="H3" s="16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</row>
    <row r="4" spans="1:24" x14ac:dyDescent="0.25">
      <c r="A4" s="16"/>
      <c r="B4" s="16" t="s">
        <v>101</v>
      </c>
      <c r="C4" s="16"/>
      <c r="D4" s="16"/>
      <c r="E4" s="16">
        <v>18</v>
      </c>
      <c r="F4" s="16"/>
      <c r="G4" s="16"/>
      <c r="H4" s="16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</row>
    <row r="5" spans="1:24" x14ac:dyDescent="0.25">
      <c r="A5" s="16"/>
      <c r="B5" s="16" t="s">
        <v>102</v>
      </c>
      <c r="C5" s="16"/>
      <c r="D5" s="16"/>
      <c r="E5" s="16">
        <v>66</v>
      </c>
      <c r="F5" s="16"/>
      <c r="G5" s="16"/>
      <c r="H5" s="16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</row>
    <row r="6" spans="1:24" x14ac:dyDescent="0.25">
      <c r="A6" s="16"/>
      <c r="B6" s="16" t="s">
        <v>103</v>
      </c>
      <c r="C6" s="16"/>
      <c r="D6" s="16"/>
      <c r="E6" s="16">
        <v>30</v>
      </c>
      <c r="F6" s="16" t="s">
        <v>123</v>
      </c>
      <c r="G6" s="16"/>
      <c r="H6" s="16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</row>
    <row r="7" spans="1:24" x14ac:dyDescent="0.25">
      <c r="A7" s="16"/>
      <c r="B7" s="16"/>
      <c r="C7" s="16"/>
      <c r="D7" s="16"/>
      <c r="E7" s="16"/>
      <c r="F7" s="16"/>
      <c r="G7" s="16"/>
      <c r="H7" s="16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</row>
    <row r="8" spans="1:24" x14ac:dyDescent="0.25">
      <c r="A8" s="16"/>
      <c r="B8" s="16"/>
      <c r="C8" s="16"/>
      <c r="D8" s="16"/>
      <c r="E8" s="16"/>
      <c r="F8" s="16"/>
      <c r="G8" s="16"/>
      <c r="H8" s="16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</row>
    <row r="9" spans="1:24" x14ac:dyDescent="0.25">
      <c r="A9" s="53"/>
      <c r="B9" s="54"/>
      <c r="C9" s="54"/>
      <c r="D9" s="54"/>
      <c r="E9" s="54"/>
      <c r="F9" s="54"/>
      <c r="G9" s="54"/>
      <c r="H9" s="54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</row>
    <row r="10" spans="1:24" x14ac:dyDescent="0.25">
      <c r="A10" s="175" t="s">
        <v>179</v>
      </c>
      <c r="B10" s="176"/>
      <c r="C10" s="183"/>
      <c r="D10" s="56" t="s">
        <v>124</v>
      </c>
      <c r="E10" s="56">
        <v>90</v>
      </c>
      <c r="F10" s="16"/>
      <c r="G10" s="56" t="s">
        <v>125</v>
      </c>
      <c r="H10" s="56">
        <f>H19</f>
        <v>-1.282</v>
      </c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</row>
    <row r="11" spans="1:24" x14ac:dyDescent="0.25">
      <c r="A11" s="58"/>
      <c r="B11" s="16"/>
      <c r="C11" s="16"/>
      <c r="D11" s="16"/>
      <c r="E11" s="16"/>
      <c r="F11" s="16"/>
      <c r="G11" s="16"/>
      <c r="H11" s="16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</row>
    <row r="12" spans="1:24" x14ac:dyDescent="0.25">
      <c r="A12" s="196" t="s">
        <v>104</v>
      </c>
      <c r="B12" s="197"/>
      <c r="C12" s="200" t="s">
        <v>128</v>
      </c>
      <c r="D12" s="200"/>
      <c r="E12" s="201"/>
      <c r="F12" s="16"/>
      <c r="G12" s="60" t="s">
        <v>130</v>
      </c>
      <c r="H12" s="60" t="s">
        <v>131</v>
      </c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</row>
    <row r="13" spans="1:24" x14ac:dyDescent="0.25">
      <c r="A13" s="198"/>
      <c r="B13" s="199"/>
      <c r="C13" s="61"/>
      <c r="D13" s="60" t="s">
        <v>126</v>
      </c>
      <c r="E13" s="60" t="s">
        <v>127</v>
      </c>
      <c r="F13" s="16"/>
      <c r="G13" s="13">
        <v>50</v>
      </c>
      <c r="H13" s="13">
        <v>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</row>
    <row r="14" spans="1:24" x14ac:dyDescent="0.25">
      <c r="A14" s="184" t="s">
        <v>129</v>
      </c>
      <c r="B14" s="202"/>
      <c r="C14" s="185"/>
      <c r="D14" s="99" t="s">
        <v>108</v>
      </c>
      <c r="E14" s="63" t="s">
        <v>112</v>
      </c>
      <c r="F14" s="16"/>
      <c r="G14" s="13">
        <v>60</v>
      </c>
      <c r="H14" s="13">
        <v>-0.253</v>
      </c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</row>
    <row r="15" spans="1:24" x14ac:dyDescent="0.25">
      <c r="A15" s="184" t="s">
        <v>105</v>
      </c>
      <c r="B15" s="185"/>
      <c r="C15" s="13"/>
      <c r="D15" s="99" t="s">
        <v>109</v>
      </c>
      <c r="E15" s="13" t="s">
        <v>113</v>
      </c>
      <c r="F15" s="16"/>
      <c r="G15" s="13">
        <v>70</v>
      </c>
      <c r="H15" s="13">
        <v>-0.52400000000000002</v>
      </c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</row>
    <row r="16" spans="1:24" x14ac:dyDescent="0.25">
      <c r="A16" s="184" t="s">
        <v>106</v>
      </c>
      <c r="B16" s="185"/>
      <c r="C16" s="13"/>
      <c r="D16" s="13" t="s">
        <v>110</v>
      </c>
      <c r="E16" s="13" t="s">
        <v>114</v>
      </c>
      <c r="F16" s="16"/>
      <c r="G16" s="13">
        <v>75</v>
      </c>
      <c r="H16" s="13">
        <v>-0.67100000000000004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</row>
    <row r="17" spans="1:24" x14ac:dyDescent="0.25">
      <c r="A17" s="184" t="s">
        <v>107</v>
      </c>
      <c r="B17" s="185"/>
      <c r="C17" s="13"/>
      <c r="D17" s="13" t="s">
        <v>111</v>
      </c>
      <c r="E17" s="13" t="s">
        <v>111</v>
      </c>
      <c r="F17" s="16"/>
      <c r="G17" s="13">
        <v>80</v>
      </c>
      <c r="H17" s="13">
        <v>-0.84099999999999997</v>
      </c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</row>
    <row r="18" spans="1:24" x14ac:dyDescent="0.25">
      <c r="A18" s="58"/>
      <c r="B18" s="16"/>
      <c r="C18" s="16"/>
      <c r="D18" s="16"/>
      <c r="E18" s="16"/>
      <c r="F18" s="16"/>
      <c r="G18" s="13">
        <v>85</v>
      </c>
      <c r="H18" s="13">
        <v>-1.0369999999999999</v>
      </c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</row>
    <row r="19" spans="1:24" x14ac:dyDescent="0.25">
      <c r="A19" s="58"/>
      <c r="B19" s="16"/>
      <c r="C19" s="16"/>
      <c r="D19" s="16"/>
      <c r="E19" s="16"/>
      <c r="F19" s="16"/>
      <c r="G19" s="64">
        <v>90</v>
      </c>
      <c r="H19" s="64">
        <v>-1.282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</row>
    <row r="20" spans="1:24" x14ac:dyDescent="0.25">
      <c r="A20" s="58"/>
      <c r="B20" s="16"/>
      <c r="C20" s="16"/>
      <c r="D20" s="16"/>
      <c r="E20" s="16"/>
      <c r="F20" s="16"/>
      <c r="G20" s="13">
        <v>91</v>
      </c>
      <c r="H20" s="13">
        <v>-1.34</v>
      </c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</row>
    <row r="21" spans="1:24" x14ac:dyDescent="0.25">
      <c r="A21" s="175" t="s">
        <v>138</v>
      </c>
      <c r="B21" s="176"/>
      <c r="C21" s="176"/>
      <c r="D21" s="56" t="s">
        <v>198</v>
      </c>
      <c r="E21" s="56">
        <f>D26</f>
        <v>0.35</v>
      </c>
      <c r="F21" s="16"/>
      <c r="G21" s="13">
        <v>92</v>
      </c>
      <c r="H21" s="13">
        <v>-1.405</v>
      </c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</row>
    <row r="22" spans="1:24" x14ac:dyDescent="0.25">
      <c r="A22" s="58"/>
      <c r="B22" s="16"/>
      <c r="C22" s="16"/>
      <c r="D22" s="16"/>
      <c r="E22" s="16"/>
      <c r="F22" s="16"/>
      <c r="G22" s="13">
        <v>93</v>
      </c>
      <c r="H22" s="13">
        <v>-1.476</v>
      </c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</row>
    <row r="23" spans="1:24" x14ac:dyDescent="0.25">
      <c r="A23" s="205" t="s">
        <v>133</v>
      </c>
      <c r="B23" s="206"/>
      <c r="C23" s="203" t="s">
        <v>198</v>
      </c>
      <c r="D23" s="204"/>
      <c r="E23" s="16"/>
      <c r="F23" s="16"/>
      <c r="G23" s="13">
        <v>94</v>
      </c>
      <c r="H23" s="13">
        <v>-1.5549999999999999</v>
      </c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</row>
    <row r="24" spans="1:24" x14ac:dyDescent="0.25">
      <c r="A24" s="207"/>
      <c r="B24" s="208"/>
      <c r="C24" s="59" t="s">
        <v>136</v>
      </c>
      <c r="D24" s="60" t="s">
        <v>137</v>
      </c>
      <c r="E24" s="16"/>
      <c r="F24" s="16"/>
      <c r="G24" s="13">
        <v>95</v>
      </c>
      <c r="H24" s="13">
        <v>-1.645</v>
      </c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</row>
    <row r="25" spans="1:24" x14ac:dyDescent="0.25">
      <c r="A25" s="209"/>
      <c r="B25" s="210"/>
      <c r="C25" s="59" t="s">
        <v>134</v>
      </c>
      <c r="D25" s="60" t="s">
        <v>135</v>
      </c>
      <c r="E25" s="16"/>
      <c r="F25" s="16"/>
      <c r="G25" s="13">
        <v>96</v>
      </c>
      <c r="H25" s="13">
        <v>-1.7509999999999999</v>
      </c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</row>
    <row r="26" spans="1:24" x14ac:dyDescent="0.25">
      <c r="A26" s="184" t="s">
        <v>180</v>
      </c>
      <c r="B26" s="185"/>
      <c r="C26" s="99">
        <v>0.45</v>
      </c>
      <c r="D26" s="63">
        <v>0.35</v>
      </c>
      <c r="E26" s="16"/>
      <c r="F26" s="16"/>
      <c r="G26" s="13">
        <v>97</v>
      </c>
      <c r="H26" s="13">
        <v>-1.881</v>
      </c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</row>
    <row r="27" spans="1:24" x14ac:dyDescent="0.25">
      <c r="A27" s="184" t="s">
        <v>132</v>
      </c>
      <c r="B27" s="185"/>
      <c r="C27" s="13">
        <v>0.5</v>
      </c>
      <c r="D27" s="13">
        <v>0.4</v>
      </c>
      <c r="E27" s="16"/>
      <c r="F27" s="16"/>
      <c r="G27" s="13">
        <v>98</v>
      </c>
      <c r="H27" s="13">
        <v>-2.0539999999999998</v>
      </c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</row>
    <row r="28" spans="1:24" x14ac:dyDescent="0.25">
      <c r="A28" s="58"/>
      <c r="B28" s="16"/>
      <c r="C28" s="16"/>
      <c r="D28" s="16"/>
      <c r="E28" s="16"/>
      <c r="F28" s="16"/>
      <c r="G28" s="13">
        <v>99</v>
      </c>
      <c r="H28" s="13">
        <v>-2.327</v>
      </c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</row>
    <row r="29" spans="1:24" x14ac:dyDescent="0.25">
      <c r="A29" s="58"/>
      <c r="B29" s="16"/>
      <c r="C29" s="16"/>
      <c r="D29" s="16"/>
      <c r="E29" s="16"/>
      <c r="F29" s="16"/>
      <c r="G29" s="13">
        <v>99.9</v>
      </c>
      <c r="H29" s="13">
        <v>-3.09</v>
      </c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</row>
    <row r="30" spans="1:24" x14ac:dyDescent="0.25">
      <c r="A30" s="58"/>
      <c r="B30" s="16"/>
      <c r="C30" s="16"/>
      <c r="D30" s="16"/>
      <c r="E30" s="16"/>
      <c r="F30" s="16"/>
      <c r="G30" s="13">
        <v>99.99</v>
      </c>
      <c r="H30" s="13">
        <v>-3.75</v>
      </c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</row>
    <row r="31" spans="1:24" x14ac:dyDescent="0.25">
      <c r="A31" s="58"/>
      <c r="B31" s="16"/>
      <c r="C31" s="16"/>
      <c r="D31" s="16"/>
      <c r="E31" s="16"/>
      <c r="F31" s="16"/>
      <c r="G31" s="16"/>
      <c r="H31" s="16"/>
      <c r="I31" s="113"/>
      <c r="J31" s="113"/>
      <c r="K31" s="113"/>
      <c r="L31" s="113" t="s">
        <v>377</v>
      </c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</row>
    <row r="32" spans="1:24" x14ac:dyDescent="0.25">
      <c r="A32" s="58"/>
      <c r="B32" s="16"/>
      <c r="C32" s="16"/>
      <c r="D32" s="16"/>
      <c r="E32" s="16"/>
      <c r="F32" s="16"/>
      <c r="G32" s="16"/>
      <c r="H32" s="16"/>
      <c r="I32" s="113"/>
      <c r="J32" s="113"/>
      <c r="K32" s="113"/>
      <c r="L32" s="113" t="s">
        <v>374</v>
      </c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</row>
    <row r="33" spans="1:24" x14ac:dyDescent="0.25">
      <c r="A33" s="58"/>
      <c r="B33" s="16"/>
      <c r="C33" s="16"/>
      <c r="D33" s="16"/>
      <c r="E33" s="16"/>
      <c r="F33" s="16"/>
      <c r="G33" s="16"/>
      <c r="H33" s="16"/>
      <c r="I33" s="113"/>
      <c r="J33" s="113"/>
      <c r="K33" s="113"/>
      <c r="L33" s="138" t="s">
        <v>373</v>
      </c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</row>
    <row r="34" spans="1:24" x14ac:dyDescent="0.25">
      <c r="A34" s="175" t="s">
        <v>147</v>
      </c>
      <c r="B34" s="176"/>
      <c r="C34" s="176"/>
      <c r="D34" s="16"/>
      <c r="E34" s="16"/>
      <c r="F34" s="16"/>
      <c r="G34" s="16"/>
      <c r="H34" s="16"/>
      <c r="I34" s="113"/>
      <c r="J34" s="113"/>
      <c r="K34" s="113"/>
      <c r="L34" s="138" t="s">
        <v>361</v>
      </c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</row>
    <row r="35" spans="1:24" x14ac:dyDescent="0.25">
      <c r="A35" s="58"/>
      <c r="B35" s="16"/>
      <c r="C35" s="16"/>
      <c r="D35" s="16"/>
      <c r="E35" s="16"/>
      <c r="F35" s="188" t="s">
        <v>140</v>
      </c>
      <c r="G35" s="188"/>
      <c r="H35" s="188"/>
      <c r="I35" s="113"/>
      <c r="J35" s="113"/>
      <c r="K35" s="113"/>
      <c r="L35" s="138" t="s">
        <v>362</v>
      </c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</row>
    <row r="36" spans="1:24" x14ac:dyDescent="0.25">
      <c r="A36" s="58"/>
      <c r="B36" s="189" t="s">
        <v>146</v>
      </c>
      <c r="C36" s="190" t="s">
        <v>145</v>
      </c>
      <c r="D36" s="191"/>
      <c r="E36" s="16"/>
      <c r="F36" s="187" t="s">
        <v>233</v>
      </c>
      <c r="G36" s="187"/>
      <c r="H36" s="186">
        <v>2.25</v>
      </c>
      <c r="I36" s="113"/>
      <c r="J36" s="113"/>
      <c r="K36" s="113"/>
      <c r="L36" s="138" t="s">
        <v>363</v>
      </c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</row>
    <row r="37" spans="1:24" x14ac:dyDescent="0.25">
      <c r="A37" s="58"/>
      <c r="B37" s="189"/>
      <c r="C37" s="190"/>
      <c r="D37" s="191"/>
      <c r="E37" s="16"/>
      <c r="F37" s="187"/>
      <c r="G37" s="187"/>
      <c r="H37" s="186"/>
      <c r="I37" s="113"/>
      <c r="J37" s="113"/>
      <c r="K37" s="113"/>
      <c r="L37" s="138" t="s">
        <v>364</v>
      </c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</row>
    <row r="38" spans="1:24" x14ac:dyDescent="0.25">
      <c r="A38" s="58"/>
      <c r="B38" s="13" t="s">
        <v>142</v>
      </c>
      <c r="C38" s="192">
        <v>3</v>
      </c>
      <c r="D38" s="193"/>
      <c r="E38" s="16"/>
      <c r="F38" s="187" t="s">
        <v>234</v>
      </c>
      <c r="G38" s="187"/>
      <c r="H38" s="187">
        <v>2</v>
      </c>
      <c r="I38" s="113"/>
      <c r="J38" s="113"/>
      <c r="K38" s="113"/>
      <c r="L38" s="138" t="s">
        <v>365</v>
      </c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</row>
    <row r="39" spans="1:24" x14ac:dyDescent="0.25">
      <c r="A39" s="58"/>
      <c r="B39" s="13" t="s">
        <v>141</v>
      </c>
      <c r="C39" s="194">
        <v>2.5</v>
      </c>
      <c r="D39" s="185"/>
      <c r="E39" s="16"/>
      <c r="F39" s="187"/>
      <c r="G39" s="187"/>
      <c r="H39" s="187"/>
      <c r="I39" s="113"/>
      <c r="J39" s="113"/>
      <c r="K39" s="113"/>
      <c r="L39" s="138" t="s">
        <v>366</v>
      </c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</row>
    <row r="40" spans="1:24" x14ac:dyDescent="0.25">
      <c r="A40" s="58"/>
      <c r="B40" s="16"/>
      <c r="C40" s="16"/>
      <c r="D40" s="16"/>
      <c r="E40" s="16"/>
      <c r="F40" s="16"/>
      <c r="G40" s="16"/>
      <c r="H40" s="16"/>
      <c r="I40" s="113"/>
      <c r="J40" s="113"/>
      <c r="K40" s="113"/>
      <c r="L40" s="138" t="s">
        <v>367</v>
      </c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</row>
    <row r="41" spans="1:24" x14ac:dyDescent="0.25">
      <c r="A41" s="58"/>
      <c r="B41" s="16"/>
      <c r="C41" s="16"/>
      <c r="D41" s="13" t="s">
        <v>148</v>
      </c>
      <c r="E41" s="13">
        <v>4.2</v>
      </c>
      <c r="F41" s="16"/>
      <c r="G41" s="16"/>
      <c r="H41" s="13" t="s">
        <v>148</v>
      </c>
      <c r="I41" s="117" t="s">
        <v>235</v>
      </c>
      <c r="J41" s="113"/>
      <c r="K41" s="113"/>
      <c r="L41" s="113" t="s">
        <v>368</v>
      </c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</row>
    <row r="42" spans="1:24" x14ac:dyDescent="0.25">
      <c r="A42" s="58"/>
      <c r="B42" s="16"/>
      <c r="C42" s="16"/>
      <c r="D42" s="13" t="s">
        <v>149</v>
      </c>
      <c r="E42" s="99">
        <f>C38</f>
        <v>3</v>
      </c>
      <c r="F42" s="16" t="s">
        <v>151</v>
      </c>
      <c r="G42" s="16"/>
      <c r="H42" s="16"/>
      <c r="I42" s="113"/>
      <c r="J42" s="113"/>
      <c r="K42" s="113"/>
      <c r="L42" s="113" t="s">
        <v>369</v>
      </c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</row>
    <row r="43" spans="1:24" x14ac:dyDescent="0.25">
      <c r="A43" s="58"/>
      <c r="B43" s="16"/>
      <c r="C43" s="16"/>
      <c r="D43" s="13" t="s">
        <v>150</v>
      </c>
      <c r="E43" s="100">
        <f>E41-E42</f>
        <v>1.2000000000000002</v>
      </c>
      <c r="F43" s="16"/>
      <c r="G43" s="16"/>
      <c r="H43" s="16"/>
      <c r="I43" s="113"/>
      <c r="J43" s="113"/>
      <c r="K43" s="113"/>
      <c r="L43" s="113" t="s">
        <v>370</v>
      </c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</row>
    <row r="44" spans="1:24" x14ac:dyDescent="0.25">
      <c r="A44" s="58"/>
      <c r="B44" s="16"/>
      <c r="C44" s="16"/>
      <c r="D44" s="16"/>
      <c r="E44" s="16"/>
      <c r="F44" s="16"/>
      <c r="G44" s="16"/>
      <c r="H44" s="16"/>
      <c r="I44" s="113"/>
      <c r="J44" s="113"/>
      <c r="K44" s="113"/>
      <c r="L44" s="113" t="s">
        <v>371</v>
      </c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</row>
    <row r="45" spans="1:24" x14ac:dyDescent="0.25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</row>
    <row r="46" spans="1:24" x14ac:dyDescent="0.25">
      <c r="A46" s="175" t="s">
        <v>322</v>
      </c>
      <c r="B46" s="176"/>
      <c r="C46" s="176"/>
      <c r="D46" s="113"/>
      <c r="E46" s="113"/>
      <c r="F46" s="113"/>
      <c r="G46" s="113"/>
      <c r="H46" s="113"/>
      <c r="I46" s="113"/>
      <c r="J46" s="113"/>
      <c r="K46" s="113"/>
      <c r="L46" s="113" t="s">
        <v>372</v>
      </c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</row>
    <row r="47" spans="1:24" x14ac:dyDescent="0.25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 t="s">
        <v>375</v>
      </c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</row>
    <row r="48" spans="1:24" x14ac:dyDescent="0.25">
      <c r="A48" s="223" t="s">
        <v>236</v>
      </c>
      <c r="B48" s="223"/>
      <c r="C48" s="223"/>
      <c r="D48" s="224"/>
      <c r="E48" s="226" t="s">
        <v>237</v>
      </c>
      <c r="F48" s="221"/>
      <c r="G48" s="113"/>
      <c r="H48" s="113"/>
      <c r="I48" s="113"/>
      <c r="J48" s="113"/>
      <c r="K48" s="113"/>
      <c r="L48" s="113" t="s">
        <v>376</v>
      </c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</row>
    <row r="49" spans="1:24" x14ac:dyDescent="0.25">
      <c r="A49" s="223"/>
      <c r="B49" s="223"/>
      <c r="C49" s="223"/>
      <c r="D49" s="224"/>
      <c r="E49" s="226"/>
      <c r="F49" s="221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</row>
    <row r="50" spans="1:24" x14ac:dyDescent="0.25">
      <c r="A50" s="213" t="s">
        <v>238</v>
      </c>
      <c r="B50" s="213"/>
      <c r="C50" s="213"/>
      <c r="D50" s="213"/>
      <c r="E50" s="213" t="s">
        <v>239</v>
      </c>
      <c r="F50" s="2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</row>
    <row r="51" spans="1:24" x14ac:dyDescent="0.25">
      <c r="A51" s="213" t="s">
        <v>240</v>
      </c>
      <c r="B51" s="213"/>
      <c r="C51" s="213"/>
      <c r="D51" s="213"/>
      <c r="E51" s="213" t="s">
        <v>241</v>
      </c>
      <c r="F51" s="2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</row>
    <row r="52" spans="1:24" x14ac:dyDescent="0.25">
      <c r="A52" s="213" t="s">
        <v>242</v>
      </c>
      <c r="B52" s="213"/>
      <c r="C52" s="213"/>
      <c r="D52" s="213"/>
      <c r="E52" s="213" t="s">
        <v>243</v>
      </c>
      <c r="F52" s="2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</row>
    <row r="53" spans="1:24" x14ac:dyDescent="0.25">
      <c r="A53" s="213" t="s">
        <v>244</v>
      </c>
      <c r="B53" s="213"/>
      <c r="C53" s="213"/>
      <c r="D53" s="213"/>
      <c r="E53" s="218" t="s">
        <v>245</v>
      </c>
      <c r="F53" s="218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</row>
    <row r="54" spans="1:24" x14ac:dyDescent="0.25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</row>
    <row r="55" spans="1:24" x14ac:dyDescent="0.25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</row>
    <row r="56" spans="1:24" x14ac:dyDescent="0.25">
      <c r="A56" s="175" t="s">
        <v>323</v>
      </c>
      <c r="B56" s="176"/>
      <c r="C56" s="176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</row>
    <row r="57" spans="1:24" x14ac:dyDescent="0.25">
      <c r="A57" s="113"/>
      <c r="B57" s="113"/>
      <c r="C57" s="113"/>
      <c r="D57" s="117" t="s">
        <v>338</v>
      </c>
      <c r="E57" s="117">
        <v>5</v>
      </c>
      <c r="F57" s="113"/>
      <c r="G57" s="113"/>
      <c r="H57" s="220" t="s">
        <v>246</v>
      </c>
      <c r="I57" s="220"/>
      <c r="J57" s="220"/>
      <c r="K57" s="113" t="s">
        <v>340</v>
      </c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</row>
    <row r="58" spans="1:24" x14ac:dyDescent="0.25">
      <c r="A58" s="113"/>
      <c r="B58" s="113"/>
      <c r="C58" s="113"/>
      <c r="D58" s="117" t="s">
        <v>339</v>
      </c>
      <c r="E58" s="117">
        <f>2.55+52.5*LOG(E57)</f>
        <v>39.245925227640988</v>
      </c>
      <c r="F58" s="113"/>
      <c r="G58" s="113"/>
      <c r="H58" s="220" t="s">
        <v>324</v>
      </c>
      <c r="I58" s="220"/>
      <c r="J58" s="220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</row>
    <row r="59" spans="1:24" x14ac:dyDescent="0.25">
      <c r="A59" s="113"/>
      <c r="B59" s="113"/>
      <c r="C59" s="113"/>
      <c r="D59" s="117" t="s">
        <v>341</v>
      </c>
      <c r="E59" s="117">
        <v>40</v>
      </c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</row>
    <row r="60" spans="1:24" x14ac:dyDescent="0.25">
      <c r="A60" s="113"/>
      <c r="B60" s="188" t="s">
        <v>247</v>
      </c>
      <c r="C60" s="60"/>
      <c r="D60" s="188" t="s">
        <v>248</v>
      </c>
      <c r="E60" s="188"/>
      <c r="F60" s="188"/>
      <c r="G60" s="188"/>
      <c r="H60" s="188"/>
      <c r="I60" s="188"/>
      <c r="J60" s="188"/>
      <c r="K60" s="188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</row>
    <row r="61" spans="1:24" x14ac:dyDescent="0.25">
      <c r="A61" s="113"/>
      <c r="B61" s="188"/>
      <c r="C61" s="60"/>
      <c r="D61" s="188" t="s">
        <v>249</v>
      </c>
      <c r="E61" s="188"/>
      <c r="F61" s="188" t="s">
        <v>250</v>
      </c>
      <c r="G61" s="188"/>
      <c r="H61" s="188" t="s">
        <v>251</v>
      </c>
      <c r="I61" s="188"/>
      <c r="J61" s="188" t="s">
        <v>252</v>
      </c>
      <c r="K61" s="188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</row>
    <row r="62" spans="1:24" x14ac:dyDescent="0.25">
      <c r="A62" s="113"/>
      <c r="B62" s="13" t="s">
        <v>253</v>
      </c>
      <c r="C62" s="13" t="s">
        <v>254</v>
      </c>
      <c r="D62" s="13" t="s">
        <v>253</v>
      </c>
      <c r="E62" s="13" t="s">
        <v>254</v>
      </c>
      <c r="F62" s="13" t="s">
        <v>253</v>
      </c>
      <c r="G62" s="13" t="s">
        <v>254</v>
      </c>
      <c r="H62" s="13" t="s">
        <v>253</v>
      </c>
      <c r="I62" s="13" t="s">
        <v>254</v>
      </c>
      <c r="J62" s="13" t="s">
        <v>253</v>
      </c>
      <c r="K62" s="13" t="s">
        <v>254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</row>
    <row r="63" spans="1:24" x14ac:dyDescent="0.25">
      <c r="A63" s="113"/>
      <c r="B63" s="13">
        <v>20</v>
      </c>
      <c r="C63" s="13">
        <v>73</v>
      </c>
      <c r="D63" s="13">
        <v>23</v>
      </c>
      <c r="E63" s="13">
        <v>85</v>
      </c>
      <c r="F63" s="13">
        <v>26</v>
      </c>
      <c r="G63" s="13">
        <v>96</v>
      </c>
      <c r="H63" s="13">
        <v>32</v>
      </c>
      <c r="I63" s="13">
        <v>117</v>
      </c>
      <c r="J63" s="13">
        <v>38</v>
      </c>
      <c r="K63" s="13">
        <v>140</v>
      </c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</row>
    <row r="64" spans="1:24" x14ac:dyDescent="0.25">
      <c r="A64" s="113"/>
      <c r="B64" s="13">
        <v>40</v>
      </c>
      <c r="C64" s="13">
        <v>147</v>
      </c>
      <c r="D64" s="13">
        <v>45</v>
      </c>
      <c r="E64" s="13">
        <v>165</v>
      </c>
      <c r="F64" s="13">
        <v>49</v>
      </c>
      <c r="G64" s="13">
        <v>180</v>
      </c>
      <c r="H64" s="13">
        <v>57</v>
      </c>
      <c r="I64" s="13">
        <v>210</v>
      </c>
      <c r="J64" s="13">
        <v>66</v>
      </c>
      <c r="K64" s="13">
        <v>145</v>
      </c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</row>
    <row r="65" spans="1:24" x14ac:dyDescent="0.25">
      <c r="A65" s="113"/>
      <c r="B65" s="13">
        <v>60</v>
      </c>
      <c r="C65" s="13">
        <v>220</v>
      </c>
      <c r="D65" s="13">
        <v>64</v>
      </c>
      <c r="E65" s="13">
        <v>235</v>
      </c>
      <c r="F65" s="13">
        <v>66</v>
      </c>
      <c r="G65" s="13">
        <v>245</v>
      </c>
      <c r="H65" s="13">
        <v>76</v>
      </c>
      <c r="I65" s="13">
        <v>280</v>
      </c>
      <c r="J65" s="13">
        <v>90</v>
      </c>
      <c r="K65" s="13">
        <v>330</v>
      </c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</row>
    <row r="66" spans="1:24" x14ac:dyDescent="0.25">
      <c r="A66" s="113"/>
      <c r="B66" s="13">
        <v>80</v>
      </c>
      <c r="C66" s="13">
        <v>295</v>
      </c>
      <c r="D66" s="13">
        <v>87</v>
      </c>
      <c r="E66" s="13">
        <v>320</v>
      </c>
      <c r="F66" s="13">
        <v>90</v>
      </c>
      <c r="G66" s="13">
        <v>330</v>
      </c>
      <c r="H66" s="13">
        <v>100</v>
      </c>
      <c r="I66" s="13">
        <v>117</v>
      </c>
      <c r="J66" s="13">
        <v>117</v>
      </c>
      <c r="K66" s="13">
        <v>430</v>
      </c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</row>
    <row r="67" spans="1:24" x14ac:dyDescent="0.25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</row>
    <row r="68" spans="1:24" x14ac:dyDescent="0.25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</row>
    <row r="69" spans="1:24" x14ac:dyDescent="0.25">
      <c r="A69" s="113"/>
      <c r="B69" s="188" t="s">
        <v>247</v>
      </c>
      <c r="C69" s="60"/>
      <c r="D69" s="188" t="s">
        <v>255</v>
      </c>
      <c r="E69" s="188"/>
      <c r="F69" s="188"/>
      <c r="G69" s="188"/>
      <c r="H69" s="188"/>
      <c r="I69" s="188"/>
      <c r="J69" s="188"/>
      <c r="K69" s="188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</row>
    <row r="70" spans="1:24" x14ac:dyDescent="0.25">
      <c r="A70" s="113"/>
      <c r="B70" s="188"/>
      <c r="C70" s="60"/>
      <c r="D70" s="188" t="s">
        <v>249</v>
      </c>
      <c r="E70" s="188"/>
      <c r="F70" s="188" t="s">
        <v>250</v>
      </c>
      <c r="G70" s="188"/>
      <c r="H70" s="188" t="s">
        <v>251</v>
      </c>
      <c r="I70" s="188"/>
      <c r="J70" s="188" t="s">
        <v>252</v>
      </c>
      <c r="K70" s="188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</row>
    <row r="71" spans="1:24" x14ac:dyDescent="0.25">
      <c r="A71" s="113"/>
      <c r="B71" s="13" t="s">
        <v>253</v>
      </c>
      <c r="C71" s="13" t="s">
        <v>254</v>
      </c>
      <c r="D71" s="13" t="s">
        <v>253</v>
      </c>
      <c r="E71" s="13" t="s">
        <v>254</v>
      </c>
      <c r="F71" s="13" t="s">
        <v>253</v>
      </c>
      <c r="G71" s="13" t="s">
        <v>254</v>
      </c>
      <c r="H71" s="13" t="s">
        <v>253</v>
      </c>
      <c r="I71" s="13" t="s">
        <v>254</v>
      </c>
      <c r="J71" s="13" t="s">
        <v>253</v>
      </c>
      <c r="K71" s="13" t="s">
        <v>254</v>
      </c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</row>
    <row r="72" spans="1:24" x14ac:dyDescent="0.25">
      <c r="A72" s="113"/>
      <c r="B72" s="13">
        <v>20</v>
      </c>
      <c r="C72" s="13">
        <v>73</v>
      </c>
      <c r="D72" s="13">
        <v>60</v>
      </c>
      <c r="E72" s="13">
        <v>220</v>
      </c>
      <c r="F72" s="13">
        <v>80</v>
      </c>
      <c r="G72" s="13">
        <v>300</v>
      </c>
      <c r="H72" s="13">
        <v>105</v>
      </c>
      <c r="I72" s="13">
        <v>400</v>
      </c>
      <c r="J72" s="13">
        <v>135</v>
      </c>
      <c r="K72" s="13">
        <v>500</v>
      </c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</row>
    <row r="73" spans="1:24" x14ac:dyDescent="0.25">
      <c r="A73" s="113"/>
      <c r="B73" s="13">
        <v>40</v>
      </c>
      <c r="C73" s="13">
        <v>147</v>
      </c>
      <c r="D73" s="13">
        <v>100</v>
      </c>
      <c r="E73" s="13">
        <v>370</v>
      </c>
      <c r="F73" s="13">
        <v>130</v>
      </c>
      <c r="G73" s="13">
        <v>500</v>
      </c>
      <c r="H73" s="13">
        <v>185</v>
      </c>
      <c r="I73" s="13">
        <v>680</v>
      </c>
      <c r="J73" s="13">
        <v>230</v>
      </c>
      <c r="K73" s="13">
        <v>850</v>
      </c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</row>
    <row r="74" spans="1:24" x14ac:dyDescent="0.25">
      <c r="A74" s="113"/>
      <c r="B74" s="13">
        <v>60</v>
      </c>
      <c r="C74" s="13">
        <v>220</v>
      </c>
      <c r="D74" s="13">
        <v>140</v>
      </c>
      <c r="E74" s="13">
        <v>520</v>
      </c>
      <c r="F74" s="13">
        <v>190</v>
      </c>
      <c r="G74" s="13">
        <v>700</v>
      </c>
      <c r="H74" s="13">
        <v>145</v>
      </c>
      <c r="I74" s="13">
        <v>900</v>
      </c>
      <c r="J74" s="13"/>
      <c r="K74" s="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</row>
    <row r="75" spans="1:24" x14ac:dyDescent="0.2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</row>
    <row r="76" spans="1:24" x14ac:dyDescent="0.25">
      <c r="A76" s="113"/>
      <c r="B76" s="113"/>
      <c r="C76" s="117" t="s">
        <v>342</v>
      </c>
      <c r="D76" s="117"/>
      <c r="E76" s="117" t="s">
        <v>353</v>
      </c>
      <c r="F76" s="113"/>
      <c r="G76" s="117" t="s">
        <v>344</v>
      </c>
      <c r="H76" s="117">
        <v>0</v>
      </c>
      <c r="I76" s="113"/>
      <c r="J76" s="117" t="s">
        <v>346</v>
      </c>
      <c r="K76" s="117">
        <f>IF(H76=0,0,IF(H76=10,VLOOKUP(E59,B63:K66,3,FALSE),IF(H76=15,VLOOKUP(E59,B63:K66,5,FALSE),IF(H76=22.5,VLOOKUP(E59,B63:K66,7,FALSE),IF(H76=30,VLOOKUP(E59,B63:K66,9,FALSE))))))</f>
        <v>0</v>
      </c>
      <c r="L76" s="117">
        <f>ROUND(K76*3.65,0)</f>
        <v>0</v>
      </c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</row>
    <row r="77" spans="1:24" x14ac:dyDescent="0.25">
      <c r="A77" s="113"/>
      <c r="B77" s="113"/>
      <c r="C77" s="117" t="s">
        <v>343</v>
      </c>
      <c r="D77" s="117"/>
      <c r="E77" s="117" t="s">
        <v>354</v>
      </c>
      <c r="F77" s="113"/>
      <c r="G77" s="117"/>
      <c r="H77" s="117">
        <v>22.5</v>
      </c>
      <c r="I77" s="113"/>
      <c r="J77" s="117" t="s">
        <v>346</v>
      </c>
      <c r="K77" s="117">
        <f>IF(H77=0,0,IF(H77=10,VLOOKUP(E59,B72:K74,3,FALSE),IF(H77=15,VLOOKUP(E59,B72:K74,5,FALSE),IF(H77=22.5,VLOOKUP(E59,B72:K74,7,FALSE),IF(H77=30,VLOOKUP(E59,B72:K74,9,FALSE))))))</f>
        <v>185</v>
      </c>
      <c r="L77" s="117">
        <f>ROUND(K77*3.65,0)</f>
        <v>675</v>
      </c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</row>
    <row r="78" spans="1:24" x14ac:dyDescent="0.25">
      <c r="A78" s="219" t="s">
        <v>325</v>
      </c>
      <c r="B78" s="219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</row>
    <row r="79" spans="1:24" x14ac:dyDescent="0.25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</row>
    <row r="80" spans="1:24" x14ac:dyDescent="0.25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</row>
    <row r="81" spans="1:24" x14ac:dyDescent="0.25">
      <c r="A81" s="113"/>
      <c r="B81" s="221" t="s">
        <v>256</v>
      </c>
      <c r="C81" s="221" t="s">
        <v>348</v>
      </c>
      <c r="D81" s="221" t="s">
        <v>347</v>
      </c>
      <c r="E81" s="221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</row>
    <row r="82" spans="1:24" x14ac:dyDescent="0.25">
      <c r="A82" s="113"/>
      <c r="B82" s="221"/>
      <c r="C82" s="221"/>
      <c r="D82" s="221"/>
      <c r="E82" s="221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</row>
    <row r="83" spans="1:24" x14ac:dyDescent="0.25">
      <c r="A83" s="113"/>
      <c r="B83" s="221"/>
      <c r="C83" s="221"/>
      <c r="D83" s="221"/>
      <c r="E83" s="221"/>
      <c r="F83" s="191" t="s">
        <v>257</v>
      </c>
      <c r="G83" s="191"/>
      <c r="H83" s="222" t="s">
        <v>258</v>
      </c>
      <c r="I83" s="222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</row>
    <row r="84" spans="1:24" x14ac:dyDescent="0.25">
      <c r="A84" s="113"/>
      <c r="B84" s="221"/>
      <c r="C84" s="221"/>
      <c r="D84" s="221"/>
      <c r="E84" s="221"/>
      <c r="F84" s="191"/>
      <c r="G84" s="191"/>
      <c r="H84" s="115" t="s">
        <v>259</v>
      </c>
      <c r="I84" s="115" t="s">
        <v>260</v>
      </c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</row>
    <row r="85" spans="1:24" x14ac:dyDescent="0.25">
      <c r="A85" s="113"/>
      <c r="B85" s="116" t="s">
        <v>261</v>
      </c>
      <c r="C85" s="116">
        <v>280</v>
      </c>
      <c r="D85" s="116">
        <v>40</v>
      </c>
      <c r="E85" s="113"/>
      <c r="F85" s="217" t="s">
        <v>262</v>
      </c>
      <c r="G85" s="217"/>
      <c r="H85" s="116" t="s">
        <v>263</v>
      </c>
      <c r="I85" s="116" t="s">
        <v>264</v>
      </c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</row>
    <row r="86" spans="1:24" x14ac:dyDescent="0.25">
      <c r="A86" s="113"/>
      <c r="B86" s="116" t="s">
        <v>265</v>
      </c>
      <c r="C86" s="116">
        <v>300</v>
      </c>
      <c r="D86" s="116">
        <v>42</v>
      </c>
      <c r="E86" s="113"/>
      <c r="F86" s="217" t="s">
        <v>266</v>
      </c>
      <c r="G86" s="217"/>
      <c r="H86" s="116" t="s">
        <v>267</v>
      </c>
      <c r="I86" s="116" t="s">
        <v>268</v>
      </c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</row>
    <row r="87" spans="1:24" ht="17.25" x14ac:dyDescent="0.3">
      <c r="A87" s="113"/>
      <c r="B87" s="116" t="s">
        <v>269</v>
      </c>
      <c r="C87" s="116">
        <v>350</v>
      </c>
      <c r="D87" s="116">
        <v>45</v>
      </c>
      <c r="E87" s="113"/>
      <c r="F87" s="217" t="s">
        <v>270</v>
      </c>
      <c r="G87" s="217"/>
      <c r="H87" s="116" t="s">
        <v>271</v>
      </c>
      <c r="I87" s="116" t="s">
        <v>272</v>
      </c>
      <c r="J87" s="113"/>
      <c r="K87" s="132" t="s">
        <v>334</v>
      </c>
      <c r="L87" s="133">
        <f>'CALCULO DE ESALs'!I24</f>
        <v>7006460.0858551683</v>
      </c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</row>
    <row r="88" spans="1:24" x14ac:dyDescent="0.25">
      <c r="A88" s="113"/>
      <c r="B88" s="113"/>
      <c r="C88" s="113"/>
      <c r="D88" s="113"/>
      <c r="E88" s="113"/>
      <c r="F88" s="217" t="s">
        <v>273</v>
      </c>
      <c r="G88" s="217"/>
      <c r="H88" s="116" t="s">
        <v>274</v>
      </c>
      <c r="I88" s="116" t="s">
        <v>275</v>
      </c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</row>
    <row r="89" spans="1:24" x14ac:dyDescent="0.2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</row>
    <row r="90" spans="1:24" x14ac:dyDescent="0.25">
      <c r="A90" s="113"/>
      <c r="B90" s="113"/>
      <c r="C90" s="113"/>
      <c r="D90" s="117" t="s">
        <v>276</v>
      </c>
      <c r="E90" s="117" t="s">
        <v>279</v>
      </c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</row>
    <row r="91" spans="1:24" x14ac:dyDescent="0.25">
      <c r="A91" s="113"/>
      <c r="B91" s="113" t="s">
        <v>277</v>
      </c>
      <c r="C91" s="113"/>
      <c r="D91" s="117" t="s">
        <v>278</v>
      </c>
      <c r="E91" s="117">
        <v>2.54</v>
      </c>
      <c r="F91" s="113"/>
      <c r="G91" s="113" t="s">
        <v>280</v>
      </c>
      <c r="H91" s="117" t="s">
        <v>336</v>
      </c>
      <c r="I91" s="117">
        <f>IF(L87&lt;5000000,40*14.223,IF(L87&gt;15000000,45*14.223,42*14.223))</f>
        <v>597.36599999999999</v>
      </c>
      <c r="J91" s="113"/>
      <c r="K91" s="117" t="s">
        <v>337</v>
      </c>
      <c r="L91" s="117">
        <f>IF(L87&lt;5000000,57000*(14.223*280)^0.5,IF(L87&gt;15000000,5700*(14.223*350)^0.5,5700*(14.223*300)^0.5))</f>
        <v>372332.62145560118</v>
      </c>
      <c r="M91" s="113" t="s">
        <v>349</v>
      </c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</row>
    <row r="92" spans="1:24" x14ac:dyDescent="0.25">
      <c r="A92" s="113"/>
      <c r="B92" s="113"/>
      <c r="C92" s="113"/>
      <c r="D92" s="113"/>
      <c r="E92" s="113"/>
      <c r="F92" s="113"/>
      <c r="G92" s="113"/>
      <c r="H92" s="117" t="s">
        <v>336</v>
      </c>
      <c r="I92" s="117">
        <f>IF(L87&lt;5000000,2.42*(280)^0.5,IF(L87&gt;15000000,2.42*14.233*(350)^0.5,2.42*14.233*(300)^0.5))</f>
        <v>596.5851552878936</v>
      </c>
      <c r="J92" s="113"/>
      <c r="K92" s="117" t="s">
        <v>337</v>
      </c>
      <c r="L92" s="117">
        <v>4000000</v>
      </c>
      <c r="M92" s="113" t="s">
        <v>350</v>
      </c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</row>
    <row r="93" spans="1:24" x14ac:dyDescent="0.25">
      <c r="A93" s="113"/>
      <c r="B93" s="113" t="s">
        <v>281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</row>
    <row r="94" spans="1:24" x14ac:dyDescent="0.25">
      <c r="A94" s="113"/>
      <c r="B94" s="113"/>
      <c r="C94" s="113"/>
      <c r="D94" s="113"/>
      <c r="E94" s="113"/>
      <c r="F94" s="113"/>
      <c r="G94" s="113"/>
      <c r="H94" s="113"/>
      <c r="I94" s="113" t="s">
        <v>345</v>
      </c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</row>
    <row r="95" spans="1:24" x14ac:dyDescent="0.25">
      <c r="A95" s="113"/>
      <c r="B95" s="113" t="s">
        <v>282</v>
      </c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</row>
    <row r="96" spans="1:24" x14ac:dyDescent="0.2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</row>
    <row r="97" spans="1:24" x14ac:dyDescent="0.25">
      <c r="A97" s="175" t="s">
        <v>326</v>
      </c>
      <c r="B97" s="176"/>
      <c r="C97" s="176"/>
      <c r="D97" s="176"/>
      <c r="E97" s="16"/>
      <c r="F97" s="16"/>
      <c r="G97" s="16"/>
      <c r="H97" s="16"/>
      <c r="I97" s="57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</row>
    <row r="98" spans="1:24" x14ac:dyDescent="0.25">
      <c r="A98" s="58"/>
      <c r="B98" s="16"/>
      <c r="C98" s="16"/>
      <c r="D98" s="16"/>
      <c r="E98" s="16"/>
      <c r="F98" s="16"/>
      <c r="G98" s="16"/>
      <c r="H98" s="16"/>
      <c r="I98" s="57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</row>
    <row r="99" spans="1:24" x14ac:dyDescent="0.25">
      <c r="A99" s="16"/>
      <c r="B99" s="16"/>
      <c r="C99" s="16"/>
      <c r="D99" s="16"/>
      <c r="E99" s="16"/>
      <c r="F99" s="16"/>
      <c r="G99" s="16"/>
      <c r="H99" s="16"/>
      <c r="I99" s="57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</row>
    <row r="100" spans="1:24" x14ac:dyDescent="0.25">
      <c r="A100" s="179" t="s">
        <v>153</v>
      </c>
      <c r="B100" s="179"/>
      <c r="C100" s="177" t="s">
        <v>154</v>
      </c>
      <c r="D100" s="177"/>
      <c r="E100" s="177"/>
      <c r="F100" s="177"/>
      <c r="G100" s="16"/>
      <c r="H100" s="16"/>
      <c r="I100" s="57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</row>
    <row r="101" spans="1:24" x14ac:dyDescent="0.25">
      <c r="A101" s="179"/>
      <c r="B101" s="179"/>
      <c r="C101" s="177"/>
      <c r="D101" s="177"/>
      <c r="E101" s="177"/>
      <c r="F101" s="177"/>
      <c r="G101" s="16"/>
      <c r="H101" s="16"/>
      <c r="I101" s="57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</row>
    <row r="102" spans="1:24" x14ac:dyDescent="0.25">
      <c r="A102" s="179"/>
      <c r="B102" s="179"/>
      <c r="C102" s="177"/>
      <c r="D102" s="177"/>
      <c r="E102" s="177"/>
      <c r="F102" s="177"/>
      <c r="G102" s="16"/>
      <c r="H102" s="69" t="s">
        <v>174</v>
      </c>
      <c r="I102" s="70">
        <v>65</v>
      </c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</row>
    <row r="103" spans="1:24" x14ac:dyDescent="0.25">
      <c r="A103" s="180"/>
      <c r="B103" s="180"/>
      <c r="C103" s="178"/>
      <c r="D103" s="178"/>
      <c r="E103" s="178"/>
      <c r="F103" s="178"/>
      <c r="G103" s="16"/>
      <c r="H103" s="69" t="s">
        <v>175</v>
      </c>
      <c r="I103" s="73">
        <f>ROUND(I102/365,2)</f>
        <v>0.18</v>
      </c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</row>
    <row r="104" spans="1:24" x14ac:dyDescent="0.25">
      <c r="A104" s="172" t="s">
        <v>155</v>
      </c>
      <c r="B104" s="172"/>
      <c r="C104" s="66" t="s">
        <v>283</v>
      </c>
      <c r="D104" s="67" t="s">
        <v>284</v>
      </c>
      <c r="E104" s="67" t="s">
        <v>285</v>
      </c>
      <c r="F104" s="68">
        <v>1.1000000000000001</v>
      </c>
      <c r="G104" s="16"/>
      <c r="H104" s="16"/>
      <c r="I104" s="57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</row>
    <row r="105" spans="1:24" x14ac:dyDescent="0.25">
      <c r="A105" s="172" t="s">
        <v>159</v>
      </c>
      <c r="B105" s="172"/>
      <c r="C105" s="62" t="s">
        <v>286</v>
      </c>
      <c r="D105" s="13" t="s">
        <v>285</v>
      </c>
      <c r="E105" s="13" t="s">
        <v>287</v>
      </c>
      <c r="F105" s="72">
        <v>1</v>
      </c>
      <c r="G105" s="16"/>
      <c r="H105" s="111" t="s">
        <v>288</v>
      </c>
      <c r="I105" s="131">
        <f>ROUNDUP((I102/365),0)</f>
        <v>1</v>
      </c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</row>
    <row r="106" spans="1:24" x14ac:dyDescent="0.25">
      <c r="A106" s="172" t="s">
        <v>163</v>
      </c>
      <c r="B106" s="172"/>
      <c r="C106" s="62" t="s">
        <v>285</v>
      </c>
      <c r="D106" s="13" t="s">
        <v>287</v>
      </c>
      <c r="E106" s="13" t="s">
        <v>289</v>
      </c>
      <c r="F106" s="112">
        <v>0.9</v>
      </c>
      <c r="G106" s="16"/>
      <c r="H106" s="69"/>
      <c r="I106" s="69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</row>
    <row r="107" spans="1:24" x14ac:dyDescent="0.25">
      <c r="A107" s="172" t="s">
        <v>167</v>
      </c>
      <c r="B107" s="172"/>
      <c r="C107" s="62" t="s">
        <v>287</v>
      </c>
      <c r="D107" s="13" t="s">
        <v>289</v>
      </c>
      <c r="E107" s="13" t="s">
        <v>290</v>
      </c>
      <c r="F107" s="72">
        <v>0.8</v>
      </c>
      <c r="G107" s="16"/>
      <c r="H107" s="16"/>
      <c r="I107" s="57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</row>
    <row r="108" spans="1:24" x14ac:dyDescent="0.25">
      <c r="A108" s="172" t="s">
        <v>170</v>
      </c>
      <c r="B108" s="172"/>
      <c r="C108" s="62" t="s">
        <v>289</v>
      </c>
      <c r="D108" s="13" t="s">
        <v>290</v>
      </c>
      <c r="E108" s="13" t="s">
        <v>291</v>
      </c>
      <c r="F108" s="72">
        <v>0.7</v>
      </c>
      <c r="G108" s="16"/>
      <c r="H108" s="16"/>
      <c r="I108" s="57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</row>
    <row r="109" spans="1:24" x14ac:dyDescent="0.2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</row>
    <row r="110" spans="1:24" x14ac:dyDescent="0.25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</row>
    <row r="111" spans="1:24" x14ac:dyDescent="0.25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</row>
    <row r="112" spans="1:24" x14ac:dyDescent="0.25">
      <c r="A112" s="219" t="s">
        <v>327</v>
      </c>
      <c r="B112" s="219"/>
      <c r="C112" s="219"/>
      <c r="D112" s="113"/>
      <c r="E112" s="113"/>
      <c r="F112" s="113" t="s">
        <v>292</v>
      </c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</row>
    <row r="113" spans="1:24" x14ac:dyDescent="0.2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</row>
    <row r="114" spans="1:24" x14ac:dyDescent="0.25">
      <c r="A114" s="113"/>
      <c r="B114" s="225" t="s">
        <v>293</v>
      </c>
      <c r="C114" s="225"/>
      <c r="D114" s="225"/>
      <c r="E114" s="225"/>
      <c r="F114" s="225"/>
      <c r="G114" s="225"/>
      <c r="H114" s="225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</row>
    <row r="115" spans="1:24" x14ac:dyDescent="0.25">
      <c r="A115" s="113"/>
      <c r="B115" s="225"/>
      <c r="C115" s="225"/>
      <c r="D115" s="225"/>
      <c r="E115" s="225"/>
      <c r="F115" s="225"/>
      <c r="G115" s="225"/>
      <c r="H115" s="225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</row>
    <row r="116" spans="1:24" x14ac:dyDescent="0.2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</row>
    <row r="117" spans="1:24" x14ac:dyDescent="0.25">
      <c r="A117" s="113"/>
      <c r="B117" s="188" t="s">
        <v>294</v>
      </c>
      <c r="C117" s="188"/>
      <c r="D117" s="188"/>
      <c r="E117" s="60" t="s">
        <v>295</v>
      </c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</row>
    <row r="118" spans="1:24" x14ac:dyDescent="0.25">
      <c r="A118" s="113"/>
      <c r="B118" s="213" t="s">
        <v>296</v>
      </c>
      <c r="C118" s="213"/>
      <c r="D118" s="213"/>
      <c r="E118" s="63">
        <v>2.7</v>
      </c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</row>
    <row r="119" spans="1:24" x14ac:dyDescent="0.25">
      <c r="A119" s="113"/>
      <c r="B119" s="213" t="s">
        <v>297</v>
      </c>
      <c r="C119" s="213"/>
      <c r="D119" s="213"/>
      <c r="E119" s="13">
        <v>3.2</v>
      </c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</row>
    <row r="120" spans="1:24" x14ac:dyDescent="0.25">
      <c r="A120" s="113"/>
      <c r="B120" s="213" t="s">
        <v>298</v>
      </c>
      <c r="C120" s="213"/>
      <c r="D120" s="213"/>
      <c r="E120" s="13">
        <v>4.2</v>
      </c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</row>
    <row r="121" spans="1:24" x14ac:dyDescent="0.25">
      <c r="A121" s="113"/>
      <c r="B121" s="213" t="s">
        <v>299</v>
      </c>
      <c r="C121" s="213"/>
      <c r="D121" s="213"/>
      <c r="E121" s="13">
        <v>4.4000000000000004</v>
      </c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</row>
    <row r="122" spans="1:24" x14ac:dyDescent="0.25">
      <c r="A122" s="113"/>
      <c r="B122" s="113"/>
      <c r="C122" s="113"/>
      <c r="D122" s="113"/>
      <c r="E122" s="113"/>
      <c r="F122" s="215" t="s">
        <v>352</v>
      </c>
      <c r="G122" s="215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</row>
    <row r="123" spans="1:24" x14ac:dyDescent="0.25">
      <c r="A123" s="113"/>
      <c r="B123" s="113"/>
      <c r="C123" s="113"/>
      <c r="D123" s="113"/>
      <c r="E123" s="113"/>
      <c r="F123" s="13" t="str" cm="1">
        <f t="array" ref="F123:G123">D10:E10</f>
        <v>R=</v>
      </c>
      <c r="G123" s="13">
        <v>90</v>
      </c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</row>
    <row r="124" spans="1:24" x14ac:dyDescent="0.25">
      <c r="A124" s="113"/>
      <c r="B124" s="113"/>
      <c r="C124" s="113"/>
      <c r="D124" s="113"/>
      <c r="E124" s="113"/>
      <c r="F124" s="13" t="str" cm="1">
        <f t="array" ref="F124:G124">G10:H10</f>
        <v>Zr</v>
      </c>
      <c r="G124" s="13">
        <v>-1.282</v>
      </c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</row>
    <row r="125" spans="1:24" x14ac:dyDescent="0.25">
      <c r="A125" s="113"/>
      <c r="B125" s="113"/>
      <c r="C125" s="113"/>
      <c r="D125" s="113"/>
      <c r="E125" s="113"/>
      <c r="F125" s="13" t="str" cm="1">
        <f t="array" ref="F125:G125">D21:E21</f>
        <v>S0</v>
      </c>
      <c r="G125" s="13">
        <v>0.35</v>
      </c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</row>
    <row r="126" spans="1:24" x14ac:dyDescent="0.25">
      <c r="A126" s="113"/>
      <c r="B126" s="113"/>
      <c r="C126" s="113"/>
      <c r="D126" s="113"/>
      <c r="E126" s="113"/>
      <c r="F126" s="13" t="str" cm="1">
        <f t="array" ref="F126:G126">D43:E43</f>
        <v>ΔPSI =</v>
      </c>
      <c r="G126" s="13">
        <v>1.2000000000000002</v>
      </c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</row>
    <row r="127" spans="1:24" x14ac:dyDescent="0.25">
      <c r="A127" s="118" t="s">
        <v>328</v>
      </c>
      <c r="B127" s="13">
        <f>(G124*G125+7.35*LOG(C135+1)-0.06)</f>
        <v>6.7348447157174594</v>
      </c>
      <c r="C127" s="16"/>
      <c r="D127" s="16"/>
      <c r="E127" s="113"/>
      <c r="F127" s="13" t="str" cm="1">
        <f t="array" ref="F127:G127">D42:E42</f>
        <v>Pf =</v>
      </c>
      <c r="G127" s="13">
        <v>3</v>
      </c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</row>
    <row r="128" spans="1:24" x14ac:dyDescent="0.25">
      <c r="A128" s="119" t="s">
        <v>329</v>
      </c>
      <c r="B128" s="13">
        <f>LOG(G126/(4.2-1.5))</f>
        <v>-0.35218251811136247</v>
      </c>
      <c r="C128" s="16"/>
      <c r="D128" s="16"/>
      <c r="E128" s="113"/>
      <c r="F128" s="13" t="s">
        <v>351</v>
      </c>
      <c r="G128" s="13">
        <f>L77</f>
        <v>675</v>
      </c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</row>
    <row r="129" spans="1:24" x14ac:dyDescent="0.25">
      <c r="A129" s="120" t="s">
        <v>330</v>
      </c>
      <c r="B129" s="13">
        <f>1+((16240000)/(C135+1)^8.46)</f>
        <v>1.0746651994713257</v>
      </c>
      <c r="C129" s="16"/>
      <c r="D129" s="16"/>
      <c r="E129" s="113"/>
      <c r="F129" s="13" t="str" cm="1">
        <f t="array" ref="F129:G129">H91:I91</f>
        <v>MR=</v>
      </c>
      <c r="G129" s="13">
        <v>597.36599999999999</v>
      </c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</row>
    <row r="130" spans="1:24" x14ac:dyDescent="0.25">
      <c r="A130" s="121" t="s">
        <v>331</v>
      </c>
      <c r="B130" s="13">
        <f>+(4.22-0.32*$E$42)</f>
        <v>3.26</v>
      </c>
      <c r="C130" s="16"/>
      <c r="D130" s="16"/>
      <c r="E130" s="113"/>
      <c r="F130" s="13" t="str" cm="1">
        <f t="array" ref="F130:G130">K92:L92</f>
        <v>EC=</v>
      </c>
      <c r="G130" s="13">
        <v>4000000</v>
      </c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</row>
    <row r="131" spans="1:24" x14ac:dyDescent="0.25">
      <c r="A131" s="122" t="s">
        <v>332</v>
      </c>
      <c r="B131" s="13">
        <f>LOG(((G129*G131*(C135^0.75-1.132)))/(215.63*E118*((C135^0.75)-(18.42/(G130/G128)^0.25))))</f>
        <v>0.13419959172064252</v>
      </c>
      <c r="C131" s="113"/>
      <c r="D131" s="113"/>
      <c r="E131" s="113"/>
      <c r="F131" s="13" t="str" cm="1">
        <f t="array" ref="F131:G131">H105:I105</f>
        <v>Cd</v>
      </c>
      <c r="G131" s="13">
        <v>1</v>
      </c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</row>
    <row r="132" spans="1:24" x14ac:dyDescent="0.25">
      <c r="A132" s="99"/>
      <c r="B132" s="13"/>
      <c r="C132" s="113"/>
      <c r="D132" s="113"/>
      <c r="E132" s="113"/>
      <c r="F132" s="13" t="s">
        <v>358</v>
      </c>
      <c r="G132" s="13">
        <f>E118</f>
        <v>2.7</v>
      </c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</row>
    <row r="133" spans="1:24" ht="17.25" x14ac:dyDescent="0.3">
      <c r="A133" s="113"/>
      <c r="B133" s="123" t="s">
        <v>334</v>
      </c>
      <c r="C133" s="124">
        <f>'CALCULO DE ESALs'!I24</f>
        <v>7006460.0858551683</v>
      </c>
      <c r="D133" s="125"/>
      <c r="E133" s="113"/>
      <c r="F133" s="13" t="str" cm="1">
        <f t="array" ref="F133:G133">B133:C133</f>
        <v>W18</v>
      </c>
      <c r="G133" s="13">
        <v>7006460.0858551683</v>
      </c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</row>
    <row r="134" spans="1:24" ht="17.25" x14ac:dyDescent="0.3">
      <c r="A134" s="113"/>
      <c r="B134" s="126" t="s">
        <v>335</v>
      </c>
      <c r="C134" s="127">
        <f>ROUND(LOG(C133),3)</f>
        <v>6.8449999999999998</v>
      </c>
      <c r="D134" s="125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</row>
    <row r="135" spans="1:24" x14ac:dyDescent="0.25">
      <c r="A135" s="113"/>
      <c r="B135" s="126" t="s">
        <v>333</v>
      </c>
      <c r="C135" s="128">
        <v>8.6720000000000006</v>
      </c>
      <c r="D135" s="129">
        <f>(B127+(B128/B129)+B130*B131)</f>
        <v>6.8446216760436993</v>
      </c>
      <c r="E135" s="113"/>
      <c r="F135" s="214">
        <f>ROUND(C138*2.54,0)</f>
        <v>22</v>
      </c>
      <c r="G135" s="213" t="s">
        <v>355</v>
      </c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</row>
    <row r="136" spans="1:24" x14ac:dyDescent="0.25">
      <c r="A136" s="113"/>
      <c r="B136" s="113"/>
      <c r="C136" s="113" t="s">
        <v>359</v>
      </c>
      <c r="D136" s="113" t="str">
        <f>IF(C134=D135,"Ok","&amp;·$·%")</f>
        <v>&amp;·$·%</v>
      </c>
      <c r="E136" s="113"/>
      <c r="F136" s="214"/>
      <c r="G136" s="2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</row>
    <row r="137" spans="1:24" x14ac:dyDescent="0.25">
      <c r="A137" s="113"/>
      <c r="B137" s="113"/>
      <c r="C137" s="113"/>
      <c r="D137" s="113"/>
      <c r="E137" s="113"/>
      <c r="F137" s="214">
        <f>H77</f>
        <v>22.5</v>
      </c>
      <c r="G137" s="213" t="s">
        <v>356</v>
      </c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</row>
    <row r="138" spans="1:24" x14ac:dyDescent="0.25">
      <c r="A138" s="113"/>
      <c r="B138" s="117" t="s">
        <v>360</v>
      </c>
      <c r="C138" s="134">
        <v>8.6999999999999993</v>
      </c>
      <c r="D138" s="113"/>
      <c r="E138" s="113"/>
      <c r="F138" s="214"/>
      <c r="G138" s="2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</row>
    <row r="139" spans="1:24" x14ac:dyDescent="0.25">
      <c r="A139" s="113"/>
      <c r="B139" s="113"/>
      <c r="C139" s="113"/>
      <c r="D139" s="113"/>
      <c r="E139" s="113"/>
      <c r="F139" s="214">
        <f>E57</f>
        <v>5</v>
      </c>
      <c r="G139" s="213" t="s">
        <v>357</v>
      </c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</row>
    <row r="140" spans="1:24" x14ac:dyDescent="0.25">
      <c r="A140" s="113"/>
      <c r="B140" s="113"/>
      <c r="C140" s="113"/>
      <c r="D140" s="113"/>
      <c r="E140" s="113"/>
      <c r="F140" s="214"/>
      <c r="G140" s="2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</row>
    <row r="141" spans="1:24" x14ac:dyDescent="0.2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</row>
    <row r="142" spans="1:24" x14ac:dyDescent="0.2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</row>
    <row r="143" spans="1:24" x14ac:dyDescent="0.2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</row>
    <row r="144" spans="1:24" x14ac:dyDescent="0.2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</row>
    <row r="145" spans="1:24" x14ac:dyDescent="0.25">
      <c r="A145" s="113" t="s">
        <v>300</v>
      </c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</row>
    <row r="146" spans="1:24" x14ac:dyDescent="0.2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</row>
    <row r="147" spans="1:24" x14ac:dyDescent="0.25">
      <c r="A147" s="113"/>
      <c r="B147" s="191" t="s">
        <v>301</v>
      </c>
      <c r="C147" s="191" t="s">
        <v>302</v>
      </c>
      <c r="D147" s="191" t="s">
        <v>303</v>
      </c>
      <c r="E147" s="191" t="s">
        <v>304</v>
      </c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</row>
    <row r="148" spans="1:24" x14ac:dyDescent="0.25">
      <c r="A148" s="113"/>
      <c r="B148" s="191"/>
      <c r="C148" s="191"/>
      <c r="D148" s="191"/>
      <c r="E148" s="191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</row>
    <row r="149" spans="1:24" x14ac:dyDescent="0.25">
      <c r="A149" s="113"/>
      <c r="B149" s="191"/>
      <c r="C149" s="191"/>
      <c r="D149" s="191"/>
      <c r="E149" s="191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</row>
    <row r="150" spans="1:24" x14ac:dyDescent="0.25">
      <c r="A150" s="113"/>
      <c r="B150" s="13" t="s">
        <v>14</v>
      </c>
      <c r="C150" s="114" t="s">
        <v>305</v>
      </c>
      <c r="D150" s="13">
        <v>35</v>
      </c>
      <c r="E150" s="213">
        <v>30</v>
      </c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</row>
    <row r="151" spans="1:24" x14ac:dyDescent="0.25">
      <c r="A151" s="113"/>
      <c r="B151" s="13" t="s">
        <v>306</v>
      </c>
      <c r="C151" s="114" t="s">
        <v>307</v>
      </c>
      <c r="D151" s="13">
        <v>35</v>
      </c>
      <c r="E151" s="2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</row>
    <row r="152" spans="1:24" x14ac:dyDescent="0.25">
      <c r="A152" s="113"/>
      <c r="B152" s="13" t="s">
        <v>19</v>
      </c>
      <c r="C152" s="114" t="s">
        <v>308</v>
      </c>
      <c r="D152" s="13">
        <v>35</v>
      </c>
      <c r="E152" s="2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</row>
    <row r="153" spans="1:24" x14ac:dyDescent="0.25">
      <c r="A153" s="113"/>
      <c r="B153" s="13" t="s">
        <v>309</v>
      </c>
      <c r="C153" s="114" t="s">
        <v>310</v>
      </c>
      <c r="D153" s="13">
        <v>40</v>
      </c>
      <c r="E153" s="2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</row>
    <row r="154" spans="1:24" x14ac:dyDescent="0.25">
      <c r="A154" s="113"/>
      <c r="B154" s="13" t="s">
        <v>311</v>
      </c>
      <c r="C154" s="114" t="s">
        <v>312</v>
      </c>
      <c r="D154" s="13">
        <v>45</v>
      </c>
      <c r="E154" s="2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</row>
    <row r="155" spans="1:24" x14ac:dyDescent="0.25">
      <c r="A155" s="113"/>
      <c r="B155" s="13" t="s">
        <v>313</v>
      </c>
      <c r="C155" s="114" t="s">
        <v>314</v>
      </c>
      <c r="D155" s="13">
        <v>45</v>
      </c>
      <c r="E155" s="2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</row>
    <row r="156" spans="1:24" x14ac:dyDescent="0.25">
      <c r="A156" s="113"/>
      <c r="B156" s="13" t="s">
        <v>315</v>
      </c>
      <c r="C156" s="114" t="s">
        <v>316</v>
      </c>
      <c r="D156" s="13">
        <v>50</v>
      </c>
      <c r="E156" s="2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</row>
    <row r="157" spans="1:24" x14ac:dyDescent="0.2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</row>
    <row r="158" spans="1:24" x14ac:dyDescent="0.2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</row>
    <row r="159" spans="1:24" x14ac:dyDescent="0.25">
      <c r="A159" s="113" t="s">
        <v>317</v>
      </c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</row>
    <row r="160" spans="1:24" x14ac:dyDescent="0.25">
      <c r="A160" s="113"/>
      <c r="B160" s="191" t="s">
        <v>318</v>
      </c>
      <c r="C160" s="188" t="s">
        <v>319</v>
      </c>
      <c r="D160" s="188"/>
      <c r="E160" s="188"/>
      <c r="F160" s="188"/>
      <c r="G160" s="188" t="s">
        <v>319</v>
      </c>
      <c r="H160" s="188"/>
      <c r="I160" s="188"/>
      <c r="J160" s="188"/>
      <c r="K160" s="188" t="s">
        <v>319</v>
      </c>
      <c r="L160" s="188"/>
      <c r="M160" s="188"/>
      <c r="N160" s="188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</row>
    <row r="161" spans="1:24" x14ac:dyDescent="0.25">
      <c r="A161" s="113"/>
      <c r="B161" s="191"/>
      <c r="C161" s="60"/>
      <c r="D161" s="188" t="s">
        <v>320</v>
      </c>
      <c r="E161" s="188"/>
      <c r="F161" s="188"/>
      <c r="G161" s="60"/>
      <c r="H161" s="188" t="s">
        <v>320</v>
      </c>
      <c r="I161" s="188"/>
      <c r="J161" s="188"/>
      <c r="K161" s="60"/>
      <c r="L161" s="188" t="s">
        <v>320</v>
      </c>
      <c r="M161" s="188"/>
      <c r="N161" s="188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</row>
    <row r="162" spans="1:24" x14ac:dyDescent="0.25">
      <c r="A162" s="113"/>
      <c r="B162" s="191"/>
      <c r="C162" s="60" t="s">
        <v>321</v>
      </c>
      <c r="D162" s="60">
        <v>3.05</v>
      </c>
      <c r="E162" s="60">
        <v>3.35</v>
      </c>
      <c r="F162" s="60">
        <v>3.65</v>
      </c>
      <c r="G162" s="60" t="s">
        <v>321</v>
      </c>
      <c r="H162" s="60">
        <v>3.05</v>
      </c>
      <c r="I162" s="60">
        <v>3.35</v>
      </c>
      <c r="J162" s="60">
        <v>3.65</v>
      </c>
      <c r="K162" s="60" t="s">
        <v>321</v>
      </c>
      <c r="L162" s="60">
        <v>3.05</v>
      </c>
      <c r="M162" s="60">
        <v>3.35</v>
      </c>
      <c r="N162" s="60">
        <v>3.65</v>
      </c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</row>
    <row r="163" spans="1:24" x14ac:dyDescent="0.25">
      <c r="A163" s="113"/>
      <c r="B163" s="13">
        <v>15</v>
      </c>
      <c r="C163" s="187">
        <v>45</v>
      </c>
      <c r="D163" s="13">
        <v>80</v>
      </c>
      <c r="E163" s="13">
        <v>75</v>
      </c>
      <c r="F163" s="13">
        <v>65</v>
      </c>
      <c r="G163" s="213">
        <v>60</v>
      </c>
      <c r="H163" s="13">
        <v>120</v>
      </c>
      <c r="I163" s="13">
        <v>120</v>
      </c>
      <c r="J163" s="13">
        <v>120</v>
      </c>
      <c r="K163" s="13">
        <v>70</v>
      </c>
      <c r="L163" s="13">
        <v>120</v>
      </c>
      <c r="M163" s="13">
        <v>120</v>
      </c>
      <c r="N163" s="13">
        <v>120</v>
      </c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</row>
    <row r="164" spans="1:24" x14ac:dyDescent="0.25">
      <c r="A164" s="113"/>
      <c r="B164" s="13">
        <v>17.5</v>
      </c>
      <c r="C164" s="187"/>
      <c r="D164" s="13">
        <v>70</v>
      </c>
      <c r="E164" s="13">
        <v>60</v>
      </c>
      <c r="F164" s="13">
        <v>55</v>
      </c>
      <c r="G164" s="213"/>
      <c r="H164" s="13">
        <v>120</v>
      </c>
      <c r="I164" s="13">
        <v>110</v>
      </c>
      <c r="J164" s="13">
        <v>100</v>
      </c>
      <c r="K164" s="13"/>
      <c r="L164" s="13">
        <v>120</v>
      </c>
      <c r="M164" s="13">
        <v>120</v>
      </c>
      <c r="N164" s="13">
        <v>120</v>
      </c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</row>
    <row r="165" spans="1:24" x14ac:dyDescent="0.25">
      <c r="A165" s="113"/>
      <c r="B165" s="13">
        <v>20</v>
      </c>
      <c r="C165" s="187"/>
      <c r="D165" s="13">
        <v>60</v>
      </c>
      <c r="E165" s="13">
        <v>55</v>
      </c>
      <c r="F165" s="13">
        <v>50</v>
      </c>
      <c r="G165" s="213"/>
      <c r="H165" s="13">
        <v>105</v>
      </c>
      <c r="I165" s="13">
        <v>100</v>
      </c>
      <c r="J165" s="13">
        <v>90</v>
      </c>
      <c r="K165" s="13"/>
      <c r="L165" s="13">
        <v>120</v>
      </c>
      <c r="M165" s="13">
        <v>120</v>
      </c>
      <c r="N165" s="13">
        <v>120</v>
      </c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</row>
    <row r="166" spans="1:24" x14ac:dyDescent="0.25">
      <c r="A166" s="113"/>
      <c r="B166" s="13">
        <v>22.5</v>
      </c>
      <c r="C166" s="187"/>
      <c r="D166" s="13">
        <v>55</v>
      </c>
      <c r="E166" s="13">
        <v>50</v>
      </c>
      <c r="F166" s="13">
        <v>45</v>
      </c>
      <c r="G166" s="213"/>
      <c r="H166" s="13">
        <v>95</v>
      </c>
      <c r="I166" s="13">
        <v>85</v>
      </c>
      <c r="J166" s="13">
        <v>80</v>
      </c>
      <c r="K166" s="13"/>
      <c r="L166" s="13">
        <v>120</v>
      </c>
      <c r="M166" s="13">
        <v>120</v>
      </c>
      <c r="N166" s="13">
        <v>120</v>
      </c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</row>
    <row r="167" spans="1:24" x14ac:dyDescent="0.25">
      <c r="A167" s="113"/>
      <c r="B167" s="13">
        <v>25</v>
      </c>
      <c r="C167" s="187"/>
      <c r="D167" s="13">
        <v>45</v>
      </c>
      <c r="E167" s="13">
        <v>45</v>
      </c>
      <c r="F167" s="13">
        <v>40</v>
      </c>
      <c r="G167" s="213"/>
      <c r="H167" s="13">
        <v>85</v>
      </c>
      <c r="I167" s="13">
        <v>80</v>
      </c>
      <c r="J167" s="13">
        <v>70</v>
      </c>
      <c r="K167" s="13"/>
      <c r="L167" s="13">
        <v>120</v>
      </c>
      <c r="M167" s="13">
        <v>120</v>
      </c>
      <c r="N167" s="13">
        <v>120</v>
      </c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</row>
    <row r="168" spans="1:24" x14ac:dyDescent="0.25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</row>
    <row r="169" spans="1:24" x14ac:dyDescent="0.25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</row>
    <row r="170" spans="1:24" x14ac:dyDescent="0.25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</row>
    <row r="171" spans="1:24" x14ac:dyDescent="0.25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</row>
    <row r="172" spans="1:24" x14ac:dyDescent="0.25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</row>
    <row r="173" spans="1:24" x14ac:dyDescent="0.25">
      <c r="A173" s="113"/>
      <c r="B173" s="113"/>
      <c r="C173" s="113"/>
      <c r="D173" s="113"/>
      <c r="E173" s="113"/>
      <c r="F173" s="216"/>
      <c r="G173" s="217" t="s">
        <v>355</v>
      </c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</row>
    <row r="174" spans="1:24" x14ac:dyDescent="0.25">
      <c r="A174" s="113"/>
      <c r="B174" s="113"/>
      <c r="C174" s="113"/>
      <c r="D174" s="113"/>
      <c r="E174" s="113"/>
      <c r="F174" s="216"/>
      <c r="G174" s="217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</row>
    <row r="175" spans="1:24" x14ac:dyDescent="0.25">
      <c r="A175" s="113"/>
      <c r="B175" s="113"/>
      <c r="C175" s="113"/>
      <c r="D175" s="113"/>
      <c r="E175" s="113"/>
      <c r="F175" s="216"/>
      <c r="G175" s="217" t="s">
        <v>356</v>
      </c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</row>
    <row r="176" spans="1:24" x14ac:dyDescent="0.25">
      <c r="A176" s="113"/>
      <c r="B176" s="113"/>
      <c r="C176" s="113"/>
      <c r="D176" s="113"/>
      <c r="E176" s="113"/>
      <c r="F176" s="216"/>
      <c r="G176" s="217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</row>
    <row r="177" spans="1:24" x14ac:dyDescent="0.25">
      <c r="A177" s="113"/>
      <c r="B177" s="113"/>
      <c r="C177" s="113"/>
      <c r="D177" s="113"/>
      <c r="E177" s="113"/>
      <c r="F177" s="216"/>
      <c r="G177" s="217" t="s">
        <v>357</v>
      </c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</row>
    <row r="178" spans="1:24" x14ac:dyDescent="0.25">
      <c r="A178" s="113"/>
      <c r="B178" s="113"/>
      <c r="C178" s="113"/>
      <c r="D178" s="113"/>
      <c r="E178" s="113"/>
      <c r="F178" s="216"/>
      <c r="G178" s="217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</row>
  </sheetData>
  <mergeCells count="100">
    <mergeCell ref="A27:B27"/>
    <mergeCell ref="A10:C10"/>
    <mergeCell ref="A12:B13"/>
    <mergeCell ref="C12:E12"/>
    <mergeCell ref="A14:C14"/>
    <mergeCell ref="A15:B15"/>
    <mergeCell ref="A16:B16"/>
    <mergeCell ref="A17:B17"/>
    <mergeCell ref="A21:C21"/>
    <mergeCell ref="A23:B25"/>
    <mergeCell ref="C23:D23"/>
    <mergeCell ref="A26:B26"/>
    <mergeCell ref="A48:D49"/>
    <mergeCell ref="E48:F49"/>
    <mergeCell ref="A34:C34"/>
    <mergeCell ref="F35:H35"/>
    <mergeCell ref="B36:B37"/>
    <mergeCell ref="C36:D37"/>
    <mergeCell ref="F36:G37"/>
    <mergeCell ref="H36:H37"/>
    <mergeCell ref="C38:D38"/>
    <mergeCell ref="F38:G39"/>
    <mergeCell ref="H38:H39"/>
    <mergeCell ref="C39:D39"/>
    <mergeCell ref="A46:C46"/>
    <mergeCell ref="A50:D50"/>
    <mergeCell ref="E50:F50"/>
    <mergeCell ref="A51:D51"/>
    <mergeCell ref="E51:F51"/>
    <mergeCell ref="A52:D52"/>
    <mergeCell ref="E52:F52"/>
    <mergeCell ref="A53:D53"/>
    <mergeCell ref="E53:F53"/>
    <mergeCell ref="A56:C56"/>
    <mergeCell ref="H57:J57"/>
    <mergeCell ref="H58:J58"/>
    <mergeCell ref="H83:I83"/>
    <mergeCell ref="J61:K61"/>
    <mergeCell ref="B69:B70"/>
    <mergeCell ref="D69:K69"/>
    <mergeCell ref="D70:E70"/>
    <mergeCell ref="F70:G70"/>
    <mergeCell ref="H70:I70"/>
    <mergeCell ref="J70:K70"/>
    <mergeCell ref="B60:B61"/>
    <mergeCell ref="D60:K60"/>
    <mergeCell ref="D61:E61"/>
    <mergeCell ref="F61:G61"/>
    <mergeCell ref="H61:I61"/>
    <mergeCell ref="A78:B78"/>
    <mergeCell ref="B81:B84"/>
    <mergeCell ref="C81:C84"/>
    <mergeCell ref="D81:E84"/>
    <mergeCell ref="F83:G84"/>
    <mergeCell ref="A112:C112"/>
    <mergeCell ref="F85:G85"/>
    <mergeCell ref="F86:G86"/>
    <mergeCell ref="F87:G87"/>
    <mergeCell ref="F88:G88"/>
    <mergeCell ref="A97:D97"/>
    <mergeCell ref="A100:B103"/>
    <mergeCell ref="C100:F103"/>
    <mergeCell ref="A104:B104"/>
    <mergeCell ref="A105:B105"/>
    <mergeCell ref="A106:B106"/>
    <mergeCell ref="A107:B107"/>
    <mergeCell ref="A108:B108"/>
    <mergeCell ref="F139:F140"/>
    <mergeCell ref="G139:G140"/>
    <mergeCell ref="B114:H115"/>
    <mergeCell ref="B117:D117"/>
    <mergeCell ref="B118:D118"/>
    <mergeCell ref="B119:D119"/>
    <mergeCell ref="B120:D120"/>
    <mergeCell ref="B121:D121"/>
    <mergeCell ref="F122:G122"/>
    <mergeCell ref="F135:F136"/>
    <mergeCell ref="G135:G136"/>
    <mergeCell ref="F137:F138"/>
    <mergeCell ref="G137:G138"/>
    <mergeCell ref="C163:C167"/>
    <mergeCell ref="G163:G167"/>
    <mergeCell ref="B147:B149"/>
    <mergeCell ref="C147:C149"/>
    <mergeCell ref="D147:D149"/>
    <mergeCell ref="E147:E149"/>
    <mergeCell ref="E150:E156"/>
    <mergeCell ref="B160:B162"/>
    <mergeCell ref="C160:F160"/>
    <mergeCell ref="G160:J160"/>
    <mergeCell ref="K160:N160"/>
    <mergeCell ref="D161:F161"/>
    <mergeCell ref="H161:J161"/>
    <mergeCell ref="L161:N161"/>
    <mergeCell ref="F173:F174"/>
    <mergeCell ref="G173:G174"/>
    <mergeCell ref="F175:F176"/>
    <mergeCell ref="G175:G176"/>
    <mergeCell ref="F177:F178"/>
    <mergeCell ref="G177:G1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TRAFICO DIARIO</vt:lpstr>
      <vt:lpstr>GRAFICAS</vt:lpstr>
      <vt:lpstr>TPD</vt:lpstr>
      <vt:lpstr>CALCULO DE ESALs</vt:lpstr>
      <vt:lpstr>P. FLEXIBLE</vt:lpstr>
      <vt:lpstr>P. RIGIDO CAPA GRANULAR</vt:lpstr>
      <vt:lpstr>P. RIGIDO BASE ESTABILIZADA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ARTURO LEDEZMA BARROS</dc:creator>
  <cp:lastModifiedBy>Ivanob Roque</cp:lastModifiedBy>
  <dcterms:created xsi:type="dcterms:W3CDTF">2022-10-12T20:13:20Z</dcterms:created>
  <dcterms:modified xsi:type="dcterms:W3CDTF">2022-12-01T13:08:56Z</dcterms:modified>
</cp:coreProperties>
</file>