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MP PMO\"/>
    </mc:Choice>
  </mc:AlternateContent>
  <xr:revisionPtr revIDLastSave="0" documentId="8_{0DAE720F-A99E-4C7D-A1B6-6F663103AEE7}" xr6:coauthVersionLast="47" xr6:coauthVersionMax="47" xr10:uidLastSave="{00000000-0000-0000-0000-000000000000}"/>
  <bookViews>
    <workbookView xWindow="28680" yWindow="-120" windowWidth="29040" windowHeight="15840" activeTab="1" xr2:uid="{0A453CD5-3CBD-4FCA-9C79-2DC4795270E2}"/>
  </bookViews>
  <sheets>
    <sheet name="Business Case (UAE_QTR_10)" sheetId="3" r:id="rId1"/>
    <sheet name="Fleet_Telematry (UAE_QTR) (10%)" sheetId="2" r:id="rId2"/>
    <sheet name="Savings Calculation (Updated)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3" i="3" s="1"/>
  <c r="D9" i="3"/>
  <c r="D8" i="3"/>
  <c r="E46" i="2"/>
  <c r="D46" i="2"/>
  <c r="E45" i="2"/>
  <c r="E44" i="2"/>
  <c r="E43" i="2"/>
  <c r="E48" i="2" s="1"/>
  <c r="D32" i="2"/>
  <c r="C32" i="2"/>
  <c r="E32" i="2" s="1"/>
  <c r="D31" i="2"/>
  <c r="E31" i="2" s="1"/>
  <c r="E34" i="2" s="1"/>
  <c r="C31" i="2"/>
  <c r="E23" i="2"/>
  <c r="P8" i="2" s="1"/>
  <c r="E22" i="2"/>
  <c r="P7" i="2" s="1"/>
  <c r="D22" i="2"/>
  <c r="H21" i="2"/>
  <c r="E21" i="2"/>
  <c r="D21" i="2" s="1"/>
  <c r="E20" i="2"/>
  <c r="D20" i="2"/>
  <c r="I19" i="2"/>
  <c r="E19" i="2"/>
  <c r="M8" i="2" s="1"/>
  <c r="D19" i="2"/>
  <c r="I18" i="2"/>
  <c r="E18" i="2"/>
  <c r="M7" i="2" s="1"/>
  <c r="D18" i="2"/>
  <c r="I17" i="2"/>
  <c r="I16" i="2"/>
  <c r="I21" i="2" s="1"/>
  <c r="H7" i="2" s="1"/>
  <c r="M12" i="2" s="1"/>
  <c r="I15" i="2"/>
  <c r="I14" i="2"/>
  <c r="I13" i="2"/>
  <c r="I12" i="2"/>
  <c r="M11" i="2"/>
  <c r="M10" i="2"/>
  <c r="M9" i="2"/>
  <c r="P6" i="2"/>
  <c r="C6" i="2"/>
  <c r="E6" i="2" s="1"/>
  <c r="C5" i="2"/>
  <c r="E5" i="2" s="1"/>
  <c r="E13" i="2" s="1"/>
  <c r="H3" i="2" s="1"/>
  <c r="M6" i="2" s="1"/>
  <c r="D26" i="1"/>
  <c r="D25" i="1"/>
  <c r="D24" i="1"/>
  <c r="D23" i="1"/>
  <c r="H20" i="1"/>
  <c r="I20" i="1" s="1"/>
  <c r="K20" i="1" s="1"/>
  <c r="N16" i="1"/>
  <c r="J10" i="1"/>
  <c r="I10" i="1"/>
  <c r="G10" i="1"/>
  <c r="F10" i="1"/>
  <c r="E10" i="1"/>
  <c r="K10" i="1" s="1"/>
  <c r="D10" i="1"/>
  <c r="H10" i="1" s="1"/>
  <c r="L9" i="1"/>
  <c r="M9" i="1" s="1"/>
  <c r="K9" i="1"/>
  <c r="I9" i="1"/>
  <c r="H9" i="1"/>
  <c r="K8" i="1"/>
  <c r="I8" i="1"/>
  <c r="L8" i="1" s="1"/>
  <c r="M8" i="1" s="1"/>
  <c r="H8" i="1"/>
  <c r="K7" i="1"/>
  <c r="I7" i="1"/>
  <c r="L7" i="1" s="1"/>
  <c r="M7" i="1" s="1"/>
  <c r="B13" i="1" s="1"/>
  <c r="H7" i="1"/>
  <c r="M13" i="2" l="1"/>
  <c r="P13" i="2"/>
  <c r="E25" i="2"/>
  <c r="H5" i="2" s="1"/>
  <c r="H9" i="2" s="1"/>
  <c r="L10" i="1"/>
  <c r="M10" i="1" s="1"/>
  <c r="D13" i="1"/>
  <c r="E13" i="1" s="1"/>
  <c r="F13" i="1" s="1"/>
  <c r="H13" i="1" s="1"/>
  <c r="B15" i="1"/>
  <c r="D15" i="1" s="1"/>
  <c r="E15" i="1" s="1"/>
  <c r="F15" i="1" s="1"/>
  <c r="H15" i="1" s="1"/>
  <c r="M14" i="1" l="1"/>
  <c r="N14" i="1" s="1"/>
</calcChain>
</file>

<file path=xl/sharedStrings.xml><?xml version="1.0" encoding="utf-8"?>
<sst xmlns="http://schemas.openxmlformats.org/spreadsheetml/2006/main" count="167" uniqueCount="147">
  <si>
    <t>A FOC trial was conducted in BAH with one of the partners, below is summary</t>
  </si>
  <si>
    <t>Country</t>
  </si>
  <si>
    <t>Stores</t>
  </si>
  <si>
    <t>GPS Trackers Installed</t>
  </si>
  <si>
    <t>Trial Duration</t>
  </si>
  <si>
    <t>Trial Month</t>
  </si>
  <si>
    <t>BAH</t>
  </si>
  <si>
    <t>30 Days</t>
  </si>
  <si>
    <t>With No Tracker</t>
  </si>
  <si>
    <t>With Tracker</t>
  </si>
  <si>
    <t>Additional Feature</t>
  </si>
  <si>
    <t>Fuel price per litre - 0.14 BD/L</t>
  </si>
  <si>
    <t>Bike #</t>
  </si>
  <si>
    <t>Driver
Name</t>
  </si>
  <si>
    <t>Fuel Consumption July (L)</t>
  </si>
  <si>
    <t>Fuel Consumption Aug (L)</t>
  </si>
  <si>
    <t>Orders Delivered July</t>
  </si>
  <si>
    <t>Orders Delivered Aug</t>
  </si>
  <si>
    <t>July L/Order</t>
  </si>
  <si>
    <t>Aug L/Order</t>
  </si>
  <si>
    <t>Aug Mileage</t>
  </si>
  <si>
    <t>L/KM</t>
  </si>
  <si>
    <t>Var L/Order</t>
  </si>
  <si>
    <t>Saving/Order (0.140)</t>
  </si>
  <si>
    <t>Jul</t>
  </si>
  <si>
    <t>Aug</t>
  </si>
  <si>
    <t>Momin</t>
  </si>
  <si>
    <t>Uzaal</t>
  </si>
  <si>
    <t>Anil</t>
  </si>
  <si>
    <t>Total</t>
  </si>
  <si>
    <t>Savings per order</t>
  </si>
  <si>
    <t>#Orders per month</t>
  </si>
  <si>
    <t>Savings per day</t>
  </si>
  <si>
    <t>Savings per month</t>
  </si>
  <si>
    <t>Annual Savings (in BD)</t>
  </si>
  <si>
    <t>Exchange Rate BD-USD</t>
  </si>
  <si>
    <t>Annual Savings in $</t>
  </si>
  <si>
    <t>Business Case Value</t>
  </si>
  <si>
    <t>Loss of bike</t>
  </si>
  <si>
    <r>
      <t xml:space="preserve">In addition to above, GPS trackers will also help reduce Stolen Bikes. FY21 – 7 Bikes, FY22 – 4 Bikes, FY23 – 3 Bikes amount </t>
    </r>
    <r>
      <rPr>
        <sz val="9"/>
        <color rgb="FFFF0000"/>
        <rFont val="Calibri"/>
        <family val="2"/>
        <scheme val="minor"/>
      </rPr>
      <t>13K$</t>
    </r>
    <r>
      <rPr>
        <sz val="9"/>
        <color rgb="FF000000"/>
        <rFont val="Calibri"/>
        <family val="2"/>
        <scheme val="minor"/>
      </rPr>
      <t xml:space="preserve">  </t>
    </r>
  </si>
  <si>
    <t>per bike</t>
  </si>
  <si>
    <t>800 BD</t>
  </si>
  <si>
    <t>3 BD/Driver/Month</t>
  </si>
  <si>
    <t>2.5 BD/Device/month</t>
  </si>
  <si>
    <t>0.5 BD/Device/month</t>
  </si>
  <si>
    <t>#Count</t>
  </si>
  <si>
    <t>BD</t>
  </si>
  <si>
    <t>Bikes Stolen</t>
  </si>
  <si>
    <t>IoT Device Cost Market Wise</t>
  </si>
  <si>
    <t>Estimated Total Cost of Americana IoT PoC</t>
  </si>
  <si>
    <t>Market</t>
  </si>
  <si>
    <t>Total Drivers</t>
  </si>
  <si>
    <t>Unit Price</t>
  </si>
  <si>
    <t>Expected Cost ($ per year)</t>
  </si>
  <si>
    <t>Estimated Total Device Cost (per year)</t>
  </si>
  <si>
    <t>($ per year)</t>
  </si>
  <si>
    <t>UAE</t>
  </si>
  <si>
    <t>Estimated Total ALMP Infra Cost (per year)</t>
  </si>
  <si>
    <t>CAPEX</t>
  </si>
  <si>
    <t>OPEX</t>
  </si>
  <si>
    <t>Qatar</t>
  </si>
  <si>
    <t>Estimated Total Rollout Cost</t>
  </si>
  <si>
    <t>Device</t>
  </si>
  <si>
    <t>Estimated Total Development Team Cost</t>
  </si>
  <si>
    <t>Dev</t>
  </si>
  <si>
    <t>QA</t>
  </si>
  <si>
    <t>Total Estimated Cost of Delivery (Without Device)</t>
  </si>
  <si>
    <t>UAT</t>
  </si>
  <si>
    <t>Licenses</t>
  </si>
  <si>
    <t>Resource Name</t>
  </si>
  <si>
    <t>Unit Price ($)</t>
  </si>
  <si>
    <t>Total Cost ($)</t>
  </si>
  <si>
    <t>Rollout</t>
  </si>
  <si>
    <t>Full Stack IOT Lead Engineer</t>
  </si>
  <si>
    <t>Team</t>
  </si>
  <si>
    <t>DB Admin</t>
  </si>
  <si>
    <t>QA - Functional</t>
  </si>
  <si>
    <t>Cloud Infra and Licenses Cost for IoT Integration with ALMP</t>
  </si>
  <si>
    <t>QA - Performance</t>
  </si>
  <si>
    <t>Environments</t>
  </si>
  <si>
    <t>Items</t>
  </si>
  <si>
    <t>Azure Infra Lead</t>
  </si>
  <si>
    <t>($ per month)</t>
  </si>
  <si>
    <t>Project Manager</t>
  </si>
  <si>
    <t>DEV</t>
  </si>
  <si>
    <t>ALMP CLOUD DEV ENVIRONMENT (CAPEX)</t>
  </si>
  <si>
    <t>UI/UX Designer</t>
  </si>
  <si>
    <t>ALMP CLOUD QA ENVIRONMENT (CAPEX)</t>
  </si>
  <si>
    <t>Security Engineer</t>
  </si>
  <si>
    <t>ALMP CLOUD UAT ENVIRONMENT (CAPEX)</t>
  </si>
  <si>
    <t>PROD</t>
  </si>
  <si>
    <t>ALMP CLOUD PROD ENVIRONENT (OPEX)</t>
  </si>
  <si>
    <t>Total Estimated Cost of Delivery</t>
  </si>
  <si>
    <t>DR</t>
  </si>
  <si>
    <t>ALMP CLOUD DR ENVIRONMENT (OPEX)</t>
  </si>
  <si>
    <t>Licenses &amp; APIs</t>
  </si>
  <si>
    <t>Google Maps, Monitoring, Atlassian, Confluent, API etc. (CAPEX+OPEX)</t>
  </si>
  <si>
    <t>Estimated Total ALMP Infra Cost</t>
  </si>
  <si>
    <t>Note: IoT device connectivity cost will be additional based on market.</t>
  </si>
  <si>
    <t>Estimated Cost Savings Market Wise</t>
  </si>
  <si>
    <t>Countries</t>
  </si>
  <si>
    <t>Savings Per Order ($)</t>
  </si>
  <si>
    <t>Orders Per Month</t>
  </si>
  <si>
    <t>Estimated Total Cost Savings</t>
  </si>
  <si>
    <t>*Need to align with Ajay</t>
  </si>
  <si>
    <t>Additional Savings:</t>
  </si>
  <si>
    <r>
      <t xml:space="preserve">* In addition to above, GPS trackers will also help reduce Stolen Bikes. FY21 – 7 Bikes, FY22 – 4 Bikes, FY23 – 3 Bikes amount </t>
    </r>
    <r>
      <rPr>
        <sz val="10"/>
        <color rgb="FFFF0000"/>
        <rFont val="Calibri"/>
        <family val="2"/>
        <scheme val="minor"/>
      </rPr>
      <t>13K$</t>
    </r>
    <r>
      <rPr>
        <sz val="10"/>
        <color rgb="FF000000"/>
        <rFont val="Calibri"/>
        <family val="2"/>
        <scheme val="minor"/>
      </rPr>
      <t xml:space="preserve">  </t>
    </r>
  </si>
  <si>
    <t>Estimated Cost Savings on Vehicles Theft</t>
  </si>
  <si>
    <t>S. No.</t>
  </si>
  <si>
    <t>Year of Theft</t>
  </si>
  <si>
    <t>Total Theft</t>
  </si>
  <si>
    <t>Estimated Vehicle Cost</t>
  </si>
  <si>
    <t>FY-21</t>
  </si>
  <si>
    <t>per bike loss</t>
  </si>
  <si>
    <t>FY-22</t>
  </si>
  <si>
    <t>FY-23</t>
  </si>
  <si>
    <t>FY-24</t>
  </si>
  <si>
    <t>Total Estimated Cost of Theft Vehicles (Last Four Years)</t>
  </si>
  <si>
    <t>* Improved safety and compliance</t>
  </si>
  <si>
    <t>* Reduced fuel costs</t>
  </si>
  <si>
    <t>* Lower overall operational costs</t>
  </si>
  <si>
    <t>* Increased productivity</t>
  </si>
  <si>
    <t>* Better communication</t>
  </si>
  <si>
    <t>Americana IoT-PoC Project Business Case</t>
  </si>
  <si>
    <t>Description</t>
  </si>
  <si>
    <t xml:space="preserve">Assumptions </t>
  </si>
  <si>
    <t>FY-2024</t>
  </si>
  <si>
    <t>FY-2025</t>
  </si>
  <si>
    <t>FY-2026</t>
  </si>
  <si>
    <t>FY-2027</t>
  </si>
  <si>
    <t>FY-2028</t>
  </si>
  <si>
    <t>HD Stores</t>
  </si>
  <si>
    <t>200 Delivery NSO YOY</t>
  </si>
  <si>
    <t>Drivers with Smart IoT Enabled</t>
  </si>
  <si>
    <t>14% Driver Increase - YoY</t>
  </si>
  <si>
    <t>Transactions(Mn)</t>
  </si>
  <si>
    <t>15% Transaction Growth-YOY</t>
  </si>
  <si>
    <t>Estimated Smart IoT Device Cost</t>
  </si>
  <si>
    <t>20% AMC and New Device Cost</t>
  </si>
  <si>
    <t>Estimated Infra, people and rollout cost with ALMP</t>
  </si>
  <si>
    <t>5% increase in infra cost YoY</t>
  </si>
  <si>
    <t>Estimated Cost Savings with Fleet Management and Telematics (FMT)</t>
  </si>
  <si>
    <t>15% savings increase YoY</t>
  </si>
  <si>
    <t>Net Cost Savings with Fleet Management and Telematics (FMT)</t>
  </si>
  <si>
    <t>1. Americana IoT project will be started with UAE and Qatar with 10% drivers in initiate with for 6 months in FY-24 and based on the review the data and
results will be next 50% in UAE and Qatar markets.</t>
  </si>
  <si>
    <t>2. IoT device connectivity cost will be additional based on market.</t>
  </si>
  <si>
    <t>3. The Americana PoC project start time will be Feb 24 and revivewed in August 24 for additional 50% project scope in UAE and QATAR markets.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</si>
</sst>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&quot;$&quot;#,##0.00"/>
    <numFmt numFmtId="167" formatCode="&quot;$&quot;#,##0"/>
    <numFmt numFmtId="168" formatCode="_([$$-409]* #,##0.00_);_([$$-409]* \(#,##0.00\);_([$$-409]* &quot;-&quot;??_);_(@_)"/>
    <numFmt numFmtId="169" formatCode="#,##0.000_);\(#,##0.0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9"/>
      <name val="Calibri"/>
      <family val="2"/>
    </font>
    <font>
      <sz val="9"/>
      <color rgb="FF000000"/>
      <name val="Calibri"/>
      <family val="2"/>
    </font>
    <font>
      <i/>
      <sz val="8"/>
      <color theme="1"/>
      <name val="Calibri"/>
      <family val="2"/>
      <scheme val="minor"/>
    </font>
    <font>
      <sz val="6"/>
      <color theme="4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</font>
    <font>
      <b/>
      <sz val="8"/>
      <color rgb="FF00B050"/>
      <name val="Calibri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 applyAlignment="1">
      <alignment horizontal="left" vertical="center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16" fontId="5" fillId="3" borderId="1" xfId="0" applyNumberFormat="1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wrapText="1"/>
    </xf>
    <xf numFmtId="165" fontId="8" fillId="5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9" fillId="5" borderId="2" xfId="0" applyFont="1" applyFill="1" applyBorder="1" applyAlignment="1">
      <alignment horizontal="center" vertical="center" wrapText="1" readingOrder="1"/>
    </xf>
    <xf numFmtId="0" fontId="9" fillId="5" borderId="3" xfId="0" applyFont="1" applyFill="1" applyBorder="1" applyAlignment="1">
      <alignment horizontal="center" vertic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  <xf numFmtId="165" fontId="10" fillId="6" borderId="2" xfId="0" applyNumberFormat="1" applyFont="1" applyFill="1" applyBorder="1" applyAlignment="1">
      <alignment horizontal="center" vertical="center" wrapText="1" readingOrder="1"/>
    </xf>
    <xf numFmtId="0" fontId="10" fillId="6" borderId="3" xfId="0" applyFont="1" applyFill="1" applyBorder="1" applyAlignment="1">
      <alignment horizontal="center" vertical="center" wrapText="1" readingOrder="1"/>
    </xf>
    <xf numFmtId="8" fontId="10" fillId="6" borderId="3" xfId="0" applyNumberFormat="1" applyFont="1" applyFill="1" applyBorder="1" applyAlignment="1">
      <alignment horizontal="center" vertical="center" wrapText="1" readingOrder="1"/>
    </xf>
    <xf numFmtId="6" fontId="11" fillId="6" borderId="4" xfId="0" applyNumberFormat="1" applyFont="1" applyFill="1" applyBorder="1" applyAlignment="1">
      <alignment horizontal="center" vertical="center" wrapText="1" readingOrder="1"/>
    </xf>
    <xf numFmtId="8" fontId="10" fillId="6" borderId="2" xfId="0" applyNumberFormat="1" applyFont="1" applyFill="1" applyBorder="1" applyAlignment="1">
      <alignment horizontal="center" vertical="center" wrapText="1" readingOrder="1"/>
    </xf>
    <xf numFmtId="8" fontId="0" fillId="0" borderId="0" xfId="0" applyNumberFormat="1"/>
    <xf numFmtId="0" fontId="10" fillId="6" borderId="2" xfId="0" applyFont="1" applyFill="1" applyBorder="1" applyAlignment="1">
      <alignment horizontal="center" vertical="center" wrapText="1" readingOrder="1"/>
    </xf>
    <xf numFmtId="6" fontId="0" fillId="0" borderId="0" xfId="0" applyNumberFormat="1"/>
    <xf numFmtId="0" fontId="12" fillId="0" borderId="0" xfId="0" applyFont="1" applyAlignment="1">
      <alignment horizontal="left" vertical="center" readingOrder="1"/>
    </xf>
    <xf numFmtId="44" fontId="0" fillId="0" borderId="0" xfId="1" applyFont="1"/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14" fillId="3" borderId="0" xfId="0" applyFont="1" applyFill="1"/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justify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justify" vertical="center" wrapText="1"/>
    </xf>
    <xf numFmtId="0" fontId="14" fillId="3" borderId="1" xfId="0" applyFont="1" applyFill="1" applyBorder="1" applyAlignment="1">
      <alignment horizontal="justify" vertical="center" wrapText="1"/>
    </xf>
    <xf numFmtId="168" fontId="14" fillId="3" borderId="1" xfId="0" applyNumberFormat="1" applyFont="1" applyFill="1" applyBorder="1" applyAlignment="1">
      <alignment horizontal="right" vertical="center" wrapText="1"/>
    </xf>
    <xf numFmtId="0" fontId="16" fillId="2" borderId="10" xfId="0" applyFont="1" applyFill="1" applyBorder="1" applyAlignment="1">
      <alignment horizontal="justify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justify" vertical="center" wrapText="1"/>
    </xf>
    <xf numFmtId="0" fontId="17" fillId="3" borderId="10" xfId="0" applyFont="1" applyFill="1" applyBorder="1" applyAlignment="1">
      <alignment horizontal="justify" vertical="center" wrapText="1"/>
    </xf>
    <xf numFmtId="37" fontId="17" fillId="3" borderId="11" xfId="0" applyNumberFormat="1" applyFont="1" applyFill="1" applyBorder="1" applyAlignment="1">
      <alignment horizontal="center" vertical="center" wrapText="1"/>
    </xf>
    <xf numFmtId="168" fontId="17" fillId="3" borderId="11" xfId="0" applyNumberFormat="1" applyFont="1" applyFill="1" applyBorder="1" applyAlignment="1">
      <alignment horizontal="justify" vertical="center" wrapText="1"/>
    </xf>
    <xf numFmtId="0" fontId="14" fillId="3" borderId="1" xfId="0" applyFont="1" applyFill="1" applyBorder="1"/>
    <xf numFmtId="168" fontId="14" fillId="3" borderId="1" xfId="0" applyNumberFormat="1" applyFont="1" applyFill="1" applyBorder="1" applyAlignment="1">
      <alignment horizontal="right"/>
    </xf>
    <xf numFmtId="168" fontId="14" fillId="3" borderId="0" xfId="0" applyNumberFormat="1" applyFont="1" applyFill="1"/>
    <xf numFmtId="0" fontId="16" fillId="3" borderId="10" xfId="0" applyFont="1" applyFill="1" applyBorder="1" applyAlignment="1">
      <alignment horizontal="justify" vertical="center" wrapText="1"/>
    </xf>
    <xf numFmtId="37" fontId="16" fillId="3" borderId="11" xfId="0" applyNumberFormat="1" applyFont="1" applyFill="1" applyBorder="1" applyAlignment="1">
      <alignment horizontal="center" vertical="center" wrapText="1"/>
    </xf>
    <xf numFmtId="168" fontId="16" fillId="3" borderId="11" xfId="0" applyNumberFormat="1" applyFont="1" applyFill="1" applyBorder="1" applyAlignment="1">
      <alignment horizontal="justify" vertical="center" wrapText="1"/>
    </xf>
    <xf numFmtId="6" fontId="14" fillId="3" borderId="0" xfId="0" applyNumberFormat="1" applyFont="1" applyFill="1"/>
    <xf numFmtId="8" fontId="14" fillId="3" borderId="0" xfId="0" applyNumberFormat="1" applyFont="1" applyFill="1"/>
    <xf numFmtId="0" fontId="15" fillId="3" borderId="12" xfId="0" applyFont="1" applyFill="1" applyBorder="1" applyAlignment="1">
      <alignment horizontal="right"/>
    </xf>
    <xf numFmtId="168" fontId="15" fillId="3" borderId="12" xfId="0" applyNumberFormat="1" applyFont="1" applyFill="1" applyBorder="1" applyAlignment="1">
      <alignment horizontal="right"/>
    </xf>
    <xf numFmtId="0" fontId="15" fillId="2" borderId="1" xfId="0" applyFont="1" applyFill="1" applyBorder="1"/>
    <xf numFmtId="0" fontId="14" fillId="3" borderId="0" xfId="0" applyFont="1" applyFill="1" applyAlignment="1">
      <alignment horizontal="center"/>
    </xf>
    <xf numFmtId="168" fontId="14" fillId="3" borderId="1" xfId="0" applyNumberFormat="1" applyFont="1" applyFill="1" applyBorder="1"/>
    <xf numFmtId="0" fontId="15" fillId="3" borderId="12" xfId="0" applyFont="1" applyFill="1" applyBorder="1" applyAlignment="1">
      <alignment horizontal="right"/>
    </xf>
    <xf numFmtId="6" fontId="15" fillId="3" borderId="12" xfId="0" applyNumberFormat="1" applyFont="1" applyFill="1" applyBorder="1"/>
    <xf numFmtId="168" fontId="15" fillId="3" borderId="12" xfId="0" applyNumberFormat="1" applyFont="1" applyFill="1" applyBorder="1"/>
    <xf numFmtId="0" fontId="14" fillId="3" borderId="12" xfId="0" applyFont="1" applyFill="1" applyBorder="1"/>
    <xf numFmtId="0" fontId="18" fillId="3" borderId="10" xfId="0" applyFont="1" applyFill="1" applyBorder="1" applyAlignment="1">
      <alignment horizontal="justify" vertical="center" wrapText="1"/>
    </xf>
    <xf numFmtId="37" fontId="18" fillId="3" borderId="11" xfId="0" applyNumberFormat="1" applyFont="1" applyFill="1" applyBorder="1" applyAlignment="1">
      <alignment horizontal="center" vertical="center" wrapText="1"/>
    </xf>
    <xf numFmtId="168" fontId="18" fillId="3" borderId="11" xfId="0" applyNumberFormat="1" applyFont="1" applyFill="1" applyBorder="1" applyAlignment="1">
      <alignment horizontal="justify" vertical="center" wrapText="1"/>
    </xf>
    <xf numFmtId="168" fontId="14" fillId="3" borderId="12" xfId="0" applyNumberFormat="1" applyFont="1" applyFill="1" applyBorder="1" applyAlignment="1">
      <alignment horizontal="right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0" fontId="20" fillId="3" borderId="12" xfId="0" applyFont="1" applyFill="1" applyBorder="1" applyAlignment="1">
      <alignment horizontal="right"/>
    </xf>
    <xf numFmtId="168" fontId="20" fillId="3" borderId="12" xfId="0" applyNumberFormat="1" applyFont="1" applyFill="1" applyBorder="1"/>
    <xf numFmtId="0" fontId="20" fillId="3" borderId="0" xfId="0" applyFont="1" applyFill="1" applyAlignment="1">
      <alignment horizontal="left"/>
    </xf>
    <xf numFmtId="0" fontId="20" fillId="3" borderId="0" xfId="0" applyFont="1" applyFill="1" applyAlignment="1">
      <alignment horizontal="right"/>
    </xf>
    <xf numFmtId="6" fontId="20" fillId="3" borderId="0" xfId="0" applyNumberFormat="1" applyFont="1" applyFill="1"/>
    <xf numFmtId="169" fontId="17" fillId="3" borderId="11" xfId="0" applyNumberFormat="1" applyFont="1" applyFill="1" applyBorder="1" applyAlignment="1">
      <alignment horizontal="center" vertical="center" wrapText="1"/>
    </xf>
    <xf numFmtId="37" fontId="17" fillId="3" borderId="11" xfId="0" applyNumberFormat="1" applyFont="1" applyFill="1" applyBorder="1" applyAlignment="1">
      <alignment horizontal="right" vertical="center" wrapText="1"/>
    </xf>
    <xf numFmtId="0" fontId="21" fillId="3" borderId="0" xfId="0" applyFont="1" applyFill="1"/>
    <xf numFmtId="0" fontId="21" fillId="3" borderId="0" xfId="0" applyFont="1" applyFill="1" applyAlignment="1">
      <alignment horizontal="center"/>
    </xf>
    <xf numFmtId="0" fontId="14" fillId="3" borderId="0" xfId="0" applyFont="1" applyFill="1" applyAlignment="1">
      <alignment horizontal="right"/>
    </xf>
    <xf numFmtId="0" fontId="15" fillId="3" borderId="0" xfId="0" applyFont="1" applyFill="1" applyAlignment="1">
      <alignment horizontal="right"/>
    </xf>
    <xf numFmtId="6" fontId="15" fillId="3" borderId="0" xfId="0" applyNumberFormat="1" applyFont="1" applyFill="1"/>
    <xf numFmtId="0" fontId="22" fillId="3" borderId="0" xfId="0" applyFont="1" applyFill="1" applyAlignment="1">
      <alignment horizontal="left" vertical="center" readingOrder="1"/>
    </xf>
    <xf numFmtId="0" fontId="15" fillId="5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 wrapText="1"/>
    </xf>
    <xf numFmtId="169" fontId="17" fillId="3" borderId="1" xfId="0" applyNumberFormat="1" applyFont="1" applyFill="1" applyBorder="1" applyAlignment="1">
      <alignment horizontal="center" vertical="center" wrapText="1"/>
    </xf>
    <xf numFmtId="37" fontId="17" fillId="3" borderId="1" xfId="0" applyNumberFormat="1" applyFont="1" applyFill="1" applyBorder="1" applyAlignment="1">
      <alignment horizontal="right" vertical="center" wrapText="1"/>
    </xf>
    <xf numFmtId="168" fontId="17" fillId="3" borderId="1" xfId="0" applyNumberFormat="1" applyFont="1" applyFill="1" applyBorder="1" applyAlignment="1">
      <alignment horizontal="justify" vertical="center" wrapText="1"/>
    </xf>
    <xf numFmtId="44" fontId="14" fillId="3" borderId="0" xfId="1" applyFont="1" applyFill="1"/>
    <xf numFmtId="0" fontId="2" fillId="0" borderId="0" xfId="0" applyFont="1" applyAlignment="1">
      <alignment horizontal="center"/>
    </xf>
    <xf numFmtId="0" fontId="24" fillId="7" borderId="1" xfId="0" applyFont="1" applyFill="1" applyBorder="1" applyAlignment="1">
      <alignment horizontal="center" wrapText="1" readingOrder="1"/>
    </xf>
    <xf numFmtId="0" fontId="24" fillId="8" borderId="1" xfId="0" applyFont="1" applyFill="1" applyBorder="1" applyAlignment="1">
      <alignment horizontal="left" wrapText="1" readingOrder="1"/>
    </xf>
    <xf numFmtId="0" fontId="10" fillId="8" borderId="1" xfId="0" applyFont="1" applyFill="1" applyBorder="1" applyAlignment="1">
      <alignment wrapText="1" readingOrder="1"/>
    </xf>
    <xf numFmtId="1" fontId="10" fillId="8" borderId="1" xfId="0" applyNumberFormat="1" applyFont="1" applyFill="1" applyBorder="1" applyAlignment="1">
      <alignment wrapText="1" readingOrder="1"/>
    </xf>
    <xf numFmtId="4" fontId="10" fillId="8" borderId="1" xfId="0" applyNumberFormat="1" applyFont="1" applyFill="1" applyBorder="1" applyAlignment="1">
      <alignment wrapText="1" readingOrder="1"/>
    </xf>
    <xf numFmtId="0" fontId="25" fillId="0" borderId="1" xfId="0" applyFont="1" applyBorder="1"/>
    <xf numFmtId="2" fontId="25" fillId="0" borderId="1" xfId="0" applyNumberFormat="1" applyFont="1" applyBorder="1"/>
    <xf numFmtId="0" fontId="10" fillId="9" borderId="1" xfId="0" applyFont="1" applyFill="1" applyBorder="1" applyAlignment="1">
      <alignment horizontal="left" wrapText="1" readingOrder="1"/>
    </xf>
    <xf numFmtId="168" fontId="10" fillId="9" borderId="1" xfId="0" applyNumberFormat="1" applyFont="1" applyFill="1" applyBorder="1" applyAlignment="1">
      <alignment wrapText="1" readingOrder="1"/>
    </xf>
    <xf numFmtId="168" fontId="9" fillId="9" borderId="1" xfId="0" applyNumberFormat="1" applyFont="1" applyFill="1" applyBorder="1" applyAlignment="1">
      <alignment wrapText="1" readingOrder="1"/>
    </xf>
    <xf numFmtId="1" fontId="25" fillId="0" borderId="1" xfId="0" applyNumberFormat="1" applyFont="1" applyBorder="1"/>
    <xf numFmtId="0" fontId="10" fillId="5" borderId="1" xfId="0" applyFont="1" applyFill="1" applyBorder="1" applyAlignment="1">
      <alignment horizontal="left" vertical="top" wrapText="1" readingOrder="1"/>
    </xf>
    <xf numFmtId="168" fontId="10" fillId="5" borderId="1" xfId="0" applyNumberFormat="1" applyFont="1" applyFill="1" applyBorder="1" applyAlignment="1">
      <alignment vertical="top" wrapText="1" readingOrder="1"/>
    </xf>
    <xf numFmtId="0" fontId="10" fillId="10" borderId="13" xfId="0" applyFont="1" applyFill="1" applyBorder="1" applyAlignment="1">
      <alignment horizontal="left" vertical="top" wrapText="1" readingOrder="1"/>
    </xf>
    <xf numFmtId="168" fontId="24" fillId="10" borderId="13" xfId="0" applyNumberFormat="1" applyFont="1" applyFill="1" applyBorder="1" applyAlignment="1">
      <alignment vertical="top" wrapText="1" readingOrder="1"/>
    </xf>
    <xf numFmtId="0" fontId="25" fillId="0" borderId="0" xfId="0" applyFont="1" applyAlignment="1">
      <alignment horizontal="left" wrapText="1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MP%20PMO\Business%20Case\Project_Breakups.xlsx" TargetMode="External"/><Relationship Id="rId1" Type="http://schemas.openxmlformats.org/officeDocument/2006/relationships/externalLinkPath" Target="Business%20Case/Project_Break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eet_Telematry (2 Countries)"/>
      <sheetName val="Business Case (UAE_QTR_10)"/>
      <sheetName val="Business Case"/>
      <sheetName val="Fleet_Telematry (UAE_QTR) (10%)"/>
      <sheetName val="Fleet_Telematry (UAE_QTR)"/>
      <sheetName val="Fleet_Telematry"/>
      <sheetName val="Savings Calculation (Updated)"/>
      <sheetName val="Savings Calculation"/>
      <sheetName val="Azure Cloud"/>
      <sheetName val="Segregation"/>
    </sheetNames>
    <sheetDataSet>
      <sheetData sheetId="0"/>
      <sheetData sheetId="1"/>
      <sheetData sheetId="2"/>
      <sheetData sheetId="3">
        <row r="9">
          <cell r="H9">
            <v>107998.85</v>
          </cell>
        </row>
        <row r="13">
          <cell r="E13">
            <v>37380</v>
          </cell>
        </row>
        <row r="34">
          <cell r="E34">
            <v>59264.681593125875</v>
          </cell>
        </row>
      </sheetData>
      <sheetData sheetId="4"/>
      <sheetData sheetId="5"/>
      <sheetData sheetId="6">
        <row r="15">
          <cell r="B15">
            <v>2.810584128022067E-3</v>
          </cell>
        </row>
      </sheetData>
      <sheetData sheetId="7"/>
      <sheetData sheetId="8">
        <row r="31">
          <cell r="D31">
            <v>11715.44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83F6-BC05-4AD1-BAE2-87A792AED216}">
  <dimension ref="B1:H20"/>
  <sheetViews>
    <sheetView workbookViewId="0">
      <selection activeCell="D30" sqref="D30:I31"/>
    </sheetView>
  </sheetViews>
  <sheetFormatPr defaultColWidth="27.453125" defaultRowHeight="14.5" x14ac:dyDescent="0.35"/>
  <cols>
    <col min="1" max="1" width="7.6328125" customWidth="1"/>
    <col min="2" max="2" width="27.36328125" customWidth="1"/>
    <col min="3" max="3" width="19" bestFit="1" customWidth="1"/>
    <col min="4" max="4" width="10.81640625" bestFit="1" customWidth="1"/>
    <col min="5" max="8" width="9.7265625" hidden="1" customWidth="1"/>
  </cols>
  <sheetData>
    <row r="1" spans="2:8" x14ac:dyDescent="0.35">
      <c r="B1" s="94" t="s">
        <v>123</v>
      </c>
      <c r="C1" s="94"/>
      <c r="D1" s="94"/>
    </row>
    <row r="3" spans="2:8" x14ac:dyDescent="0.35">
      <c r="B3" s="95" t="s">
        <v>124</v>
      </c>
      <c r="C3" s="95" t="s">
        <v>125</v>
      </c>
      <c r="D3" s="95" t="s">
        <v>126</v>
      </c>
      <c r="E3" s="95" t="s">
        <v>127</v>
      </c>
      <c r="F3" s="95" t="s">
        <v>128</v>
      </c>
      <c r="G3" s="95" t="s">
        <v>129</v>
      </c>
      <c r="H3" s="95" t="s">
        <v>130</v>
      </c>
    </row>
    <row r="4" spans="2:8" x14ac:dyDescent="0.35">
      <c r="B4" s="96" t="s">
        <v>131</v>
      </c>
      <c r="C4" s="96" t="s">
        <v>132</v>
      </c>
      <c r="D4" s="97">
        <v>1957</v>
      </c>
      <c r="E4" s="98"/>
      <c r="F4" s="98"/>
      <c r="G4" s="98"/>
      <c r="H4" s="98"/>
    </row>
    <row r="5" spans="2:8" x14ac:dyDescent="0.35">
      <c r="B5" s="96" t="s">
        <v>133</v>
      </c>
      <c r="C5" s="96" t="s">
        <v>134</v>
      </c>
      <c r="D5" s="97">
        <v>9300</v>
      </c>
      <c r="E5" s="98"/>
      <c r="F5" s="98"/>
      <c r="G5" s="98"/>
      <c r="H5" s="98"/>
    </row>
    <row r="6" spans="2:8" x14ac:dyDescent="0.35">
      <c r="B6" s="96" t="s">
        <v>135</v>
      </c>
      <c r="C6" s="96" t="s">
        <v>136</v>
      </c>
      <c r="D6" s="99">
        <v>55</v>
      </c>
      <c r="E6" s="99"/>
      <c r="F6" s="99"/>
      <c r="G6" s="99"/>
      <c r="H6" s="99"/>
    </row>
    <row r="7" spans="2:8" ht="1.5" customHeight="1" x14ac:dyDescent="0.35">
      <c r="B7" s="100"/>
      <c r="C7" s="100"/>
      <c r="D7" s="101"/>
      <c r="E7" s="101"/>
      <c r="F7" s="101"/>
      <c r="G7" s="101"/>
      <c r="H7" s="101"/>
    </row>
    <row r="8" spans="2:8" ht="22" x14ac:dyDescent="0.35">
      <c r="B8" s="102" t="s">
        <v>137</v>
      </c>
      <c r="C8" s="102" t="s">
        <v>138</v>
      </c>
      <c r="D8" s="103">
        <f>'[1]Fleet_Telematry (UAE_QTR) (10%)'!E13</f>
        <v>37380</v>
      </c>
      <c r="E8" s="104"/>
      <c r="F8" s="104"/>
      <c r="G8" s="104"/>
      <c r="H8" s="104"/>
    </row>
    <row r="9" spans="2:8" ht="22" x14ac:dyDescent="0.35">
      <c r="B9" s="102" t="s">
        <v>139</v>
      </c>
      <c r="C9" s="102" t="s">
        <v>140</v>
      </c>
      <c r="D9" s="103">
        <f>'[1]Fleet_Telematry (UAE_QTR) (10%)'!H9</f>
        <v>107998.85</v>
      </c>
      <c r="E9" s="103"/>
      <c r="F9" s="103"/>
      <c r="G9" s="103"/>
      <c r="H9" s="103"/>
    </row>
    <row r="10" spans="2:8" ht="1.5" customHeight="1" x14ac:dyDescent="0.35">
      <c r="B10" s="100"/>
      <c r="C10" s="100"/>
      <c r="D10" s="105"/>
      <c r="E10" s="105"/>
      <c r="F10" s="105"/>
      <c r="G10" s="105"/>
      <c r="H10" s="100"/>
    </row>
    <row r="11" spans="2:8" ht="21" x14ac:dyDescent="0.35">
      <c r="B11" s="106" t="s">
        <v>141</v>
      </c>
      <c r="C11" s="106" t="s">
        <v>142</v>
      </c>
      <c r="D11" s="107">
        <f>'[1]Fleet_Telematry (UAE_QTR) (10%)'!E34</f>
        <v>59264.681593125875</v>
      </c>
      <c r="E11" s="107"/>
      <c r="F11" s="107"/>
      <c r="G11" s="107"/>
      <c r="H11" s="107"/>
    </row>
    <row r="12" spans="2:8" ht="5.5" customHeight="1" x14ac:dyDescent="0.35"/>
    <row r="13" spans="2:8" ht="21.5" thickBot="1" x14ac:dyDescent="0.4">
      <c r="B13" s="108" t="s">
        <v>143</v>
      </c>
      <c r="C13" s="108"/>
      <c r="D13" s="109">
        <f>D11-D9-D8</f>
        <v>-86114.168406874131</v>
      </c>
      <c r="E13" s="109"/>
      <c r="F13" s="109"/>
      <c r="G13" s="109"/>
      <c r="H13" s="109"/>
    </row>
    <row r="14" spans="2:8" ht="15" thickTop="1" x14ac:dyDescent="0.35"/>
    <row r="15" spans="2:8" s="112" customFormat="1" ht="36" customHeight="1" x14ac:dyDescent="0.35">
      <c r="B15" s="110" t="s">
        <v>144</v>
      </c>
      <c r="C15" s="111"/>
      <c r="D15" s="111"/>
      <c r="E15" s="111"/>
      <c r="F15" s="111"/>
      <c r="G15" s="111"/>
      <c r="H15" s="111"/>
    </row>
    <row r="16" spans="2:8" x14ac:dyDescent="0.35">
      <c r="B16" s="110" t="s">
        <v>145</v>
      </c>
      <c r="C16" s="111"/>
      <c r="D16" s="111"/>
      <c r="E16" s="111"/>
      <c r="F16" s="111"/>
      <c r="G16" s="111"/>
      <c r="H16" s="111"/>
    </row>
    <row r="17" spans="2:8" ht="26.5" customHeight="1" x14ac:dyDescent="0.35">
      <c r="B17" s="110" t="s">
        <v>146</v>
      </c>
      <c r="C17" s="111"/>
      <c r="D17" s="111"/>
      <c r="E17" s="111"/>
      <c r="F17" s="111"/>
      <c r="G17" s="111"/>
      <c r="H17" s="111"/>
    </row>
    <row r="19" spans="2:8" x14ac:dyDescent="0.35">
      <c r="E19" s="113"/>
    </row>
    <row r="20" spans="2:8" x14ac:dyDescent="0.35">
      <c r="E20" s="113"/>
    </row>
  </sheetData>
  <mergeCells count="4">
    <mergeCell ref="B1:D1"/>
    <mergeCell ref="B15:H15"/>
    <mergeCell ref="B16:H16"/>
    <mergeCell ref="B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2DAB-4F88-4163-A10E-EAE725F70764}">
  <dimension ref="B1:P58"/>
  <sheetViews>
    <sheetView tabSelected="1" workbookViewId="0">
      <selection sqref="A1:XFD1048576"/>
    </sheetView>
  </sheetViews>
  <sheetFormatPr defaultRowHeight="13" x14ac:dyDescent="0.3"/>
  <cols>
    <col min="1" max="1" width="8.7265625" style="34"/>
    <col min="2" max="2" width="20.08984375" style="34" customWidth="1"/>
    <col min="3" max="3" width="18.1796875" style="34" customWidth="1"/>
    <col min="4" max="4" width="15" style="34" bestFit="1" customWidth="1"/>
    <col min="5" max="5" width="34" style="34" customWidth="1"/>
    <col min="6" max="6" width="12.08984375" style="34" bestFit="1" customWidth="1"/>
    <col min="7" max="7" width="40.6328125" style="34" bestFit="1" customWidth="1"/>
    <col min="8" max="8" width="12.90625" style="34" bestFit="1" customWidth="1"/>
    <col min="9" max="10" width="11.36328125" style="34" bestFit="1" customWidth="1"/>
    <col min="11" max="12" width="8.7265625" style="34"/>
    <col min="13" max="13" width="13" style="34" bestFit="1" customWidth="1"/>
    <col min="14" max="15" width="8.7265625" style="34"/>
    <col min="16" max="16" width="10.54296875" style="34" bestFit="1" customWidth="1"/>
    <col min="17" max="16384" width="8.7265625" style="34"/>
  </cols>
  <sheetData>
    <row r="1" spans="2:16" ht="13.5" thickBot="1" x14ac:dyDescent="0.35"/>
    <row r="2" spans="2:16" ht="13.5" thickBot="1" x14ac:dyDescent="0.35">
      <c r="B2" s="35" t="s">
        <v>48</v>
      </c>
      <c r="C2" s="36"/>
      <c r="D2" s="36"/>
      <c r="E2" s="37"/>
      <c r="G2" s="38" t="s">
        <v>49</v>
      </c>
      <c r="H2" s="38"/>
    </row>
    <row r="3" spans="2:16" x14ac:dyDescent="0.3">
      <c r="B3" s="39" t="s">
        <v>50</v>
      </c>
      <c r="C3" s="40" t="s">
        <v>51</v>
      </c>
      <c r="D3" s="41" t="s">
        <v>52</v>
      </c>
      <c r="E3" s="39" t="s">
        <v>53</v>
      </c>
      <c r="G3" s="42" t="s">
        <v>54</v>
      </c>
      <c r="H3" s="43">
        <f>E13</f>
        <v>37380</v>
      </c>
    </row>
    <row r="4" spans="2:16" ht="13.5" thickBot="1" x14ac:dyDescent="0.35">
      <c r="B4" s="44"/>
      <c r="C4" s="45"/>
      <c r="D4" s="46" t="s">
        <v>55</v>
      </c>
      <c r="E4" s="44"/>
      <c r="G4" s="42"/>
      <c r="H4" s="43"/>
    </row>
    <row r="5" spans="2:16" ht="13.5" thickBot="1" x14ac:dyDescent="0.35">
      <c r="B5" s="47" t="s">
        <v>56</v>
      </c>
      <c r="C5" s="48">
        <f>2695*0.1</f>
        <v>269.5</v>
      </c>
      <c r="D5" s="49">
        <v>120</v>
      </c>
      <c r="E5" s="49">
        <f t="shared" ref="E5:E6" si="0">D5*C5</f>
        <v>32340</v>
      </c>
      <c r="G5" s="42" t="s">
        <v>57</v>
      </c>
      <c r="H5" s="43">
        <f>E25</f>
        <v>57966.45</v>
      </c>
      <c r="M5" s="34" t="s">
        <v>58</v>
      </c>
      <c r="P5" s="34" t="s">
        <v>59</v>
      </c>
    </row>
    <row r="6" spans="2:16" ht="13.5" thickBot="1" x14ac:dyDescent="0.35">
      <c r="B6" s="47" t="s">
        <v>60</v>
      </c>
      <c r="C6" s="48">
        <f>420*0.1</f>
        <v>42</v>
      </c>
      <c r="D6" s="49">
        <v>120</v>
      </c>
      <c r="E6" s="49">
        <f t="shared" si="0"/>
        <v>5040</v>
      </c>
      <c r="G6" s="50" t="s">
        <v>61</v>
      </c>
      <c r="H6" s="51">
        <v>9500</v>
      </c>
      <c r="M6" s="52">
        <f>H3</f>
        <v>37380</v>
      </c>
      <c r="N6" s="34" t="s">
        <v>62</v>
      </c>
      <c r="P6" s="52">
        <f>E21</f>
        <v>35146.32</v>
      </c>
    </row>
    <row r="7" spans="2:16" ht="13.5" thickBot="1" x14ac:dyDescent="0.35">
      <c r="B7" s="53"/>
      <c r="C7" s="54"/>
      <c r="D7" s="55"/>
      <c r="E7" s="55"/>
      <c r="G7" s="50" t="s">
        <v>63</v>
      </c>
      <c r="H7" s="51">
        <f>I21*0.1</f>
        <v>40532.400000000001</v>
      </c>
      <c r="J7" s="56"/>
      <c r="M7" s="52">
        <f>E18</f>
        <v>1757.316</v>
      </c>
      <c r="N7" s="34" t="s">
        <v>64</v>
      </c>
      <c r="P7" s="52">
        <f>E22</f>
        <v>1757.316</v>
      </c>
    </row>
    <row r="8" spans="2:16" ht="13.5" thickBot="1" x14ac:dyDescent="0.35">
      <c r="B8" s="53"/>
      <c r="C8" s="54"/>
      <c r="D8" s="55"/>
      <c r="E8" s="55"/>
      <c r="J8" s="57"/>
      <c r="M8" s="52">
        <f>E19</f>
        <v>1757.316</v>
      </c>
      <c r="N8" s="34" t="s">
        <v>65</v>
      </c>
      <c r="P8" s="52">
        <f>E23/2</f>
        <v>36000</v>
      </c>
    </row>
    <row r="9" spans="2:16" ht="13.5" thickBot="1" x14ac:dyDescent="0.35">
      <c r="B9" s="47"/>
      <c r="C9" s="48"/>
      <c r="D9" s="49"/>
      <c r="E9" s="49"/>
      <c r="G9" s="58" t="s">
        <v>66</v>
      </c>
      <c r="H9" s="59">
        <f>SUM(H5:H7)</f>
        <v>107998.85</v>
      </c>
      <c r="M9" s="52">
        <f>E20</f>
        <v>3514.6320000000001</v>
      </c>
      <c r="N9" s="34" t="s">
        <v>67</v>
      </c>
    </row>
    <row r="10" spans="2:16" ht="13.5" thickBot="1" x14ac:dyDescent="0.35">
      <c r="B10" s="47"/>
      <c r="C10" s="48"/>
      <c r="D10" s="49"/>
      <c r="E10" s="49"/>
      <c r="M10" s="52">
        <f>E23*0.1</f>
        <v>7200</v>
      </c>
      <c r="N10" s="34" t="s">
        <v>68</v>
      </c>
    </row>
    <row r="11" spans="2:16" ht="13.5" thickBot="1" x14ac:dyDescent="0.35">
      <c r="B11" s="47"/>
      <c r="C11" s="48"/>
      <c r="D11" s="49"/>
      <c r="E11" s="49"/>
      <c r="G11" s="60" t="s">
        <v>69</v>
      </c>
      <c r="H11" s="60" t="s">
        <v>70</v>
      </c>
      <c r="I11" s="60" t="s">
        <v>71</v>
      </c>
      <c r="M11" s="52">
        <f>H6</f>
        <v>9500</v>
      </c>
      <c r="N11" s="34" t="s">
        <v>72</v>
      </c>
    </row>
    <row r="12" spans="2:16" x14ac:dyDescent="0.3">
      <c r="C12" s="61"/>
      <c r="G12" s="42" t="s">
        <v>73</v>
      </c>
      <c r="H12" s="43">
        <v>5000</v>
      </c>
      <c r="I12" s="62">
        <f>H12*12</f>
        <v>60000</v>
      </c>
      <c r="M12" s="52">
        <f>H7</f>
        <v>40532.400000000001</v>
      </c>
      <c r="N12" s="34" t="s">
        <v>74</v>
      </c>
    </row>
    <row r="13" spans="2:16" ht="13.5" thickBot="1" x14ac:dyDescent="0.35">
      <c r="B13" s="63" t="s">
        <v>54</v>
      </c>
      <c r="C13" s="63"/>
      <c r="D13" s="63"/>
      <c r="E13" s="64">
        <f>SUM(E5:E11)</f>
        <v>37380</v>
      </c>
      <c r="G13" s="42" t="s">
        <v>75</v>
      </c>
      <c r="H13" s="43">
        <v>5000</v>
      </c>
      <c r="I13" s="62">
        <f t="shared" ref="I13:I19" si="1">H13*12</f>
        <v>60000</v>
      </c>
      <c r="M13" s="65">
        <f>SUM(M6:M12)</f>
        <v>101641.66399999999</v>
      </c>
      <c r="N13" s="66"/>
      <c r="P13" s="65">
        <f>SUM(P6:P12)</f>
        <v>72903.635999999999</v>
      </c>
    </row>
    <row r="14" spans="2:16" ht="14" thickTop="1" thickBot="1" x14ac:dyDescent="0.35">
      <c r="G14" s="50" t="s">
        <v>76</v>
      </c>
      <c r="H14" s="51">
        <v>3300</v>
      </c>
      <c r="I14" s="62">
        <f t="shared" si="1"/>
        <v>39600</v>
      </c>
    </row>
    <row r="15" spans="2:16" ht="13.5" thickBot="1" x14ac:dyDescent="0.35">
      <c r="B15" s="35" t="s">
        <v>77</v>
      </c>
      <c r="C15" s="36"/>
      <c r="D15" s="36"/>
      <c r="E15" s="37"/>
      <c r="G15" s="50" t="s">
        <v>78</v>
      </c>
      <c r="H15" s="51">
        <v>3027</v>
      </c>
      <c r="I15" s="62">
        <f t="shared" si="1"/>
        <v>36324</v>
      </c>
    </row>
    <row r="16" spans="2:16" x14ac:dyDescent="0.3">
      <c r="B16" s="39" t="s">
        <v>79</v>
      </c>
      <c r="C16" s="40" t="s">
        <v>80</v>
      </c>
      <c r="D16" s="41" t="s">
        <v>52</v>
      </c>
      <c r="E16" s="39" t="s">
        <v>53</v>
      </c>
      <c r="G16" s="50" t="s">
        <v>81</v>
      </c>
      <c r="H16" s="51">
        <v>5500</v>
      </c>
      <c r="I16" s="62">
        <f t="shared" si="1"/>
        <v>66000</v>
      </c>
    </row>
    <row r="17" spans="2:9" ht="13.5" thickBot="1" x14ac:dyDescent="0.35">
      <c r="B17" s="44"/>
      <c r="C17" s="45"/>
      <c r="D17" s="46" t="s">
        <v>82</v>
      </c>
      <c r="E17" s="44"/>
      <c r="G17" s="50" t="s">
        <v>83</v>
      </c>
      <c r="H17" s="51">
        <v>4950</v>
      </c>
      <c r="I17" s="62">
        <f t="shared" si="1"/>
        <v>59400</v>
      </c>
    </row>
    <row r="18" spans="2:9" ht="21.5" thickBot="1" x14ac:dyDescent="0.35">
      <c r="B18" s="67" t="s">
        <v>84</v>
      </c>
      <c r="C18" s="68" t="s">
        <v>85</v>
      </c>
      <c r="D18" s="69">
        <f>E18/12</f>
        <v>146.44300000000001</v>
      </c>
      <c r="E18" s="69">
        <f>E21*0.05</f>
        <v>1757.316</v>
      </c>
      <c r="F18" s="52"/>
      <c r="G18" s="50" t="s">
        <v>86</v>
      </c>
      <c r="H18" s="51">
        <v>3500</v>
      </c>
      <c r="I18" s="62">
        <f t="shared" si="1"/>
        <v>42000</v>
      </c>
    </row>
    <row r="19" spans="2:9" ht="21.5" thickBot="1" x14ac:dyDescent="0.35">
      <c r="B19" s="67" t="s">
        <v>65</v>
      </c>
      <c r="C19" s="68" t="s">
        <v>87</v>
      </c>
      <c r="D19" s="69">
        <f t="shared" ref="D19:D22" si="2">E19/12</f>
        <v>146.44300000000001</v>
      </c>
      <c r="E19" s="69">
        <f>E21*0.05</f>
        <v>1757.316</v>
      </c>
      <c r="F19" s="52"/>
      <c r="G19" s="50" t="s">
        <v>88</v>
      </c>
      <c r="H19" s="51">
        <v>3500</v>
      </c>
      <c r="I19" s="62">
        <f t="shared" si="1"/>
        <v>42000</v>
      </c>
    </row>
    <row r="20" spans="2:9" ht="21.5" thickBot="1" x14ac:dyDescent="0.35">
      <c r="B20" s="67" t="s">
        <v>67</v>
      </c>
      <c r="C20" s="68" t="s">
        <v>89</v>
      </c>
      <c r="D20" s="69">
        <f t="shared" si="2"/>
        <v>292.88600000000002</v>
      </c>
      <c r="E20" s="69">
        <f>E21*0.1</f>
        <v>3514.6320000000001</v>
      </c>
      <c r="F20" s="52"/>
    </row>
    <row r="21" spans="2:9" ht="21.5" thickBot="1" x14ac:dyDescent="0.35">
      <c r="B21" s="67" t="s">
        <v>90</v>
      </c>
      <c r="C21" s="68" t="s">
        <v>91</v>
      </c>
      <c r="D21" s="69">
        <f t="shared" si="2"/>
        <v>2928.86</v>
      </c>
      <c r="E21" s="69">
        <f>'[1]Azure Cloud'!D31*12*0.25</f>
        <v>35146.32</v>
      </c>
      <c r="F21" s="52"/>
      <c r="G21" s="58" t="s">
        <v>92</v>
      </c>
      <c r="H21" s="70">
        <f>SUM(H14:H19)</f>
        <v>23777</v>
      </c>
      <c r="I21" s="65">
        <f>SUM(I12:I19)</f>
        <v>405324</v>
      </c>
    </row>
    <row r="22" spans="2:9" ht="21.5" thickBot="1" x14ac:dyDescent="0.35">
      <c r="B22" s="67" t="s">
        <v>93</v>
      </c>
      <c r="C22" s="68" t="s">
        <v>94</v>
      </c>
      <c r="D22" s="69">
        <f t="shared" si="2"/>
        <v>146.44300000000001</v>
      </c>
      <c r="E22" s="69">
        <f>E21*0.05</f>
        <v>1757.316</v>
      </c>
      <c r="F22" s="52"/>
    </row>
    <row r="23" spans="2:9" ht="32" thickBot="1" x14ac:dyDescent="0.35">
      <c r="B23" s="67" t="s">
        <v>95</v>
      </c>
      <c r="C23" s="68" t="s">
        <v>96</v>
      </c>
      <c r="D23" s="69">
        <v>6000</v>
      </c>
      <c r="E23" s="69">
        <f>D23*12</f>
        <v>72000</v>
      </c>
      <c r="F23" s="52"/>
      <c r="H23" s="52"/>
    </row>
    <row r="24" spans="2:9" x14ac:dyDescent="0.3">
      <c r="B24" s="71"/>
      <c r="C24" s="72"/>
      <c r="D24" s="71"/>
      <c r="E24" s="71"/>
    </row>
    <row r="25" spans="2:9" ht="13.5" thickBot="1" x14ac:dyDescent="0.35">
      <c r="B25" s="73" t="s">
        <v>97</v>
      </c>
      <c r="C25" s="73"/>
      <c r="D25" s="73"/>
      <c r="E25" s="74">
        <f>SUM(E18:E23)/2</f>
        <v>57966.45</v>
      </c>
      <c r="F25" s="56"/>
    </row>
    <row r="26" spans="2:9" ht="13.5" thickTop="1" x14ac:dyDescent="0.3">
      <c r="B26" s="75" t="s">
        <v>98</v>
      </c>
      <c r="C26" s="76"/>
      <c r="D26" s="76"/>
      <c r="E26" s="77"/>
      <c r="F26" s="56"/>
    </row>
    <row r="27" spans="2:9" ht="13.5" thickBot="1" x14ac:dyDescent="0.35"/>
    <row r="28" spans="2:9" ht="13.5" thickBot="1" x14ac:dyDescent="0.35">
      <c r="B28" s="35" t="s">
        <v>99</v>
      </c>
      <c r="C28" s="36"/>
      <c r="D28" s="36"/>
      <c r="E28" s="37"/>
    </row>
    <row r="29" spans="2:9" x14ac:dyDescent="0.3">
      <c r="B29" s="39" t="s">
        <v>100</v>
      </c>
      <c r="C29" s="40" t="s">
        <v>101</v>
      </c>
      <c r="D29" s="40" t="s">
        <v>102</v>
      </c>
      <c r="E29" s="39" t="s">
        <v>36</v>
      </c>
      <c r="G29" s="56"/>
    </row>
    <row r="30" spans="2:9" ht="13.5" thickBot="1" x14ac:dyDescent="0.35">
      <c r="B30" s="44"/>
      <c r="C30" s="45"/>
      <c r="D30" s="45"/>
      <c r="E30" s="44"/>
    </row>
    <row r="31" spans="2:9" ht="13.5" thickBot="1" x14ac:dyDescent="0.35">
      <c r="B31" s="47" t="s">
        <v>56</v>
      </c>
      <c r="C31" s="78">
        <f>'[1]Savings Calculation (Updated)'!B15</f>
        <v>2.810584128022067E-3</v>
      </c>
      <c r="D31" s="79">
        <f>1243155+1243155*0.18</f>
        <v>1466922.9</v>
      </c>
      <c r="E31" s="49">
        <f t="shared" ref="E31" si="3">D31*C31*12</f>
        <v>49474.922637265219</v>
      </c>
      <c r="G31" s="56"/>
    </row>
    <row r="32" spans="2:9" ht="13.5" thickBot="1" x14ac:dyDescent="0.35">
      <c r="B32" s="47" t="s">
        <v>60</v>
      </c>
      <c r="C32" s="78">
        <f>'[1]Savings Calculation (Updated)'!B15</f>
        <v>2.810584128022067E-3</v>
      </c>
      <c r="D32" s="79">
        <f>245987+245987*0.18</f>
        <v>290264.65999999997</v>
      </c>
      <c r="E32" s="49">
        <f>D32*C32*12</f>
        <v>9789.7589558606596</v>
      </c>
    </row>
    <row r="33" spans="2:9" x14ac:dyDescent="0.3">
      <c r="B33" s="80"/>
      <c r="C33" s="81"/>
      <c r="D33" s="80"/>
      <c r="E33" s="80"/>
    </row>
    <row r="34" spans="2:9" ht="13.5" thickBot="1" x14ac:dyDescent="0.35">
      <c r="B34" s="63" t="s">
        <v>103</v>
      </c>
      <c r="C34" s="63"/>
      <c r="D34" s="63"/>
      <c r="E34" s="64">
        <f>SUM(E31:E32)</f>
        <v>59264.681593125875</v>
      </c>
      <c r="F34" s="56"/>
    </row>
    <row r="35" spans="2:9" ht="13.5" thickTop="1" x14ac:dyDescent="0.3">
      <c r="B35" s="82" t="s">
        <v>104</v>
      </c>
      <c r="C35" s="83"/>
      <c r="D35" s="83"/>
      <c r="E35" s="84"/>
      <c r="F35" s="56"/>
    </row>
    <row r="36" spans="2:9" x14ac:dyDescent="0.3">
      <c r="G36" s="56"/>
    </row>
    <row r="37" spans="2:9" x14ac:dyDescent="0.3">
      <c r="B37" s="34" t="s">
        <v>105</v>
      </c>
    </row>
    <row r="38" spans="2:9" x14ac:dyDescent="0.3">
      <c r="B38" s="85" t="s">
        <v>106</v>
      </c>
    </row>
    <row r="39" spans="2:9" x14ac:dyDescent="0.3">
      <c r="B39" s="85"/>
    </row>
    <row r="40" spans="2:9" x14ac:dyDescent="0.3">
      <c r="B40" s="86" t="s">
        <v>107</v>
      </c>
      <c r="C40" s="86"/>
      <c r="D40" s="86"/>
      <c r="E40" s="86"/>
    </row>
    <row r="41" spans="2:9" x14ac:dyDescent="0.3">
      <c r="B41" s="87" t="s">
        <v>108</v>
      </c>
      <c r="C41" s="88" t="s">
        <v>109</v>
      </c>
      <c r="D41" s="88" t="s">
        <v>110</v>
      </c>
      <c r="E41" s="87" t="s">
        <v>111</v>
      </c>
    </row>
    <row r="42" spans="2:9" x14ac:dyDescent="0.3">
      <c r="B42" s="87"/>
      <c r="C42" s="88"/>
      <c r="D42" s="88"/>
      <c r="E42" s="87"/>
    </row>
    <row r="43" spans="2:9" x14ac:dyDescent="0.3">
      <c r="B43" s="89">
        <v>1</v>
      </c>
      <c r="C43" s="90" t="s">
        <v>112</v>
      </c>
      <c r="D43" s="91">
        <v>7</v>
      </c>
      <c r="E43" s="92">
        <f>D43*G43</f>
        <v>14851.759999999998</v>
      </c>
      <c r="G43" s="93">
        <v>2121.6799999999998</v>
      </c>
      <c r="H43" s="34" t="s">
        <v>113</v>
      </c>
    </row>
    <row r="44" spans="2:9" ht="14.5" x14ac:dyDescent="0.35">
      <c r="B44" s="89">
        <v>2</v>
      </c>
      <c r="C44" s="90" t="s">
        <v>114</v>
      </c>
      <c r="D44" s="91">
        <v>4</v>
      </c>
      <c r="E44" s="92">
        <f>D44*G43</f>
        <v>8486.7199999999993</v>
      </c>
      <c r="I44" t="s">
        <v>41</v>
      </c>
    </row>
    <row r="45" spans="2:9" x14ac:dyDescent="0.3">
      <c r="B45" s="89">
        <v>3</v>
      </c>
      <c r="C45" s="90" t="s">
        <v>115</v>
      </c>
      <c r="D45" s="91">
        <v>3</v>
      </c>
      <c r="E45" s="92">
        <f>D45*G43</f>
        <v>6365.0399999999991</v>
      </c>
    </row>
    <row r="46" spans="2:9" x14ac:dyDescent="0.3">
      <c r="B46" s="89">
        <v>4</v>
      </c>
      <c r="C46" s="90" t="s">
        <v>116</v>
      </c>
      <c r="D46" s="91">
        <f>AVERAGE(D43:D45)</f>
        <v>4.666666666666667</v>
      </c>
      <c r="E46" s="92">
        <f>D46*G43</f>
        <v>9901.1733333333341</v>
      </c>
    </row>
    <row r="47" spans="2:9" x14ac:dyDescent="0.3">
      <c r="B47" s="80"/>
      <c r="C47" s="81"/>
      <c r="D47" s="80"/>
      <c r="E47" s="80"/>
    </row>
    <row r="48" spans="2:9" ht="13.5" thickBot="1" x14ac:dyDescent="0.35">
      <c r="B48" s="63" t="s">
        <v>117</v>
      </c>
      <c r="C48" s="63"/>
      <c r="D48" s="63"/>
      <c r="E48" s="65">
        <f>SUM(E43:E46)</f>
        <v>39604.693333333329</v>
      </c>
    </row>
    <row r="49" spans="2:2" ht="13.5" thickTop="1" x14ac:dyDescent="0.3">
      <c r="B49" s="85"/>
    </row>
    <row r="50" spans="2:2" x14ac:dyDescent="0.3">
      <c r="B50" s="85"/>
    </row>
    <row r="51" spans="2:2" x14ac:dyDescent="0.3">
      <c r="B51" s="85"/>
    </row>
    <row r="52" spans="2:2" x14ac:dyDescent="0.3">
      <c r="B52" s="34" t="s">
        <v>105</v>
      </c>
    </row>
    <row r="53" spans="2:2" x14ac:dyDescent="0.3">
      <c r="B53" s="85" t="s">
        <v>106</v>
      </c>
    </row>
    <row r="54" spans="2:2" x14ac:dyDescent="0.3">
      <c r="B54" s="85" t="s">
        <v>118</v>
      </c>
    </row>
    <row r="55" spans="2:2" x14ac:dyDescent="0.3">
      <c r="B55" s="85" t="s">
        <v>119</v>
      </c>
    </row>
    <row r="56" spans="2:2" x14ac:dyDescent="0.3">
      <c r="B56" s="85" t="s">
        <v>120</v>
      </c>
    </row>
    <row r="57" spans="2:2" x14ac:dyDescent="0.3">
      <c r="B57" s="85" t="s">
        <v>121</v>
      </c>
    </row>
    <row r="58" spans="2:2" x14ac:dyDescent="0.3">
      <c r="B58" s="85" t="s">
        <v>122</v>
      </c>
    </row>
  </sheetData>
  <mergeCells count="23">
    <mergeCell ref="B41:B42"/>
    <mergeCell ref="C41:C42"/>
    <mergeCell ref="D41:D42"/>
    <mergeCell ref="E41:E42"/>
    <mergeCell ref="B48:D48"/>
    <mergeCell ref="B29:B30"/>
    <mergeCell ref="C29:C30"/>
    <mergeCell ref="D29:D30"/>
    <mergeCell ref="E29:E30"/>
    <mergeCell ref="B34:D34"/>
    <mergeCell ref="B40:E40"/>
    <mergeCell ref="B15:E15"/>
    <mergeCell ref="B16:B17"/>
    <mergeCell ref="C16:C17"/>
    <mergeCell ref="E16:E17"/>
    <mergeCell ref="B25:D25"/>
    <mergeCell ref="B28:E28"/>
    <mergeCell ref="B2:E2"/>
    <mergeCell ref="G2:H2"/>
    <mergeCell ref="B3:B4"/>
    <mergeCell ref="C3:C4"/>
    <mergeCell ref="E3:E4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4037-CF44-4F4B-9EA3-8E7AA29C18F2}">
  <dimension ref="B1:P26"/>
  <sheetViews>
    <sheetView workbookViewId="0">
      <selection activeCell="B19" sqref="B19"/>
    </sheetView>
  </sheetViews>
  <sheetFormatPr defaultRowHeight="14.5" x14ac:dyDescent="0.35"/>
  <cols>
    <col min="2" max="2" width="6.08984375" customWidth="1"/>
    <col min="3" max="3" width="5.453125" customWidth="1"/>
    <col min="13" max="13" width="11.453125" bestFit="1" customWidth="1"/>
    <col min="16" max="16" width="10.36328125" bestFit="1" customWidth="1"/>
  </cols>
  <sheetData>
    <row r="1" spans="2:15" x14ac:dyDescent="0.35">
      <c r="B1" s="1" t="s">
        <v>0</v>
      </c>
    </row>
    <row r="2" spans="2:15" ht="36" x14ac:dyDescent="0.3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2:15" x14ac:dyDescent="0.35">
      <c r="B3" s="3" t="s">
        <v>6</v>
      </c>
      <c r="C3" s="3">
        <v>1</v>
      </c>
      <c r="D3" s="3">
        <v>3</v>
      </c>
      <c r="E3" s="3" t="s">
        <v>7</v>
      </c>
      <c r="F3" s="4">
        <v>45161</v>
      </c>
    </row>
    <row r="5" spans="2:15" ht="21" x14ac:dyDescent="0.35">
      <c r="B5" s="5"/>
      <c r="C5" s="5"/>
      <c r="D5" s="5" t="s">
        <v>8</v>
      </c>
      <c r="E5" s="5" t="s">
        <v>9</v>
      </c>
      <c r="F5" s="5"/>
      <c r="G5" s="5"/>
      <c r="H5" s="5"/>
      <c r="I5" s="5"/>
      <c r="J5" s="5" t="s">
        <v>10</v>
      </c>
      <c r="K5" s="5"/>
      <c r="L5" s="5"/>
      <c r="M5" s="6" t="s">
        <v>11</v>
      </c>
    </row>
    <row r="6" spans="2:15" ht="24" x14ac:dyDescent="0.35">
      <c r="B6" s="7" t="s">
        <v>12</v>
      </c>
      <c r="C6" s="8" t="s">
        <v>13</v>
      </c>
      <c r="D6" s="8" t="s">
        <v>14</v>
      </c>
      <c r="E6" s="9" t="s">
        <v>15</v>
      </c>
      <c r="F6" s="8" t="s">
        <v>16</v>
      </c>
      <c r="G6" s="9" t="s">
        <v>17</v>
      </c>
      <c r="H6" s="8" t="s">
        <v>18</v>
      </c>
      <c r="I6" s="9" t="s">
        <v>19</v>
      </c>
      <c r="J6" s="8" t="s">
        <v>20</v>
      </c>
      <c r="K6" s="7" t="s">
        <v>21</v>
      </c>
      <c r="L6" s="8" t="s">
        <v>22</v>
      </c>
      <c r="M6" s="9" t="s">
        <v>23</v>
      </c>
      <c r="N6" t="s">
        <v>24</v>
      </c>
      <c r="O6" t="s">
        <v>25</v>
      </c>
    </row>
    <row r="7" spans="2:15" x14ac:dyDescent="0.35">
      <c r="B7" s="10">
        <v>29562</v>
      </c>
      <c r="C7" s="10" t="s">
        <v>26</v>
      </c>
      <c r="D7" s="10">
        <v>103.595</v>
      </c>
      <c r="E7" s="11">
        <v>83.043000000000006</v>
      </c>
      <c r="F7" s="10">
        <v>590</v>
      </c>
      <c r="G7" s="11">
        <v>529</v>
      </c>
      <c r="H7" s="12">
        <f>D7/F7</f>
        <v>0.17558474576271185</v>
      </c>
      <c r="I7" s="13">
        <f>E7/G7</f>
        <v>0.15698109640831759</v>
      </c>
      <c r="J7" s="10">
        <v>3010</v>
      </c>
      <c r="K7" s="14">
        <f>E7/J7</f>
        <v>2.7589036544850499E-2</v>
      </c>
      <c r="L7" s="15">
        <f>I7-H7</f>
        <v>-1.8603649354394264E-2</v>
      </c>
      <c r="M7" s="16">
        <f>L7*0.14</f>
        <v>-2.6045109096151974E-3</v>
      </c>
    </row>
    <row r="8" spans="2:15" x14ac:dyDescent="0.35">
      <c r="B8" s="10">
        <v>29574</v>
      </c>
      <c r="C8" s="10" t="s">
        <v>27</v>
      </c>
      <c r="D8" s="10">
        <v>105.18</v>
      </c>
      <c r="E8" s="11">
        <v>111.03</v>
      </c>
      <c r="F8" s="10">
        <v>548</v>
      </c>
      <c r="G8" s="11">
        <v>570</v>
      </c>
      <c r="H8" s="12">
        <f t="shared" ref="H8:I10" si="0">D8/F8</f>
        <v>0.19193430656934307</v>
      </c>
      <c r="I8" s="13">
        <f t="shared" si="0"/>
        <v>0.19478947368421054</v>
      </c>
      <c r="J8" s="10">
        <v>2806</v>
      </c>
      <c r="K8" s="14">
        <f>E8/J8</f>
        <v>3.95687811831789E-2</v>
      </c>
      <c r="L8" s="15">
        <f t="shared" ref="L8:L10" si="1">I8-H8</f>
        <v>2.8551671148674684E-3</v>
      </c>
      <c r="M8" s="16">
        <f t="shared" ref="M8:M9" si="2">L8*0.14</f>
        <v>3.9972339608144563E-4</v>
      </c>
    </row>
    <row r="9" spans="2:15" x14ac:dyDescent="0.35">
      <c r="B9" s="10">
        <v>29590</v>
      </c>
      <c r="C9" s="10" t="s">
        <v>28</v>
      </c>
      <c r="D9" s="10">
        <v>157.833</v>
      </c>
      <c r="E9" s="11">
        <v>127.303</v>
      </c>
      <c r="F9" s="10">
        <v>454</v>
      </c>
      <c r="G9" s="11">
        <v>524</v>
      </c>
      <c r="H9" s="12">
        <f t="shared" si="0"/>
        <v>0.34764977973568284</v>
      </c>
      <c r="I9" s="13">
        <f t="shared" si="0"/>
        <v>0.24294465648854963</v>
      </c>
      <c r="J9" s="10">
        <v>3306</v>
      </c>
      <c r="K9" s="14">
        <f>E9/J9</f>
        <v>3.8506654567453114E-2</v>
      </c>
      <c r="L9" s="15">
        <f t="shared" si="1"/>
        <v>-0.10470512324713321</v>
      </c>
      <c r="M9" s="16">
        <f t="shared" si="2"/>
        <v>-1.4658717254598651E-2</v>
      </c>
    </row>
    <row r="10" spans="2:15" x14ac:dyDescent="0.35">
      <c r="B10" s="17" t="s">
        <v>29</v>
      </c>
      <c r="C10" s="17"/>
      <c r="D10" s="10">
        <f>SUM(D7:D9)</f>
        <v>366.608</v>
      </c>
      <c r="E10" s="11">
        <f>SUM(E7:E9)</f>
        <v>321.37599999999998</v>
      </c>
      <c r="F10" s="10">
        <f>SUM(F7:F9)</f>
        <v>1592</v>
      </c>
      <c r="G10" s="11">
        <f>SUM(G7:G9)</f>
        <v>1623</v>
      </c>
      <c r="H10" s="12">
        <f>D10/F10</f>
        <v>0.23028140703517588</v>
      </c>
      <c r="I10" s="13">
        <f t="shared" si="0"/>
        <v>0.19801355514479357</v>
      </c>
      <c r="J10" s="10">
        <f>SUM(J7:J9)</f>
        <v>9122</v>
      </c>
      <c r="K10" s="14">
        <f>E10/J10</f>
        <v>3.5230870423152816E-2</v>
      </c>
      <c r="L10" s="15">
        <f t="shared" si="1"/>
        <v>-3.226785189038231E-2</v>
      </c>
      <c r="M10" s="16">
        <f>L10*0.14</f>
        <v>-4.5174992646535234E-3</v>
      </c>
    </row>
    <row r="11" spans="2:15" ht="15" thickBot="1" x14ac:dyDescent="0.4"/>
    <row r="12" spans="2:15" ht="32" thickBot="1" x14ac:dyDescent="0.4">
      <c r="B12" s="18" t="s">
        <v>30</v>
      </c>
      <c r="C12" s="19" t="s">
        <v>31</v>
      </c>
      <c r="D12" s="19" t="s">
        <v>32</v>
      </c>
      <c r="E12" s="19" t="s">
        <v>33</v>
      </c>
      <c r="F12" s="19" t="s">
        <v>34</v>
      </c>
      <c r="G12" s="19" t="s">
        <v>35</v>
      </c>
      <c r="H12" s="20" t="s">
        <v>36</v>
      </c>
    </row>
    <row r="13" spans="2:15" ht="15" thickBot="1" x14ac:dyDescent="0.4">
      <c r="B13" s="21">
        <f>-AVERAGE(M7:M9)</f>
        <v>5.621168256044134E-3</v>
      </c>
      <c r="C13" s="22">
        <v>4000</v>
      </c>
      <c r="D13" s="22">
        <f>C13*B13</f>
        <v>22.484673024176537</v>
      </c>
      <c r="E13" s="22">
        <f>D13*30</f>
        <v>674.54019072529616</v>
      </c>
      <c r="F13" s="22">
        <f>E13*12</f>
        <v>8094.4822887035534</v>
      </c>
      <c r="G13" s="23">
        <v>2.65</v>
      </c>
      <c r="H13" s="24">
        <f>G13*F13</f>
        <v>21450.378065064415</v>
      </c>
    </row>
    <row r="14" spans="2:15" ht="15" thickBot="1" x14ac:dyDescent="0.4">
      <c r="B14" s="25"/>
      <c r="M14" s="26">
        <f>(H13-H15)</f>
        <v>10725.189032532207</v>
      </c>
      <c r="N14">
        <f>M14/H13</f>
        <v>0.5</v>
      </c>
    </row>
    <row r="15" spans="2:15" ht="15" thickBot="1" x14ac:dyDescent="0.4">
      <c r="B15" s="27">
        <f>B13/2</f>
        <v>2.810584128022067E-3</v>
      </c>
      <c r="C15" s="22">
        <v>4000</v>
      </c>
      <c r="D15" s="22">
        <f>C15*B15</f>
        <v>11.242336512088269</v>
      </c>
      <c r="E15" s="22">
        <f>D15*30</f>
        <v>337.27009536264808</v>
      </c>
      <c r="F15" s="22">
        <f>E15*12</f>
        <v>4047.2411443517767</v>
      </c>
      <c r="G15" s="23">
        <v>2.65</v>
      </c>
      <c r="H15" s="24">
        <f>G15*F15</f>
        <v>10725.189032532207</v>
      </c>
      <c r="I15" t="s">
        <v>37</v>
      </c>
      <c r="L15" s="28"/>
      <c r="N15" t="s">
        <v>38</v>
      </c>
    </row>
    <row r="16" spans="2:15" x14ac:dyDescent="0.35">
      <c r="B16" s="29" t="s">
        <v>39</v>
      </c>
      <c r="N16">
        <f>13000/14</f>
        <v>928.57142857142856</v>
      </c>
      <c r="O16" t="s">
        <v>40</v>
      </c>
    </row>
    <row r="18" spans="2:16" x14ac:dyDescent="0.35">
      <c r="N18" t="s">
        <v>41</v>
      </c>
      <c r="O18" t="s">
        <v>40</v>
      </c>
      <c r="P18" s="30">
        <v>2121.6799999999998</v>
      </c>
    </row>
    <row r="19" spans="2:16" ht="43.5" x14ac:dyDescent="0.35">
      <c r="C19" t="s">
        <v>42</v>
      </c>
      <c r="D19" t="s">
        <v>43</v>
      </c>
      <c r="F19" s="31" t="s">
        <v>30</v>
      </c>
      <c r="G19" s="31" t="s">
        <v>31</v>
      </c>
      <c r="H19" s="31" t="s">
        <v>33</v>
      </c>
      <c r="I19" s="31" t="s">
        <v>34</v>
      </c>
      <c r="J19" s="31" t="s">
        <v>35</v>
      </c>
      <c r="K19" s="31" t="s">
        <v>36</v>
      </c>
    </row>
    <row r="20" spans="2:16" x14ac:dyDescent="0.35">
      <c r="C20" t="s">
        <v>44</v>
      </c>
      <c r="F20" s="31">
        <v>1.4999999999999999E-2</v>
      </c>
      <c r="G20" s="31">
        <v>4000</v>
      </c>
      <c r="H20" s="31">
        <f>F20*G20*30</f>
        <v>1800</v>
      </c>
      <c r="I20" s="31">
        <f>H20*12</f>
        <v>21600</v>
      </c>
      <c r="J20" s="32">
        <v>2.65</v>
      </c>
      <c r="K20" s="33">
        <f>I20*J20</f>
        <v>57240</v>
      </c>
    </row>
    <row r="22" spans="2:16" x14ac:dyDescent="0.35">
      <c r="C22" t="s">
        <v>45</v>
      </c>
      <c r="D22" t="s">
        <v>46</v>
      </c>
    </row>
    <row r="23" spans="2:16" x14ac:dyDescent="0.35">
      <c r="C23">
        <v>275</v>
      </c>
      <c r="D23">
        <f>C23*0.5</f>
        <v>137.5</v>
      </c>
    </row>
    <row r="24" spans="2:16" x14ac:dyDescent="0.35">
      <c r="B24" t="s">
        <v>47</v>
      </c>
      <c r="C24">
        <v>7</v>
      </c>
      <c r="D24">
        <f>C24*350</f>
        <v>2450</v>
      </c>
    </row>
    <row r="25" spans="2:16" x14ac:dyDescent="0.35">
      <c r="B25" t="s">
        <v>47</v>
      </c>
      <c r="C25">
        <v>4</v>
      </c>
      <c r="D25">
        <f>C25*350</f>
        <v>1400</v>
      </c>
    </row>
    <row r="26" spans="2:16" x14ac:dyDescent="0.35">
      <c r="B26" t="s">
        <v>47</v>
      </c>
      <c r="C26">
        <v>3</v>
      </c>
      <c r="D26">
        <f>C26*350</f>
        <v>1050</v>
      </c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Case (UAE_QTR_10)</vt:lpstr>
      <vt:lpstr>Fleet_Telematry (UAE_QTR) (10%)</vt:lpstr>
      <vt:lpstr>Savings Calculation (Updated)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Tiwari</dc:creator>
  <cp:lastModifiedBy>Vinod Tiwari</cp:lastModifiedBy>
  <dcterms:created xsi:type="dcterms:W3CDTF">2023-10-17T12:30:08Z</dcterms:created>
  <dcterms:modified xsi:type="dcterms:W3CDTF">2023-10-17T12:32:12Z</dcterms:modified>
</cp:coreProperties>
</file>